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activeX/activeX2.xml" ContentType="application/vnd.ms-office.activeX+xml"/>
  <Override PartName="/xl/activeX/activeX2.bin" ContentType="application/vnd.ms-office.activeX"/>
  <Override PartName="/xl/tables/table9.xml" ContentType="application/vnd.openxmlformats-officedocument.spreadsheetml.table+xml"/>
  <Override PartName="/xl/tables/table10.xml" ContentType="application/vnd.openxmlformats-officedocument.spreadsheetml.table+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4.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slicers/slicer2.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5.xml" ContentType="application/vnd.openxmlformats-officedocument.drawing+xml"/>
  <Override PartName="/xl/tables/table2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queryTables/queryTable1.xml" ContentType="application/vnd.openxmlformats-officedocument.spreadsheetml.queryTable+xml"/>
  <Override PartName="/xl/tables/table66.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hidePivotFieldList="1" defaultThemeVersion="166925"/>
  <mc:AlternateContent xmlns:mc="http://schemas.openxmlformats.org/markup-compatibility/2006">
    <mc:Choice Requires="x15">
      <x15ac:absPath xmlns:x15ac="http://schemas.microsoft.com/office/spreadsheetml/2010/11/ac" url="https://teamsites.amersfoort.nl/sites/prsv/Portfolio Zuid/Vinkenhoef/07. Opdrachten/Bouw en woonrijp/01. Aanbestedingsdossier/Bijlage 1 Ontwerp-uitwerking Vinkenhoef/Bijlage 1i Referentieberekening MKI/"/>
    </mc:Choice>
  </mc:AlternateContent>
  <xr:revisionPtr revIDLastSave="0" documentId="8_{CB580987-A5F4-4E38-B928-0A10DD58250E}" xr6:coauthVersionLast="47" xr6:coauthVersionMax="47" xr10:uidLastSave="{00000000-0000-0000-0000-000000000000}"/>
  <workbookProtection workbookAlgorithmName="SHA-512" workbookHashValue="YrJvXadALjeNrqWawcLhF7FW8sctl1dH8SouX64GUetWgrF3WuUVCS8OhfpgyCkv87mSV+CveD73B4AZHdMsZA==" workbookSaltValue="ufsqN299+2U0fs2Qfcq8ZQ==" workbookSpinCount="100000" lockStructure="1"/>
  <bookViews>
    <workbookView xWindow="-110" yWindow="-110" windowWidth="19420" windowHeight="10420" tabRatio="875" firstSheet="3" activeTab="3" xr2:uid="{F360B3FB-A901-40D5-B657-EA83BA7FE771}"/>
  </bookViews>
  <sheets>
    <sheet name="Ontwerpberekening" sheetId="31" state="hidden" r:id="rId1"/>
    <sheet name="Ontwerp_Backlog" sheetId="32" state="hidden" r:id="rId2"/>
    <sheet name="Handleiding" sheetId="38" state="hidden" r:id="rId3"/>
    <sheet name="Referentieberekening" sheetId="1" r:id="rId4"/>
    <sheet name="Referentie_Backlog" sheetId="8" state="hidden" r:id="rId5"/>
    <sheet name="Inschrijfberekening" sheetId="4" state="hidden" r:id="rId6"/>
    <sheet name="Inschrijf LCA's" sheetId="7" state="hidden" r:id="rId7"/>
    <sheet name="Inschrijf_Backlog" sheetId="9" state="hidden" r:id="rId8"/>
    <sheet name="As-Built berekening" sheetId="5" state="hidden" r:id="rId9"/>
    <sheet name="Monitorings Dashboard" sheetId="6" state="hidden" r:id="rId10"/>
    <sheet name="Database" sheetId="2" state="hidden" r:id="rId11"/>
    <sheet name="Processen Database" sheetId="35" state="hidden" r:id="rId12"/>
    <sheet name="Keuzelijst_Producten" sheetId="3" state="hidden" r:id="rId13"/>
    <sheet name="Keuzelijst_Processen" sheetId="18" state="hidden" r:id="rId14"/>
    <sheet name="applicant" sheetId="30" state="hidden" r:id="rId15"/>
    <sheet name="reference" sheetId="27" state="hidden" r:id="rId16"/>
    <sheet name="as-built" sheetId="36" state="hidden" r:id="rId17"/>
    <sheet name="analysis" sheetId="37" state="hidden" r:id="rId18"/>
  </sheets>
  <definedNames>
    <definedName name="ExterneGegevens_1" localSheetId="15" hidden="1">reference!$A$1:$DP$9</definedName>
    <definedName name="ExterneGegevens_2" localSheetId="14" hidden="1">applicant!$A$1:$DP$9</definedName>
    <definedName name="Kutools_AddTotalToChart">Ontwerp_Backlog!$T$91:$T$97+Ontwerp_Backlog!$U$91:$U$97</definedName>
    <definedName name="Slicer_Product">#N/A</definedName>
    <definedName name="Slicer_Product1">#N/A</definedName>
  </definedNames>
  <calcPr calcId="191029"/>
  <pivotCaches>
    <pivotCache cacheId="0" r:id="rId19"/>
    <pivotCache cacheId="1" r:id="rId20"/>
    <pivotCache cacheId="2" r:id="rId21"/>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2"/>
        <x14:slicerCache r:id="rId2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1" l="1"/>
  <c r="M5" i="1" l="1"/>
  <c r="M6" i="1"/>
  <c r="M7" i="1"/>
  <c r="M8" i="1"/>
  <c r="M9" i="1"/>
  <c r="M10" i="1"/>
  <c r="M11" i="1"/>
  <c r="M12" i="1"/>
  <c r="M14" i="1"/>
  <c r="M15" i="1"/>
  <c r="M16" i="1"/>
  <c r="M17" i="1"/>
  <c r="M18" i="1"/>
  <c r="M19" i="1"/>
  <c r="M20" i="1"/>
  <c r="M21" i="1"/>
  <c r="M22" i="1"/>
  <c r="M23" i="1"/>
  <c r="M24" i="1"/>
  <c r="M25" i="1"/>
  <c r="M26" i="1"/>
  <c r="M27" i="1"/>
  <c r="M28" i="1"/>
  <c r="M29" i="1"/>
  <c r="M30" i="1"/>
  <c r="M31" i="1"/>
  <c r="M32" i="1"/>
  <c r="M33" i="1"/>
  <c r="M34" i="1"/>
  <c r="M35" i="1"/>
  <c r="J35" i="1"/>
  <c r="J34" i="1"/>
  <c r="J33" i="1"/>
  <c r="K33" i="1" s="1"/>
  <c r="E248" i="8" s="1" a="1"/>
  <c r="E248" i="8" s="1"/>
  <c r="J32" i="1"/>
  <c r="J31" i="1"/>
  <c r="J30" i="1"/>
  <c r="J29" i="1"/>
  <c r="K29" i="1" s="1"/>
  <c r="E244" i="8" s="1" a="1"/>
  <c r="E244" i="8" s="1"/>
  <c r="J28" i="1"/>
  <c r="J27" i="1"/>
  <c r="J26" i="1"/>
  <c r="J25" i="1"/>
  <c r="K25" i="1" s="1"/>
  <c r="J240" i="8" s="1" a="1"/>
  <c r="J240" i="8" s="1"/>
  <c r="J24" i="1"/>
  <c r="J23" i="1"/>
  <c r="J22" i="1"/>
  <c r="J21" i="1"/>
  <c r="K21" i="1" s="1"/>
  <c r="D236" i="8" s="1" a="1"/>
  <c r="D236" i="8" s="1"/>
  <c r="J20" i="1"/>
  <c r="J19" i="1"/>
  <c r="J18" i="1"/>
  <c r="J17" i="1"/>
  <c r="J16" i="1"/>
  <c r="K16" i="1" s="1"/>
  <c r="J231" i="8" s="1" a="1"/>
  <c r="J231" i="8" s="1"/>
  <c r="J15" i="1"/>
  <c r="J14" i="1"/>
  <c r="J13" i="1"/>
  <c r="K13" i="1" s="1"/>
  <c r="I228" i="8" s="1" a="1"/>
  <c r="I228" i="8" s="1"/>
  <c r="J12" i="1"/>
  <c r="J11" i="1"/>
  <c r="J10" i="1"/>
  <c r="J9" i="1"/>
  <c r="J8" i="1"/>
  <c r="J7" i="1"/>
  <c r="J6" i="1"/>
  <c r="J5"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E207" i="8" a="1"/>
  <c r="E207" i="8" s="1"/>
  <c r="E206" i="8" a="1"/>
  <c r="E206" i="8" s="1"/>
  <c r="D206" i="8" a="1"/>
  <c r="D206" i="8" s="1"/>
  <c r="E205" i="8" a="1"/>
  <c r="E205" i="8" s="1"/>
  <c r="D205" i="8" a="1"/>
  <c r="D205" i="8" s="1"/>
  <c r="D97" i="8"/>
  <c r="E204" i="8" a="1"/>
  <c r="E204" i="8" s="1"/>
  <c r="D204" i="8" a="1"/>
  <c r="D204" i="8" s="1"/>
  <c r="E202" i="8" a="1"/>
  <c r="E202" i="8" s="1"/>
  <c r="D202" i="8" a="1"/>
  <c r="D202" i="8" s="1"/>
  <c r="E201" i="8" a="1"/>
  <c r="E201" i="8" s="1"/>
  <c r="D201" i="8" a="1"/>
  <c r="D201" i="8" s="1"/>
  <c r="E200" i="8" a="1"/>
  <c r="E200" i="8" s="1"/>
  <c r="D200" i="8" a="1"/>
  <c r="D200" i="8" s="1"/>
  <c r="E199" i="8" a="1"/>
  <c r="E199" i="8" s="1"/>
  <c r="D199" i="8" a="1"/>
  <c r="D199" i="8" s="1"/>
  <c r="E195" i="8" a="1"/>
  <c r="E195" i="8" s="1"/>
  <c r="D195" i="8" a="1"/>
  <c r="D195" i="8" s="1"/>
  <c r="E188" i="8" a="1"/>
  <c r="E188" i="8" s="1"/>
  <c r="D188" i="8" a="1"/>
  <c r="D188" i="8" s="1"/>
  <c r="E186" i="8" a="1"/>
  <c r="E186" i="8" s="1"/>
  <c r="D186" i="8" a="1"/>
  <c r="D186" i="8" s="1"/>
  <c r="E185" i="8" a="1"/>
  <c r="E185" i="8" s="1"/>
  <c r="D184" i="8" a="1"/>
  <c r="D184" i="8" s="1"/>
  <c r="D185" i="8" a="1"/>
  <c r="D185" i="8" s="1"/>
  <c r="D187" i="8" a="1"/>
  <c r="D187" i="8" s="1"/>
  <c r="D189" i="8" a="1"/>
  <c r="D189" i="8" s="1"/>
  <c r="D190" i="8" a="1"/>
  <c r="D190" i="8" s="1"/>
  <c r="D192" i="8" a="1"/>
  <c r="D192" i="8" s="1"/>
  <c r="D193" i="8" a="1"/>
  <c r="D193" i="8" s="1"/>
  <c r="D194" i="8" a="1"/>
  <c r="D194" i="8" s="1"/>
  <c r="D196" i="8" a="1"/>
  <c r="D196" i="8" s="1"/>
  <c r="D197" i="8" a="1"/>
  <c r="D197" i="8" s="1"/>
  <c r="D198" i="8" a="1"/>
  <c r="D198" i="8" s="1"/>
  <c r="D207" i="8" a="1"/>
  <c r="D207" i="8" s="1"/>
  <c r="D208" i="8" a="1"/>
  <c r="D208" i="8" s="1"/>
  <c r="D209" i="8" a="1"/>
  <c r="D209" i="8" s="1"/>
  <c r="D210" i="8" a="1"/>
  <c r="D210" i="8" s="1"/>
  <c r="D211" i="8" a="1"/>
  <c r="D211" i="8" s="1"/>
  <c r="D212" i="8" a="1"/>
  <c r="D212" i="8" s="1"/>
  <c r="D213" i="8" a="1"/>
  <c r="D213" i="8" s="1"/>
  <c r="D214" i="8" a="1"/>
  <c r="D214" i="8" s="1"/>
  <c r="D77" i="8"/>
  <c r="E184" i="8" a="1"/>
  <c r="E184" i="8" s="1"/>
  <c r="E187" i="8" a="1"/>
  <c r="E187" i="8"/>
  <c r="E189" i="8" a="1"/>
  <c r="E189" i="8" s="1"/>
  <c r="E190" i="8" a="1"/>
  <c r="E190" i="8" s="1"/>
  <c r="E192" i="8" a="1"/>
  <c r="E192" i="8" s="1"/>
  <c r="E193" i="8" a="1"/>
  <c r="E193" i="8" s="1"/>
  <c r="E194" i="8" a="1"/>
  <c r="E194" i="8" s="1"/>
  <c r="E196" i="8" a="1"/>
  <c r="E196" i="8" s="1"/>
  <c r="E197" i="8" a="1"/>
  <c r="E197" i="8" s="1"/>
  <c r="E198" i="8" a="1"/>
  <c r="E198" i="8" s="1"/>
  <c r="E208" i="8" a="1"/>
  <c r="E208" i="8" s="1"/>
  <c r="E209" i="8" a="1"/>
  <c r="E209" i="8" s="1"/>
  <c r="E210" i="8" a="1"/>
  <c r="E210" i="8" s="1"/>
  <c r="E211" i="8" a="1"/>
  <c r="E211" i="8" s="1"/>
  <c r="E212" i="8" a="1"/>
  <c r="E212" i="8" s="1"/>
  <c r="E213" i="8" a="1"/>
  <c r="E213" i="8" s="1"/>
  <c r="E214" i="8" a="1"/>
  <c r="E214" i="8" s="1"/>
  <c r="D99" i="8"/>
  <c r="D98" i="8"/>
  <c r="D96" i="8"/>
  <c r="D91" i="8"/>
  <c r="D94" i="8"/>
  <c r="D93" i="8"/>
  <c r="D92" i="8"/>
  <c r="D80" i="8"/>
  <c r="D76" i="8"/>
  <c r="D87" i="8"/>
  <c r="D78" i="8"/>
  <c r="D79" i="8"/>
  <c r="D81" i="8"/>
  <c r="D82" i="8"/>
  <c r="D84" i="8"/>
  <c r="D85" i="8"/>
  <c r="D86" i="8"/>
  <c r="D88" i="8"/>
  <c r="D89" i="8"/>
  <c r="D90" i="8"/>
  <c r="D100" i="8"/>
  <c r="D101" i="8"/>
  <c r="D102" i="8"/>
  <c r="D103" i="8"/>
  <c r="D104" i="8"/>
  <c r="D105" i="8"/>
  <c r="D106" i="8"/>
  <c r="M790" i="2"/>
  <c r="A1001" i="2"/>
  <c r="A1000" i="2"/>
  <c r="A999" i="2"/>
  <c r="A998" i="2"/>
  <c r="BE997" i="2"/>
  <c r="BD997" i="2"/>
  <c r="BC997" i="2"/>
  <c r="BB997" i="2"/>
  <c r="AX997" i="2"/>
  <c r="AU997" i="2"/>
  <c r="Y997" i="2"/>
  <c r="X997" i="2"/>
  <c r="X989" i="2" s="1"/>
  <c r="W997" i="2"/>
  <c r="V997" i="2"/>
  <c r="U997" i="2"/>
  <c r="T997" i="2"/>
  <c r="S997" i="2"/>
  <c r="R997" i="2"/>
  <c r="Q997" i="2"/>
  <c r="P997" i="2"/>
  <c r="P989" i="2" s="1"/>
  <c r="O997" i="2"/>
  <c r="M997" i="2"/>
  <c r="A997" i="2"/>
  <c r="BE996" i="2"/>
  <c r="BD996" i="2"/>
  <c r="BD989" i="2" s="1"/>
  <c r="BC996" i="2"/>
  <c r="BB996" i="2"/>
  <c r="AX996" i="2"/>
  <c r="AX989" i="2" s="1"/>
  <c r="AU996" i="2"/>
  <c r="Y996" i="2"/>
  <c r="X996" i="2"/>
  <c r="W996" i="2"/>
  <c r="V996" i="2"/>
  <c r="V989" i="2" s="1"/>
  <c r="U996" i="2"/>
  <c r="T996" i="2"/>
  <c r="S996" i="2"/>
  <c r="S989" i="2" s="1"/>
  <c r="R996" i="2"/>
  <c r="Q996" i="2"/>
  <c r="P996" i="2"/>
  <c r="O996" i="2"/>
  <c r="M996" i="2"/>
  <c r="M989" i="2" s="1"/>
  <c r="A996" i="2"/>
  <c r="A995" i="2"/>
  <c r="BE994" i="2"/>
  <c r="BE989" i="2" s="1"/>
  <c r="BD994" i="2"/>
  <c r="BC994" i="2"/>
  <c r="BB994" i="2"/>
  <c r="AX994" i="2"/>
  <c r="AU994" i="2"/>
  <c r="Y994" i="2"/>
  <c r="X994" i="2"/>
  <c r="W994" i="2"/>
  <c r="W989" i="2" s="1"/>
  <c r="V994" i="2"/>
  <c r="U994" i="2"/>
  <c r="T994" i="2"/>
  <c r="S994" i="2"/>
  <c r="R994" i="2"/>
  <c r="Q994" i="2"/>
  <c r="P994" i="2"/>
  <c r="O994" i="2"/>
  <c r="O989" i="2" s="1"/>
  <c r="M994" i="2"/>
  <c r="A994" i="2"/>
  <c r="BE993" i="2"/>
  <c r="BD993" i="2"/>
  <c r="BC993" i="2"/>
  <c r="BB993" i="2"/>
  <c r="AX993" i="2"/>
  <c r="AU993" i="2"/>
  <c r="Y993" i="2"/>
  <c r="X993" i="2"/>
  <c r="W993" i="2"/>
  <c r="V993" i="2"/>
  <c r="U993" i="2"/>
  <c r="T993" i="2"/>
  <c r="S993" i="2"/>
  <c r="R993" i="2"/>
  <c r="Q993" i="2"/>
  <c r="P993" i="2"/>
  <c r="O993" i="2"/>
  <c r="M993" i="2"/>
  <c r="A993" i="2"/>
  <c r="A992" i="2"/>
  <c r="A991" i="2"/>
  <c r="Q989" i="2"/>
  <c r="A990" i="2"/>
  <c r="BC989" i="2"/>
  <c r="BB989" i="2"/>
  <c r="AU989" i="2"/>
  <c r="Y989" i="2"/>
  <c r="U989" i="2"/>
  <c r="T989" i="2"/>
  <c r="R989" i="2"/>
  <c r="A989" i="2"/>
  <c r="M1012" i="2"/>
  <c r="Q1012" i="2"/>
  <c r="Q1003" i="2"/>
  <c r="Q1013" i="2"/>
  <c r="M1013" i="2"/>
  <c r="M1003" i="2"/>
  <c r="Q970" i="2"/>
  <c r="M970" i="2"/>
  <c r="Q968" i="2"/>
  <c r="M968" i="2"/>
  <c r="Q957" i="2"/>
  <c r="Q955" i="2"/>
  <c r="M957" i="2"/>
  <c r="M955" i="2"/>
  <c r="Q959" i="2"/>
  <c r="M959" i="2"/>
  <c r="Q951" i="2"/>
  <c r="M951" i="2"/>
  <c r="Q942" i="2"/>
  <c r="M942" i="2"/>
  <c r="Q929" i="2"/>
  <c r="M929" i="2"/>
  <c r="M928" i="2"/>
  <c r="A963" i="2"/>
  <c r="A964" i="2"/>
  <c r="A965" i="2"/>
  <c r="A966" i="2"/>
  <c r="A967" i="2"/>
  <c r="A968" i="2"/>
  <c r="A969" i="2"/>
  <c r="A970" i="2"/>
  <c r="A971" i="2"/>
  <c r="A972" i="2"/>
  <c r="A973" i="2"/>
  <c r="A974" i="2"/>
  <c r="A975" i="2"/>
  <c r="A950" i="2"/>
  <c r="A951" i="2"/>
  <c r="A952" i="2"/>
  <c r="A953" i="2"/>
  <c r="A954" i="2"/>
  <c r="A955" i="2"/>
  <c r="A956" i="2"/>
  <c r="A957" i="2"/>
  <c r="A958" i="2"/>
  <c r="A959" i="2"/>
  <c r="A960" i="2"/>
  <c r="A961" i="2"/>
  <c r="A962" i="2"/>
  <c r="A937" i="2"/>
  <c r="A938" i="2"/>
  <c r="A939" i="2"/>
  <c r="A940" i="2"/>
  <c r="A941" i="2"/>
  <c r="A942" i="2"/>
  <c r="A943" i="2"/>
  <c r="A944" i="2"/>
  <c r="A945" i="2"/>
  <c r="A946" i="2"/>
  <c r="A947" i="2"/>
  <c r="A948" i="2"/>
  <c r="A949" i="2"/>
  <c r="A923" i="2"/>
  <c r="A922" i="2"/>
  <c r="A921" i="2"/>
  <c r="A920" i="2"/>
  <c r="A919" i="2"/>
  <c r="A918" i="2"/>
  <c r="A917" i="2"/>
  <c r="A916" i="2"/>
  <c r="A915" i="2"/>
  <c r="A914" i="2"/>
  <c r="A913" i="2"/>
  <c r="A912" i="2"/>
  <c r="A911" i="2"/>
  <c r="Q903" i="2"/>
  <c r="M903" i="2"/>
  <c r="M905" i="2"/>
  <c r="Q905" i="2"/>
  <c r="A924" i="2"/>
  <c r="A925" i="2"/>
  <c r="A926" i="2"/>
  <c r="A927" i="2"/>
  <c r="A928" i="2"/>
  <c r="A929" i="2"/>
  <c r="A930" i="2"/>
  <c r="A931" i="2"/>
  <c r="A932" i="2"/>
  <c r="A933" i="2"/>
  <c r="A934" i="2"/>
  <c r="A935" i="2"/>
  <c r="A936" i="2"/>
  <c r="A898" i="2"/>
  <c r="A899" i="2"/>
  <c r="A900" i="2"/>
  <c r="A901" i="2"/>
  <c r="A902" i="2"/>
  <c r="A903" i="2"/>
  <c r="A904" i="2"/>
  <c r="A905" i="2"/>
  <c r="A906" i="2"/>
  <c r="A907" i="2"/>
  <c r="A908" i="2"/>
  <c r="A909" i="2"/>
  <c r="A910" i="2"/>
  <c r="Q754" i="2"/>
  <c r="M754" i="2"/>
  <c r="L761" i="2"/>
  <c r="L760" i="2"/>
  <c r="L759" i="2"/>
  <c r="L758" i="2"/>
  <c r="L757" i="2"/>
  <c r="L756" i="2"/>
  <c r="L755" i="2"/>
  <c r="L754" i="2"/>
  <c r="L753" i="2"/>
  <c r="L752" i="2"/>
  <c r="L751" i="2"/>
  <c r="L750" i="2"/>
  <c r="L749" i="2"/>
  <c r="L748" i="2"/>
  <c r="L747" i="2"/>
  <c r="L746" i="2"/>
  <c r="L745" i="2"/>
  <c r="L744" i="2"/>
  <c r="L743" i="2"/>
  <c r="L742" i="2"/>
  <c r="L741" i="2"/>
  <c r="L740" i="2"/>
  <c r="L739" i="2"/>
  <c r="L738" i="2"/>
  <c r="L737" i="2"/>
  <c r="L736" i="2"/>
  <c r="Q741" i="2"/>
  <c r="M741" i="2"/>
  <c r="A749" i="2"/>
  <c r="A750" i="2"/>
  <c r="A751" i="2"/>
  <c r="A752" i="2"/>
  <c r="A753" i="2"/>
  <c r="A754" i="2"/>
  <c r="A755" i="2"/>
  <c r="A756" i="2"/>
  <c r="A757" i="2"/>
  <c r="A758" i="2"/>
  <c r="A759" i="2"/>
  <c r="A760" i="2"/>
  <c r="A761" i="2"/>
  <c r="A736" i="2"/>
  <c r="A737" i="2"/>
  <c r="A738" i="2"/>
  <c r="A739" i="2"/>
  <c r="A740" i="2"/>
  <c r="A741" i="2"/>
  <c r="A742" i="2"/>
  <c r="A743" i="2"/>
  <c r="A744" i="2"/>
  <c r="A745" i="2"/>
  <c r="A746" i="2"/>
  <c r="A747" i="2"/>
  <c r="A748" i="2"/>
  <c r="M730" i="2"/>
  <c r="S717" i="2"/>
  <c r="T717" i="2"/>
  <c r="U717" i="2"/>
  <c r="V697" i="2"/>
  <c r="V723" i="2" s="1"/>
  <c r="Y730" i="2"/>
  <c r="R730" i="2"/>
  <c r="Q730" i="2"/>
  <c r="X717" i="2"/>
  <c r="W717" i="2"/>
  <c r="V717" i="2"/>
  <c r="P717" i="2"/>
  <c r="O717" i="2"/>
  <c r="M717" i="2"/>
  <c r="Y715" i="2"/>
  <c r="Y728" i="2" s="1"/>
  <c r="X715" i="2"/>
  <c r="X728" i="2" s="1"/>
  <c r="W715" i="2"/>
  <c r="W728" i="2" s="1"/>
  <c r="V715" i="2"/>
  <c r="V728" i="2" s="1"/>
  <c r="U715" i="2"/>
  <c r="U728" i="2" s="1"/>
  <c r="T715" i="2"/>
  <c r="T728" i="2" s="1"/>
  <c r="S715" i="2"/>
  <c r="S728" i="2" s="1"/>
  <c r="R715" i="2"/>
  <c r="R728" i="2" s="1"/>
  <c r="Q715" i="2"/>
  <c r="Q728" i="2" s="1"/>
  <c r="P715" i="2"/>
  <c r="P728" i="2" s="1"/>
  <c r="O715" i="2"/>
  <c r="O728" i="2" s="1"/>
  <c r="M715" i="2"/>
  <c r="M728" i="2" s="1"/>
  <c r="P689" i="2"/>
  <c r="Q689" i="2"/>
  <c r="R689" i="2"/>
  <c r="S689" i="2"/>
  <c r="T689" i="2"/>
  <c r="U689" i="2"/>
  <c r="V689" i="2"/>
  <c r="W689" i="2"/>
  <c r="X689" i="2"/>
  <c r="Y689" i="2"/>
  <c r="M689" i="2"/>
  <c r="M691" i="2"/>
  <c r="M692" i="2"/>
  <c r="O689" i="2"/>
  <c r="Y735" i="2"/>
  <c r="X735" i="2"/>
  <c r="W735" i="2"/>
  <c r="V735" i="2"/>
  <c r="U735" i="2"/>
  <c r="T735" i="2"/>
  <c r="S735" i="2"/>
  <c r="R735" i="2"/>
  <c r="Q735" i="2"/>
  <c r="P735" i="2"/>
  <c r="O735" i="2"/>
  <c r="Y734" i="2"/>
  <c r="X734" i="2"/>
  <c r="W734" i="2"/>
  <c r="V734" i="2"/>
  <c r="U734" i="2"/>
  <c r="T734" i="2"/>
  <c r="S734" i="2"/>
  <c r="R734" i="2"/>
  <c r="Q734" i="2"/>
  <c r="P734" i="2"/>
  <c r="O734" i="2"/>
  <c r="Y733" i="2"/>
  <c r="X733" i="2"/>
  <c r="W733" i="2"/>
  <c r="V733" i="2"/>
  <c r="U733" i="2"/>
  <c r="T733" i="2"/>
  <c r="S733" i="2"/>
  <c r="R733" i="2"/>
  <c r="Q733" i="2"/>
  <c r="P733" i="2"/>
  <c r="O733" i="2"/>
  <c r="Y732" i="2"/>
  <c r="X732" i="2"/>
  <c r="W732" i="2"/>
  <c r="V732" i="2"/>
  <c r="U732" i="2"/>
  <c r="T732" i="2"/>
  <c r="S732" i="2"/>
  <c r="R732" i="2"/>
  <c r="Q732" i="2"/>
  <c r="P732" i="2"/>
  <c r="O732" i="2"/>
  <c r="Y731" i="2"/>
  <c r="X731" i="2"/>
  <c r="W731" i="2"/>
  <c r="V731" i="2"/>
  <c r="U731" i="2"/>
  <c r="T731" i="2"/>
  <c r="S731" i="2"/>
  <c r="R731" i="2"/>
  <c r="Q731" i="2"/>
  <c r="P731" i="2"/>
  <c r="O731" i="2"/>
  <c r="X730" i="2"/>
  <c r="W730" i="2"/>
  <c r="V730" i="2"/>
  <c r="S730" i="2"/>
  <c r="P730" i="2"/>
  <c r="O730" i="2"/>
  <c r="Y729" i="2"/>
  <c r="X729" i="2"/>
  <c r="W729" i="2"/>
  <c r="V729" i="2"/>
  <c r="U729" i="2"/>
  <c r="T729" i="2"/>
  <c r="S729" i="2"/>
  <c r="R729" i="2"/>
  <c r="Q729" i="2"/>
  <c r="P729" i="2"/>
  <c r="O729" i="2"/>
  <c r="Y727" i="2"/>
  <c r="X727" i="2"/>
  <c r="W727" i="2"/>
  <c r="V727" i="2"/>
  <c r="U727" i="2"/>
  <c r="T727" i="2"/>
  <c r="S727" i="2"/>
  <c r="R727" i="2"/>
  <c r="Q727" i="2"/>
  <c r="P727" i="2"/>
  <c r="O727" i="2"/>
  <c r="Y726" i="2"/>
  <c r="X726" i="2"/>
  <c r="W726" i="2"/>
  <c r="V726" i="2"/>
  <c r="U726" i="2"/>
  <c r="T726" i="2"/>
  <c r="S726" i="2"/>
  <c r="R726" i="2"/>
  <c r="Q726" i="2"/>
  <c r="P726" i="2"/>
  <c r="O726" i="2"/>
  <c r="Y725" i="2"/>
  <c r="X725" i="2"/>
  <c r="W725" i="2"/>
  <c r="V725" i="2"/>
  <c r="U725" i="2"/>
  <c r="T725" i="2"/>
  <c r="S725" i="2"/>
  <c r="R725" i="2"/>
  <c r="Q725" i="2"/>
  <c r="P725" i="2"/>
  <c r="O725" i="2"/>
  <c r="Y724" i="2"/>
  <c r="X724" i="2"/>
  <c r="W724" i="2"/>
  <c r="V724" i="2"/>
  <c r="U724" i="2"/>
  <c r="T724" i="2"/>
  <c r="S724" i="2"/>
  <c r="R724" i="2"/>
  <c r="Q724" i="2"/>
  <c r="P724" i="2"/>
  <c r="O724" i="2"/>
  <c r="X697" i="2"/>
  <c r="X723" i="2" s="1"/>
  <c r="W697" i="2"/>
  <c r="W723" i="2" s="1"/>
  <c r="T697" i="2"/>
  <c r="T723" i="2" s="1"/>
  <c r="S697" i="2"/>
  <c r="S723" i="2" s="1"/>
  <c r="P697" i="2"/>
  <c r="P723" i="2" s="1"/>
  <c r="O697" i="2"/>
  <c r="O710" i="2" s="1"/>
  <c r="M697" i="2"/>
  <c r="M735" i="2"/>
  <c r="M734" i="2"/>
  <c r="M733" i="2"/>
  <c r="M732" i="2"/>
  <c r="M731" i="2"/>
  <c r="M729" i="2"/>
  <c r="M727" i="2"/>
  <c r="M726" i="2"/>
  <c r="M725" i="2"/>
  <c r="M724" i="2"/>
  <c r="L735" i="2"/>
  <c r="L734" i="2"/>
  <c r="L733" i="2"/>
  <c r="L732" i="2"/>
  <c r="L731" i="2"/>
  <c r="L730" i="2"/>
  <c r="L729" i="2"/>
  <c r="L728" i="2"/>
  <c r="L727" i="2"/>
  <c r="L726" i="2"/>
  <c r="L725" i="2"/>
  <c r="L724" i="2"/>
  <c r="L723" i="2"/>
  <c r="A723" i="2"/>
  <c r="A724" i="2"/>
  <c r="A725" i="2"/>
  <c r="A726" i="2"/>
  <c r="A727" i="2"/>
  <c r="A728" i="2"/>
  <c r="A729" i="2"/>
  <c r="A730" i="2"/>
  <c r="A731" i="2"/>
  <c r="A732" i="2"/>
  <c r="A733" i="2"/>
  <c r="A734" i="2"/>
  <c r="A735" i="2"/>
  <c r="K250" i="8"/>
  <c r="H250" i="8"/>
  <c r="C250" i="8"/>
  <c r="B250" i="8"/>
  <c r="K249" i="8"/>
  <c r="H249" i="8"/>
  <c r="C249" i="8"/>
  <c r="B249" i="8"/>
  <c r="K248" i="8"/>
  <c r="H248" i="8"/>
  <c r="C248" i="8"/>
  <c r="B248" i="8"/>
  <c r="K247" i="8"/>
  <c r="H247" i="8"/>
  <c r="C247" i="8"/>
  <c r="B247" i="8"/>
  <c r="K246" i="8"/>
  <c r="H246" i="8"/>
  <c r="C246" i="8"/>
  <c r="B246" i="8"/>
  <c r="K245" i="8"/>
  <c r="H245" i="8"/>
  <c r="C245" i="8"/>
  <c r="B245" i="8"/>
  <c r="K244" i="8"/>
  <c r="H244" i="8"/>
  <c r="C244" i="8"/>
  <c r="B244" i="8"/>
  <c r="K243" i="8"/>
  <c r="H243" i="8"/>
  <c r="C243" i="8"/>
  <c r="B243" i="8"/>
  <c r="K242" i="8"/>
  <c r="H242" i="8"/>
  <c r="C242" i="8"/>
  <c r="B242" i="8"/>
  <c r="K241" i="8"/>
  <c r="H241" i="8"/>
  <c r="C241" i="8"/>
  <c r="B241" i="8"/>
  <c r="K240" i="8"/>
  <c r="H240" i="8"/>
  <c r="C240" i="8"/>
  <c r="B240" i="8"/>
  <c r="K239" i="8"/>
  <c r="H239" i="8"/>
  <c r="C239" i="8"/>
  <c r="B239" i="8"/>
  <c r="K238" i="8"/>
  <c r="H238" i="8"/>
  <c r="C238" i="8"/>
  <c r="B238" i="8"/>
  <c r="K237" i="8"/>
  <c r="H237" i="8"/>
  <c r="C237" i="8"/>
  <c r="B237" i="8"/>
  <c r="K236" i="8"/>
  <c r="H236" i="8"/>
  <c r="C236" i="8"/>
  <c r="B236" i="8"/>
  <c r="K235" i="8"/>
  <c r="H235" i="8"/>
  <c r="C235" i="8"/>
  <c r="B235" i="8"/>
  <c r="K234" i="8"/>
  <c r="H234" i="8"/>
  <c r="C234" i="8"/>
  <c r="B234" i="8"/>
  <c r="K233" i="8"/>
  <c r="H233" i="8"/>
  <c r="L233" i="8" s="1"/>
  <c r="C233" i="8"/>
  <c r="B233" i="8"/>
  <c r="K232" i="8"/>
  <c r="H232" i="8"/>
  <c r="C232" i="8"/>
  <c r="B232" i="8"/>
  <c r="K231" i="8"/>
  <c r="H231" i="8"/>
  <c r="C231" i="8"/>
  <c r="B231" i="8"/>
  <c r="K230" i="8"/>
  <c r="H230" i="8"/>
  <c r="C230" i="8"/>
  <c r="B230" i="8"/>
  <c r="K229" i="8"/>
  <c r="H229" i="8"/>
  <c r="C229" i="8"/>
  <c r="B229" i="8"/>
  <c r="K228" i="8"/>
  <c r="H228" i="8"/>
  <c r="C228" i="8"/>
  <c r="B228" i="8"/>
  <c r="K227" i="8"/>
  <c r="H227" i="8"/>
  <c r="C227" i="8"/>
  <c r="B227" i="8"/>
  <c r="K226" i="8"/>
  <c r="H226" i="8"/>
  <c r="C226" i="8"/>
  <c r="B226" i="8"/>
  <c r="K225" i="8"/>
  <c r="H225" i="8"/>
  <c r="C225" i="8"/>
  <c r="B225" i="8"/>
  <c r="K224" i="8"/>
  <c r="H224" i="8"/>
  <c r="C224" i="8"/>
  <c r="B224" i="8"/>
  <c r="K223" i="8"/>
  <c r="H223" i="8"/>
  <c r="C223" i="8"/>
  <c r="B223" i="8"/>
  <c r="K222" i="8"/>
  <c r="H222" i="8"/>
  <c r="C222" i="8"/>
  <c r="B222" i="8"/>
  <c r="K221" i="8"/>
  <c r="H221" i="8"/>
  <c r="C221" i="8"/>
  <c r="B221" i="8"/>
  <c r="K214" i="8"/>
  <c r="J214" i="8" a="1"/>
  <c r="J214" i="8" s="1"/>
  <c r="I214" i="8" a="1"/>
  <c r="I214" i="8" s="1"/>
  <c r="H214" i="8"/>
  <c r="C214" i="8"/>
  <c r="B214" i="8"/>
  <c r="K213" i="8"/>
  <c r="J213" i="8" a="1"/>
  <c r="J213" i="8" s="1"/>
  <c r="I213" i="8" a="1"/>
  <c r="I213" i="8" s="1"/>
  <c r="H213" i="8"/>
  <c r="C213" i="8"/>
  <c r="B213" i="8"/>
  <c r="K212" i="8"/>
  <c r="J212" i="8" a="1"/>
  <c r="J212" i="8" s="1"/>
  <c r="I212" i="8" a="1"/>
  <c r="I212" i="8" s="1"/>
  <c r="H212" i="8"/>
  <c r="C212" i="8"/>
  <c r="B212" i="8"/>
  <c r="K211" i="8"/>
  <c r="J211" i="8" a="1"/>
  <c r="J211" i="8" s="1"/>
  <c r="I211" i="8" a="1"/>
  <c r="I211" i="8" s="1"/>
  <c r="H211" i="8"/>
  <c r="C211" i="8"/>
  <c r="B211" i="8"/>
  <c r="K210" i="8"/>
  <c r="J210" i="8" a="1"/>
  <c r="J210" i="8" s="1"/>
  <c r="I210" i="8" a="1"/>
  <c r="I210" i="8" s="1"/>
  <c r="H210" i="8"/>
  <c r="C210" i="8"/>
  <c r="B210" i="8"/>
  <c r="K209" i="8"/>
  <c r="J209" i="8" a="1"/>
  <c r="J209" i="8" s="1"/>
  <c r="I209" i="8" a="1"/>
  <c r="I209" i="8" s="1"/>
  <c r="H209" i="8"/>
  <c r="C209" i="8"/>
  <c r="B209" i="8"/>
  <c r="K208" i="8"/>
  <c r="J208" i="8" a="1"/>
  <c r="J208" i="8" s="1"/>
  <c r="I208" i="8" a="1"/>
  <c r="I208" i="8" s="1"/>
  <c r="H208" i="8"/>
  <c r="C208" i="8"/>
  <c r="B208" i="8"/>
  <c r="K207" i="8"/>
  <c r="J207" i="8" a="1"/>
  <c r="J207" i="8" s="1"/>
  <c r="I207" i="8" a="1"/>
  <c r="I207" i="8" s="1"/>
  <c r="H207" i="8"/>
  <c r="C207" i="8"/>
  <c r="B207" i="8"/>
  <c r="K206" i="8"/>
  <c r="J206" i="8" a="1"/>
  <c r="J206" i="8" s="1"/>
  <c r="I206" i="8" a="1"/>
  <c r="I206" i="8" s="1"/>
  <c r="H206" i="8"/>
  <c r="C206" i="8"/>
  <c r="B206" i="8"/>
  <c r="K205" i="8"/>
  <c r="J205" i="8" a="1"/>
  <c r="J205" i="8" s="1"/>
  <c r="I205" i="8" a="1"/>
  <c r="I205" i="8" s="1"/>
  <c r="H205" i="8"/>
  <c r="C205" i="8"/>
  <c r="B205" i="8"/>
  <c r="K204" i="8"/>
  <c r="J204" i="8" a="1"/>
  <c r="J204" i="8" s="1"/>
  <c r="I204" i="8" a="1"/>
  <c r="I204" i="8" s="1"/>
  <c r="H204" i="8"/>
  <c r="C204" i="8"/>
  <c r="B204" i="8"/>
  <c r="K203" i="8"/>
  <c r="H203" i="8"/>
  <c r="C203" i="8"/>
  <c r="B203" i="8"/>
  <c r="K202" i="8"/>
  <c r="J202" i="8" a="1"/>
  <c r="J202" i="8" s="1"/>
  <c r="I202" i="8" a="1"/>
  <c r="I202" i="8" s="1"/>
  <c r="H202" i="8"/>
  <c r="C202" i="8"/>
  <c r="B202" i="8"/>
  <c r="K201" i="8"/>
  <c r="J201" i="8" a="1"/>
  <c r="J201" i="8" s="1"/>
  <c r="I201" i="8" a="1"/>
  <c r="I201" i="8" s="1"/>
  <c r="H201" i="8"/>
  <c r="C201" i="8"/>
  <c r="B201" i="8"/>
  <c r="K200" i="8"/>
  <c r="J200" i="8" a="1"/>
  <c r="J200" i="8" s="1"/>
  <c r="I200" i="8" a="1"/>
  <c r="I200" i="8" s="1"/>
  <c r="H200" i="8"/>
  <c r="C200" i="8"/>
  <c r="B200" i="8"/>
  <c r="K199" i="8"/>
  <c r="J199" i="8" a="1"/>
  <c r="J199" i="8" s="1"/>
  <c r="I199" i="8" a="1"/>
  <c r="I199" i="8" s="1"/>
  <c r="H199" i="8"/>
  <c r="C199" i="8"/>
  <c r="B199" i="8"/>
  <c r="K198" i="8"/>
  <c r="J198" i="8" a="1"/>
  <c r="J198" i="8" s="1"/>
  <c r="I198" i="8" a="1"/>
  <c r="I198" i="8" s="1"/>
  <c r="H198" i="8"/>
  <c r="C198" i="8"/>
  <c r="B198" i="8"/>
  <c r="K197" i="8"/>
  <c r="J197" i="8" a="1"/>
  <c r="J197" i="8" s="1"/>
  <c r="I197" i="8" a="1"/>
  <c r="I197" i="8" s="1"/>
  <c r="H197" i="8"/>
  <c r="C197" i="8"/>
  <c r="B197" i="8"/>
  <c r="K196" i="8"/>
  <c r="J196" i="8" a="1"/>
  <c r="J196" i="8" s="1"/>
  <c r="I196" i="8" a="1"/>
  <c r="I196" i="8" s="1"/>
  <c r="H196" i="8"/>
  <c r="C196" i="8"/>
  <c r="B196" i="8"/>
  <c r="K195" i="8"/>
  <c r="J195" i="8" a="1"/>
  <c r="J195" i="8" s="1"/>
  <c r="I195" i="8" a="1"/>
  <c r="I195" i="8" s="1"/>
  <c r="H195" i="8"/>
  <c r="C195" i="8"/>
  <c r="B195" i="8"/>
  <c r="K194" i="8"/>
  <c r="J194" i="8" a="1"/>
  <c r="J194" i="8" s="1"/>
  <c r="I194" i="8" a="1"/>
  <c r="I194" i="8" s="1"/>
  <c r="H194" i="8"/>
  <c r="C194" i="8"/>
  <c r="B194" i="8"/>
  <c r="K193" i="8"/>
  <c r="J193" i="8" a="1"/>
  <c r="J193" i="8" s="1"/>
  <c r="I193" i="8" a="1"/>
  <c r="I193" i="8" s="1"/>
  <c r="H193" i="8"/>
  <c r="C193" i="8"/>
  <c r="B193" i="8"/>
  <c r="K192" i="8"/>
  <c r="J192" i="8" a="1"/>
  <c r="J192" i="8" s="1"/>
  <c r="I192" i="8" a="1"/>
  <c r="I192" i="8" s="1"/>
  <c r="H192" i="8"/>
  <c r="C192" i="8"/>
  <c r="B192" i="8"/>
  <c r="K191" i="8"/>
  <c r="H191" i="8"/>
  <c r="C191" i="8"/>
  <c r="B191" i="8"/>
  <c r="K190" i="8"/>
  <c r="J190" i="8" a="1"/>
  <c r="J190" i="8" s="1"/>
  <c r="I190" i="8" a="1"/>
  <c r="I190" i="8" s="1"/>
  <c r="H190" i="8"/>
  <c r="C190" i="8"/>
  <c r="B190" i="8"/>
  <c r="K189" i="8"/>
  <c r="J189" i="8" a="1"/>
  <c r="J189" i="8" s="1"/>
  <c r="I189" i="8" a="1"/>
  <c r="I189" i="8" s="1"/>
  <c r="H189" i="8"/>
  <c r="C189" i="8"/>
  <c r="B189" i="8"/>
  <c r="K188" i="8"/>
  <c r="J188" i="8" a="1"/>
  <c r="J188" i="8" s="1"/>
  <c r="I188" i="8" a="1"/>
  <c r="I188" i="8" s="1"/>
  <c r="H188" i="8"/>
  <c r="C188" i="8"/>
  <c r="B188" i="8"/>
  <c r="K187" i="8"/>
  <c r="J187" i="8" a="1"/>
  <c r="J187" i="8" s="1"/>
  <c r="I187" i="8" a="1"/>
  <c r="I187" i="8" s="1"/>
  <c r="H187" i="8"/>
  <c r="C187" i="8"/>
  <c r="B187" i="8"/>
  <c r="K186" i="8"/>
  <c r="J186" i="8" a="1"/>
  <c r="J186" i="8" s="1"/>
  <c r="I186" i="8" a="1"/>
  <c r="I186" i="8" s="1"/>
  <c r="H186" i="8"/>
  <c r="C186" i="8"/>
  <c r="B186" i="8"/>
  <c r="K185" i="8"/>
  <c r="J185" i="8" a="1"/>
  <c r="J185" i="8" s="1"/>
  <c r="I185" i="8" a="1"/>
  <c r="I185" i="8" s="1"/>
  <c r="H185" i="8"/>
  <c r="C185" i="8"/>
  <c r="B185" i="8"/>
  <c r="P178" i="8"/>
  <c r="O178" i="8"/>
  <c r="N178" i="8"/>
  <c r="M178" i="8"/>
  <c r="L178" i="8"/>
  <c r="K178" i="8"/>
  <c r="C178" i="8"/>
  <c r="B178" i="8"/>
  <c r="P177" i="8"/>
  <c r="O177" i="8"/>
  <c r="N177" i="8"/>
  <c r="M177" i="8"/>
  <c r="L177" i="8"/>
  <c r="K177" i="8"/>
  <c r="C177" i="8"/>
  <c r="B177" i="8"/>
  <c r="P176" i="8"/>
  <c r="O176" i="8"/>
  <c r="N176" i="8"/>
  <c r="M176" i="8"/>
  <c r="L176" i="8"/>
  <c r="K176" i="8"/>
  <c r="C176" i="8"/>
  <c r="B176" i="8"/>
  <c r="P175" i="8"/>
  <c r="O175" i="8"/>
  <c r="N175" i="8"/>
  <c r="M175" i="8"/>
  <c r="L175" i="8"/>
  <c r="K175" i="8"/>
  <c r="C175" i="8"/>
  <c r="B175" i="8"/>
  <c r="J174" i="8"/>
  <c r="I174" i="8"/>
  <c r="H174" i="8"/>
  <c r="G174" i="8"/>
  <c r="F174" i="8"/>
  <c r="E174" i="8"/>
  <c r="D174" i="8"/>
  <c r="C174" i="8"/>
  <c r="B174" i="8"/>
  <c r="J173" i="8"/>
  <c r="I173" i="8"/>
  <c r="H173" i="8"/>
  <c r="G173" i="8"/>
  <c r="F173" i="8"/>
  <c r="E173" i="8"/>
  <c r="D173" i="8"/>
  <c r="C173" i="8"/>
  <c r="B173" i="8"/>
  <c r="J172" i="8"/>
  <c r="I172" i="8"/>
  <c r="H172" i="8"/>
  <c r="G172" i="8"/>
  <c r="F172" i="8"/>
  <c r="E172" i="8"/>
  <c r="D172" i="8"/>
  <c r="C172" i="8"/>
  <c r="B172" i="8"/>
  <c r="J171" i="8"/>
  <c r="I171" i="8"/>
  <c r="H171" i="8"/>
  <c r="G171" i="8"/>
  <c r="F171" i="8"/>
  <c r="E171" i="8"/>
  <c r="D171" i="8"/>
  <c r="C171" i="8"/>
  <c r="B171" i="8"/>
  <c r="P170" i="8"/>
  <c r="O170" i="8"/>
  <c r="N170" i="8"/>
  <c r="M170" i="8"/>
  <c r="L170" i="8"/>
  <c r="K170" i="8"/>
  <c r="C170" i="8"/>
  <c r="B170" i="8"/>
  <c r="P169" i="8"/>
  <c r="O169" i="8"/>
  <c r="N169" i="8"/>
  <c r="M169" i="8"/>
  <c r="L169" i="8"/>
  <c r="K169" i="8"/>
  <c r="C169" i="8"/>
  <c r="B169" i="8"/>
  <c r="P168" i="8"/>
  <c r="O168" i="8"/>
  <c r="N168" i="8"/>
  <c r="M168" i="8"/>
  <c r="L168" i="8"/>
  <c r="K168" i="8"/>
  <c r="C168" i="8"/>
  <c r="B168" i="8"/>
  <c r="P167" i="8"/>
  <c r="O167" i="8"/>
  <c r="N167" i="8"/>
  <c r="M167" i="8"/>
  <c r="L167" i="8"/>
  <c r="K167" i="8"/>
  <c r="C167" i="8"/>
  <c r="B167" i="8"/>
  <c r="P166" i="8"/>
  <c r="O166" i="8"/>
  <c r="N166" i="8"/>
  <c r="M166" i="8"/>
  <c r="L166" i="8"/>
  <c r="K166" i="8"/>
  <c r="C166" i="8"/>
  <c r="B166" i="8"/>
  <c r="P165" i="8"/>
  <c r="O165" i="8"/>
  <c r="N165" i="8"/>
  <c r="M165" i="8"/>
  <c r="L165" i="8"/>
  <c r="K165" i="8"/>
  <c r="C165" i="8"/>
  <c r="B165" i="8"/>
  <c r="P164" i="8"/>
  <c r="O164" i="8"/>
  <c r="N164" i="8"/>
  <c r="M164" i="8"/>
  <c r="L164" i="8"/>
  <c r="K164" i="8"/>
  <c r="C164" i="8"/>
  <c r="B164" i="8"/>
  <c r="P163" i="8"/>
  <c r="O163" i="8"/>
  <c r="N163" i="8"/>
  <c r="M163" i="8"/>
  <c r="L163" i="8"/>
  <c r="K163" i="8"/>
  <c r="C163" i="8"/>
  <c r="B163" i="8"/>
  <c r="P162" i="8"/>
  <c r="O162" i="8"/>
  <c r="N162" i="8"/>
  <c r="M162" i="8"/>
  <c r="L162" i="8"/>
  <c r="K162" i="8"/>
  <c r="C162" i="8"/>
  <c r="B162" i="8"/>
  <c r="P161" i="8"/>
  <c r="O161" i="8"/>
  <c r="N161" i="8"/>
  <c r="M161" i="8"/>
  <c r="L161" i="8"/>
  <c r="K161" i="8"/>
  <c r="C161" i="8"/>
  <c r="B161" i="8"/>
  <c r="P160" i="8"/>
  <c r="O160" i="8"/>
  <c r="N160" i="8"/>
  <c r="M160" i="8"/>
  <c r="L160" i="8"/>
  <c r="K160" i="8"/>
  <c r="C160" i="8"/>
  <c r="B160" i="8"/>
  <c r="P159" i="8"/>
  <c r="O159" i="8"/>
  <c r="N159" i="8"/>
  <c r="M159" i="8"/>
  <c r="L159" i="8"/>
  <c r="K159" i="8"/>
  <c r="C159" i="8"/>
  <c r="B159" i="8"/>
  <c r="P158" i="8"/>
  <c r="O158" i="8"/>
  <c r="N158" i="8"/>
  <c r="M158" i="8"/>
  <c r="L158" i="8"/>
  <c r="K158" i="8"/>
  <c r="C158" i="8"/>
  <c r="B158" i="8"/>
  <c r="P157" i="8"/>
  <c r="O157" i="8"/>
  <c r="N157" i="8"/>
  <c r="M157" i="8"/>
  <c r="L157" i="8"/>
  <c r="K157" i="8"/>
  <c r="C157" i="8"/>
  <c r="B157" i="8"/>
  <c r="P156" i="8"/>
  <c r="O156" i="8"/>
  <c r="N156" i="8"/>
  <c r="M156" i="8"/>
  <c r="L156" i="8"/>
  <c r="K156" i="8"/>
  <c r="C156" i="8"/>
  <c r="B156" i="8"/>
  <c r="P155" i="8"/>
  <c r="O155" i="8"/>
  <c r="N155" i="8"/>
  <c r="M155" i="8"/>
  <c r="L155" i="8"/>
  <c r="K155" i="8"/>
  <c r="C155" i="8"/>
  <c r="B155" i="8"/>
  <c r="J154" i="8"/>
  <c r="I154" i="8"/>
  <c r="H154" i="8"/>
  <c r="G154" i="8"/>
  <c r="F154" i="8"/>
  <c r="E154" i="8"/>
  <c r="D154" i="8"/>
  <c r="C154" i="8"/>
  <c r="B154" i="8"/>
  <c r="J153" i="8"/>
  <c r="I153" i="8"/>
  <c r="H153" i="8"/>
  <c r="G153" i="8"/>
  <c r="F153" i="8"/>
  <c r="E153" i="8"/>
  <c r="D153" i="8"/>
  <c r="C153" i="8"/>
  <c r="B153" i="8"/>
  <c r="P152" i="8"/>
  <c r="O152" i="8"/>
  <c r="N152" i="8"/>
  <c r="M152" i="8"/>
  <c r="L152" i="8"/>
  <c r="K152" i="8"/>
  <c r="C152" i="8"/>
  <c r="B152" i="8"/>
  <c r="P151" i="8"/>
  <c r="O151" i="8"/>
  <c r="N151" i="8"/>
  <c r="M151" i="8"/>
  <c r="L151" i="8"/>
  <c r="K151" i="8"/>
  <c r="C151" i="8"/>
  <c r="B151" i="8"/>
  <c r="P150" i="8"/>
  <c r="O150" i="8"/>
  <c r="N150" i="8"/>
  <c r="M150" i="8"/>
  <c r="L150" i="8"/>
  <c r="K150" i="8"/>
  <c r="C150" i="8"/>
  <c r="B150" i="8"/>
  <c r="P149" i="8"/>
  <c r="O149" i="8"/>
  <c r="N149" i="8"/>
  <c r="M149" i="8"/>
  <c r="L149" i="8"/>
  <c r="K149" i="8"/>
  <c r="C149" i="8"/>
  <c r="B149" i="8"/>
  <c r="P142" i="8"/>
  <c r="O142" i="8"/>
  <c r="N142" i="8"/>
  <c r="M142" i="8"/>
  <c r="L142" i="8"/>
  <c r="K142" i="8"/>
  <c r="C142" i="8"/>
  <c r="B142" i="8"/>
  <c r="P141" i="8"/>
  <c r="O141" i="8"/>
  <c r="N141" i="8"/>
  <c r="M141" i="8"/>
  <c r="L141" i="8"/>
  <c r="K141" i="8"/>
  <c r="C141" i="8"/>
  <c r="B141" i="8"/>
  <c r="P140" i="8"/>
  <c r="O140" i="8"/>
  <c r="N140" i="8"/>
  <c r="M140" i="8"/>
  <c r="L140" i="8"/>
  <c r="K140" i="8"/>
  <c r="C140" i="8"/>
  <c r="B140" i="8"/>
  <c r="P139" i="8"/>
  <c r="O139" i="8"/>
  <c r="N139" i="8"/>
  <c r="M139" i="8"/>
  <c r="L139" i="8"/>
  <c r="K139" i="8"/>
  <c r="C139" i="8"/>
  <c r="B139" i="8"/>
  <c r="J138" i="8"/>
  <c r="I138" i="8"/>
  <c r="H138" i="8"/>
  <c r="G138" i="8"/>
  <c r="F138" i="8"/>
  <c r="E138" i="8"/>
  <c r="D138" i="8"/>
  <c r="C138" i="8"/>
  <c r="B138" i="8"/>
  <c r="J137" i="8"/>
  <c r="I137" i="8"/>
  <c r="H137" i="8"/>
  <c r="G137" i="8"/>
  <c r="F137" i="8"/>
  <c r="E137" i="8"/>
  <c r="D137" i="8"/>
  <c r="C137" i="8"/>
  <c r="B137" i="8"/>
  <c r="J136" i="8"/>
  <c r="I136" i="8"/>
  <c r="H136" i="8"/>
  <c r="G136" i="8"/>
  <c r="F136" i="8"/>
  <c r="E136" i="8"/>
  <c r="D136" i="8"/>
  <c r="C136" i="8"/>
  <c r="B136" i="8"/>
  <c r="J135" i="8"/>
  <c r="I135" i="8"/>
  <c r="H135" i="8"/>
  <c r="G135" i="8"/>
  <c r="F135" i="8"/>
  <c r="E135" i="8"/>
  <c r="D135" i="8"/>
  <c r="C135" i="8"/>
  <c r="B135" i="8"/>
  <c r="P134" i="8"/>
  <c r="O134" i="8"/>
  <c r="N134" i="8"/>
  <c r="M134" i="8"/>
  <c r="L134" i="8"/>
  <c r="K134" i="8"/>
  <c r="C134" i="8"/>
  <c r="B134" i="8"/>
  <c r="P133" i="8"/>
  <c r="O133" i="8"/>
  <c r="N133" i="8"/>
  <c r="M133" i="8"/>
  <c r="L133" i="8"/>
  <c r="K133" i="8"/>
  <c r="C133" i="8"/>
  <c r="B133" i="8"/>
  <c r="P132" i="8"/>
  <c r="O132" i="8"/>
  <c r="N132" i="8"/>
  <c r="M132" i="8"/>
  <c r="L132" i="8"/>
  <c r="K132" i="8"/>
  <c r="C132" i="8"/>
  <c r="B132" i="8"/>
  <c r="P131" i="8"/>
  <c r="O131" i="8"/>
  <c r="N131" i="8"/>
  <c r="M131" i="8"/>
  <c r="L131" i="8"/>
  <c r="K131" i="8"/>
  <c r="C131" i="8"/>
  <c r="B131" i="8"/>
  <c r="P130" i="8"/>
  <c r="O130" i="8"/>
  <c r="N130" i="8"/>
  <c r="M130" i="8"/>
  <c r="L130" i="8"/>
  <c r="K130" i="8"/>
  <c r="C130" i="8"/>
  <c r="B130" i="8"/>
  <c r="P129" i="8"/>
  <c r="O129" i="8"/>
  <c r="N129" i="8"/>
  <c r="M129" i="8"/>
  <c r="L129" i="8"/>
  <c r="K129" i="8"/>
  <c r="C129" i="8"/>
  <c r="B129" i="8"/>
  <c r="P128" i="8"/>
  <c r="O128" i="8"/>
  <c r="N128" i="8"/>
  <c r="M128" i="8"/>
  <c r="L128" i="8"/>
  <c r="K128" i="8"/>
  <c r="C128" i="8"/>
  <c r="B128" i="8"/>
  <c r="P127" i="8"/>
  <c r="O127" i="8"/>
  <c r="N127" i="8"/>
  <c r="M127" i="8"/>
  <c r="L127" i="8"/>
  <c r="K127" i="8"/>
  <c r="C127" i="8"/>
  <c r="B127" i="8"/>
  <c r="P126" i="8"/>
  <c r="O126" i="8"/>
  <c r="N126" i="8"/>
  <c r="M126" i="8"/>
  <c r="L126" i="8"/>
  <c r="K126" i="8"/>
  <c r="C126" i="8"/>
  <c r="B126" i="8"/>
  <c r="P125" i="8"/>
  <c r="O125" i="8"/>
  <c r="N125" i="8"/>
  <c r="M125" i="8"/>
  <c r="L125" i="8"/>
  <c r="K125" i="8"/>
  <c r="C125" i="8"/>
  <c r="B125" i="8"/>
  <c r="P124" i="8"/>
  <c r="O124" i="8"/>
  <c r="N124" i="8"/>
  <c r="M124" i="8"/>
  <c r="L124" i="8"/>
  <c r="K124" i="8"/>
  <c r="C124" i="8"/>
  <c r="B124" i="8"/>
  <c r="P123" i="8"/>
  <c r="O123" i="8"/>
  <c r="N123" i="8"/>
  <c r="M123" i="8"/>
  <c r="L123" i="8"/>
  <c r="K123" i="8"/>
  <c r="C123" i="8"/>
  <c r="B123" i="8"/>
  <c r="P122" i="8"/>
  <c r="O122" i="8"/>
  <c r="N122" i="8"/>
  <c r="M122" i="8"/>
  <c r="L122" i="8"/>
  <c r="K122" i="8"/>
  <c r="C122" i="8"/>
  <c r="B122" i="8"/>
  <c r="P121" i="8"/>
  <c r="O121" i="8"/>
  <c r="N121" i="8"/>
  <c r="M121" i="8"/>
  <c r="L121" i="8"/>
  <c r="K121" i="8"/>
  <c r="C121" i="8"/>
  <c r="B121" i="8"/>
  <c r="P120" i="8"/>
  <c r="O120" i="8"/>
  <c r="N120" i="8"/>
  <c r="M120" i="8"/>
  <c r="L120" i="8"/>
  <c r="K120" i="8"/>
  <c r="C120" i="8"/>
  <c r="B120" i="8"/>
  <c r="P119" i="8"/>
  <c r="O119" i="8"/>
  <c r="N119" i="8"/>
  <c r="M119" i="8"/>
  <c r="L119" i="8"/>
  <c r="K119" i="8"/>
  <c r="C119" i="8"/>
  <c r="B119" i="8"/>
  <c r="J118" i="8"/>
  <c r="I118" i="8"/>
  <c r="H118" i="8"/>
  <c r="G118" i="8"/>
  <c r="F118" i="8"/>
  <c r="E118" i="8"/>
  <c r="D118" i="8"/>
  <c r="C118" i="8"/>
  <c r="B118" i="8"/>
  <c r="J117" i="8"/>
  <c r="I117" i="8"/>
  <c r="H117" i="8"/>
  <c r="G117" i="8"/>
  <c r="F117" i="8"/>
  <c r="E117" i="8"/>
  <c r="D117" i="8"/>
  <c r="C117" i="8"/>
  <c r="B117" i="8"/>
  <c r="P116" i="8"/>
  <c r="O116" i="8"/>
  <c r="N116" i="8"/>
  <c r="M116" i="8"/>
  <c r="L116" i="8"/>
  <c r="K116" i="8"/>
  <c r="C116" i="8"/>
  <c r="B116" i="8"/>
  <c r="P115" i="8"/>
  <c r="O115" i="8"/>
  <c r="N115" i="8"/>
  <c r="M115" i="8"/>
  <c r="L115" i="8"/>
  <c r="K115" i="8"/>
  <c r="C115" i="8"/>
  <c r="B115" i="8"/>
  <c r="P114" i="8"/>
  <c r="O114" i="8"/>
  <c r="N114" i="8"/>
  <c r="M114" i="8"/>
  <c r="L114" i="8"/>
  <c r="K114" i="8"/>
  <c r="C114" i="8"/>
  <c r="B114" i="8"/>
  <c r="P113" i="8"/>
  <c r="O113" i="8"/>
  <c r="N113" i="8"/>
  <c r="M113" i="8"/>
  <c r="L113" i="8"/>
  <c r="K113" i="8"/>
  <c r="C113" i="8"/>
  <c r="B113" i="8"/>
  <c r="H106" i="8"/>
  <c r="H105" i="8"/>
  <c r="H104" i="8"/>
  <c r="H103" i="8"/>
  <c r="H102" i="8"/>
  <c r="H101" i="8"/>
  <c r="H100" i="8"/>
  <c r="H99" i="8"/>
  <c r="H98" i="8"/>
  <c r="H97" i="8"/>
  <c r="H96" i="8"/>
  <c r="H94" i="8"/>
  <c r="H93" i="8"/>
  <c r="H92" i="8"/>
  <c r="H91" i="8"/>
  <c r="H90" i="8"/>
  <c r="H89" i="8"/>
  <c r="H88" i="8"/>
  <c r="H87" i="8"/>
  <c r="H86" i="8"/>
  <c r="H85" i="8"/>
  <c r="H84" i="8"/>
  <c r="H82" i="8"/>
  <c r="H81" i="8"/>
  <c r="H80" i="8"/>
  <c r="H79" i="8"/>
  <c r="H78" i="8"/>
  <c r="H7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B106" i="8"/>
  <c r="B105" i="8"/>
  <c r="B104" i="8"/>
  <c r="B103" i="8"/>
  <c r="B102" i="8"/>
  <c r="B101" i="8"/>
  <c r="B100" i="8"/>
  <c r="B99" i="8"/>
  <c r="B98" i="8"/>
  <c r="B97" i="8"/>
  <c r="B96" i="8"/>
  <c r="B95" i="8"/>
  <c r="B94" i="8"/>
  <c r="B93" i="8"/>
  <c r="B92" i="8"/>
  <c r="B91" i="8"/>
  <c r="B90" i="8"/>
  <c r="B89" i="8"/>
  <c r="B88" i="8"/>
  <c r="B87" i="8"/>
  <c r="B86" i="8"/>
  <c r="B85" i="8"/>
  <c r="B84" i="8"/>
  <c r="B83" i="8"/>
  <c r="B82" i="8"/>
  <c r="B81" i="8"/>
  <c r="B80" i="8"/>
  <c r="B79" i="8"/>
  <c r="B78" i="8"/>
  <c r="B77" i="8"/>
  <c r="P70" i="8"/>
  <c r="O70" i="8"/>
  <c r="N70" i="8"/>
  <c r="M70" i="8"/>
  <c r="L70" i="8"/>
  <c r="K70" i="8"/>
  <c r="P69" i="8"/>
  <c r="O69" i="8"/>
  <c r="N69" i="8"/>
  <c r="M69" i="8"/>
  <c r="L69" i="8"/>
  <c r="K69" i="8"/>
  <c r="P68" i="8"/>
  <c r="O68" i="8"/>
  <c r="N68" i="8"/>
  <c r="M68" i="8"/>
  <c r="L68" i="8"/>
  <c r="K68" i="8"/>
  <c r="P67" i="8"/>
  <c r="O67" i="8"/>
  <c r="N67" i="8"/>
  <c r="M67" i="8"/>
  <c r="L67" i="8"/>
  <c r="K67" i="8"/>
  <c r="J66" i="8"/>
  <c r="I66" i="8"/>
  <c r="H66" i="8"/>
  <c r="G66" i="8"/>
  <c r="F66" i="8"/>
  <c r="E66" i="8"/>
  <c r="D66" i="8"/>
  <c r="J65" i="8"/>
  <c r="I65" i="8"/>
  <c r="H65" i="8"/>
  <c r="G65" i="8"/>
  <c r="F65" i="8"/>
  <c r="E65" i="8"/>
  <c r="D65" i="8"/>
  <c r="J64" i="8"/>
  <c r="I64" i="8"/>
  <c r="H64" i="8"/>
  <c r="G64" i="8"/>
  <c r="F64" i="8"/>
  <c r="E64" i="8"/>
  <c r="D64" i="8"/>
  <c r="J63" i="8"/>
  <c r="I63" i="8"/>
  <c r="H63" i="8"/>
  <c r="G63" i="8"/>
  <c r="F63" i="8"/>
  <c r="E63" i="8"/>
  <c r="D63" i="8"/>
  <c r="P62" i="8"/>
  <c r="O62" i="8"/>
  <c r="N62" i="8"/>
  <c r="M62" i="8"/>
  <c r="L62" i="8"/>
  <c r="K62" i="8"/>
  <c r="P61" i="8"/>
  <c r="O61" i="8"/>
  <c r="N61" i="8"/>
  <c r="M61" i="8"/>
  <c r="L61" i="8"/>
  <c r="K61" i="8"/>
  <c r="P60" i="8"/>
  <c r="O60" i="8"/>
  <c r="N60" i="8"/>
  <c r="M60" i="8"/>
  <c r="L60" i="8"/>
  <c r="K60" i="8"/>
  <c r="P59" i="8"/>
  <c r="O59" i="8"/>
  <c r="N59" i="8"/>
  <c r="M59" i="8"/>
  <c r="L59" i="8"/>
  <c r="K59" i="8"/>
  <c r="P58" i="8"/>
  <c r="O58" i="8"/>
  <c r="N58" i="8"/>
  <c r="M58" i="8"/>
  <c r="L58" i="8"/>
  <c r="K58" i="8"/>
  <c r="P57" i="8"/>
  <c r="O57" i="8"/>
  <c r="N57" i="8"/>
  <c r="M57" i="8"/>
  <c r="L57" i="8"/>
  <c r="K57" i="8"/>
  <c r="P56" i="8"/>
  <c r="O56" i="8"/>
  <c r="N56" i="8"/>
  <c r="M56" i="8"/>
  <c r="L56" i="8"/>
  <c r="K56" i="8"/>
  <c r="P55" i="8"/>
  <c r="O55" i="8"/>
  <c r="N55" i="8"/>
  <c r="M55" i="8"/>
  <c r="L55" i="8"/>
  <c r="K55" i="8"/>
  <c r="P54" i="8"/>
  <c r="O54" i="8"/>
  <c r="N54" i="8"/>
  <c r="M54" i="8"/>
  <c r="L54" i="8"/>
  <c r="K54" i="8"/>
  <c r="P53" i="8"/>
  <c r="O53" i="8"/>
  <c r="N53" i="8"/>
  <c r="M53" i="8"/>
  <c r="L53" i="8"/>
  <c r="K53" i="8"/>
  <c r="P52" i="8"/>
  <c r="O52" i="8"/>
  <c r="N52" i="8"/>
  <c r="M52" i="8"/>
  <c r="L52" i="8"/>
  <c r="K52" i="8"/>
  <c r="P51" i="8"/>
  <c r="O51" i="8"/>
  <c r="N51" i="8"/>
  <c r="M51" i="8"/>
  <c r="L51" i="8"/>
  <c r="K51" i="8"/>
  <c r="P50" i="8"/>
  <c r="O50" i="8"/>
  <c r="N50" i="8"/>
  <c r="M50" i="8"/>
  <c r="L50" i="8"/>
  <c r="K50" i="8"/>
  <c r="P49" i="8"/>
  <c r="O49" i="8"/>
  <c r="N49" i="8"/>
  <c r="M49" i="8"/>
  <c r="L49" i="8"/>
  <c r="K49" i="8"/>
  <c r="P48" i="8"/>
  <c r="O48" i="8"/>
  <c r="N48" i="8"/>
  <c r="M48" i="8"/>
  <c r="L48" i="8"/>
  <c r="K48" i="8"/>
  <c r="P47" i="8"/>
  <c r="O47" i="8"/>
  <c r="N47" i="8"/>
  <c r="M47" i="8"/>
  <c r="L47" i="8"/>
  <c r="K47" i="8"/>
  <c r="J46" i="8"/>
  <c r="I46" i="8"/>
  <c r="H46" i="8"/>
  <c r="G46" i="8"/>
  <c r="F46" i="8"/>
  <c r="E46" i="8"/>
  <c r="D46" i="8"/>
  <c r="J45" i="8"/>
  <c r="I45" i="8"/>
  <c r="H45" i="8"/>
  <c r="G45" i="8"/>
  <c r="F45" i="8"/>
  <c r="E45" i="8"/>
  <c r="D45" i="8"/>
  <c r="P44" i="8"/>
  <c r="O44" i="8"/>
  <c r="N44" i="8"/>
  <c r="M44" i="8"/>
  <c r="L44" i="8"/>
  <c r="K44" i="8"/>
  <c r="P43" i="8"/>
  <c r="O43" i="8"/>
  <c r="N43" i="8"/>
  <c r="M43" i="8"/>
  <c r="L43" i="8"/>
  <c r="K43" i="8"/>
  <c r="P42" i="8"/>
  <c r="O42" i="8"/>
  <c r="N42" i="8"/>
  <c r="M42" i="8"/>
  <c r="L42" i="8"/>
  <c r="K42" i="8"/>
  <c r="P41" i="8"/>
  <c r="O41" i="8"/>
  <c r="N41" i="8"/>
  <c r="M41" i="8"/>
  <c r="L41" i="8"/>
  <c r="K4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B70" i="8"/>
  <c r="B69" i="8"/>
  <c r="B68" i="8"/>
  <c r="B67" i="8"/>
  <c r="B66" i="8"/>
  <c r="B65" i="8"/>
  <c r="B64" i="8"/>
  <c r="B63" i="8"/>
  <c r="B62" i="8"/>
  <c r="B61" i="8"/>
  <c r="B60" i="8"/>
  <c r="B59" i="8"/>
  <c r="B58" i="8"/>
  <c r="B57" i="8"/>
  <c r="B56" i="8"/>
  <c r="B55" i="8"/>
  <c r="B54" i="8"/>
  <c r="B53" i="8"/>
  <c r="B52" i="8"/>
  <c r="B51" i="8"/>
  <c r="B50" i="8"/>
  <c r="B49" i="8"/>
  <c r="B48" i="8"/>
  <c r="B47" i="8"/>
  <c r="B46" i="8"/>
  <c r="B45" i="8"/>
  <c r="B44" i="8"/>
  <c r="B43" i="8"/>
  <c r="B42" i="8"/>
  <c r="B41" i="8"/>
  <c r="P34" i="8"/>
  <c r="O34" i="8"/>
  <c r="N34" i="8"/>
  <c r="M34" i="8"/>
  <c r="L34" i="8"/>
  <c r="K34" i="8"/>
  <c r="P33" i="8"/>
  <c r="O33" i="8"/>
  <c r="N33" i="8"/>
  <c r="M33" i="8"/>
  <c r="L33" i="8"/>
  <c r="K33" i="8"/>
  <c r="P32" i="8"/>
  <c r="O32" i="8"/>
  <c r="N32" i="8"/>
  <c r="M32" i="8"/>
  <c r="L32" i="8"/>
  <c r="K32" i="8"/>
  <c r="P31" i="8"/>
  <c r="O31" i="8"/>
  <c r="N31" i="8"/>
  <c r="M31" i="8"/>
  <c r="L31" i="8"/>
  <c r="K31" i="8"/>
  <c r="J30" i="8"/>
  <c r="I30" i="8"/>
  <c r="H30" i="8"/>
  <c r="G30" i="8"/>
  <c r="F30" i="8"/>
  <c r="E30" i="8"/>
  <c r="D30" i="8"/>
  <c r="J29" i="8"/>
  <c r="I29" i="8"/>
  <c r="H29" i="8"/>
  <c r="G29" i="8"/>
  <c r="F29" i="8"/>
  <c r="E29" i="8"/>
  <c r="D29" i="8"/>
  <c r="J28" i="8"/>
  <c r="I28" i="8"/>
  <c r="H28" i="8"/>
  <c r="G28" i="8"/>
  <c r="F28" i="8"/>
  <c r="E28" i="8"/>
  <c r="D28" i="8"/>
  <c r="J27" i="8"/>
  <c r="I27" i="8"/>
  <c r="H27" i="8"/>
  <c r="G27" i="8"/>
  <c r="F27" i="8"/>
  <c r="E27" i="8"/>
  <c r="D27" i="8"/>
  <c r="P26" i="8"/>
  <c r="O26" i="8"/>
  <c r="N26" i="8"/>
  <c r="M26" i="8"/>
  <c r="L26" i="8"/>
  <c r="K26" i="8"/>
  <c r="P25" i="8"/>
  <c r="O25" i="8"/>
  <c r="N25" i="8"/>
  <c r="M25" i="8"/>
  <c r="L25" i="8"/>
  <c r="K25" i="8"/>
  <c r="P24" i="8"/>
  <c r="O24" i="8"/>
  <c r="N24" i="8"/>
  <c r="M24" i="8"/>
  <c r="L24" i="8"/>
  <c r="K24" i="8"/>
  <c r="P23" i="8"/>
  <c r="O23" i="8"/>
  <c r="N23" i="8"/>
  <c r="M23" i="8"/>
  <c r="L23" i="8"/>
  <c r="K23" i="8"/>
  <c r="P22" i="8"/>
  <c r="O22" i="8"/>
  <c r="N22" i="8"/>
  <c r="M22" i="8"/>
  <c r="L22" i="8"/>
  <c r="K22" i="8"/>
  <c r="P21" i="8"/>
  <c r="O21" i="8"/>
  <c r="N21" i="8"/>
  <c r="M21" i="8"/>
  <c r="L21" i="8"/>
  <c r="K21" i="8"/>
  <c r="P20" i="8"/>
  <c r="O20" i="8"/>
  <c r="N20" i="8"/>
  <c r="M20" i="8"/>
  <c r="L20" i="8"/>
  <c r="K20" i="8"/>
  <c r="P19" i="8"/>
  <c r="O19" i="8"/>
  <c r="N19" i="8"/>
  <c r="M19" i="8"/>
  <c r="L19" i="8"/>
  <c r="K19" i="8"/>
  <c r="P18" i="8"/>
  <c r="O18" i="8"/>
  <c r="N18" i="8"/>
  <c r="M18" i="8"/>
  <c r="L18" i="8"/>
  <c r="K18" i="8"/>
  <c r="P17" i="8"/>
  <c r="O17" i="8"/>
  <c r="N17" i="8"/>
  <c r="M17" i="8"/>
  <c r="L17" i="8"/>
  <c r="K17" i="8"/>
  <c r="P16" i="8"/>
  <c r="O16" i="8"/>
  <c r="N16" i="8"/>
  <c r="M16" i="8"/>
  <c r="L16" i="8"/>
  <c r="K16" i="8"/>
  <c r="P15" i="8"/>
  <c r="O15" i="8"/>
  <c r="N15" i="8"/>
  <c r="M15" i="8"/>
  <c r="L15" i="8"/>
  <c r="K15" i="8"/>
  <c r="P14" i="8"/>
  <c r="O14" i="8"/>
  <c r="N14" i="8"/>
  <c r="M14" i="8"/>
  <c r="L14" i="8"/>
  <c r="K14" i="8"/>
  <c r="P13" i="8"/>
  <c r="O13" i="8"/>
  <c r="N13" i="8"/>
  <c r="M13" i="8"/>
  <c r="L13" i="8"/>
  <c r="K13" i="8"/>
  <c r="P12" i="8"/>
  <c r="O12" i="8"/>
  <c r="N12" i="8"/>
  <c r="M12" i="8"/>
  <c r="L12" i="8"/>
  <c r="K12" i="8"/>
  <c r="P11" i="8"/>
  <c r="O11" i="8"/>
  <c r="N11" i="8"/>
  <c r="M11" i="8"/>
  <c r="L11" i="8"/>
  <c r="K11" i="8"/>
  <c r="J10" i="8"/>
  <c r="I10" i="8"/>
  <c r="H10" i="8"/>
  <c r="G10" i="8"/>
  <c r="F10" i="8"/>
  <c r="E10" i="8"/>
  <c r="D10" i="8"/>
  <c r="J9" i="8"/>
  <c r="I9" i="8"/>
  <c r="H9" i="8"/>
  <c r="G9" i="8"/>
  <c r="F9" i="8"/>
  <c r="E9" i="8"/>
  <c r="D9" i="8"/>
  <c r="P8" i="8"/>
  <c r="O8" i="8"/>
  <c r="N8" i="8"/>
  <c r="M8" i="8"/>
  <c r="L8" i="8"/>
  <c r="K8" i="8"/>
  <c r="P7" i="8"/>
  <c r="O7" i="8"/>
  <c r="N7" i="8"/>
  <c r="M7" i="8"/>
  <c r="L7" i="8"/>
  <c r="K7" i="8"/>
  <c r="P6" i="8"/>
  <c r="O6" i="8"/>
  <c r="N6" i="8"/>
  <c r="M6" i="8"/>
  <c r="L6" i="8"/>
  <c r="K6" i="8"/>
  <c r="P5" i="8"/>
  <c r="O5" i="8"/>
  <c r="N5" i="8"/>
  <c r="M5" i="8"/>
  <c r="L5" i="8"/>
  <c r="K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6" i="8"/>
  <c r="B5" i="8"/>
  <c r="L24" i="1"/>
  <c r="I203" i="8" s="1" a="1"/>
  <c r="I203" i="8" s="1"/>
  <c r="K22" i="1"/>
  <c r="J237" i="8" s="1" a="1"/>
  <c r="J237" i="8" s="1"/>
  <c r="K23" i="1"/>
  <c r="J238" i="8" s="1" a="1"/>
  <c r="J238" i="8" s="1"/>
  <c r="K26" i="1"/>
  <c r="J241" i="8" s="1" a="1"/>
  <c r="J241" i="8" s="1"/>
  <c r="K27" i="1"/>
  <c r="J242" i="8" s="1" a="1"/>
  <c r="J242" i="8" s="1"/>
  <c r="K28" i="1"/>
  <c r="E243" i="8" s="1" a="1"/>
  <c r="E243" i="8" s="1"/>
  <c r="K30" i="1"/>
  <c r="E245" i="8" s="1" a="1"/>
  <c r="E245" i="8" s="1"/>
  <c r="K17" i="1"/>
  <c r="J232" i="8" s="1" a="1"/>
  <c r="J232" i="8" s="1"/>
  <c r="K18" i="1"/>
  <c r="J233" i="8" s="1" a="1"/>
  <c r="J233" i="8" s="1"/>
  <c r="K19" i="1"/>
  <c r="J234" i="8" s="1" a="1"/>
  <c r="J234" i="8" s="1"/>
  <c r="K20" i="1"/>
  <c r="J235" i="8" s="1" a="1"/>
  <c r="J235" i="8" s="1"/>
  <c r="K31" i="1"/>
  <c r="E246" i="8" s="1" a="1"/>
  <c r="E246" i="8" s="1"/>
  <c r="K32" i="1"/>
  <c r="E247" i="8" s="1" a="1"/>
  <c r="E247" i="8" s="1"/>
  <c r="K34" i="1"/>
  <c r="E249" i="8" s="1" a="1"/>
  <c r="E249" i="8" s="1"/>
  <c r="K35" i="1"/>
  <c r="E250" i="8" s="1" a="1"/>
  <c r="E250" i="8" s="1"/>
  <c r="D4" i="8"/>
  <c r="D4" i="9" s="1" a="1"/>
  <c r="D4" i="9" s="1"/>
  <c r="L37" i="31"/>
  <c r="O37" i="31" s="1"/>
  <c r="L36" i="31"/>
  <c r="O36" i="31" s="1"/>
  <c r="L35" i="31"/>
  <c r="O35" i="31" s="1"/>
  <c r="O34" i="31"/>
  <c r="P33" i="31"/>
  <c r="O33" i="31"/>
  <c r="O32" i="31"/>
  <c r="P32" i="31" s="1"/>
  <c r="O31" i="31"/>
  <c r="P31" i="31" s="1"/>
  <c r="O30" i="31"/>
  <c r="P30" i="31" s="1"/>
  <c r="O29" i="31"/>
  <c r="O28" i="31"/>
  <c r="O26" i="31"/>
  <c r="O25" i="31"/>
  <c r="L25" i="31"/>
  <c r="P24" i="31"/>
  <c r="O24" i="31"/>
  <c r="P23" i="31"/>
  <c r="O23" i="31"/>
  <c r="P22" i="31"/>
  <c r="O22" i="31"/>
  <c r="G41" i="31"/>
  <c r="G40" i="31"/>
  <c r="G39" i="31"/>
  <c r="G38" i="31"/>
  <c r="G37" i="31"/>
  <c r="G36" i="31"/>
  <c r="G35" i="31"/>
  <c r="G34" i="31"/>
  <c r="G33" i="31"/>
  <c r="G32" i="31"/>
  <c r="G31" i="31"/>
  <c r="G30" i="31"/>
  <c r="G29" i="31"/>
  <c r="G28" i="31"/>
  <c r="G27" i="31"/>
  <c r="G26" i="31"/>
  <c r="G25" i="31"/>
  <c r="G24" i="31"/>
  <c r="G23" i="31"/>
  <c r="G22" i="31"/>
  <c r="G21" i="31"/>
  <c r="G19" i="31"/>
  <c r="G18" i="31"/>
  <c r="G17" i="31"/>
  <c r="G16" i="31"/>
  <c r="G15" i="31"/>
  <c r="G14" i="31"/>
  <c r="G13" i="31"/>
  <c r="G12" i="31"/>
  <c r="G11" i="31"/>
  <c r="G10" i="31"/>
  <c r="G9" i="31"/>
  <c r="G8" i="31"/>
  <c r="G7" i="31"/>
  <c r="G6" i="31"/>
  <c r="G5" i="31"/>
  <c r="P13" i="31"/>
  <c r="P14" i="31"/>
  <c r="O14" i="31"/>
  <c r="H15" i="31"/>
  <c r="O15" i="31"/>
  <c r="P15" i="31" s="1"/>
  <c r="O16" i="31"/>
  <c r="P16" i="31" s="1"/>
  <c r="P7" i="31"/>
  <c r="P6" i="31"/>
  <c r="P5" i="31"/>
  <c r="K15" i="1"/>
  <c r="I230" i="8" s="1" a="1"/>
  <c r="I230" i="8" s="1"/>
  <c r="K14" i="1"/>
  <c r="I229" i="8" s="1" a="1"/>
  <c r="I229" i="8" s="1"/>
  <c r="R4" i="7"/>
  <c r="S4" i="7"/>
  <c r="W4" i="7"/>
  <c r="W5" i="7" s="1"/>
  <c r="X4" i="7"/>
  <c r="X5" i="7" s="1"/>
  <c r="Y4" i="7"/>
  <c r="Y5" i="7" s="1"/>
  <c r="N5" i="7"/>
  <c r="O5" i="7"/>
  <c r="P5" i="7"/>
  <c r="Q5" i="7"/>
  <c r="R5" i="7"/>
  <c r="S5" i="7"/>
  <c r="T5" i="7"/>
  <c r="U5" i="7"/>
  <c r="V5" i="7"/>
  <c r="Z5" i="7"/>
  <c r="AA5" i="7"/>
  <c r="AB5" i="7"/>
  <c r="L237" i="8" l="1"/>
  <c r="D203" i="8" a="1"/>
  <c r="D203" i="8" s="1"/>
  <c r="D95" i="8"/>
  <c r="E203" i="8" a="1"/>
  <c r="E203" i="8" s="1"/>
  <c r="L236" i="8"/>
  <c r="L232" i="8"/>
  <c r="D242" i="8" a="1"/>
  <c r="D242" i="8" s="1"/>
  <c r="D241" i="8" a="1"/>
  <c r="D241" i="8" s="1"/>
  <c r="L239" i="8"/>
  <c r="D231" i="8" a="1"/>
  <c r="D231" i="8" s="1"/>
  <c r="J203" i="8" a="1"/>
  <c r="J203" i="8" s="1"/>
  <c r="I246" i="8" a="1"/>
  <c r="I246" i="8" s="1"/>
  <c r="L248" i="8"/>
  <c r="L250" i="8"/>
  <c r="H95" i="8"/>
  <c r="K24" i="1"/>
  <c r="D238" i="8" a="1"/>
  <c r="D238" i="8" s="1"/>
  <c r="L238" i="8"/>
  <c r="D235" i="8" a="1"/>
  <c r="D235" i="8" s="1"/>
  <c r="D240" i="8" a="1"/>
  <c r="D240" i="8" s="1"/>
  <c r="L235" i="8"/>
  <c r="D237" i="8" a="1"/>
  <c r="D237" i="8" s="1"/>
  <c r="L240" i="8"/>
  <c r="L231" i="8"/>
  <c r="E235" i="8" a="1"/>
  <c r="E235" i="8" s="1"/>
  <c r="E236" i="8" a="1"/>
  <c r="E236" i="8" s="1"/>
  <c r="E237" i="8" a="1"/>
  <c r="E237" i="8" s="1"/>
  <c r="E238" i="8" a="1"/>
  <c r="E238" i="8" s="1"/>
  <c r="E240" i="8" a="1"/>
  <c r="E240" i="8" s="1"/>
  <c r="E241" i="8" a="1"/>
  <c r="E241" i="8" s="1"/>
  <c r="E242" i="8" a="1"/>
  <c r="E242" i="8" s="1"/>
  <c r="I243" i="8" a="1"/>
  <c r="I243" i="8" s="1"/>
  <c r="I248" i="8" a="1"/>
  <c r="I248" i="8" s="1"/>
  <c r="I250" i="8" a="1"/>
  <c r="I250" i="8" s="1"/>
  <c r="I235" i="8" a="1"/>
  <c r="I235" i="8" s="1"/>
  <c r="I236" i="8" a="1"/>
  <c r="I236" i="8" s="1"/>
  <c r="M236" i="8" s="1"/>
  <c r="N236" i="8" s="1"/>
  <c r="I237" i="8" a="1"/>
  <c r="I237" i="8" s="1"/>
  <c r="I238" i="8" a="1"/>
  <c r="I238" i="8" s="1"/>
  <c r="I239" i="8" a="1"/>
  <c r="I239" i="8" s="1"/>
  <c r="I240" i="8" a="1"/>
  <c r="I240" i="8" s="1"/>
  <c r="I241" i="8" a="1"/>
  <c r="I241" i="8" s="1"/>
  <c r="I242" i="8" a="1"/>
  <c r="I242" i="8" s="1"/>
  <c r="I245" i="8" a="1"/>
  <c r="I245" i="8" s="1"/>
  <c r="L228" i="8"/>
  <c r="J236" i="8" a="1"/>
  <c r="J236" i="8" s="1"/>
  <c r="I244" i="8" a="1"/>
  <c r="I244" i="8" s="1"/>
  <c r="L246" i="8"/>
  <c r="J247" i="8" a="1"/>
  <c r="J247" i="8" s="1"/>
  <c r="J248" i="8" a="1"/>
  <c r="J248" i="8" s="1"/>
  <c r="J249" i="8" a="1"/>
  <c r="J249" i="8" s="1"/>
  <c r="J250" i="8" a="1"/>
  <c r="J250" i="8" s="1"/>
  <c r="I247" i="8" a="1"/>
  <c r="I247" i="8" s="1"/>
  <c r="I249" i="8" a="1"/>
  <c r="I249" i="8" s="1"/>
  <c r="D247" i="8" a="1"/>
  <c r="D247" i="8" s="1"/>
  <c r="D248" i="8" a="1"/>
  <c r="D248" i="8" s="1"/>
  <c r="D249" i="8" a="1"/>
  <c r="D249" i="8" s="1"/>
  <c r="D250" i="8" a="1"/>
  <c r="D250" i="8" s="1"/>
  <c r="J243" i="8" a="1"/>
  <c r="J243" i="8" s="1"/>
  <c r="J244" i="8" a="1"/>
  <c r="J244" i="8" s="1"/>
  <c r="J245" i="8" a="1"/>
  <c r="J245" i="8" s="1"/>
  <c r="J246" i="8" a="1"/>
  <c r="J246" i="8" s="1"/>
  <c r="L243" i="8"/>
  <c r="D243" i="8" a="1"/>
  <c r="D243" i="8" s="1"/>
  <c r="D244" i="8" a="1"/>
  <c r="D244" i="8" s="1"/>
  <c r="D245" i="8" a="1"/>
  <c r="D245" i="8" s="1"/>
  <c r="D246" i="8" a="1"/>
  <c r="D246" i="8" s="1"/>
  <c r="U697" i="2"/>
  <c r="U723" i="2" s="1"/>
  <c r="O723" i="2"/>
  <c r="U730" i="2"/>
  <c r="T730" i="2"/>
  <c r="Q717" i="2"/>
  <c r="Y717" i="2"/>
  <c r="R717" i="2"/>
  <c r="Q697" i="2"/>
  <c r="Q723" i="2" s="1"/>
  <c r="Y697" i="2"/>
  <c r="Y723" i="2" s="1"/>
  <c r="R697" i="2"/>
  <c r="R723" i="2" s="1"/>
  <c r="L221" i="8"/>
  <c r="L227" i="8"/>
  <c r="L222" i="8"/>
  <c r="L224" i="8"/>
  <c r="D234" i="8" a="1"/>
  <c r="D234" i="8" s="1"/>
  <c r="E234" i="8" a="1"/>
  <c r="E234" i="8" s="1"/>
  <c r="L234" i="8"/>
  <c r="I234" i="8" a="1"/>
  <c r="I234" i="8" s="1"/>
  <c r="D233" i="8" a="1"/>
  <c r="D233" i="8" s="1"/>
  <c r="E233" i="8" a="1"/>
  <c r="E233" i="8" s="1"/>
  <c r="I233" i="8" a="1"/>
  <c r="I233" i="8" s="1"/>
  <c r="D232" i="8" a="1"/>
  <c r="D232" i="8" s="1"/>
  <c r="E232" i="8" a="1"/>
  <c r="E232" i="8" s="1"/>
  <c r="I232" i="8" a="1"/>
  <c r="I232" i="8" s="1"/>
  <c r="E231" i="8" a="1"/>
  <c r="E231" i="8" s="1"/>
  <c r="I231" i="8" a="1"/>
  <c r="I231" i="8" s="1"/>
  <c r="J230" i="8" a="1"/>
  <c r="J230" i="8" s="1"/>
  <c r="D230" i="8" a="1"/>
  <c r="D230" i="8" s="1"/>
  <c r="E230" i="8" a="1"/>
  <c r="E230" i="8" s="1"/>
  <c r="J229" i="8" a="1"/>
  <c r="J229" i="8" s="1"/>
  <c r="L229" i="8"/>
  <c r="D229" i="8" a="1"/>
  <c r="D229" i="8" s="1"/>
  <c r="E229" i="8" a="1"/>
  <c r="E229" i="8" s="1"/>
  <c r="J228" i="8" a="1"/>
  <c r="J228" i="8" s="1"/>
  <c r="D228" i="8" a="1"/>
  <c r="D228" i="8" s="1"/>
  <c r="E228" i="8" a="1"/>
  <c r="E228" i="8" s="1"/>
  <c r="L230" i="8"/>
  <c r="L249" i="8"/>
  <c r="L247" i="8"/>
  <c r="L223" i="8"/>
  <c r="L225" i="8"/>
  <c r="L241" i="8"/>
  <c r="L242" i="8"/>
  <c r="L244" i="8"/>
  <c r="L226" i="8"/>
  <c r="L245" i="8"/>
  <c r="M242" i="8"/>
  <c r="H32" i="31"/>
  <c r="I2" i="4"/>
  <c r="C2" i="4"/>
  <c r="E2" i="4"/>
  <c r="D2" i="4"/>
  <c r="D4" i="32"/>
  <c r="M240" i="8" l="1"/>
  <c r="N240" i="8" s="1"/>
  <c r="M237" i="8"/>
  <c r="N237" i="8" s="1"/>
  <c r="M248" i="8"/>
  <c r="N248" i="8" s="1"/>
  <c r="M235" i="8"/>
  <c r="N235" i="8" s="1"/>
  <c r="M246" i="8"/>
  <c r="N246" i="8" s="1"/>
  <c r="M243" i="8"/>
  <c r="N243" i="8" s="1"/>
  <c r="M231" i="8"/>
  <c r="N231" i="8" s="1"/>
  <c r="M238" i="8"/>
  <c r="N238" i="8" s="1"/>
  <c r="M247" i="8"/>
  <c r="N247" i="8" s="1"/>
  <c r="M241" i="8"/>
  <c r="N241" i="8" s="1"/>
  <c r="M233" i="8"/>
  <c r="N233" i="8" s="1"/>
  <c r="J239" i="8" a="1"/>
  <c r="J239" i="8" s="1"/>
  <c r="D239" i="8" a="1"/>
  <c r="D239" i="8" s="1"/>
  <c r="E239" i="8" a="1"/>
  <c r="E239" i="8" s="1"/>
  <c r="M249" i="8"/>
  <c r="N249" i="8" s="1"/>
  <c r="N242" i="8"/>
  <c r="M229" i="8"/>
  <c r="N229" i="8" s="1"/>
  <c r="M234" i="8"/>
  <c r="N234" i="8" s="1"/>
  <c r="M245" i="8"/>
  <c r="N245" i="8" s="1"/>
  <c r="M250" i="8"/>
  <c r="N250" i="8" s="1"/>
  <c r="M232" i="8"/>
  <c r="N232" i="8" s="1"/>
  <c r="M244" i="8"/>
  <c r="N244" i="8" s="1"/>
  <c r="M228" i="8"/>
  <c r="N228" i="8" s="1"/>
  <c r="M230" i="8"/>
  <c r="N230" i="8" s="1"/>
  <c r="B5" i="5"/>
  <c r="B6" i="5"/>
  <c r="B7" i="5"/>
  <c r="B8" i="5"/>
  <c r="B9" i="5"/>
  <c r="B10" i="5"/>
  <c r="B11" i="5"/>
  <c r="B12" i="5"/>
  <c r="M239" i="8" l="1"/>
  <c r="N239" i="8" s="1"/>
  <c r="E44" i="9"/>
  <c r="E46" i="9"/>
  <c r="E47" i="9"/>
  <c r="E48" i="9"/>
  <c r="E49" i="9"/>
  <c r="E50" i="9"/>
  <c r="E51" i="9"/>
  <c r="D124" i="9" l="1" a="1"/>
  <c r="D124" i="9" s="1"/>
  <c r="D125" i="9" a="1"/>
  <c r="D125" i="9" s="1"/>
  <c r="D126" i="9" a="1"/>
  <c r="D126" i="9" s="1"/>
  <c r="D127" i="9" a="1"/>
  <c r="D127" i="9" s="1"/>
  <c r="D128" i="9" a="1"/>
  <c r="D128" i="9" s="1"/>
  <c r="D129" i="9" a="1"/>
  <c r="D129" i="9" s="1"/>
  <c r="D130" i="9" a="1"/>
  <c r="D130" i="9" s="1"/>
  <c r="D131" i="9" a="1"/>
  <c r="D131" i="9" s="1"/>
  <c r="D132" i="9" a="1"/>
  <c r="D132" i="9" s="1"/>
  <c r="D133" i="9" a="1"/>
  <c r="D133" i="9" s="1"/>
  <c r="D134" i="9" a="1"/>
  <c r="D134" i="9" s="1"/>
  <c r="D135" i="9" a="1"/>
  <c r="D135" i="9" s="1"/>
  <c r="D136" i="9" a="1"/>
  <c r="D136" i="9" s="1"/>
  <c r="D137" i="9" a="1"/>
  <c r="D137" i="9" s="1"/>
  <c r="D138" i="9" a="1"/>
  <c r="D138" i="9" s="1"/>
  <c r="I16" i="9" a="1"/>
  <c r="I16" i="9" s="1"/>
  <c r="I17" i="9" a="1"/>
  <c r="I17" i="9" s="1"/>
  <c r="I18" i="9" a="1"/>
  <c r="I18" i="9" s="1"/>
  <c r="J6" i="4"/>
  <c r="J8" i="4"/>
  <c r="J9" i="4"/>
  <c r="J10" i="4"/>
  <c r="J11" i="4"/>
  <c r="J12" i="4"/>
  <c r="J13" i="4"/>
  <c r="L6" i="4" l="1"/>
  <c r="L8" i="4"/>
  <c r="H8" i="4" s="1"/>
  <c r="L9" i="4"/>
  <c r="H9" i="4" s="1"/>
  <c r="L10" i="4"/>
  <c r="H10" i="4" s="1"/>
  <c r="L11" i="4"/>
  <c r="H11" i="4" s="1"/>
  <c r="L12" i="4"/>
  <c r="H12" i="4" s="1"/>
  <c r="L13" i="4"/>
  <c r="H13" i="4" s="1"/>
  <c r="M339" i="2"/>
  <c r="O339" i="2"/>
  <c r="P339" i="2"/>
  <c r="Q339" i="2"/>
  <c r="R339" i="2"/>
  <c r="S339" i="2"/>
  <c r="T339" i="2"/>
  <c r="U339" i="2"/>
  <c r="V339" i="2"/>
  <c r="W339" i="2"/>
  <c r="X339" i="2"/>
  <c r="Y339" i="2"/>
  <c r="O355" i="2"/>
  <c r="P355" i="2"/>
  <c r="Q355" i="2"/>
  <c r="R355" i="2"/>
  <c r="S355" i="2"/>
  <c r="T355" i="2"/>
  <c r="U355" i="2"/>
  <c r="V355" i="2"/>
  <c r="W355" i="2"/>
  <c r="X355" i="2"/>
  <c r="Y355" i="2"/>
  <c r="O371" i="2"/>
  <c r="P371" i="2"/>
  <c r="Q371" i="2"/>
  <c r="R371" i="2"/>
  <c r="S371" i="2"/>
  <c r="T371" i="2"/>
  <c r="U371" i="2"/>
  <c r="V371" i="2"/>
  <c r="W371" i="2"/>
  <c r="X371" i="2"/>
  <c r="Y371" i="2"/>
  <c r="BJ579" i="2"/>
  <c r="BI579" i="2"/>
  <c r="BH579" i="2"/>
  <c r="BG579" i="2"/>
  <c r="BF579" i="2"/>
  <c r="BE579" i="2"/>
  <c r="BD579" i="2"/>
  <c r="BC579" i="2"/>
  <c r="BB579" i="2"/>
  <c r="BA579" i="2"/>
  <c r="AZ579" i="2"/>
  <c r="AY579" i="2"/>
  <c r="AX579" i="2"/>
  <c r="AW579" i="2"/>
  <c r="AV579" i="2"/>
  <c r="AU579" i="2"/>
  <c r="AT579" i="2"/>
  <c r="AS579" i="2"/>
  <c r="AR579" i="2"/>
  <c r="AQ579" i="2"/>
  <c r="AP579" i="2"/>
  <c r="AO579" i="2"/>
  <c r="AN579" i="2"/>
  <c r="AM579" i="2"/>
  <c r="AL579" i="2"/>
  <c r="AK579" i="2"/>
  <c r="AJ579" i="2"/>
  <c r="AI579" i="2"/>
  <c r="AH579" i="2"/>
  <c r="AG579" i="2"/>
  <c r="AF579" i="2"/>
  <c r="AE579" i="2"/>
  <c r="AD579" i="2"/>
  <c r="AC579" i="2"/>
  <c r="AB579" i="2"/>
  <c r="AA579" i="2"/>
  <c r="Z579" i="2"/>
  <c r="Y579" i="2"/>
  <c r="X579" i="2"/>
  <c r="W579" i="2"/>
  <c r="V579" i="2"/>
  <c r="U579" i="2"/>
  <c r="T579" i="2"/>
  <c r="S579" i="2"/>
  <c r="R579" i="2"/>
  <c r="Q579" i="2"/>
  <c r="P579" i="2"/>
  <c r="O579" i="2"/>
  <c r="M579" i="2"/>
  <c r="BJ563" i="2"/>
  <c r="BI563" i="2"/>
  <c r="BH563" i="2"/>
  <c r="BG563" i="2"/>
  <c r="BF563" i="2"/>
  <c r="BE563" i="2"/>
  <c r="BD563" i="2"/>
  <c r="BC563" i="2"/>
  <c r="BB563" i="2"/>
  <c r="BA563" i="2"/>
  <c r="AZ563" i="2"/>
  <c r="AY563" i="2"/>
  <c r="AX563" i="2"/>
  <c r="AW563" i="2"/>
  <c r="AV563" i="2"/>
  <c r="AU563" i="2"/>
  <c r="AT563" i="2"/>
  <c r="AS563" i="2"/>
  <c r="AR563" i="2"/>
  <c r="AQ563" i="2"/>
  <c r="AP563" i="2"/>
  <c r="AO563" i="2"/>
  <c r="AN563" i="2"/>
  <c r="AM563" i="2"/>
  <c r="AL563" i="2"/>
  <c r="AK563" i="2"/>
  <c r="AJ563" i="2"/>
  <c r="AI563" i="2"/>
  <c r="AH563" i="2"/>
  <c r="AG563" i="2"/>
  <c r="AF563" i="2"/>
  <c r="AE563" i="2"/>
  <c r="AD563" i="2"/>
  <c r="AC563" i="2"/>
  <c r="AB563" i="2"/>
  <c r="AA563" i="2"/>
  <c r="Z563" i="2"/>
  <c r="Y563" i="2"/>
  <c r="X563" i="2"/>
  <c r="W563" i="2"/>
  <c r="V563" i="2"/>
  <c r="U563" i="2"/>
  <c r="T563" i="2"/>
  <c r="S563" i="2"/>
  <c r="R563" i="2"/>
  <c r="Q563" i="2"/>
  <c r="P563" i="2"/>
  <c r="O563" i="2"/>
  <c r="M563" i="2"/>
  <c r="BJ547" i="2"/>
  <c r="BI547" i="2"/>
  <c r="BH547" i="2"/>
  <c r="BG547" i="2"/>
  <c r="BF547" i="2"/>
  <c r="BE547" i="2"/>
  <c r="BD547" i="2"/>
  <c r="BC547" i="2"/>
  <c r="BB547" i="2"/>
  <c r="BA547" i="2"/>
  <c r="AZ547" i="2"/>
  <c r="AY547" i="2"/>
  <c r="AX547" i="2"/>
  <c r="AW547" i="2"/>
  <c r="AV547" i="2"/>
  <c r="AU547" i="2"/>
  <c r="AT547" i="2"/>
  <c r="AS547" i="2"/>
  <c r="AR547" i="2"/>
  <c r="AQ547" i="2"/>
  <c r="AP547" i="2"/>
  <c r="AO547" i="2"/>
  <c r="AN547" i="2"/>
  <c r="AM547" i="2"/>
  <c r="AL547" i="2"/>
  <c r="AK547" i="2"/>
  <c r="AJ547" i="2"/>
  <c r="AI547" i="2"/>
  <c r="AH547" i="2"/>
  <c r="AG547" i="2"/>
  <c r="AF547" i="2"/>
  <c r="AE547" i="2"/>
  <c r="AD547" i="2"/>
  <c r="AC547" i="2"/>
  <c r="AB547" i="2"/>
  <c r="AA547" i="2"/>
  <c r="Z547" i="2"/>
  <c r="Y547" i="2"/>
  <c r="X547" i="2"/>
  <c r="W547" i="2"/>
  <c r="V547" i="2"/>
  <c r="U547" i="2"/>
  <c r="T547" i="2"/>
  <c r="S547" i="2"/>
  <c r="R547" i="2"/>
  <c r="Q547" i="2"/>
  <c r="P547" i="2"/>
  <c r="O547" i="2"/>
  <c r="M547" i="2"/>
  <c r="BJ531" i="2"/>
  <c r="BI531" i="2"/>
  <c r="BH531" i="2"/>
  <c r="BG531" i="2"/>
  <c r="BF531" i="2"/>
  <c r="BE531" i="2"/>
  <c r="BD531" i="2"/>
  <c r="BC531" i="2"/>
  <c r="BB531" i="2"/>
  <c r="BA531" i="2"/>
  <c r="AZ531" i="2"/>
  <c r="AY531" i="2"/>
  <c r="AX531" i="2"/>
  <c r="AW531" i="2"/>
  <c r="AV531" i="2"/>
  <c r="AU531" i="2"/>
  <c r="AT531" i="2"/>
  <c r="AS531" i="2"/>
  <c r="AR531" i="2"/>
  <c r="AQ531" i="2"/>
  <c r="AP531" i="2"/>
  <c r="AO531" i="2"/>
  <c r="AN531" i="2"/>
  <c r="AM531" i="2"/>
  <c r="AL531" i="2"/>
  <c r="AK531" i="2"/>
  <c r="AJ531" i="2"/>
  <c r="AI531" i="2"/>
  <c r="AH531" i="2"/>
  <c r="AG531" i="2"/>
  <c r="AF531" i="2"/>
  <c r="AE531" i="2"/>
  <c r="AD531" i="2"/>
  <c r="AC531" i="2"/>
  <c r="AB531" i="2"/>
  <c r="AA531" i="2"/>
  <c r="Z531" i="2"/>
  <c r="Y531" i="2"/>
  <c r="X531" i="2"/>
  <c r="W531" i="2"/>
  <c r="V531" i="2"/>
  <c r="U531" i="2"/>
  <c r="T531" i="2"/>
  <c r="S531" i="2"/>
  <c r="R531" i="2"/>
  <c r="Q531" i="2"/>
  <c r="P531" i="2"/>
  <c r="O531" i="2"/>
  <c r="M531" i="2"/>
  <c r="BJ515" i="2"/>
  <c r="BI515" i="2"/>
  <c r="BH515" i="2"/>
  <c r="BG515" i="2"/>
  <c r="BF515" i="2"/>
  <c r="BE515" i="2"/>
  <c r="BD515" i="2"/>
  <c r="BC515" i="2"/>
  <c r="BB515" i="2"/>
  <c r="BA515" i="2"/>
  <c r="AZ515" i="2"/>
  <c r="AY515" i="2"/>
  <c r="AX515" i="2"/>
  <c r="AW515" i="2"/>
  <c r="AV515" i="2"/>
  <c r="AU515" i="2"/>
  <c r="AT515" i="2"/>
  <c r="AS515" i="2"/>
  <c r="AR515" i="2"/>
  <c r="AQ515" i="2"/>
  <c r="AP515" i="2"/>
  <c r="AO515" i="2"/>
  <c r="AN515" i="2"/>
  <c r="AM515" i="2"/>
  <c r="AL515" i="2"/>
  <c r="AK515" i="2"/>
  <c r="AJ515" i="2"/>
  <c r="AI515" i="2"/>
  <c r="AH515" i="2"/>
  <c r="AG515" i="2"/>
  <c r="AF515" i="2"/>
  <c r="AE515" i="2"/>
  <c r="AD515" i="2"/>
  <c r="AC515" i="2"/>
  <c r="AB515" i="2"/>
  <c r="AA515" i="2"/>
  <c r="Z515" i="2"/>
  <c r="Y515" i="2"/>
  <c r="X515" i="2"/>
  <c r="W515" i="2"/>
  <c r="V515" i="2"/>
  <c r="U515" i="2"/>
  <c r="T515" i="2"/>
  <c r="S515" i="2"/>
  <c r="R515" i="2"/>
  <c r="Q515" i="2"/>
  <c r="P515" i="2"/>
  <c r="O515" i="2"/>
  <c r="M515" i="2"/>
  <c r="BJ499" i="2"/>
  <c r="BI499" i="2"/>
  <c r="BH499" i="2"/>
  <c r="BG499" i="2"/>
  <c r="BF499" i="2"/>
  <c r="BE499" i="2"/>
  <c r="BD499" i="2"/>
  <c r="BC499" i="2"/>
  <c r="BB499" i="2"/>
  <c r="BA499" i="2"/>
  <c r="AZ499" i="2"/>
  <c r="AY499" i="2"/>
  <c r="AX499" i="2"/>
  <c r="AW499" i="2"/>
  <c r="AV499" i="2"/>
  <c r="AU499" i="2"/>
  <c r="AT499" i="2"/>
  <c r="AS499" i="2"/>
  <c r="AR499" i="2"/>
  <c r="AQ499" i="2"/>
  <c r="AP499" i="2"/>
  <c r="AO499" i="2"/>
  <c r="AN499" i="2"/>
  <c r="AM499" i="2"/>
  <c r="AL499" i="2"/>
  <c r="AK499" i="2"/>
  <c r="AJ499" i="2"/>
  <c r="AI499" i="2"/>
  <c r="AH499" i="2"/>
  <c r="AG499" i="2"/>
  <c r="AF499" i="2"/>
  <c r="AE499" i="2"/>
  <c r="AD499" i="2"/>
  <c r="AC499" i="2"/>
  <c r="AB499" i="2"/>
  <c r="AA499" i="2"/>
  <c r="Z499" i="2"/>
  <c r="Y499" i="2"/>
  <c r="X499" i="2"/>
  <c r="W499" i="2"/>
  <c r="V499" i="2"/>
  <c r="U499" i="2"/>
  <c r="T499" i="2"/>
  <c r="S499" i="2"/>
  <c r="R499" i="2"/>
  <c r="Q499" i="2"/>
  <c r="P499" i="2"/>
  <c r="O499" i="2"/>
  <c r="M499" i="2"/>
  <c r="BJ483" i="2"/>
  <c r="BI483" i="2"/>
  <c r="BH483" i="2"/>
  <c r="BG483" i="2"/>
  <c r="BF483" i="2"/>
  <c r="BE483" i="2"/>
  <c r="BD483" i="2"/>
  <c r="BC483" i="2"/>
  <c r="BB483" i="2"/>
  <c r="BA483" i="2"/>
  <c r="AZ483" i="2"/>
  <c r="AY483" i="2"/>
  <c r="AX483" i="2"/>
  <c r="AW483" i="2"/>
  <c r="AV483" i="2"/>
  <c r="AU483" i="2"/>
  <c r="AT483" i="2"/>
  <c r="AS483" i="2"/>
  <c r="AR483" i="2"/>
  <c r="AQ483" i="2"/>
  <c r="AP483" i="2"/>
  <c r="AO483" i="2"/>
  <c r="AN483" i="2"/>
  <c r="AM483" i="2"/>
  <c r="AL483" i="2"/>
  <c r="AK483" i="2"/>
  <c r="AJ483" i="2"/>
  <c r="AI483" i="2"/>
  <c r="AH483" i="2"/>
  <c r="AG483" i="2"/>
  <c r="AF483" i="2"/>
  <c r="AE483" i="2"/>
  <c r="AD483" i="2"/>
  <c r="AC483" i="2"/>
  <c r="AB483" i="2"/>
  <c r="AA483" i="2"/>
  <c r="Z483" i="2"/>
  <c r="Y483" i="2"/>
  <c r="X483" i="2"/>
  <c r="W483" i="2"/>
  <c r="V483" i="2"/>
  <c r="U483" i="2"/>
  <c r="T483" i="2"/>
  <c r="S483" i="2"/>
  <c r="R483" i="2"/>
  <c r="Q483" i="2"/>
  <c r="P483" i="2"/>
  <c r="O483" i="2"/>
  <c r="M483" i="2"/>
  <c r="BJ467" i="2"/>
  <c r="BI467" i="2"/>
  <c r="BH467" i="2"/>
  <c r="BG467" i="2"/>
  <c r="BF467" i="2"/>
  <c r="BE467" i="2"/>
  <c r="BD467" i="2"/>
  <c r="BC467" i="2"/>
  <c r="BB467" i="2"/>
  <c r="BA467" i="2"/>
  <c r="AZ467" i="2"/>
  <c r="AY467" i="2"/>
  <c r="AX467" i="2"/>
  <c r="AW467" i="2"/>
  <c r="AV467" i="2"/>
  <c r="AU467" i="2"/>
  <c r="AT467" i="2"/>
  <c r="AS467" i="2"/>
  <c r="AR467" i="2"/>
  <c r="AQ467" i="2"/>
  <c r="AP467" i="2"/>
  <c r="AO467" i="2"/>
  <c r="AN467" i="2"/>
  <c r="AM467" i="2"/>
  <c r="AL467" i="2"/>
  <c r="AK467" i="2"/>
  <c r="AJ467" i="2"/>
  <c r="AI467" i="2"/>
  <c r="AH467" i="2"/>
  <c r="AG467" i="2"/>
  <c r="AF467" i="2"/>
  <c r="AE467" i="2"/>
  <c r="AD467" i="2"/>
  <c r="AC467" i="2"/>
  <c r="AB467" i="2"/>
  <c r="AA467" i="2"/>
  <c r="Z467" i="2"/>
  <c r="Y467" i="2"/>
  <c r="X467" i="2"/>
  <c r="W467" i="2"/>
  <c r="V467" i="2"/>
  <c r="U467" i="2"/>
  <c r="T467" i="2"/>
  <c r="S467" i="2"/>
  <c r="R467" i="2"/>
  <c r="Q467" i="2"/>
  <c r="P467" i="2"/>
  <c r="O467" i="2"/>
  <c r="M467" i="2"/>
  <c r="BJ451" i="2"/>
  <c r="BI451" i="2"/>
  <c r="BH451" i="2"/>
  <c r="BG451" i="2"/>
  <c r="BF451" i="2"/>
  <c r="BE451" i="2"/>
  <c r="BD451" i="2"/>
  <c r="BC451" i="2"/>
  <c r="BB451" i="2"/>
  <c r="BA451" i="2"/>
  <c r="AZ451" i="2"/>
  <c r="AY451" i="2"/>
  <c r="AX451" i="2"/>
  <c r="AW451" i="2"/>
  <c r="AV451" i="2"/>
  <c r="AU451" i="2"/>
  <c r="AT451" i="2"/>
  <c r="AS451" i="2"/>
  <c r="AR451" i="2"/>
  <c r="AQ451" i="2"/>
  <c r="AP451" i="2"/>
  <c r="AO451" i="2"/>
  <c r="AN451" i="2"/>
  <c r="AM451" i="2"/>
  <c r="AL451" i="2"/>
  <c r="AK451" i="2"/>
  <c r="AJ451" i="2"/>
  <c r="AI451" i="2"/>
  <c r="AH451" i="2"/>
  <c r="AG451" i="2"/>
  <c r="AF451" i="2"/>
  <c r="AE451" i="2"/>
  <c r="AD451" i="2"/>
  <c r="AC451" i="2"/>
  <c r="AB451" i="2"/>
  <c r="AA451" i="2"/>
  <c r="Z451" i="2"/>
  <c r="Y451" i="2"/>
  <c r="X451" i="2"/>
  <c r="W451" i="2"/>
  <c r="V451" i="2"/>
  <c r="U451" i="2"/>
  <c r="T451" i="2"/>
  <c r="S451" i="2"/>
  <c r="R451" i="2"/>
  <c r="Q451" i="2"/>
  <c r="P451" i="2"/>
  <c r="O451" i="2"/>
  <c r="M451" i="2"/>
  <c r="BJ435" i="2"/>
  <c r="BI435" i="2"/>
  <c r="BH435" i="2"/>
  <c r="BG435" i="2"/>
  <c r="BF435" i="2"/>
  <c r="BE435" i="2"/>
  <c r="BD435" i="2"/>
  <c r="BC435" i="2"/>
  <c r="BB435" i="2"/>
  <c r="BA435" i="2"/>
  <c r="AZ435" i="2"/>
  <c r="AY435" i="2"/>
  <c r="AX435" i="2"/>
  <c r="AW435" i="2"/>
  <c r="AV435" i="2"/>
  <c r="AU435" i="2"/>
  <c r="AT435" i="2"/>
  <c r="AS435" i="2"/>
  <c r="AR435" i="2"/>
  <c r="AQ435" i="2"/>
  <c r="AP435" i="2"/>
  <c r="AO435" i="2"/>
  <c r="AN435" i="2"/>
  <c r="AM435" i="2"/>
  <c r="AL435" i="2"/>
  <c r="AK435" i="2"/>
  <c r="AJ435" i="2"/>
  <c r="AI435" i="2"/>
  <c r="AH435" i="2"/>
  <c r="AG435" i="2"/>
  <c r="AF435" i="2"/>
  <c r="AE435" i="2"/>
  <c r="AD435" i="2"/>
  <c r="AC435" i="2"/>
  <c r="AB435" i="2"/>
  <c r="AA435" i="2"/>
  <c r="Z435" i="2"/>
  <c r="Y435" i="2"/>
  <c r="X435" i="2"/>
  <c r="W435" i="2"/>
  <c r="V435" i="2"/>
  <c r="U435" i="2"/>
  <c r="T435" i="2"/>
  <c r="S435" i="2"/>
  <c r="R435" i="2"/>
  <c r="Q435" i="2"/>
  <c r="P435" i="2"/>
  <c r="O435" i="2"/>
  <c r="M435" i="2"/>
  <c r="BJ419" i="2"/>
  <c r="BI419" i="2"/>
  <c r="BH419" i="2"/>
  <c r="BG419" i="2"/>
  <c r="BF419" i="2"/>
  <c r="BE419" i="2"/>
  <c r="BD419" i="2"/>
  <c r="BC419" i="2"/>
  <c r="BB419" i="2"/>
  <c r="BA419" i="2"/>
  <c r="AZ419" i="2"/>
  <c r="AY419" i="2"/>
  <c r="AX419" i="2"/>
  <c r="AW419" i="2"/>
  <c r="AV419" i="2"/>
  <c r="AU419" i="2"/>
  <c r="AT419" i="2"/>
  <c r="AS419" i="2"/>
  <c r="AR419" i="2"/>
  <c r="AQ419" i="2"/>
  <c r="AP419" i="2"/>
  <c r="AO419" i="2"/>
  <c r="AN419" i="2"/>
  <c r="AM419" i="2"/>
  <c r="AL419" i="2"/>
  <c r="AK419" i="2"/>
  <c r="AJ419" i="2"/>
  <c r="AI419" i="2"/>
  <c r="AH419" i="2"/>
  <c r="AG419" i="2"/>
  <c r="AF419" i="2"/>
  <c r="AE419" i="2"/>
  <c r="AD419" i="2"/>
  <c r="AC419" i="2"/>
  <c r="AB419" i="2"/>
  <c r="AA419" i="2"/>
  <c r="Z419" i="2"/>
  <c r="Y419" i="2"/>
  <c r="X419" i="2"/>
  <c r="W419" i="2"/>
  <c r="V419" i="2"/>
  <c r="U419" i="2"/>
  <c r="T419" i="2"/>
  <c r="S419" i="2"/>
  <c r="R419" i="2"/>
  <c r="Q419" i="2"/>
  <c r="P419" i="2"/>
  <c r="O419" i="2"/>
  <c r="M419" i="2"/>
  <c r="BJ403" i="2"/>
  <c r="BI403" i="2"/>
  <c r="BH403" i="2"/>
  <c r="BG403" i="2"/>
  <c r="BF403" i="2"/>
  <c r="BE403" i="2"/>
  <c r="BD403" i="2"/>
  <c r="BC403" i="2"/>
  <c r="BB403" i="2"/>
  <c r="BA403" i="2"/>
  <c r="AZ403" i="2"/>
  <c r="AY403" i="2"/>
  <c r="AX403" i="2"/>
  <c r="AW403" i="2"/>
  <c r="AV403" i="2"/>
  <c r="AU403" i="2"/>
  <c r="AT403" i="2"/>
  <c r="AS403" i="2"/>
  <c r="AR403" i="2"/>
  <c r="AQ403" i="2"/>
  <c r="AP403" i="2"/>
  <c r="AO403" i="2"/>
  <c r="AN403" i="2"/>
  <c r="AM403" i="2"/>
  <c r="AL403" i="2"/>
  <c r="AK403" i="2"/>
  <c r="AJ403" i="2"/>
  <c r="AI403" i="2"/>
  <c r="AH403" i="2"/>
  <c r="AG403" i="2"/>
  <c r="AF403" i="2"/>
  <c r="AE403" i="2"/>
  <c r="AD403" i="2"/>
  <c r="AC403" i="2"/>
  <c r="AB403" i="2"/>
  <c r="AA403" i="2"/>
  <c r="Z403" i="2"/>
  <c r="Y403" i="2"/>
  <c r="X403" i="2"/>
  <c r="W403" i="2"/>
  <c r="V403" i="2"/>
  <c r="U403" i="2"/>
  <c r="T403" i="2"/>
  <c r="S403" i="2"/>
  <c r="R403" i="2"/>
  <c r="Q403" i="2"/>
  <c r="P403" i="2"/>
  <c r="O403" i="2"/>
  <c r="M403" i="2"/>
  <c r="BJ387" i="2"/>
  <c r="BI387" i="2"/>
  <c r="BH387" i="2"/>
  <c r="BG387" i="2"/>
  <c r="BF387" i="2"/>
  <c r="BE387" i="2"/>
  <c r="BD387" i="2"/>
  <c r="BC387" i="2"/>
  <c r="BB387" i="2"/>
  <c r="BA387" i="2"/>
  <c r="AZ387" i="2"/>
  <c r="AY387" i="2"/>
  <c r="AX387" i="2"/>
  <c r="AW387" i="2"/>
  <c r="AV387" i="2"/>
  <c r="AU387" i="2"/>
  <c r="AT387" i="2"/>
  <c r="AS387" i="2"/>
  <c r="AR387" i="2"/>
  <c r="AQ387" i="2"/>
  <c r="AP387" i="2"/>
  <c r="AO387" i="2"/>
  <c r="AN387" i="2"/>
  <c r="AM387" i="2"/>
  <c r="AL387" i="2"/>
  <c r="AK387" i="2"/>
  <c r="AJ387" i="2"/>
  <c r="AI387" i="2"/>
  <c r="AH387" i="2"/>
  <c r="AG387" i="2"/>
  <c r="AF387" i="2"/>
  <c r="AE387" i="2"/>
  <c r="AD387" i="2"/>
  <c r="AC387" i="2"/>
  <c r="AB387" i="2"/>
  <c r="AA387" i="2"/>
  <c r="Z387" i="2"/>
  <c r="Y387" i="2"/>
  <c r="X387" i="2"/>
  <c r="W387" i="2"/>
  <c r="V387" i="2"/>
  <c r="U387" i="2"/>
  <c r="T387" i="2"/>
  <c r="S387" i="2"/>
  <c r="R387" i="2"/>
  <c r="Q387" i="2"/>
  <c r="P387" i="2"/>
  <c r="O387" i="2"/>
  <c r="M387" i="2"/>
  <c r="BJ371" i="2"/>
  <c r="BI371" i="2"/>
  <c r="BH371" i="2"/>
  <c r="BG371" i="2"/>
  <c r="BF371" i="2"/>
  <c r="BE371" i="2"/>
  <c r="BD371" i="2"/>
  <c r="BC371" i="2"/>
  <c r="BB371" i="2"/>
  <c r="BA371" i="2"/>
  <c r="AZ371" i="2"/>
  <c r="AY371" i="2"/>
  <c r="AX371" i="2"/>
  <c r="AW371" i="2"/>
  <c r="AV371" i="2"/>
  <c r="AU371" i="2"/>
  <c r="AT371" i="2"/>
  <c r="AS371" i="2"/>
  <c r="AR371" i="2"/>
  <c r="AQ371" i="2"/>
  <c r="AP371" i="2"/>
  <c r="AO371" i="2"/>
  <c r="AN371" i="2"/>
  <c r="AM371" i="2"/>
  <c r="AL371" i="2"/>
  <c r="AK371" i="2"/>
  <c r="AJ371" i="2"/>
  <c r="AI371" i="2"/>
  <c r="AH371" i="2"/>
  <c r="AG371" i="2"/>
  <c r="AF371" i="2"/>
  <c r="AE371" i="2"/>
  <c r="AD371" i="2"/>
  <c r="AC371" i="2"/>
  <c r="AB371" i="2"/>
  <c r="AA371" i="2"/>
  <c r="Z371" i="2"/>
  <c r="M371" i="2"/>
  <c r="BJ355" i="2"/>
  <c r="BI355" i="2"/>
  <c r="BH355" i="2"/>
  <c r="BG355" i="2"/>
  <c r="BF355" i="2"/>
  <c r="BE355" i="2"/>
  <c r="BD355" i="2"/>
  <c r="BC355" i="2"/>
  <c r="BB355" i="2"/>
  <c r="BA355" i="2"/>
  <c r="AZ355" i="2"/>
  <c r="AY355" i="2"/>
  <c r="AX355" i="2"/>
  <c r="AW355" i="2"/>
  <c r="AV355" i="2"/>
  <c r="AU355" i="2"/>
  <c r="AT355" i="2"/>
  <c r="AS355" i="2"/>
  <c r="AR355" i="2"/>
  <c r="AQ355" i="2"/>
  <c r="AP355" i="2"/>
  <c r="AO355" i="2"/>
  <c r="AN355" i="2"/>
  <c r="AM355" i="2"/>
  <c r="AL355" i="2"/>
  <c r="AK355" i="2"/>
  <c r="AJ355" i="2"/>
  <c r="AI355" i="2"/>
  <c r="AH355" i="2"/>
  <c r="AG355" i="2"/>
  <c r="AF355" i="2"/>
  <c r="AE355" i="2"/>
  <c r="AD355" i="2"/>
  <c r="AC355" i="2"/>
  <c r="AB355" i="2"/>
  <c r="AA355" i="2"/>
  <c r="Z355" i="2"/>
  <c r="M355" i="2"/>
  <c r="BJ339" i="2"/>
  <c r="BI339" i="2"/>
  <c r="BH339" i="2"/>
  <c r="BG339" i="2"/>
  <c r="BF339" i="2"/>
  <c r="BE339" i="2"/>
  <c r="BD339" i="2"/>
  <c r="BC339" i="2"/>
  <c r="BB339" i="2"/>
  <c r="BA339" i="2"/>
  <c r="AZ339" i="2"/>
  <c r="AY339" i="2"/>
  <c r="AX339" i="2"/>
  <c r="AW339" i="2"/>
  <c r="AV339" i="2"/>
  <c r="AU339" i="2"/>
  <c r="AT339" i="2"/>
  <c r="AS339" i="2"/>
  <c r="AR339" i="2"/>
  <c r="AQ339" i="2"/>
  <c r="AP339" i="2"/>
  <c r="AO339" i="2"/>
  <c r="AN339" i="2"/>
  <c r="AM339" i="2"/>
  <c r="AL339" i="2"/>
  <c r="AK339" i="2"/>
  <c r="AJ339" i="2"/>
  <c r="AI339" i="2"/>
  <c r="AH339" i="2"/>
  <c r="AG339" i="2"/>
  <c r="AF339" i="2"/>
  <c r="AE339" i="2"/>
  <c r="AD339" i="2"/>
  <c r="AC339" i="2"/>
  <c r="AB339" i="2"/>
  <c r="AA339" i="2"/>
  <c r="Z339" i="2"/>
  <c r="BJ323" i="2"/>
  <c r="BI323" i="2"/>
  <c r="BH323" i="2"/>
  <c r="BG323" i="2"/>
  <c r="BF323" i="2"/>
  <c r="BE323" i="2"/>
  <c r="BD323" i="2"/>
  <c r="BC323" i="2"/>
  <c r="BB323" i="2"/>
  <c r="BA323" i="2"/>
  <c r="AZ323" i="2"/>
  <c r="AY323" i="2"/>
  <c r="AX323" i="2"/>
  <c r="AW323" i="2"/>
  <c r="AV323" i="2"/>
  <c r="AU323" i="2"/>
  <c r="AT323" i="2"/>
  <c r="AS323" i="2"/>
  <c r="AR323" i="2"/>
  <c r="AQ323" i="2"/>
  <c r="AP323" i="2"/>
  <c r="AO323" i="2"/>
  <c r="AN323" i="2"/>
  <c r="AM323" i="2"/>
  <c r="AL323" i="2"/>
  <c r="AK323" i="2"/>
  <c r="AJ323" i="2"/>
  <c r="AI323" i="2"/>
  <c r="AH323" i="2"/>
  <c r="AG323" i="2"/>
  <c r="AF323" i="2"/>
  <c r="AE323" i="2"/>
  <c r="AD323" i="2"/>
  <c r="AC323" i="2"/>
  <c r="AB323" i="2"/>
  <c r="AA323" i="2"/>
  <c r="Z323" i="2"/>
  <c r="Y323" i="2"/>
  <c r="X323" i="2"/>
  <c r="W323" i="2"/>
  <c r="V323" i="2"/>
  <c r="U323" i="2"/>
  <c r="T323" i="2"/>
  <c r="S323" i="2"/>
  <c r="R323" i="2"/>
  <c r="Q323" i="2"/>
  <c r="P323" i="2"/>
  <c r="O323" i="2"/>
  <c r="M323"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BJ307" i="2"/>
  <c r="BI307" i="2"/>
  <c r="BH307" i="2"/>
  <c r="BG307" i="2"/>
  <c r="BF307" i="2"/>
  <c r="BE307" i="2"/>
  <c r="BD307" i="2"/>
  <c r="BC307" i="2"/>
  <c r="BB307" i="2"/>
  <c r="BA307" i="2"/>
  <c r="AZ307" i="2"/>
  <c r="AY307" i="2"/>
  <c r="AX307" i="2"/>
  <c r="AW307" i="2"/>
  <c r="AV307" i="2"/>
  <c r="AU307" i="2"/>
  <c r="AT307" i="2"/>
  <c r="AS307" i="2"/>
  <c r="AR307" i="2"/>
  <c r="AQ307" i="2"/>
  <c r="AP307" i="2"/>
  <c r="AO307" i="2"/>
  <c r="AN307" i="2"/>
  <c r="AM307" i="2"/>
  <c r="AL307" i="2"/>
  <c r="AK307" i="2"/>
  <c r="AJ307" i="2"/>
  <c r="AI307" i="2"/>
  <c r="AH307" i="2"/>
  <c r="AG307" i="2"/>
  <c r="AF307" i="2"/>
  <c r="AE307" i="2"/>
  <c r="AD307" i="2"/>
  <c r="AC307" i="2"/>
  <c r="AB307" i="2"/>
  <c r="AA307" i="2"/>
  <c r="Z307" i="2"/>
  <c r="Y307" i="2"/>
  <c r="X307" i="2"/>
  <c r="W307" i="2"/>
  <c r="V307" i="2"/>
  <c r="U307" i="2"/>
  <c r="T307" i="2"/>
  <c r="S307" i="2"/>
  <c r="R307" i="2"/>
  <c r="Q307" i="2"/>
  <c r="P307" i="2"/>
  <c r="O307" i="2"/>
  <c r="M307" i="2"/>
  <c r="BJ291" i="2"/>
  <c r="BI291" i="2"/>
  <c r="BH291" i="2"/>
  <c r="BG291" i="2"/>
  <c r="BF291" i="2"/>
  <c r="BE291" i="2"/>
  <c r="BD291" i="2"/>
  <c r="BC291" i="2"/>
  <c r="BB291" i="2"/>
  <c r="BA291" i="2"/>
  <c r="AZ291" i="2"/>
  <c r="AY291" i="2"/>
  <c r="AX291" i="2"/>
  <c r="AW291" i="2"/>
  <c r="AV291" i="2"/>
  <c r="AU291" i="2"/>
  <c r="AT291" i="2"/>
  <c r="AS291" i="2"/>
  <c r="AR291" i="2"/>
  <c r="AQ291" i="2"/>
  <c r="AP291" i="2"/>
  <c r="AO291" i="2"/>
  <c r="AN291" i="2"/>
  <c r="AM291" i="2"/>
  <c r="AL291" i="2"/>
  <c r="AK291" i="2"/>
  <c r="AJ291" i="2"/>
  <c r="AI291" i="2"/>
  <c r="AH291" i="2"/>
  <c r="AG291" i="2"/>
  <c r="AF291" i="2"/>
  <c r="AE291" i="2"/>
  <c r="AD291" i="2"/>
  <c r="AC291" i="2"/>
  <c r="AB291" i="2"/>
  <c r="AA291" i="2"/>
  <c r="Z291" i="2"/>
  <c r="Y291" i="2"/>
  <c r="X291" i="2"/>
  <c r="W291" i="2"/>
  <c r="V291" i="2"/>
  <c r="U291" i="2"/>
  <c r="T291" i="2"/>
  <c r="S291" i="2"/>
  <c r="R291" i="2"/>
  <c r="Q291" i="2"/>
  <c r="P291" i="2"/>
  <c r="O291" i="2"/>
  <c r="M291" i="2"/>
  <c r="BJ275" i="2"/>
  <c r="BI275" i="2"/>
  <c r="BH275" i="2"/>
  <c r="BG275" i="2"/>
  <c r="BF275" i="2"/>
  <c r="BE275" i="2"/>
  <c r="BD275" i="2"/>
  <c r="BC275" i="2"/>
  <c r="BB275" i="2"/>
  <c r="BA275" i="2"/>
  <c r="AZ275" i="2"/>
  <c r="AY275" i="2"/>
  <c r="AX275" i="2"/>
  <c r="AW275" i="2"/>
  <c r="AV275" i="2"/>
  <c r="AU275" i="2"/>
  <c r="AT275" i="2"/>
  <c r="AS275" i="2"/>
  <c r="AR275" i="2"/>
  <c r="AQ275" i="2"/>
  <c r="AP275" i="2"/>
  <c r="AO275" i="2"/>
  <c r="AN275" i="2"/>
  <c r="AM275" i="2"/>
  <c r="AL275" i="2"/>
  <c r="AK275" i="2"/>
  <c r="AJ275" i="2"/>
  <c r="AI275" i="2"/>
  <c r="AH275" i="2"/>
  <c r="AG275" i="2"/>
  <c r="AF275" i="2"/>
  <c r="AE275" i="2"/>
  <c r="AD275" i="2"/>
  <c r="AC275" i="2"/>
  <c r="AB275" i="2"/>
  <c r="AA275" i="2"/>
  <c r="Z275" i="2"/>
  <c r="Y275" i="2"/>
  <c r="X275" i="2"/>
  <c r="W275" i="2"/>
  <c r="V275" i="2"/>
  <c r="U275" i="2"/>
  <c r="T275" i="2"/>
  <c r="S275" i="2"/>
  <c r="R275" i="2"/>
  <c r="Q275" i="2"/>
  <c r="P275" i="2"/>
  <c r="O275" i="2"/>
  <c r="M275" i="2"/>
  <c r="BJ259" i="2"/>
  <c r="BJ243" i="2" s="1"/>
  <c r="BI259" i="2"/>
  <c r="BI243" i="2" s="1"/>
  <c r="BH259" i="2"/>
  <c r="BG259" i="2"/>
  <c r="BG243" i="2" s="1"/>
  <c r="BF259" i="2"/>
  <c r="BF243" i="2" s="1"/>
  <c r="BE259" i="2"/>
  <c r="BE243" i="2" s="1"/>
  <c r="BD259" i="2"/>
  <c r="BD243" i="2" s="1"/>
  <c r="BC259" i="2"/>
  <c r="BC243" i="2" s="1"/>
  <c r="BB259" i="2"/>
  <c r="BB243" i="2" s="1"/>
  <c r="BA259" i="2"/>
  <c r="BA243" i="2" s="1"/>
  <c r="AZ259" i="2"/>
  <c r="AY259" i="2"/>
  <c r="AY243" i="2" s="1"/>
  <c r="AX259" i="2"/>
  <c r="AX243" i="2" s="1"/>
  <c r="AW259" i="2"/>
  <c r="AW243" i="2" s="1"/>
  <c r="AV259" i="2"/>
  <c r="AV243" i="2" s="1"/>
  <c r="AU259" i="2"/>
  <c r="AU243" i="2" s="1"/>
  <c r="AT259" i="2"/>
  <c r="AT243" i="2" s="1"/>
  <c r="AS259" i="2"/>
  <c r="AS243" i="2" s="1"/>
  <c r="AR259" i="2"/>
  <c r="AQ259" i="2"/>
  <c r="AQ243" i="2" s="1"/>
  <c r="AP259" i="2"/>
  <c r="AP243" i="2" s="1"/>
  <c r="AO259" i="2"/>
  <c r="AO243" i="2" s="1"/>
  <c r="AN259" i="2"/>
  <c r="AN243" i="2" s="1"/>
  <c r="AM259" i="2"/>
  <c r="AM243" i="2" s="1"/>
  <c r="AL259" i="2"/>
  <c r="AL243" i="2" s="1"/>
  <c r="AK259" i="2"/>
  <c r="AK243" i="2" s="1"/>
  <c r="AJ259" i="2"/>
  <c r="AJ243" i="2" s="1"/>
  <c r="AI259" i="2"/>
  <c r="AI243" i="2" s="1"/>
  <c r="AH259" i="2"/>
  <c r="AH243" i="2" s="1"/>
  <c r="AG259" i="2"/>
  <c r="AG243" i="2" s="1"/>
  <c r="AF259" i="2"/>
  <c r="AF243" i="2" s="1"/>
  <c r="AE259" i="2"/>
  <c r="AE243" i="2" s="1"/>
  <c r="AD259" i="2"/>
  <c r="AD243" i="2" s="1"/>
  <c r="AC259" i="2"/>
  <c r="AB259" i="2"/>
  <c r="AA259" i="2"/>
  <c r="AA243" i="2" s="1"/>
  <c r="Z259" i="2"/>
  <c r="Z243" i="2" s="1"/>
  <c r="Y259" i="2"/>
  <c r="Y243" i="2" s="1"/>
  <c r="X259" i="2"/>
  <c r="X243" i="2" s="1"/>
  <c r="W259" i="2"/>
  <c r="W243" i="2" s="1"/>
  <c r="V259" i="2"/>
  <c r="V243" i="2" s="1"/>
  <c r="U259" i="2"/>
  <c r="U243" i="2" s="1"/>
  <c r="T259" i="2"/>
  <c r="S259" i="2"/>
  <c r="S243" i="2" s="1"/>
  <c r="R259" i="2"/>
  <c r="R243" i="2" s="1"/>
  <c r="Q259" i="2"/>
  <c r="Q243" i="2" s="1"/>
  <c r="P259" i="2"/>
  <c r="P243" i="2" s="1"/>
  <c r="O259" i="2"/>
  <c r="O243" i="2" s="1"/>
  <c r="M259" i="2"/>
  <c r="A253" i="2"/>
  <c r="A250" i="2"/>
  <c r="A251" i="2"/>
  <c r="A252" i="2"/>
  <c r="BH243" i="2"/>
  <c r="AZ243" i="2"/>
  <c r="AR243" i="2"/>
  <c r="AC243" i="2"/>
  <c r="AB243" i="2"/>
  <c r="T243" i="2"/>
  <c r="M243" i="2"/>
  <c r="A243" i="2"/>
  <c r="A244" i="2"/>
  <c r="A245" i="2"/>
  <c r="A246" i="2"/>
  <c r="A247" i="2"/>
  <c r="A248" i="2"/>
  <c r="A249"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E124" i="9" l="1" a="1"/>
  <c r="E124" i="9" s="1"/>
  <c r="H6" i="4"/>
  <c r="P84" i="9" a="1"/>
  <c r="P84" i="9" s="1"/>
  <c r="P85" i="9" a="1"/>
  <c r="P85" i="9" s="1"/>
  <c r="P86" i="9" a="1"/>
  <c r="P86" i="9" s="1"/>
  <c r="P87" i="9" a="1"/>
  <c r="P87" i="9" s="1"/>
  <c r="P88" i="9" a="1"/>
  <c r="P88" i="9" s="1"/>
  <c r="P89" i="9" a="1"/>
  <c r="P89" i="9" s="1"/>
  <c r="P90" i="9" a="1"/>
  <c r="P90" i="9" s="1"/>
  <c r="P91" i="9" a="1"/>
  <c r="P91" i="9" s="1"/>
  <c r="P92" i="9" a="1"/>
  <c r="P92" i="9" s="1"/>
  <c r="P93" i="9" a="1"/>
  <c r="P93" i="9" s="1"/>
  <c r="P94" i="9" a="1"/>
  <c r="P94" i="9" s="1"/>
  <c r="P95" i="9" a="1"/>
  <c r="P95" i="9" s="1"/>
  <c r="P96" i="9" a="1"/>
  <c r="P96" i="9" s="1"/>
  <c r="P97" i="9" a="1"/>
  <c r="P97" i="9" s="1"/>
  <c r="P98" i="9" a="1"/>
  <c r="P98" i="9" s="1"/>
  <c r="O84" i="9" a="1"/>
  <c r="O84" i="9" s="1"/>
  <c r="O85" i="9" a="1"/>
  <c r="O85" i="9" s="1"/>
  <c r="O86" i="9" a="1"/>
  <c r="O86" i="9" s="1"/>
  <c r="O87" i="9" a="1"/>
  <c r="O87" i="9" s="1"/>
  <c r="O88" i="9" a="1"/>
  <c r="O88" i="9" s="1"/>
  <c r="O89" i="9" a="1"/>
  <c r="O89" i="9" s="1"/>
  <c r="O90" i="9" a="1"/>
  <c r="O90" i="9" s="1"/>
  <c r="O91" i="9" a="1"/>
  <c r="O91" i="9" s="1"/>
  <c r="O92" i="9" a="1"/>
  <c r="O92" i="9" s="1"/>
  <c r="O93" i="9" a="1"/>
  <c r="O93" i="9" s="1"/>
  <c r="O94" i="9" a="1"/>
  <c r="O94" i="9" s="1"/>
  <c r="O95" i="9" a="1"/>
  <c r="O95" i="9" s="1"/>
  <c r="O96" i="9" a="1"/>
  <c r="O96" i="9" s="1"/>
  <c r="O97" i="9" a="1"/>
  <c r="O97" i="9" s="1"/>
  <c r="O98" i="9" a="1"/>
  <c r="O98" i="9" s="1"/>
  <c r="I96" i="9" a="1"/>
  <c r="I96" i="9" s="1"/>
  <c r="I97" i="9" a="1"/>
  <c r="I97" i="9" s="1"/>
  <c r="I98" i="9" a="1"/>
  <c r="I98" i="9" s="1"/>
  <c r="F96" i="9" a="1"/>
  <c r="F96" i="9" s="1"/>
  <c r="F97" i="9" a="1"/>
  <c r="F97" i="9" s="1"/>
  <c r="F98" i="9" a="1"/>
  <c r="F98" i="9" s="1"/>
  <c r="E96" i="9" a="1"/>
  <c r="E96" i="9" s="1"/>
  <c r="E97" i="9" a="1"/>
  <c r="E97" i="9" s="1"/>
  <c r="E98" i="9" a="1"/>
  <c r="E98" i="9" s="1"/>
  <c r="D96" i="9" a="1"/>
  <c r="D96" i="9" s="1"/>
  <c r="D97" i="9" a="1"/>
  <c r="D97" i="9" s="1"/>
  <c r="D98" i="9" a="1"/>
  <c r="D98" i="9" s="1"/>
  <c r="P64" i="9" a="1"/>
  <c r="P64" i="9" s="1"/>
  <c r="P65" i="9" a="1"/>
  <c r="P65" i="9" s="1"/>
  <c r="P66" i="9" a="1"/>
  <c r="P66" i="9" s="1"/>
  <c r="P67" i="9" a="1"/>
  <c r="P67" i="9" s="1"/>
  <c r="P68" i="9" a="1"/>
  <c r="P68" i="9" s="1"/>
  <c r="P69" i="9" a="1"/>
  <c r="P69" i="9" s="1"/>
  <c r="P70" i="9" a="1"/>
  <c r="P70" i="9" s="1"/>
  <c r="P71" i="9" a="1"/>
  <c r="P71" i="9" s="1"/>
  <c r="P74" i="9" a="1"/>
  <c r="P74" i="9" s="1"/>
  <c r="P75" i="9" a="1"/>
  <c r="P75" i="9" s="1"/>
  <c r="P76" i="9" a="1"/>
  <c r="P76" i="9" s="1"/>
  <c r="P77" i="9" a="1"/>
  <c r="P77" i="9" s="1"/>
  <c r="P78" i="9" a="1"/>
  <c r="P78" i="9" s="1"/>
  <c r="O64" i="9" a="1"/>
  <c r="O64" i="9" s="1"/>
  <c r="O65" i="9" a="1"/>
  <c r="O65" i="9" s="1"/>
  <c r="O66" i="9" a="1"/>
  <c r="O66" i="9" s="1"/>
  <c r="O67" i="9" a="1"/>
  <c r="O67" i="9" s="1"/>
  <c r="O68" i="9" a="1"/>
  <c r="O68" i="9" s="1"/>
  <c r="O69" i="9" a="1"/>
  <c r="O69" i="9" s="1"/>
  <c r="O70" i="9" a="1"/>
  <c r="O70" i="9" s="1"/>
  <c r="O71" i="9" a="1"/>
  <c r="O71" i="9" s="1"/>
  <c r="O74" i="9" a="1"/>
  <c r="O74" i="9" s="1"/>
  <c r="O75" i="9" a="1"/>
  <c r="O75" i="9" s="1"/>
  <c r="O76" i="9" a="1"/>
  <c r="O76" i="9" s="1"/>
  <c r="O77" i="9" a="1"/>
  <c r="O77" i="9" s="1"/>
  <c r="O78" i="9" a="1"/>
  <c r="O78" i="9" s="1"/>
  <c r="I76" i="9" a="1"/>
  <c r="I76" i="9" s="1"/>
  <c r="I77" i="9" a="1"/>
  <c r="I77" i="9" s="1"/>
  <c r="I78" i="9" a="1"/>
  <c r="I78" i="9" s="1"/>
  <c r="F76" i="9" a="1"/>
  <c r="F76" i="9" s="1"/>
  <c r="F77" i="9" a="1"/>
  <c r="F77" i="9" s="1"/>
  <c r="F78" i="9" a="1"/>
  <c r="F78" i="9" s="1"/>
  <c r="E76" i="9" a="1"/>
  <c r="E76" i="9" s="1"/>
  <c r="E77" i="9" a="1"/>
  <c r="E77" i="9" s="1"/>
  <c r="E78" i="9" a="1"/>
  <c r="E78" i="9" s="1"/>
  <c r="D76" i="9" a="1"/>
  <c r="D76" i="9" s="1"/>
  <c r="D77" i="9" a="1"/>
  <c r="D77" i="9" s="1"/>
  <c r="D78" i="9" a="1"/>
  <c r="D78" i="9" s="1"/>
  <c r="P24" i="9" a="1"/>
  <c r="P24" i="9" s="1"/>
  <c r="P25" i="9" a="1"/>
  <c r="P25" i="9" s="1"/>
  <c r="P26" i="9" a="1"/>
  <c r="P26" i="9" s="1"/>
  <c r="P27" i="9" a="1"/>
  <c r="P27" i="9" s="1"/>
  <c r="P28" i="9" a="1"/>
  <c r="P28" i="9" s="1"/>
  <c r="P29" i="9" a="1"/>
  <c r="P29" i="9" s="1"/>
  <c r="P30" i="9" a="1"/>
  <c r="P30" i="9" s="1"/>
  <c r="P31" i="9" a="1"/>
  <c r="P31" i="9" s="1"/>
  <c r="P34" i="9" a="1"/>
  <c r="P34" i="9" s="1"/>
  <c r="P35" i="9" a="1"/>
  <c r="P35" i="9" s="1"/>
  <c r="P36" i="9" a="1"/>
  <c r="P36" i="9" s="1"/>
  <c r="P37" i="9" a="1"/>
  <c r="P37" i="9" s="1"/>
  <c r="P38" i="9" a="1"/>
  <c r="P38" i="9" s="1"/>
  <c r="O24" i="9" a="1"/>
  <c r="O24" i="9" s="1"/>
  <c r="O25" i="9" a="1"/>
  <c r="O25" i="9" s="1"/>
  <c r="O26" i="9" a="1"/>
  <c r="O26" i="9" s="1"/>
  <c r="O27" i="9" a="1"/>
  <c r="O27" i="9" s="1"/>
  <c r="O28" i="9" a="1"/>
  <c r="O28" i="9" s="1"/>
  <c r="O29" i="9" a="1"/>
  <c r="O29" i="9" s="1"/>
  <c r="O30" i="9" a="1"/>
  <c r="O30" i="9" s="1"/>
  <c r="O31" i="9" a="1"/>
  <c r="O31" i="9" s="1"/>
  <c r="O34" i="9" a="1"/>
  <c r="O34" i="9" s="1"/>
  <c r="O35" i="9" a="1"/>
  <c r="O35" i="9" s="1"/>
  <c r="O36" i="9" a="1"/>
  <c r="O36" i="9" s="1"/>
  <c r="O37" i="9" a="1"/>
  <c r="O37" i="9" s="1"/>
  <c r="O38" i="9" a="1"/>
  <c r="O38" i="9" s="1"/>
  <c r="I36" i="9" a="1"/>
  <c r="I36" i="9" s="1"/>
  <c r="I37" i="9" a="1"/>
  <c r="I37" i="9" s="1"/>
  <c r="I38" i="9" a="1"/>
  <c r="I38" i="9" s="1"/>
  <c r="F36" i="9" a="1"/>
  <c r="F36" i="9" s="1"/>
  <c r="F37" i="9" a="1"/>
  <c r="F37" i="9" s="1"/>
  <c r="F38" i="9" a="1"/>
  <c r="F38" i="9" s="1"/>
  <c r="E36" i="9" a="1"/>
  <c r="E36" i="9" s="1"/>
  <c r="E37" i="9" a="1"/>
  <c r="E37" i="9" s="1"/>
  <c r="E38" i="9" a="1"/>
  <c r="E38" i="9" s="1"/>
  <c r="D36" i="9" a="1"/>
  <c r="D36" i="9" s="1"/>
  <c r="D37" i="9" a="1"/>
  <c r="D37" i="9" s="1"/>
  <c r="D38" i="9" a="1"/>
  <c r="D38" i="9" s="1"/>
  <c r="P4" i="9" a="1"/>
  <c r="P4" i="9" s="1"/>
  <c r="P5" i="9" a="1"/>
  <c r="P5" i="9" s="1"/>
  <c r="P6" i="9" a="1"/>
  <c r="P6" i="9" s="1"/>
  <c r="P7" i="9" a="1"/>
  <c r="P7" i="9" s="1"/>
  <c r="P8" i="9" a="1"/>
  <c r="P8" i="9" s="1"/>
  <c r="P9" i="9" a="1"/>
  <c r="P9" i="9" s="1"/>
  <c r="P10" i="9" a="1"/>
  <c r="P10" i="9" s="1"/>
  <c r="P11" i="9" a="1"/>
  <c r="P11" i="9" s="1"/>
  <c r="P14" i="9" a="1"/>
  <c r="P14" i="9" s="1"/>
  <c r="P15" i="9" a="1"/>
  <c r="P15" i="9" s="1"/>
  <c r="P16" i="9" a="1"/>
  <c r="P16" i="9" s="1"/>
  <c r="P17" i="9" a="1"/>
  <c r="P17" i="9" s="1"/>
  <c r="P18" i="9" a="1"/>
  <c r="P18" i="9" s="1"/>
  <c r="O4" i="9" a="1"/>
  <c r="O4" i="9" s="1"/>
  <c r="O5" i="9" a="1"/>
  <c r="O5" i="9" s="1"/>
  <c r="O6" i="9" a="1"/>
  <c r="O6" i="9" s="1"/>
  <c r="O7" i="9" a="1"/>
  <c r="O7" i="9" s="1"/>
  <c r="O8" i="9" a="1"/>
  <c r="O8" i="9" s="1"/>
  <c r="O9" i="9" a="1"/>
  <c r="O9" i="9" s="1"/>
  <c r="O10" i="9" a="1"/>
  <c r="O10" i="9" s="1"/>
  <c r="O11" i="9" a="1"/>
  <c r="O11" i="9" s="1"/>
  <c r="O14" i="9" a="1"/>
  <c r="O14" i="9" s="1"/>
  <c r="O15" i="9" a="1"/>
  <c r="O15" i="9" s="1"/>
  <c r="O16" i="9" a="1"/>
  <c r="O16" i="9" s="1"/>
  <c r="O17" i="9" a="1"/>
  <c r="O17" i="9" s="1"/>
  <c r="O18" i="9" a="1"/>
  <c r="O18" i="9" s="1"/>
  <c r="F18" i="9" l="1" a="1"/>
  <c r="F18" i="9" s="1"/>
  <c r="F17" i="9" a="1"/>
  <c r="F17" i="9" s="1"/>
  <c r="F16" i="9" a="1"/>
  <c r="F16" i="9" s="1"/>
  <c r="E18" i="9" a="1"/>
  <c r="E18" i="9" s="1"/>
  <c r="E17" i="9" a="1"/>
  <c r="E17" i="9" s="1"/>
  <c r="E16" i="9" a="1"/>
  <c r="E16" i="9" s="1"/>
  <c r="D18" i="9" a="1"/>
  <c r="D18" i="9" s="1"/>
  <c r="D17" i="9" a="1"/>
  <c r="D17" i="9" s="1"/>
  <c r="D16" i="9" a="1"/>
  <c r="D16" i="9" s="1"/>
  <c r="B14" i="6"/>
  <c r="C14" i="6"/>
  <c r="B13" i="6"/>
  <c r="B12" i="6"/>
  <c r="B11" i="6"/>
  <c r="B10" i="6"/>
  <c r="B9" i="6"/>
  <c r="B8" i="6"/>
  <c r="B7" i="6"/>
  <c r="B6" i="6"/>
  <c r="B5" i="6"/>
  <c r="B4" i="6"/>
  <c r="B135" i="9" l="1"/>
  <c r="B136" i="9"/>
  <c r="B137" i="9"/>
  <c r="B138" i="9"/>
  <c r="C135" i="9"/>
  <c r="C136" i="9"/>
  <c r="C137" i="9"/>
  <c r="C138" i="9"/>
  <c r="F135" i="9" a="1"/>
  <c r="F135" i="9" s="1"/>
  <c r="F136" i="9" a="1"/>
  <c r="F136" i="9" s="1"/>
  <c r="F137" i="9" a="1"/>
  <c r="F137" i="9" s="1"/>
  <c r="F138" i="9" a="1"/>
  <c r="F138" i="9" s="1"/>
  <c r="H135" i="9" a="1"/>
  <c r="H135" i="9" s="1"/>
  <c r="H136" i="9" a="1"/>
  <c r="H136" i="9" s="1"/>
  <c r="H137" i="9" a="1"/>
  <c r="H137" i="9" s="1"/>
  <c r="H138" i="9" a="1"/>
  <c r="H138" i="9" s="1"/>
  <c r="I135" i="9" a="1"/>
  <c r="I135" i="9" s="1"/>
  <c r="I136" i="9" a="1"/>
  <c r="I136" i="9" s="1"/>
  <c r="I137" i="9" a="1"/>
  <c r="I137" i="9" s="1"/>
  <c r="I138" i="9" a="1"/>
  <c r="I138" i="9" s="1"/>
  <c r="J135" i="9" a="1"/>
  <c r="J135" i="9" s="1"/>
  <c r="J136" i="9" a="1"/>
  <c r="J136" i="9" s="1"/>
  <c r="J137" i="9" a="1"/>
  <c r="J137" i="9" s="1"/>
  <c r="J138" i="9" a="1"/>
  <c r="J138" i="9" s="1"/>
  <c r="K135" i="9" a="1"/>
  <c r="K135" i="9" s="1"/>
  <c r="K136" i="9" a="1"/>
  <c r="K136" i="9" s="1"/>
  <c r="K137" i="9" a="1"/>
  <c r="K137" i="9" s="1"/>
  <c r="K138" i="9" a="1"/>
  <c r="K138" i="9" s="1"/>
  <c r="M135" i="9" a="1"/>
  <c r="M135" i="9" s="1"/>
  <c r="M136" i="9" a="1"/>
  <c r="M136" i="9" s="1"/>
  <c r="M137" i="9" a="1"/>
  <c r="M137" i="9" s="1"/>
  <c r="M138" i="9" a="1"/>
  <c r="M138" i="9" s="1"/>
  <c r="O135" i="9" a="1"/>
  <c r="O135" i="9" s="1"/>
  <c r="O136" i="9" a="1"/>
  <c r="O136" i="9" s="1"/>
  <c r="O137" i="9" a="1"/>
  <c r="O137" i="9" s="1"/>
  <c r="O138" i="9" a="1"/>
  <c r="O138" i="9" s="1"/>
  <c r="B115" i="9"/>
  <c r="B116" i="9"/>
  <c r="B117" i="9"/>
  <c r="B118" i="9"/>
  <c r="C115" i="9"/>
  <c r="C116" i="9"/>
  <c r="C117" i="9"/>
  <c r="C118" i="9"/>
  <c r="D115" i="9"/>
  <c r="D116" i="9"/>
  <c r="D117" i="9"/>
  <c r="D118" i="9"/>
  <c r="E115" i="9"/>
  <c r="E116" i="9"/>
  <c r="E117" i="9"/>
  <c r="E118" i="9"/>
  <c r="F115" i="9" a="1"/>
  <c r="F115" i="9" s="1"/>
  <c r="F116" i="9" a="1"/>
  <c r="F116" i="9" s="1"/>
  <c r="F117" i="9" a="1"/>
  <c r="F117" i="9" s="1"/>
  <c r="F118" i="9" a="1"/>
  <c r="F118" i="9" s="1"/>
  <c r="G115" i="9" a="1"/>
  <c r="G115" i="9" s="1"/>
  <c r="G116" i="9" a="1"/>
  <c r="G116" i="9" s="1"/>
  <c r="G117" i="9" a="1"/>
  <c r="G117" i="9" s="1"/>
  <c r="G118" i="9" a="1"/>
  <c r="G118" i="9" s="1"/>
  <c r="I115" i="9"/>
  <c r="I116" i="9"/>
  <c r="I117" i="9"/>
  <c r="I118" i="9"/>
  <c r="J115" i="9"/>
  <c r="J116" i="9"/>
  <c r="J117" i="9"/>
  <c r="J118" i="9"/>
  <c r="B95" i="9"/>
  <c r="B96" i="9"/>
  <c r="B97" i="9"/>
  <c r="B98" i="9"/>
  <c r="C95" i="9"/>
  <c r="C96" i="9"/>
  <c r="C97" i="9"/>
  <c r="C98" i="9"/>
  <c r="K95" i="9"/>
  <c r="K96" i="9"/>
  <c r="K97" i="9"/>
  <c r="K98" i="9"/>
  <c r="L95" i="9"/>
  <c r="L96" i="9"/>
  <c r="L97" i="9"/>
  <c r="L98" i="9"/>
  <c r="M95" i="9"/>
  <c r="M96" i="9"/>
  <c r="M97" i="9"/>
  <c r="M98" i="9"/>
  <c r="N95" i="9"/>
  <c r="N96" i="9"/>
  <c r="N97" i="9"/>
  <c r="N98" i="9"/>
  <c r="B75" i="9"/>
  <c r="B76" i="9"/>
  <c r="B77" i="9"/>
  <c r="B78" i="9"/>
  <c r="C75" i="9"/>
  <c r="C76" i="9"/>
  <c r="C77" i="9"/>
  <c r="C78" i="9"/>
  <c r="K75" i="9"/>
  <c r="K76" i="9"/>
  <c r="K77" i="9"/>
  <c r="K78" i="9"/>
  <c r="L75" i="9"/>
  <c r="L76" i="9"/>
  <c r="L77" i="9"/>
  <c r="L78" i="9"/>
  <c r="M75" i="9"/>
  <c r="M76" i="9"/>
  <c r="M77" i="9"/>
  <c r="M78" i="9"/>
  <c r="N75" i="9"/>
  <c r="N76" i="9"/>
  <c r="N77" i="9"/>
  <c r="N78" i="9"/>
  <c r="B55" i="9"/>
  <c r="B56" i="9"/>
  <c r="B57" i="9"/>
  <c r="B58" i="9"/>
  <c r="C55" i="9"/>
  <c r="C56" i="9"/>
  <c r="C57" i="9"/>
  <c r="C58" i="9"/>
  <c r="D55" i="9"/>
  <c r="D56" i="9"/>
  <c r="D57" i="9"/>
  <c r="D58" i="9"/>
  <c r="H55" i="9"/>
  <c r="H56" i="9"/>
  <c r="H57" i="9"/>
  <c r="H58" i="9"/>
  <c r="B35" i="9"/>
  <c r="B36" i="9"/>
  <c r="B37" i="9"/>
  <c r="B38" i="9"/>
  <c r="C35" i="9"/>
  <c r="C36" i="9"/>
  <c r="C37" i="9"/>
  <c r="C38" i="9"/>
  <c r="K35" i="9"/>
  <c r="K36" i="9"/>
  <c r="K37" i="9"/>
  <c r="K38" i="9"/>
  <c r="L35" i="9"/>
  <c r="L36" i="9"/>
  <c r="L37" i="9"/>
  <c r="L38" i="9"/>
  <c r="M35" i="9"/>
  <c r="M36" i="9"/>
  <c r="M37" i="9"/>
  <c r="M38" i="9"/>
  <c r="N35" i="9"/>
  <c r="N36" i="9"/>
  <c r="N37" i="9"/>
  <c r="N38" i="9"/>
  <c r="B15" i="9"/>
  <c r="B16" i="9"/>
  <c r="B17" i="9"/>
  <c r="B18" i="9"/>
  <c r="C15" i="9"/>
  <c r="I15" i="9" s="1" a="1"/>
  <c r="I15" i="9" s="1"/>
  <c r="C16" i="9"/>
  <c r="C17" i="9"/>
  <c r="C18" i="9"/>
  <c r="K15" i="9"/>
  <c r="K16" i="9"/>
  <c r="K17" i="9"/>
  <c r="K18" i="9"/>
  <c r="L15" i="9"/>
  <c r="L16" i="9"/>
  <c r="L17" i="9"/>
  <c r="L18" i="9"/>
  <c r="M15" i="9"/>
  <c r="M16" i="9"/>
  <c r="M17" i="9"/>
  <c r="M18" i="9"/>
  <c r="N15" i="9"/>
  <c r="N16" i="9"/>
  <c r="N17" i="9"/>
  <c r="N18" i="9"/>
  <c r="G136" i="9" a="1"/>
  <c r="G136" i="9" s="1"/>
  <c r="N138" i="9" a="1"/>
  <c r="N138" i="9" s="1"/>
  <c r="E137" i="9" a="1"/>
  <c r="E137" i="9" s="1"/>
  <c r="G17" i="9"/>
  <c r="N137" i="9" l="1" a="1"/>
  <c r="N137" i="9" s="1"/>
  <c r="E136" i="9" a="1"/>
  <c r="E136" i="9" s="1"/>
  <c r="N136" i="9" a="1"/>
  <c r="N136" i="9" s="1"/>
  <c r="G138" i="9" a="1"/>
  <c r="G138" i="9" s="1"/>
  <c r="P136" i="9" a="1"/>
  <c r="P136" i="9" s="1"/>
  <c r="G137" i="9" a="1"/>
  <c r="G137" i="9" s="1"/>
  <c r="H76" i="9"/>
  <c r="P138" i="9" a="1"/>
  <c r="P138" i="9" s="1"/>
  <c r="E138" i="9" a="1"/>
  <c r="E138" i="9" s="1"/>
  <c r="P137" i="9" a="1"/>
  <c r="P137" i="9" s="1"/>
  <c r="Q138" i="9"/>
  <c r="L138" i="9"/>
  <c r="L137" i="9"/>
  <c r="Q137" i="9"/>
  <c r="L136" i="9"/>
  <c r="Q136" i="9"/>
  <c r="L135" i="9"/>
  <c r="Q135" i="9"/>
  <c r="H118" i="9"/>
  <c r="K118" i="9"/>
  <c r="H117" i="9"/>
  <c r="K117" i="9"/>
  <c r="H116" i="9"/>
  <c r="K116" i="9"/>
  <c r="H115" i="9"/>
  <c r="K115" i="9"/>
  <c r="G77" i="9"/>
  <c r="H78" i="9"/>
  <c r="H77" i="9"/>
  <c r="L85" i="9"/>
  <c r="G96" i="9"/>
  <c r="G97" i="9"/>
  <c r="G98" i="9"/>
  <c r="H96" i="9"/>
  <c r="H97" i="9"/>
  <c r="H98" i="9"/>
  <c r="G76" i="9"/>
  <c r="L65" i="9"/>
  <c r="G16" i="9"/>
  <c r="H18" i="9"/>
  <c r="H16" i="9"/>
  <c r="G18" i="9"/>
  <c r="L25" i="9"/>
  <c r="G36" i="9"/>
  <c r="G37" i="9"/>
  <c r="G38" i="9"/>
  <c r="H36" i="9"/>
  <c r="H37" i="9"/>
  <c r="H38" i="9"/>
  <c r="H17" i="9"/>
  <c r="M6" i="9"/>
  <c r="L6" i="9"/>
  <c r="L5" i="9"/>
  <c r="N88" i="9"/>
  <c r="N89" i="9"/>
  <c r="N90" i="9"/>
  <c r="N91" i="9"/>
  <c r="N94" i="9"/>
  <c r="M87" i="9"/>
  <c r="M88" i="9"/>
  <c r="M89" i="9"/>
  <c r="M90" i="9"/>
  <c r="M91" i="9"/>
  <c r="M92" i="9"/>
  <c r="M93" i="9"/>
  <c r="M94" i="9"/>
  <c r="L87" i="9"/>
  <c r="L88" i="9"/>
  <c r="L89" i="9"/>
  <c r="L90" i="9"/>
  <c r="L91" i="9"/>
  <c r="L92" i="9"/>
  <c r="L93" i="9"/>
  <c r="L94" i="9"/>
  <c r="K88" i="9"/>
  <c r="K89" i="9"/>
  <c r="K90" i="9"/>
  <c r="K91" i="9"/>
  <c r="K92" i="9"/>
  <c r="K93" i="9"/>
  <c r="K94" i="9"/>
  <c r="K74" i="9"/>
  <c r="K73" i="9"/>
  <c r="K72" i="9"/>
  <c r="K71" i="9"/>
  <c r="K70" i="9"/>
  <c r="K69" i="9"/>
  <c r="K68" i="9"/>
  <c r="L67" i="9"/>
  <c r="L68" i="9"/>
  <c r="L69" i="9"/>
  <c r="L70" i="9"/>
  <c r="L71" i="9"/>
  <c r="L72" i="9"/>
  <c r="L73" i="9"/>
  <c r="L74" i="9"/>
  <c r="M74" i="9"/>
  <c r="M73" i="9"/>
  <c r="M72" i="9"/>
  <c r="M71" i="9"/>
  <c r="M70" i="9"/>
  <c r="M69" i="9"/>
  <c r="M68" i="9"/>
  <c r="M67" i="9"/>
  <c r="N68" i="9"/>
  <c r="N69" i="9"/>
  <c r="N70" i="9"/>
  <c r="N71" i="9"/>
  <c r="N74" i="9"/>
  <c r="K34" i="9"/>
  <c r="K33" i="9"/>
  <c r="K32" i="9"/>
  <c r="K31" i="9"/>
  <c r="K30" i="9"/>
  <c r="K29" i="9"/>
  <c r="K28" i="9"/>
  <c r="L34" i="9"/>
  <c r="L33" i="9"/>
  <c r="L32" i="9"/>
  <c r="L31" i="9"/>
  <c r="L30" i="9"/>
  <c r="L29" i="9"/>
  <c r="L28" i="9"/>
  <c r="L27" i="9"/>
  <c r="M34" i="9"/>
  <c r="M33" i="9"/>
  <c r="M32" i="9"/>
  <c r="M31" i="9"/>
  <c r="M30" i="9"/>
  <c r="M29" i="9"/>
  <c r="M28" i="9"/>
  <c r="M27" i="9"/>
  <c r="N34" i="9"/>
  <c r="N31" i="9"/>
  <c r="N30" i="9"/>
  <c r="N29" i="9"/>
  <c r="N28" i="9"/>
  <c r="K14" i="9"/>
  <c r="K13" i="9"/>
  <c r="K12" i="9"/>
  <c r="K11" i="9"/>
  <c r="K10" i="9"/>
  <c r="K9" i="9"/>
  <c r="K8" i="9"/>
  <c r="L14" i="9"/>
  <c r="L13" i="9"/>
  <c r="L12" i="9"/>
  <c r="L11" i="9"/>
  <c r="L10" i="9"/>
  <c r="L9" i="9"/>
  <c r="L8" i="9"/>
  <c r="L7" i="9"/>
  <c r="M14" i="9"/>
  <c r="M13" i="9"/>
  <c r="M12" i="9"/>
  <c r="M11" i="9"/>
  <c r="M10" i="9"/>
  <c r="M9" i="9"/>
  <c r="M8" i="9"/>
  <c r="M7" i="9"/>
  <c r="N14" i="9"/>
  <c r="N11" i="9"/>
  <c r="N10" i="9"/>
  <c r="N9" i="9"/>
  <c r="N8" i="9"/>
  <c r="J96" i="9" l="1"/>
  <c r="Q96" i="9" s="1"/>
  <c r="J77" i="9"/>
  <c r="Q77" i="9" s="1"/>
  <c r="G78" i="9"/>
  <c r="J78" i="9" s="1"/>
  <c r="Q78" i="9" s="1"/>
  <c r="J76" i="9"/>
  <c r="Q76" i="9" s="1"/>
  <c r="J97" i="9"/>
  <c r="Q97" i="9" s="1"/>
  <c r="R138" i="9"/>
  <c r="S138" i="9" s="1"/>
  <c r="T138" i="9" s="1"/>
  <c r="J98" i="9"/>
  <c r="Q98" i="9" s="1"/>
  <c r="M66" i="9"/>
  <c r="L66" i="9"/>
  <c r="M86" i="9"/>
  <c r="L86" i="9"/>
  <c r="L26" i="9"/>
  <c r="M26" i="9"/>
  <c r="R136" i="9"/>
  <c r="S136" i="9" s="1"/>
  <c r="T136" i="9" s="1"/>
  <c r="L115" i="9"/>
  <c r="M115" i="9" s="1"/>
  <c r="N115" i="9" s="1"/>
  <c r="R135" i="9"/>
  <c r="J37" i="9"/>
  <c r="Q37" i="9" s="1"/>
  <c r="J16" i="9"/>
  <c r="Q16" i="9" s="1"/>
  <c r="R137" i="9"/>
  <c r="J36" i="9"/>
  <c r="Q36" i="9" s="1"/>
  <c r="L116" i="9"/>
  <c r="L117" i="9"/>
  <c r="L118" i="9"/>
  <c r="J38" i="9"/>
  <c r="Q38" i="9" s="1"/>
  <c r="J17" i="9"/>
  <c r="Q17" i="9" s="1"/>
  <c r="J18" i="9"/>
  <c r="Q18" i="9" s="1"/>
  <c r="S137" i="9" l="1"/>
  <c r="T137" i="9" s="1"/>
  <c r="M118" i="9"/>
  <c r="N118" i="9" s="1"/>
  <c r="M117" i="9"/>
  <c r="N117" i="9" s="1"/>
  <c r="M116" i="9"/>
  <c r="N116" i="9" s="1"/>
  <c r="M54" i="6"/>
  <c r="M47" i="6"/>
  <c r="B205" i="32"/>
  <c r="B206" i="32"/>
  <c r="B207" i="32"/>
  <c r="B208" i="32"/>
  <c r="C205" i="32"/>
  <c r="C206" i="32"/>
  <c r="C207" i="32"/>
  <c r="C208" i="32"/>
  <c r="B201" i="32"/>
  <c r="B202" i="32"/>
  <c r="B203" i="32"/>
  <c r="B204" i="32"/>
  <c r="C201" i="32"/>
  <c r="C202" i="32"/>
  <c r="C203" i="32"/>
  <c r="C204" i="32"/>
  <c r="B163" i="32"/>
  <c r="B164" i="32"/>
  <c r="B165" i="32"/>
  <c r="B166" i="32"/>
  <c r="C163" i="32"/>
  <c r="C164" i="32"/>
  <c r="C165" i="32"/>
  <c r="C166" i="32"/>
  <c r="C162" i="32"/>
  <c r="C161" i="32"/>
  <c r="C160" i="32"/>
  <c r="C159" i="32"/>
  <c r="B162" i="32"/>
  <c r="B161" i="32"/>
  <c r="B160" i="32"/>
  <c r="B159" i="32"/>
  <c r="B121" i="32"/>
  <c r="B122" i="32"/>
  <c r="B123" i="32"/>
  <c r="B124" i="32"/>
  <c r="C121" i="32"/>
  <c r="C122" i="32"/>
  <c r="C123" i="32"/>
  <c r="C124" i="32"/>
  <c r="B117" i="32"/>
  <c r="B118" i="32"/>
  <c r="B119" i="32"/>
  <c r="B120" i="32"/>
  <c r="C117" i="32"/>
  <c r="C118" i="32"/>
  <c r="C119" i="32"/>
  <c r="C120" i="32"/>
  <c r="B79" i="32"/>
  <c r="B80" i="32"/>
  <c r="B81" i="32"/>
  <c r="B82" i="32"/>
  <c r="C79" i="32"/>
  <c r="C80" i="32"/>
  <c r="C81" i="32"/>
  <c r="C82" i="32"/>
  <c r="B75" i="32"/>
  <c r="B76" i="32"/>
  <c r="B77" i="32"/>
  <c r="B78" i="32"/>
  <c r="C75" i="32"/>
  <c r="C76" i="32"/>
  <c r="C77" i="32"/>
  <c r="C78" i="32"/>
  <c r="O685" i="2"/>
  <c r="B37" i="32"/>
  <c r="B38" i="32"/>
  <c r="B39" i="32"/>
  <c r="B40" i="32"/>
  <c r="C37" i="32"/>
  <c r="C38" i="32"/>
  <c r="C39" i="32"/>
  <c r="C40" i="32"/>
  <c r="B33" i="32"/>
  <c r="B34" i="32"/>
  <c r="B35" i="32"/>
  <c r="B36" i="32"/>
  <c r="C33" i="32"/>
  <c r="C34" i="32"/>
  <c r="C35" i="32"/>
  <c r="C36" i="32"/>
  <c r="D120" i="32"/>
  <c r="D117" i="32"/>
  <c r="D118" i="32"/>
  <c r="D121" i="32"/>
  <c r="D122" i="32"/>
  <c r="H122"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H214" i="32"/>
  <c r="H215" i="32"/>
  <c r="H216" i="32"/>
  <c r="H217" i="32"/>
  <c r="H218" i="32"/>
  <c r="H219" i="32"/>
  <c r="H220" i="32"/>
  <c r="H221" i="32"/>
  <c r="H222" i="32"/>
  <c r="H223" i="32"/>
  <c r="H224" i="32"/>
  <c r="H225" i="32"/>
  <c r="H226" i="32"/>
  <c r="H227" i="32"/>
  <c r="H228" i="32"/>
  <c r="H229" i="32"/>
  <c r="H230" i="32"/>
  <c r="H231" i="32"/>
  <c r="H232" i="32"/>
  <c r="H233" i="32"/>
  <c r="H234" i="32"/>
  <c r="H235" i="32"/>
  <c r="H236" i="32"/>
  <c r="H237" i="32"/>
  <c r="H238" i="32"/>
  <c r="H239" i="32"/>
  <c r="H240" i="32"/>
  <c r="H241" i="32"/>
  <c r="H242" i="32"/>
  <c r="B276" i="32"/>
  <c r="C276" i="32"/>
  <c r="B274" i="32"/>
  <c r="B275" i="32"/>
  <c r="C274" i="32"/>
  <c r="C275" i="32"/>
  <c r="B259" i="32"/>
  <c r="B260" i="32"/>
  <c r="B261" i="32"/>
  <c r="B262" i="32"/>
  <c r="B263" i="32"/>
  <c r="B264" i="32"/>
  <c r="B265" i="32"/>
  <c r="B266" i="32"/>
  <c r="B267" i="32"/>
  <c r="B268" i="32"/>
  <c r="B269" i="32"/>
  <c r="B270" i="32"/>
  <c r="B271" i="32"/>
  <c r="B272" i="32"/>
  <c r="B273" i="32"/>
  <c r="C259" i="32"/>
  <c r="C260" i="32"/>
  <c r="C261" i="32"/>
  <c r="C262" i="32"/>
  <c r="C263" i="32"/>
  <c r="C264" i="32"/>
  <c r="C265" i="32"/>
  <c r="C266" i="32"/>
  <c r="C267" i="32"/>
  <c r="C268" i="32"/>
  <c r="C269" i="32"/>
  <c r="C270" i="32"/>
  <c r="C271" i="32"/>
  <c r="C272" i="32"/>
  <c r="C273" i="32"/>
  <c r="C248" i="32"/>
  <c r="C249" i="32"/>
  <c r="C250" i="32"/>
  <c r="C251" i="32"/>
  <c r="C252" i="32"/>
  <c r="C253" i="32"/>
  <c r="C254" i="32"/>
  <c r="C255" i="32"/>
  <c r="C256" i="32"/>
  <c r="C257" i="32"/>
  <c r="C258" i="32"/>
  <c r="B248" i="32"/>
  <c r="B249" i="32"/>
  <c r="B250" i="32"/>
  <c r="B251" i="32"/>
  <c r="B252" i="32"/>
  <c r="B253" i="32"/>
  <c r="B254" i="32"/>
  <c r="B255" i="32"/>
  <c r="B256" i="32"/>
  <c r="B257" i="32"/>
  <c r="B258" i="32"/>
  <c r="Q172" i="32"/>
  <c r="Q176" i="32"/>
  <c r="Q179" i="32"/>
  <c r="Q193" i="32"/>
  <c r="P172" i="32"/>
  <c r="P176" i="32"/>
  <c r="P179" i="32"/>
  <c r="P193" i="32"/>
  <c r="I172" i="32"/>
  <c r="I176" i="32"/>
  <c r="I179" i="32"/>
  <c r="I193" i="32"/>
  <c r="H172" i="32"/>
  <c r="H176" i="32"/>
  <c r="H179" i="32"/>
  <c r="H193" i="32"/>
  <c r="G172" i="32"/>
  <c r="G176" i="32"/>
  <c r="G179" i="32"/>
  <c r="G193" i="32"/>
  <c r="F172" i="32"/>
  <c r="F176" i="32"/>
  <c r="F179" i="32"/>
  <c r="F193" i="32"/>
  <c r="E172" i="32"/>
  <c r="E176" i="32"/>
  <c r="E179" i="32"/>
  <c r="E193" i="32"/>
  <c r="D172" i="32"/>
  <c r="D176" i="32"/>
  <c r="D179" i="32"/>
  <c r="D193" i="32"/>
  <c r="Q130" i="32"/>
  <c r="Q134" i="32"/>
  <c r="Q137" i="32"/>
  <c r="Q151" i="32"/>
  <c r="P130" i="32"/>
  <c r="P134" i="32"/>
  <c r="P137" i="32"/>
  <c r="P151" i="32"/>
  <c r="I130" i="32"/>
  <c r="I134" i="32"/>
  <c r="I137" i="32"/>
  <c r="I151" i="32"/>
  <c r="H130" i="32"/>
  <c r="H134" i="32"/>
  <c r="H137" i="32"/>
  <c r="H151" i="32"/>
  <c r="G130" i="32"/>
  <c r="G134" i="32"/>
  <c r="G137" i="32"/>
  <c r="G151" i="32"/>
  <c r="F130" i="32"/>
  <c r="F134" i="32"/>
  <c r="F137" i="32"/>
  <c r="F151" i="32"/>
  <c r="E130" i="32"/>
  <c r="E134" i="32"/>
  <c r="E137" i="32"/>
  <c r="E151" i="32"/>
  <c r="D130" i="32"/>
  <c r="D134" i="32"/>
  <c r="D137" i="32"/>
  <c r="D151" i="32"/>
  <c r="Q46" i="32"/>
  <c r="Q50" i="32"/>
  <c r="Q53" i="32"/>
  <c r="Q67" i="32"/>
  <c r="P46" i="32"/>
  <c r="P50" i="32"/>
  <c r="P53" i="32"/>
  <c r="P67" i="32"/>
  <c r="J46" i="32"/>
  <c r="J50" i="32"/>
  <c r="J53" i="32"/>
  <c r="J67" i="32"/>
  <c r="I46" i="32"/>
  <c r="I50" i="32"/>
  <c r="I53" i="32"/>
  <c r="I67" i="32"/>
  <c r="H46" i="32"/>
  <c r="H50" i="32"/>
  <c r="H53" i="32"/>
  <c r="H67" i="32"/>
  <c r="G46" i="32"/>
  <c r="G50" i="32"/>
  <c r="G53" i="32"/>
  <c r="G67" i="32"/>
  <c r="F46" i="32"/>
  <c r="F50" i="32"/>
  <c r="F53" i="32"/>
  <c r="F67" i="32"/>
  <c r="E46" i="32"/>
  <c r="E50" i="32"/>
  <c r="E53" i="32"/>
  <c r="E67" i="32"/>
  <c r="D46" i="32"/>
  <c r="D50" i="32"/>
  <c r="D53" i="32"/>
  <c r="D67" i="32"/>
  <c r="Q4" i="32"/>
  <c r="Q8" i="32"/>
  <c r="Q11" i="32"/>
  <c r="Q25" i="32"/>
  <c r="P4" i="32"/>
  <c r="P8" i="32"/>
  <c r="P11" i="32"/>
  <c r="P25" i="32"/>
  <c r="J4" i="32"/>
  <c r="J8" i="32"/>
  <c r="J11" i="32"/>
  <c r="J25" i="32"/>
  <c r="I4" i="32"/>
  <c r="I8" i="32"/>
  <c r="I11" i="32"/>
  <c r="I25" i="32"/>
  <c r="H4" i="32"/>
  <c r="H8" i="32"/>
  <c r="H11" i="32"/>
  <c r="H25" i="32"/>
  <c r="G4" i="32"/>
  <c r="G8" i="32"/>
  <c r="G11" i="32"/>
  <c r="G25" i="32"/>
  <c r="F4" i="32"/>
  <c r="F8" i="32"/>
  <c r="F11" i="32"/>
  <c r="F25" i="32"/>
  <c r="E4" i="32"/>
  <c r="E8" i="32"/>
  <c r="E11" i="32"/>
  <c r="E25" i="32"/>
  <c r="D8" i="32"/>
  <c r="D11" i="32"/>
  <c r="D25" i="32"/>
  <c r="M818" i="2"/>
  <c r="M812" i="2"/>
  <c r="Q809" i="2"/>
  <c r="M809" i="2"/>
  <c r="Q805" i="2"/>
  <c r="M805" i="2"/>
  <c r="M798" i="2"/>
  <c r="Q795" i="2"/>
  <c r="M795"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M723" i="2"/>
  <c r="Y696" i="2"/>
  <c r="X696" i="2"/>
  <c r="W696" i="2"/>
  <c r="V696" i="2"/>
  <c r="U696" i="2"/>
  <c r="T696" i="2"/>
  <c r="S696" i="2"/>
  <c r="R696" i="2"/>
  <c r="Q696" i="2"/>
  <c r="P696" i="2"/>
  <c r="O696" i="2"/>
  <c r="M696" i="2"/>
  <c r="Y695" i="2"/>
  <c r="X695" i="2"/>
  <c r="W695" i="2"/>
  <c r="V695" i="2"/>
  <c r="U695" i="2"/>
  <c r="T695" i="2"/>
  <c r="S695" i="2"/>
  <c r="R695" i="2"/>
  <c r="Q695" i="2"/>
  <c r="P695" i="2"/>
  <c r="O695" i="2"/>
  <c r="M695" i="2"/>
  <c r="Y694" i="2"/>
  <c r="X694" i="2"/>
  <c r="W694" i="2"/>
  <c r="V694" i="2"/>
  <c r="U694" i="2"/>
  <c r="T694" i="2"/>
  <c r="S694" i="2"/>
  <c r="R694" i="2"/>
  <c r="Q694" i="2"/>
  <c r="P694" i="2"/>
  <c r="O694" i="2"/>
  <c r="M694" i="2"/>
  <c r="Y691" i="2"/>
  <c r="X691" i="2"/>
  <c r="W691" i="2"/>
  <c r="V691" i="2"/>
  <c r="U691" i="2"/>
  <c r="T691" i="2"/>
  <c r="S691" i="2"/>
  <c r="R691" i="2"/>
  <c r="Q691" i="2"/>
  <c r="P691" i="2"/>
  <c r="O691" i="2"/>
  <c r="Y690" i="2"/>
  <c r="X690" i="2"/>
  <c r="W690" i="2"/>
  <c r="V690" i="2"/>
  <c r="U690" i="2"/>
  <c r="T690" i="2"/>
  <c r="S690" i="2"/>
  <c r="R690" i="2"/>
  <c r="Q690" i="2"/>
  <c r="P690" i="2"/>
  <c r="O690" i="2"/>
  <c r="Y688" i="2"/>
  <c r="X688" i="2"/>
  <c r="W688" i="2"/>
  <c r="V688" i="2"/>
  <c r="U688" i="2"/>
  <c r="T688" i="2"/>
  <c r="S688" i="2"/>
  <c r="R688" i="2"/>
  <c r="Q688" i="2"/>
  <c r="P688" i="2"/>
  <c r="O688" i="2"/>
  <c r="M688" i="2"/>
  <c r="Y687" i="2"/>
  <c r="X687" i="2"/>
  <c r="W687" i="2"/>
  <c r="V687" i="2"/>
  <c r="U687" i="2"/>
  <c r="T687" i="2"/>
  <c r="S687" i="2"/>
  <c r="R687" i="2"/>
  <c r="Q687" i="2"/>
  <c r="P687" i="2"/>
  <c r="O687" i="2"/>
  <c r="M687" i="2"/>
  <c r="Y686" i="2"/>
  <c r="X686" i="2"/>
  <c r="W686" i="2"/>
  <c r="V686" i="2"/>
  <c r="U686" i="2"/>
  <c r="T686" i="2"/>
  <c r="S686" i="2"/>
  <c r="R686" i="2"/>
  <c r="Q686" i="2"/>
  <c r="P686" i="2"/>
  <c r="O686" i="2"/>
  <c r="M686" i="2"/>
  <c r="Y685" i="2"/>
  <c r="X685" i="2"/>
  <c r="W685" i="2"/>
  <c r="V685" i="2"/>
  <c r="U685" i="2"/>
  <c r="T685" i="2"/>
  <c r="S685" i="2"/>
  <c r="R685" i="2"/>
  <c r="Q685" i="2"/>
  <c r="P685" i="2"/>
  <c r="Y693" i="2"/>
  <c r="X693" i="2"/>
  <c r="W693" i="2"/>
  <c r="V693" i="2"/>
  <c r="U693" i="2"/>
  <c r="Y692" i="2"/>
  <c r="X692" i="2"/>
  <c r="W692" i="2"/>
  <c r="V692" i="2"/>
  <c r="U692" i="2"/>
  <c r="T692" i="2"/>
  <c r="S692" i="2"/>
  <c r="R692" i="2"/>
  <c r="Q692" i="2"/>
  <c r="P692" i="2"/>
  <c r="O692" i="2"/>
  <c r="L696" i="2"/>
  <c r="L695" i="2"/>
  <c r="L694" i="2"/>
  <c r="L693" i="2"/>
  <c r="L692" i="2"/>
  <c r="L691" i="2"/>
  <c r="L690" i="2"/>
  <c r="L689" i="2"/>
  <c r="L688" i="2"/>
  <c r="L687" i="2"/>
  <c r="L686" i="2"/>
  <c r="L685" i="2"/>
  <c r="L684"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W98" i="32"/>
  <c r="W97" i="32"/>
  <c r="V97" i="32"/>
  <c r="V98" i="32"/>
  <c r="H124" i="32" l="1"/>
  <c r="H120" i="32"/>
  <c r="H121" i="32"/>
  <c r="H118" i="32"/>
  <c r="D124" i="32"/>
  <c r="H117" i="32"/>
  <c r="H119" i="32"/>
  <c r="D119" i="32"/>
  <c r="X97" i="32"/>
  <c r="Y97" i="32" s="1"/>
  <c r="X98" i="32"/>
  <c r="Y98" i="32" s="1"/>
  <c r="L226" i="32"/>
  <c r="M226" i="32" s="1"/>
  <c r="L239" i="32"/>
  <c r="L231" i="32"/>
  <c r="M231" i="32" s="1"/>
  <c r="N231" i="32" s="1"/>
  <c r="L223" i="32"/>
  <c r="M223" i="32" s="1"/>
  <c r="N223" i="32" s="1"/>
  <c r="L215" i="32"/>
  <c r="M215" i="32" s="1"/>
  <c r="N215" i="32" s="1"/>
  <c r="L232" i="32"/>
  <c r="M232" i="32" s="1"/>
  <c r="N232" i="32" s="1"/>
  <c r="L224" i="32"/>
  <c r="M224" i="32" s="1"/>
  <c r="N224" i="32" s="1"/>
  <c r="L228" i="32"/>
  <c r="M228" i="32" s="1"/>
  <c r="N228" i="32" s="1"/>
  <c r="L220" i="32"/>
  <c r="M220" i="32" s="1"/>
  <c r="N220" i="32" s="1"/>
  <c r="L238" i="32"/>
  <c r="M238" i="32" s="1"/>
  <c r="N238" i="32" s="1"/>
  <c r="L222" i="32"/>
  <c r="L214" i="32"/>
  <c r="L240" i="32"/>
  <c r="M240" i="32" s="1"/>
  <c r="N240" i="32" s="1"/>
  <c r="L216" i="32"/>
  <c r="M216" i="32" s="1"/>
  <c r="N216" i="32" s="1"/>
  <c r="L237" i="32"/>
  <c r="M237" i="32" s="1"/>
  <c r="N237" i="32" s="1"/>
  <c r="L229" i="32"/>
  <c r="L221" i="32"/>
  <c r="M221" i="32" s="1"/>
  <c r="N221" i="32" s="1"/>
  <c r="L230" i="32"/>
  <c r="M230" i="32" s="1"/>
  <c r="L234" i="32"/>
  <c r="M234" i="32" s="1"/>
  <c r="L218" i="32"/>
  <c r="M218" i="32" s="1"/>
  <c r="L242" i="32"/>
  <c r="M242" i="32" s="1"/>
  <c r="L236" i="32"/>
  <c r="M236" i="32" s="1"/>
  <c r="N236" i="32" s="1"/>
  <c r="M239" i="32"/>
  <c r="N239" i="32" s="1"/>
  <c r="L241" i="32"/>
  <c r="M241" i="32" s="1"/>
  <c r="N241" i="32" s="1"/>
  <c r="L233" i="32"/>
  <c r="M233" i="32" s="1"/>
  <c r="N233" i="32" s="1"/>
  <c r="L225" i="32"/>
  <c r="M225" i="32" s="1"/>
  <c r="N225" i="32" s="1"/>
  <c r="L217" i="32"/>
  <c r="M217" i="32" s="1"/>
  <c r="N217" i="32" s="1"/>
  <c r="L235" i="32"/>
  <c r="M235" i="32" s="1"/>
  <c r="N235" i="32" s="1"/>
  <c r="L227" i="32"/>
  <c r="M227" i="32" s="1"/>
  <c r="N227" i="32" s="1"/>
  <c r="L219" i="32"/>
  <c r="M219" i="32" s="1"/>
  <c r="M222" i="32"/>
  <c r="N222" i="32" s="1"/>
  <c r="M214" i="32"/>
  <c r="N214" i="32" s="1"/>
  <c r="M229" i="32"/>
  <c r="N229" i="32" s="1"/>
  <c r="N226" i="32"/>
  <c r="M804" i="2"/>
  <c r="M690" i="2"/>
  <c r="Z98" i="32" l="1"/>
  <c r="Z97" i="32"/>
  <c r="H123" i="32"/>
  <c r="D123" i="32"/>
  <c r="N234" i="32"/>
  <c r="N242" i="32"/>
  <c r="N230" i="32"/>
  <c r="N218" i="32"/>
  <c r="N219" i="32"/>
  <c r="BJ110" i="2" l="1"/>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BJ103" i="2"/>
  <c r="BI103" i="2"/>
  <c r="BH103" i="2"/>
  <c r="BG103" i="2"/>
  <c r="BF103" i="2"/>
  <c r="BE103" i="2"/>
  <c r="BD103" i="2"/>
  <c r="BC103" i="2"/>
  <c r="BB103" i="2"/>
  <c r="BA103" i="2"/>
  <c r="AZ103" i="2"/>
  <c r="AY103" i="2"/>
  <c r="AX103" i="2"/>
  <c r="AW103" i="2"/>
  <c r="AV103" i="2"/>
  <c r="AU103"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BJ102" i="2"/>
  <c r="BI102" i="2"/>
  <c r="BH102" i="2"/>
  <c r="BG102" i="2"/>
  <c r="BF102" i="2"/>
  <c r="BE102" i="2"/>
  <c r="BD102"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BJ101" i="2"/>
  <c r="BI101" i="2"/>
  <c r="BH101" i="2"/>
  <c r="BG101" i="2"/>
  <c r="BF101" i="2"/>
  <c r="BE101" i="2"/>
  <c r="BD101" i="2"/>
  <c r="BC101" i="2"/>
  <c r="BB101" i="2"/>
  <c r="BA101" i="2"/>
  <c r="AZ101" i="2"/>
  <c r="AY101" i="2"/>
  <c r="AX101" i="2"/>
  <c r="AW101" i="2"/>
  <c r="AV101" i="2"/>
  <c r="AU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BJ100" i="2"/>
  <c r="BI100" i="2"/>
  <c r="BH100" i="2"/>
  <c r="BG100" i="2"/>
  <c r="BF100" i="2"/>
  <c r="BE100" i="2"/>
  <c r="BD100" i="2"/>
  <c r="BC100" i="2"/>
  <c r="BB100" i="2"/>
  <c r="BA100" i="2"/>
  <c r="AZ100" i="2"/>
  <c r="AY100" i="2"/>
  <c r="AX100" i="2"/>
  <c r="AW100" i="2"/>
  <c r="AV100" i="2"/>
  <c r="AU100"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BJ99" i="2"/>
  <c r="BI99" i="2"/>
  <c r="BH99" i="2"/>
  <c r="BG99" i="2"/>
  <c r="BF99" i="2"/>
  <c r="BE99" i="2"/>
  <c r="BD99"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M110" i="2"/>
  <c r="M109" i="2"/>
  <c r="M108" i="2"/>
  <c r="M107" i="2"/>
  <c r="M106" i="2"/>
  <c r="M105" i="2"/>
  <c r="M104" i="2"/>
  <c r="M103" i="2"/>
  <c r="M102" i="2"/>
  <c r="M101" i="2"/>
  <c r="M100" i="2"/>
  <c r="M99" i="2"/>
  <c r="A99" i="2"/>
  <c r="A100" i="2"/>
  <c r="A101" i="2"/>
  <c r="A102" i="2"/>
  <c r="A103" i="2"/>
  <c r="A104" i="2"/>
  <c r="A105" i="2"/>
  <c r="A106" i="2"/>
  <c r="A107" i="2"/>
  <c r="A108" i="2"/>
  <c r="A109" i="2"/>
  <c r="A110" i="2"/>
  <c r="O124" i="9" l="1" a="1"/>
  <c r="O124" i="9" s="1"/>
  <c r="O125" i="9" a="1"/>
  <c r="O125" i="9" s="1"/>
  <c r="O126" i="9" a="1"/>
  <c r="O126" i="9" s="1"/>
  <c r="O127" i="9" a="1"/>
  <c r="O127" i="9" s="1"/>
  <c r="O128" i="9" a="1"/>
  <c r="O128" i="9" s="1"/>
  <c r="O129" i="9" a="1"/>
  <c r="O129" i="9" s="1"/>
  <c r="O130" i="9" a="1"/>
  <c r="O130" i="9" s="1"/>
  <c r="O131" i="9" a="1"/>
  <c r="O131" i="9" s="1"/>
  <c r="O132" i="9" a="1"/>
  <c r="O132" i="9" s="1"/>
  <c r="O133" i="9" a="1"/>
  <c r="O133" i="9" s="1"/>
  <c r="O134" i="9" a="1"/>
  <c r="O134" i="9" s="1"/>
  <c r="M124" i="9" a="1"/>
  <c r="M124" i="9" s="1"/>
  <c r="M125" i="9" a="1"/>
  <c r="M125" i="9" s="1"/>
  <c r="M126" i="9" a="1"/>
  <c r="M126" i="9" s="1"/>
  <c r="M127" i="9" a="1"/>
  <c r="M127" i="9" s="1"/>
  <c r="M128" i="9" a="1"/>
  <c r="M128" i="9" s="1"/>
  <c r="M129" i="9" a="1"/>
  <c r="M129" i="9" s="1"/>
  <c r="M130" i="9" a="1"/>
  <c r="M130" i="9" s="1"/>
  <c r="M131" i="9" a="1"/>
  <c r="M131" i="9" s="1"/>
  <c r="M132" i="9" a="1"/>
  <c r="M132" i="9" s="1"/>
  <c r="M133" i="9" a="1"/>
  <c r="M133" i="9" s="1"/>
  <c r="M134" i="9" a="1"/>
  <c r="M134" i="9" s="1"/>
  <c r="F124" i="9" a="1"/>
  <c r="F124" i="9" s="1"/>
  <c r="F125" i="9" a="1"/>
  <c r="F125" i="9" s="1"/>
  <c r="F126" i="9" a="1"/>
  <c r="F126" i="9" s="1"/>
  <c r="F127" i="9" a="1"/>
  <c r="F127" i="9" s="1"/>
  <c r="F128" i="9" a="1"/>
  <c r="F128" i="9" s="1"/>
  <c r="F129" i="9" a="1"/>
  <c r="F129" i="9" s="1"/>
  <c r="F130" i="9" a="1"/>
  <c r="F130" i="9" s="1"/>
  <c r="F131" i="9" a="1"/>
  <c r="F131" i="9" s="1"/>
  <c r="F132" i="9" a="1"/>
  <c r="F132" i="9" s="1"/>
  <c r="F133" i="9" a="1"/>
  <c r="F133" i="9" s="1"/>
  <c r="F134" i="9" a="1"/>
  <c r="F134" i="9" s="1"/>
  <c r="G68" i="9"/>
  <c r="G74" i="9"/>
  <c r="G73" i="9"/>
  <c r="G72" i="9"/>
  <c r="G71" i="9"/>
  <c r="G70" i="9"/>
  <c r="G69" i="9"/>
  <c r="G67" i="9"/>
  <c r="G66" i="9"/>
  <c r="G65" i="9"/>
  <c r="M58" i="6" l="1"/>
  <c r="M57" i="6"/>
  <c r="M53" i="6"/>
  <c r="M52" i="6"/>
  <c r="M46" i="6"/>
  <c r="M45" i="6"/>
  <c r="M39" i="6"/>
  <c r="L39" i="6"/>
  <c r="M38" i="6"/>
  <c r="M37" i="6"/>
  <c r="M33" i="6"/>
  <c r="M32" i="6"/>
  <c r="M31" i="6"/>
  <c r="H124" i="9" l="1" a="1"/>
  <c r="H124" i="9" s="1"/>
  <c r="B496" i="35"/>
  <c r="B495" i="35"/>
  <c r="B494" i="35"/>
  <c r="B493" i="35"/>
  <c r="B492" i="35"/>
  <c r="B491" i="35"/>
  <c r="B490" i="35"/>
  <c r="B489" i="35"/>
  <c r="B488" i="35"/>
  <c r="B487" i="35"/>
  <c r="B486" i="35"/>
  <c r="B485" i="35"/>
  <c r="B484" i="35"/>
  <c r="B483" i="35"/>
  <c r="B482" i="35"/>
  <c r="B481" i="35"/>
  <c r="B480" i="35"/>
  <c r="B479" i="35"/>
  <c r="B478" i="35"/>
  <c r="B477" i="35"/>
  <c r="B476" i="35"/>
  <c r="B475" i="35"/>
  <c r="B474" i="35"/>
  <c r="B473" i="35"/>
  <c r="B472" i="35"/>
  <c r="B471" i="35"/>
  <c r="B470" i="35"/>
  <c r="B469" i="35"/>
  <c r="B468" i="35"/>
  <c r="B467" i="35"/>
  <c r="B466" i="35"/>
  <c r="B465" i="35"/>
  <c r="B464" i="35"/>
  <c r="B463" i="35"/>
  <c r="B462" i="35"/>
  <c r="B461" i="35"/>
  <c r="B460" i="35"/>
  <c r="B459" i="35"/>
  <c r="B458" i="35"/>
  <c r="B457" i="35"/>
  <c r="B456" i="35"/>
  <c r="B455" i="35"/>
  <c r="B454" i="35"/>
  <c r="B453" i="35"/>
  <c r="B452" i="35"/>
  <c r="B451" i="35"/>
  <c r="B450" i="35"/>
  <c r="B449" i="35"/>
  <c r="B448" i="35"/>
  <c r="B447" i="35"/>
  <c r="B446" i="35"/>
  <c r="B445" i="35"/>
  <c r="B444" i="35"/>
  <c r="B443" i="35"/>
  <c r="B442" i="35"/>
  <c r="B441" i="35"/>
  <c r="B440" i="35"/>
  <c r="B439" i="35"/>
  <c r="B438" i="35"/>
  <c r="B437" i="35"/>
  <c r="B436" i="35"/>
  <c r="B435" i="35"/>
  <c r="B434" i="35"/>
  <c r="B433" i="35"/>
  <c r="B432" i="35"/>
  <c r="B431" i="35"/>
  <c r="B430" i="35"/>
  <c r="B429" i="35"/>
  <c r="B428" i="35"/>
  <c r="B427" i="35"/>
  <c r="B426" i="35"/>
  <c r="B425" i="35"/>
  <c r="B424" i="35"/>
  <c r="B423" i="35"/>
  <c r="B422" i="35"/>
  <c r="B421" i="35"/>
  <c r="B420" i="35"/>
  <c r="B419" i="35"/>
  <c r="B418" i="35"/>
  <c r="B417" i="35"/>
  <c r="B416" i="35"/>
  <c r="B415" i="35"/>
  <c r="B414" i="35"/>
  <c r="B413" i="35"/>
  <c r="B412" i="35"/>
  <c r="B411" i="35"/>
  <c r="B410" i="35"/>
  <c r="B409" i="35"/>
  <c r="B408" i="35"/>
  <c r="B407" i="35"/>
  <c r="B406" i="35"/>
  <c r="B405" i="35"/>
  <c r="B404" i="35"/>
  <c r="B403" i="35"/>
  <c r="B402" i="35"/>
  <c r="B401" i="35"/>
  <c r="B400" i="35"/>
  <c r="B399" i="35"/>
  <c r="B398" i="35"/>
  <c r="B397" i="35"/>
  <c r="B396" i="35"/>
  <c r="B395" i="35"/>
  <c r="B394" i="35"/>
  <c r="B393" i="35"/>
  <c r="B392" i="35"/>
  <c r="B391" i="35"/>
  <c r="B390" i="35"/>
  <c r="B389" i="35"/>
  <c r="B388" i="35"/>
  <c r="B387" i="35"/>
  <c r="B386" i="35"/>
  <c r="B385" i="35"/>
  <c r="B384" i="35"/>
  <c r="B383" i="35"/>
  <c r="B382" i="35"/>
  <c r="B381" i="35"/>
  <c r="B380" i="35"/>
  <c r="B379" i="35"/>
  <c r="B378" i="35"/>
  <c r="B377" i="35"/>
  <c r="B376" i="35"/>
  <c r="B375" i="35"/>
  <c r="B374" i="35"/>
  <c r="B373" i="35"/>
  <c r="B372" i="35"/>
  <c r="B371" i="35"/>
  <c r="B370" i="35"/>
  <c r="B369" i="35"/>
  <c r="B368" i="35"/>
  <c r="B367" i="35"/>
  <c r="B366" i="35"/>
  <c r="B365" i="35"/>
  <c r="B364" i="35"/>
  <c r="B363" i="35"/>
  <c r="B362" i="35"/>
  <c r="B361" i="35"/>
  <c r="B360" i="35"/>
  <c r="B359" i="35"/>
  <c r="B358" i="35"/>
  <c r="B357" i="35"/>
  <c r="B356" i="35"/>
  <c r="B355" i="35"/>
  <c r="B354" i="35"/>
  <c r="B353" i="35"/>
  <c r="B352" i="35"/>
  <c r="B351" i="35"/>
  <c r="B350" i="35"/>
  <c r="B349" i="35"/>
  <c r="B348" i="35"/>
  <c r="B347" i="35"/>
  <c r="B346" i="35"/>
  <c r="B345" i="35"/>
  <c r="B344" i="35"/>
  <c r="B343" i="35"/>
  <c r="B342" i="35"/>
  <c r="B341" i="35"/>
  <c r="B340" i="35"/>
  <c r="B339" i="35"/>
  <c r="B338" i="35"/>
  <c r="B337" i="35"/>
  <c r="B336" i="35"/>
  <c r="B335" i="35"/>
  <c r="B334" i="35"/>
  <c r="B333" i="35"/>
  <c r="B332" i="35"/>
  <c r="B331" i="35"/>
  <c r="B330" i="35"/>
  <c r="B329" i="35"/>
  <c r="B328" i="35"/>
  <c r="B327" i="35"/>
  <c r="B326" i="35"/>
  <c r="B325" i="35"/>
  <c r="B324" i="35"/>
  <c r="B323" i="35"/>
  <c r="B322" i="35"/>
  <c r="B321" i="35"/>
  <c r="B320" i="35"/>
  <c r="B319" i="35"/>
  <c r="B318" i="35"/>
  <c r="B317" i="35"/>
  <c r="B316" i="35"/>
  <c r="B315" i="35"/>
  <c r="B314" i="35"/>
  <c r="B313" i="35"/>
  <c r="B312" i="35"/>
  <c r="B311" i="35"/>
  <c r="B310" i="35"/>
  <c r="B309" i="35"/>
  <c r="B308" i="35"/>
  <c r="B307" i="35"/>
  <c r="B306" i="35"/>
  <c r="B305" i="35"/>
  <c r="B304" i="35"/>
  <c r="B303" i="35"/>
  <c r="B302" i="35"/>
  <c r="B301" i="35"/>
  <c r="B300" i="35"/>
  <c r="B299" i="35"/>
  <c r="B298" i="35"/>
  <c r="B297" i="35"/>
  <c r="B296" i="35"/>
  <c r="B295" i="35"/>
  <c r="B294" i="35"/>
  <c r="B293" i="35"/>
  <c r="B292" i="35"/>
  <c r="B291" i="35"/>
  <c r="B290" i="35"/>
  <c r="B289" i="35"/>
  <c r="B288" i="35"/>
  <c r="B287" i="35"/>
  <c r="B286" i="35"/>
  <c r="B285" i="35"/>
  <c r="B284" i="35"/>
  <c r="B283" i="35"/>
  <c r="B282" i="35"/>
  <c r="B281" i="35"/>
  <c r="B280" i="35"/>
  <c r="B279" i="35"/>
  <c r="B278" i="35"/>
  <c r="B277" i="35"/>
  <c r="B276" i="35"/>
  <c r="B275" i="35"/>
  <c r="B274" i="35"/>
  <c r="B273" i="35"/>
  <c r="B272" i="35"/>
  <c r="B271" i="35"/>
  <c r="B270" i="35"/>
  <c r="B269" i="35"/>
  <c r="B268" i="35"/>
  <c r="B267" i="35"/>
  <c r="B266" i="35"/>
  <c r="B265" i="35"/>
  <c r="B264" i="35"/>
  <c r="B263" i="35"/>
  <c r="B262" i="35"/>
  <c r="B261" i="35"/>
  <c r="B260" i="35"/>
  <c r="B259" i="35"/>
  <c r="B258" i="35"/>
  <c r="B257" i="35"/>
  <c r="B256" i="35"/>
  <c r="B255" i="35"/>
  <c r="B254" i="35"/>
  <c r="B253" i="35"/>
  <c r="B252" i="35"/>
  <c r="B251" i="35"/>
  <c r="B250" i="35"/>
  <c r="B249" i="35"/>
  <c r="B248" i="35"/>
  <c r="B247" i="35"/>
  <c r="B246" i="35"/>
  <c r="B245" i="35"/>
  <c r="B244" i="35"/>
  <c r="B243" i="35"/>
  <c r="B242" i="35"/>
  <c r="B241" i="35"/>
  <c r="B240" i="35"/>
  <c r="B239" i="35"/>
  <c r="B238" i="35"/>
  <c r="B237" i="35"/>
  <c r="B236" i="35"/>
  <c r="B235" i="35"/>
  <c r="B234" i="35"/>
  <c r="B233" i="35"/>
  <c r="B232" i="35"/>
  <c r="B231" i="35"/>
  <c r="B230" i="35"/>
  <c r="B229" i="35"/>
  <c r="B228" i="35"/>
  <c r="B227" i="35"/>
  <c r="B226" i="35"/>
  <c r="B225" i="35"/>
  <c r="B224" i="35"/>
  <c r="B223" i="35"/>
  <c r="B222" i="35"/>
  <c r="B221" i="35"/>
  <c r="B220" i="35"/>
  <c r="B219" i="35"/>
  <c r="B218" i="35"/>
  <c r="B217" i="35"/>
  <c r="B216" i="35"/>
  <c r="B215" i="35"/>
  <c r="B214" i="35"/>
  <c r="B213" i="35"/>
  <c r="B212" i="35"/>
  <c r="B211" i="35"/>
  <c r="B210" i="35"/>
  <c r="B209" i="35"/>
  <c r="B208" i="35"/>
  <c r="B207" i="35"/>
  <c r="B206" i="35"/>
  <c r="B205" i="35"/>
  <c r="B204" i="35"/>
  <c r="B203" i="35"/>
  <c r="B202" i="35"/>
  <c r="B201" i="35"/>
  <c r="B200" i="35"/>
  <c r="B199" i="35"/>
  <c r="B198" i="35"/>
  <c r="B197" i="35"/>
  <c r="B196" i="35"/>
  <c r="B195" i="35"/>
  <c r="B194" i="35"/>
  <c r="B193" i="35"/>
  <c r="B192" i="35"/>
  <c r="B191" i="35"/>
  <c r="B190" i="35"/>
  <c r="B189" i="35"/>
  <c r="B188" i="35"/>
  <c r="B187" i="35"/>
  <c r="B186" i="35"/>
  <c r="B185" i="35"/>
  <c r="B184" i="35"/>
  <c r="B183" i="35"/>
  <c r="B182" i="35"/>
  <c r="B181" i="35"/>
  <c r="B180" i="35"/>
  <c r="B179" i="35"/>
  <c r="B178" i="35"/>
  <c r="B177" i="35"/>
  <c r="B176" i="35"/>
  <c r="B175" i="35"/>
  <c r="B174" i="35"/>
  <c r="B173" i="35"/>
  <c r="B172" i="35"/>
  <c r="B171" i="35"/>
  <c r="B170" i="35"/>
  <c r="B169" i="35"/>
  <c r="B168" i="35"/>
  <c r="B167" i="35"/>
  <c r="B166" i="35"/>
  <c r="B165" i="35"/>
  <c r="B164" i="35"/>
  <c r="B163" i="35"/>
  <c r="B162" i="35"/>
  <c r="B161" i="35"/>
  <c r="B160" i="35"/>
  <c r="B159" i="35"/>
  <c r="B158" i="35"/>
  <c r="B157" i="35"/>
  <c r="B156" i="35"/>
  <c r="B155" i="35"/>
  <c r="B154" i="35"/>
  <c r="B153" i="35"/>
  <c r="B152" i="35"/>
  <c r="B151" i="35"/>
  <c r="B150" i="35"/>
  <c r="B149" i="35"/>
  <c r="B148" i="35"/>
  <c r="B147" i="35"/>
  <c r="B146" i="35"/>
  <c r="B145" i="35"/>
  <c r="B144" i="35"/>
  <c r="B143" i="35"/>
  <c r="B142" i="35"/>
  <c r="B141" i="35"/>
  <c r="B140" i="35"/>
  <c r="B139" i="35"/>
  <c r="B138" i="35"/>
  <c r="B137" i="35"/>
  <c r="B136" i="35"/>
  <c r="B135" i="35"/>
  <c r="B134" i="35"/>
  <c r="B133" i="35"/>
  <c r="B132" i="35"/>
  <c r="B131" i="35"/>
  <c r="B130" i="35"/>
  <c r="B129" i="35"/>
  <c r="B128" i="35"/>
  <c r="B127" i="35"/>
  <c r="B126" i="35"/>
  <c r="B125" i="35"/>
  <c r="B124" i="35"/>
  <c r="B123" i="35"/>
  <c r="B122" i="35"/>
  <c r="B121" i="35"/>
  <c r="B120" i="35"/>
  <c r="B119" i="35"/>
  <c r="B118" i="35"/>
  <c r="B117" i="35"/>
  <c r="B116" i="35"/>
  <c r="B115" i="35"/>
  <c r="B114" i="35"/>
  <c r="B113" i="35"/>
  <c r="B112" i="35"/>
  <c r="B111" i="35"/>
  <c r="B110" i="35"/>
  <c r="B109" i="35"/>
  <c r="B108" i="35"/>
  <c r="B107" i="35"/>
  <c r="B106" i="35"/>
  <c r="B105" i="35"/>
  <c r="B104" i="35"/>
  <c r="B103" i="35"/>
  <c r="B102" i="35"/>
  <c r="B101" i="35"/>
  <c r="B100" i="35"/>
  <c r="B99" i="35"/>
  <c r="B98" i="35"/>
  <c r="B97" i="35"/>
  <c r="B96" i="35"/>
  <c r="B95" i="35"/>
  <c r="B94" i="35"/>
  <c r="B93" i="35"/>
  <c r="B92" i="35"/>
  <c r="B91" i="35"/>
  <c r="B90" i="35"/>
  <c r="B89" i="35"/>
  <c r="B88" i="35"/>
  <c r="B87" i="35"/>
  <c r="B86" i="35"/>
  <c r="B85" i="35"/>
  <c r="B84" i="35"/>
  <c r="B83" i="35"/>
  <c r="B82" i="35"/>
  <c r="B81" i="35"/>
  <c r="B80" i="35"/>
  <c r="B79" i="35"/>
  <c r="B78" i="35"/>
  <c r="B77" i="35"/>
  <c r="B76" i="35"/>
  <c r="B75" i="35"/>
  <c r="B74" i="35"/>
  <c r="B73" i="35"/>
  <c r="B72" i="35"/>
  <c r="B71" i="35"/>
  <c r="B70" i="35"/>
  <c r="B69" i="35"/>
  <c r="B68" i="35"/>
  <c r="B67" i="35"/>
  <c r="B66" i="35"/>
  <c r="B65" i="35"/>
  <c r="B64" i="35"/>
  <c r="B63" i="35"/>
  <c r="B62" i="35"/>
  <c r="B61" i="35"/>
  <c r="B60" i="35"/>
  <c r="B59" i="35"/>
  <c r="B58" i="35"/>
  <c r="B57" i="35"/>
  <c r="B56" i="35"/>
  <c r="B55" i="35"/>
  <c r="B54" i="35"/>
  <c r="B53" i="35"/>
  <c r="B52" i="35"/>
  <c r="B51" i="35"/>
  <c r="B50" i="35"/>
  <c r="B49" i="35"/>
  <c r="B48" i="35"/>
  <c r="B47" i="35"/>
  <c r="B46" i="35"/>
  <c r="B45" i="35"/>
  <c r="B44" i="35"/>
  <c r="B43" i="35"/>
  <c r="B42" i="35"/>
  <c r="B41" i="35"/>
  <c r="B40"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 i="35"/>
  <c r="B7" i="35"/>
  <c r="B6" i="35"/>
  <c r="B5" i="35"/>
  <c r="V95" i="32"/>
  <c r="W94" i="32"/>
  <c r="W95" i="32"/>
  <c r="W93" i="32"/>
  <c r="W91" i="32"/>
  <c r="W96" i="32"/>
  <c r="V91" i="32"/>
  <c r="V93" i="32"/>
  <c r="V92" i="32"/>
  <c r="W92" i="32"/>
  <c r="V94" i="32"/>
  <c r="V96" i="32"/>
  <c r="X95" i="32" l="1"/>
  <c r="Z95" i="32" s="1"/>
  <c r="X94" i="32"/>
  <c r="Y94" i="32" s="1"/>
  <c r="X93" i="32"/>
  <c r="Z93" i="32" s="1"/>
  <c r="X92" i="32"/>
  <c r="Y92" i="32" s="1"/>
  <c r="X91" i="32"/>
  <c r="Y91" i="32" s="1"/>
  <c r="X96" i="32"/>
  <c r="Z96" i="32" s="1"/>
  <c r="BE847" i="2"/>
  <c r="BD847" i="2"/>
  <c r="BC847" i="2"/>
  <c r="BB847" i="2"/>
  <c r="AX847" i="2"/>
  <c r="AU847" i="2"/>
  <c r="Y847" i="2"/>
  <c r="X847" i="2"/>
  <c r="W847" i="2"/>
  <c r="V847" i="2"/>
  <c r="U847" i="2"/>
  <c r="T847" i="2"/>
  <c r="S847" i="2"/>
  <c r="R847" i="2"/>
  <c r="Q847" i="2"/>
  <c r="P847" i="2"/>
  <c r="O847" i="2"/>
  <c r="M847" i="2"/>
  <c r="M854" i="2"/>
  <c r="BC854" i="2"/>
  <c r="BB854" i="2"/>
  <c r="AX854" i="2"/>
  <c r="AU854" i="2"/>
  <c r="Y854" i="2"/>
  <c r="X854" i="2"/>
  <c r="W854" i="2"/>
  <c r="V854" i="2"/>
  <c r="U854" i="2"/>
  <c r="T854" i="2"/>
  <c r="S854" i="2"/>
  <c r="R854" i="2"/>
  <c r="Q854" i="2"/>
  <c r="P854" i="2"/>
  <c r="O854" i="2"/>
  <c r="BD854" i="2"/>
  <c r="M849" i="2"/>
  <c r="BC849" i="2"/>
  <c r="BB849" i="2"/>
  <c r="AX849" i="2"/>
  <c r="AU849" i="2"/>
  <c r="Y849" i="2"/>
  <c r="X849" i="2"/>
  <c r="W849" i="2"/>
  <c r="V849" i="2"/>
  <c r="U849" i="2"/>
  <c r="T849" i="2"/>
  <c r="S849" i="2"/>
  <c r="R849" i="2"/>
  <c r="Q849" i="2"/>
  <c r="P849" i="2"/>
  <c r="O849" i="2"/>
  <c r="BD849" i="2"/>
  <c r="BE849" i="2"/>
  <c r="Y95" i="32" l="1"/>
  <c r="Y96" i="32"/>
  <c r="Y93" i="32"/>
  <c r="Z91" i="32"/>
  <c r="Z94" i="32"/>
  <c r="Z92" i="32"/>
  <c r="BD835" i="2"/>
  <c r="BD840" i="2" s="1"/>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O632" i="2"/>
  <c r="P632" i="2"/>
  <c r="Q632" i="2"/>
  <c r="R632" i="2"/>
  <c r="S632" i="2"/>
  <c r="T632" i="2"/>
  <c r="U632" i="2"/>
  <c r="V632" i="2"/>
  <c r="W632" i="2"/>
  <c r="X632" i="2"/>
  <c r="Y632" i="2"/>
  <c r="A633" i="2"/>
  <c r="M633" i="2"/>
  <c r="O633" i="2"/>
  <c r="P633" i="2"/>
  <c r="Q633" i="2"/>
  <c r="R633" i="2"/>
  <c r="S633" i="2"/>
  <c r="T633" i="2"/>
  <c r="U633" i="2"/>
  <c r="V633" i="2"/>
  <c r="W633" i="2"/>
  <c r="X633" i="2"/>
  <c r="Y633" i="2"/>
  <c r="AU633" i="2"/>
  <c r="AX633" i="2"/>
  <c r="BB633" i="2"/>
  <c r="BC633" i="2"/>
  <c r="BD633" i="2"/>
  <c r="BE633" i="2"/>
  <c r="A634" i="2"/>
  <c r="M634" i="2"/>
  <c r="O634" i="2"/>
  <c r="P634" i="2"/>
  <c r="Q634" i="2"/>
  <c r="R634" i="2"/>
  <c r="S634" i="2"/>
  <c r="T634" i="2"/>
  <c r="U634" i="2"/>
  <c r="V634" i="2"/>
  <c r="W634" i="2"/>
  <c r="X634" i="2"/>
  <c r="Y634" i="2"/>
  <c r="A635" i="2"/>
  <c r="M635" i="2"/>
  <c r="O635" i="2"/>
  <c r="P635" i="2"/>
  <c r="Q635" i="2"/>
  <c r="R635" i="2"/>
  <c r="S635" i="2"/>
  <c r="T635" i="2"/>
  <c r="U635" i="2"/>
  <c r="V635" i="2"/>
  <c r="W635" i="2"/>
  <c r="X635" i="2"/>
  <c r="Y635" i="2"/>
  <c r="AU635" i="2"/>
  <c r="AX635" i="2"/>
  <c r="BB635" i="2"/>
  <c r="BC635" i="2"/>
  <c r="BD635" i="2"/>
  <c r="BE635" i="2"/>
  <c r="A636" i="2"/>
  <c r="M636" i="2"/>
  <c r="O636" i="2"/>
  <c r="P636" i="2"/>
  <c r="Q636" i="2"/>
  <c r="R636" i="2"/>
  <c r="S636" i="2"/>
  <c r="T636" i="2"/>
  <c r="U636" i="2"/>
  <c r="V636" i="2"/>
  <c r="W636" i="2"/>
  <c r="X636" i="2"/>
  <c r="Y636" i="2"/>
  <c r="A637" i="2"/>
  <c r="M637" i="2"/>
  <c r="O637" i="2"/>
  <c r="P637" i="2"/>
  <c r="Q637" i="2"/>
  <c r="R637" i="2"/>
  <c r="S637" i="2"/>
  <c r="T637" i="2"/>
  <c r="U637" i="2"/>
  <c r="V637" i="2"/>
  <c r="W637" i="2"/>
  <c r="X637" i="2"/>
  <c r="Y637" i="2"/>
  <c r="A638" i="2"/>
  <c r="M638" i="2"/>
  <c r="O638" i="2"/>
  <c r="P638" i="2"/>
  <c r="Q638" i="2"/>
  <c r="R638" i="2"/>
  <c r="S638" i="2"/>
  <c r="T638" i="2"/>
  <c r="U638" i="2"/>
  <c r="V638" i="2"/>
  <c r="W638" i="2"/>
  <c r="X638" i="2"/>
  <c r="Y638" i="2"/>
  <c r="A639" i="2"/>
  <c r="M639" i="2"/>
  <c r="O639" i="2"/>
  <c r="P639" i="2"/>
  <c r="Q639" i="2"/>
  <c r="R639" i="2"/>
  <c r="S639" i="2"/>
  <c r="T639" i="2"/>
  <c r="U639" i="2"/>
  <c r="V639" i="2"/>
  <c r="W639" i="2"/>
  <c r="X639" i="2"/>
  <c r="Y639" i="2"/>
  <c r="A640" i="2"/>
  <c r="M640" i="2"/>
  <c r="O640" i="2"/>
  <c r="P640" i="2"/>
  <c r="Q640" i="2"/>
  <c r="R640" i="2"/>
  <c r="S640" i="2"/>
  <c r="T640" i="2"/>
  <c r="U640" i="2"/>
  <c r="V640" i="2"/>
  <c r="W640" i="2"/>
  <c r="X640" i="2"/>
  <c r="Y640" i="2"/>
  <c r="A641" i="2"/>
  <c r="M641" i="2"/>
  <c r="O641" i="2"/>
  <c r="P641" i="2"/>
  <c r="Q641" i="2"/>
  <c r="R641" i="2"/>
  <c r="S641" i="2"/>
  <c r="T641" i="2"/>
  <c r="U641" i="2"/>
  <c r="V641" i="2"/>
  <c r="W641" i="2"/>
  <c r="X641" i="2"/>
  <c r="Y641" i="2"/>
  <c r="A642" i="2"/>
  <c r="M642" i="2"/>
  <c r="O642" i="2"/>
  <c r="P642" i="2"/>
  <c r="Q642" i="2"/>
  <c r="R642" i="2"/>
  <c r="S642" i="2"/>
  <c r="T642" i="2"/>
  <c r="U642" i="2"/>
  <c r="V642" i="2"/>
  <c r="W642" i="2"/>
  <c r="X642" i="2"/>
  <c r="Y642" i="2"/>
  <c r="A643" i="2"/>
  <c r="M643" i="2"/>
  <c r="O643" i="2"/>
  <c r="P643" i="2"/>
  <c r="Q643" i="2"/>
  <c r="R643" i="2"/>
  <c r="S643" i="2"/>
  <c r="T643" i="2"/>
  <c r="U643" i="2"/>
  <c r="V643" i="2"/>
  <c r="W643" i="2"/>
  <c r="X643" i="2"/>
  <c r="Y643" i="2"/>
  <c r="A644" i="2"/>
  <c r="M644" i="2"/>
  <c r="O644" i="2"/>
  <c r="P644" i="2"/>
  <c r="Q644" i="2"/>
  <c r="R644" i="2"/>
  <c r="S644" i="2"/>
  <c r="T644" i="2"/>
  <c r="U644" i="2"/>
  <c r="V644" i="2"/>
  <c r="W644" i="2"/>
  <c r="X644" i="2"/>
  <c r="Y644" i="2"/>
  <c r="A645" i="2"/>
  <c r="M645" i="2"/>
  <c r="M632" i="2" s="1"/>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97" i="2"/>
  <c r="M710" i="2"/>
  <c r="W710" i="2"/>
  <c r="X710" i="2"/>
  <c r="Y710" i="2"/>
  <c r="A698" i="2"/>
  <c r="A699" i="2"/>
  <c r="A700" i="2"/>
  <c r="A701" i="2"/>
  <c r="A702" i="2"/>
  <c r="A703" i="2"/>
  <c r="A704" i="2"/>
  <c r="P710" i="2"/>
  <c r="Q710" i="2"/>
  <c r="R710" i="2"/>
  <c r="T710" i="2"/>
  <c r="A705" i="2"/>
  <c r="A706" i="2"/>
  <c r="A707" i="2"/>
  <c r="A708" i="2"/>
  <c r="A709" i="2"/>
  <c r="A710" i="2"/>
  <c r="L710" i="2"/>
  <c r="A711" i="2"/>
  <c r="L711" i="2"/>
  <c r="M711" i="2"/>
  <c r="O711" i="2"/>
  <c r="P711" i="2"/>
  <c r="Q711" i="2"/>
  <c r="R711" i="2"/>
  <c r="S711" i="2"/>
  <c r="T711" i="2"/>
  <c r="U711" i="2"/>
  <c r="V711" i="2"/>
  <c r="W711" i="2"/>
  <c r="X711" i="2"/>
  <c r="Y711" i="2"/>
  <c r="A712" i="2"/>
  <c r="L712" i="2"/>
  <c r="M712" i="2"/>
  <c r="O712" i="2"/>
  <c r="P712" i="2"/>
  <c r="Q712" i="2"/>
  <c r="R712" i="2"/>
  <c r="S712" i="2"/>
  <c r="T712" i="2"/>
  <c r="U712" i="2"/>
  <c r="V712" i="2"/>
  <c r="W712" i="2"/>
  <c r="X712" i="2"/>
  <c r="Y712" i="2"/>
  <c r="A713" i="2"/>
  <c r="L713" i="2"/>
  <c r="M713" i="2"/>
  <c r="O713" i="2"/>
  <c r="P713" i="2"/>
  <c r="Q713" i="2"/>
  <c r="R713" i="2"/>
  <c r="S713" i="2"/>
  <c r="T713" i="2"/>
  <c r="U713" i="2"/>
  <c r="V713" i="2"/>
  <c r="W713" i="2"/>
  <c r="X713" i="2"/>
  <c r="Y713" i="2"/>
  <c r="A714" i="2"/>
  <c r="L714" i="2"/>
  <c r="M714" i="2"/>
  <c r="O714" i="2"/>
  <c r="P714" i="2"/>
  <c r="Q714" i="2"/>
  <c r="R714" i="2"/>
  <c r="S714" i="2"/>
  <c r="T714" i="2"/>
  <c r="U714" i="2"/>
  <c r="V714" i="2"/>
  <c r="W714" i="2"/>
  <c r="X714" i="2"/>
  <c r="Y714" i="2"/>
  <c r="A715" i="2"/>
  <c r="L715" i="2"/>
  <c r="A716" i="2"/>
  <c r="L716" i="2"/>
  <c r="M716" i="2"/>
  <c r="O716" i="2"/>
  <c r="P716" i="2"/>
  <c r="Q716" i="2"/>
  <c r="R716" i="2"/>
  <c r="S716" i="2"/>
  <c r="T716" i="2"/>
  <c r="U716" i="2"/>
  <c r="V716" i="2"/>
  <c r="W716" i="2"/>
  <c r="X716" i="2"/>
  <c r="Y716" i="2"/>
  <c r="A717" i="2"/>
  <c r="L717" i="2"/>
  <c r="A718" i="2"/>
  <c r="L718" i="2"/>
  <c r="M718" i="2"/>
  <c r="O718" i="2"/>
  <c r="P718" i="2"/>
  <c r="Q718" i="2"/>
  <c r="R718" i="2"/>
  <c r="S718" i="2"/>
  <c r="T718" i="2"/>
  <c r="U718" i="2"/>
  <c r="V718" i="2"/>
  <c r="W718" i="2"/>
  <c r="X718" i="2"/>
  <c r="Y718" i="2"/>
  <c r="A719" i="2"/>
  <c r="L719" i="2"/>
  <c r="M719" i="2"/>
  <c r="O719" i="2"/>
  <c r="P719" i="2"/>
  <c r="Q719" i="2"/>
  <c r="R719" i="2"/>
  <c r="S719" i="2"/>
  <c r="T719" i="2"/>
  <c r="U719" i="2"/>
  <c r="V719" i="2"/>
  <c r="W719" i="2"/>
  <c r="X719" i="2"/>
  <c r="Y719" i="2"/>
  <c r="A720" i="2"/>
  <c r="L720" i="2"/>
  <c r="M720" i="2"/>
  <c r="O720" i="2"/>
  <c r="P720" i="2"/>
  <c r="Q720" i="2"/>
  <c r="R720" i="2"/>
  <c r="S720" i="2"/>
  <c r="T720" i="2"/>
  <c r="U720" i="2"/>
  <c r="V720" i="2"/>
  <c r="W720" i="2"/>
  <c r="X720" i="2"/>
  <c r="Y720" i="2"/>
  <c r="A721" i="2"/>
  <c r="L721" i="2"/>
  <c r="M721" i="2"/>
  <c r="O721" i="2"/>
  <c r="P721" i="2"/>
  <c r="Q721" i="2"/>
  <c r="R721" i="2"/>
  <c r="S721" i="2"/>
  <c r="T721" i="2"/>
  <c r="U721" i="2"/>
  <c r="V721" i="2"/>
  <c r="W721" i="2"/>
  <c r="X721" i="2"/>
  <c r="Y721" i="2"/>
  <c r="A722" i="2"/>
  <c r="L722" i="2"/>
  <c r="M722" i="2"/>
  <c r="O722" i="2"/>
  <c r="P722" i="2"/>
  <c r="Q722" i="2"/>
  <c r="R722" i="2"/>
  <c r="S722" i="2"/>
  <c r="T722" i="2"/>
  <c r="U722" i="2"/>
  <c r="V722" i="2"/>
  <c r="W722" i="2"/>
  <c r="X722" i="2"/>
  <c r="Y722" i="2"/>
  <c r="A762" i="2"/>
  <c r="A763" i="2"/>
  <c r="A764" i="2"/>
  <c r="A765" i="2"/>
  <c r="A766" i="2"/>
  <c r="A767" i="2"/>
  <c r="A768" i="2"/>
  <c r="A769" i="2"/>
  <c r="A770" i="2"/>
  <c r="O770" i="2"/>
  <c r="O769" i="2" s="1"/>
  <c r="P770" i="2"/>
  <c r="P769" i="2" s="1"/>
  <c r="Q770" i="2"/>
  <c r="R770" i="2"/>
  <c r="R769" i="2" s="1"/>
  <c r="S770" i="2"/>
  <c r="S769" i="2" s="1"/>
  <c r="T770" i="2"/>
  <c r="T769" i="2" s="1"/>
  <c r="U770" i="2"/>
  <c r="U769" i="2" s="1"/>
  <c r="V770" i="2"/>
  <c r="V769" i="2" s="1"/>
  <c r="W770" i="2"/>
  <c r="W769" i="2" s="1"/>
  <c r="X770" i="2"/>
  <c r="X769" i="2" s="1"/>
  <c r="Y770" i="2"/>
  <c r="Y769" i="2" s="1"/>
  <c r="A771" i="2"/>
  <c r="M771" i="2"/>
  <c r="M769" i="2" s="1"/>
  <c r="A772" i="2"/>
  <c r="A773" i="2"/>
  <c r="A774" i="2"/>
  <c r="A775" i="2"/>
  <c r="A776" i="2"/>
  <c r="A777" i="2"/>
  <c r="A778" i="2"/>
  <c r="A779" i="2"/>
  <c r="A780" i="2"/>
  <c r="A781" i="2"/>
  <c r="A782" i="2"/>
  <c r="A783" i="2"/>
  <c r="A784" i="2"/>
  <c r="O784" i="2"/>
  <c r="O783" i="2" s="1"/>
  <c r="P784" i="2"/>
  <c r="P783" i="2" s="1"/>
  <c r="Q784" i="2"/>
  <c r="R784" i="2"/>
  <c r="R783" i="2" s="1"/>
  <c r="S784" i="2"/>
  <c r="S783" i="2" s="1"/>
  <c r="T784" i="2"/>
  <c r="T783" i="2" s="1"/>
  <c r="U784" i="2"/>
  <c r="U783" i="2" s="1"/>
  <c r="V784" i="2"/>
  <c r="V783" i="2" s="1"/>
  <c r="W784" i="2"/>
  <c r="W783" i="2" s="1"/>
  <c r="X784" i="2"/>
  <c r="X783" i="2" s="1"/>
  <c r="Y784" i="2"/>
  <c r="Y783" i="2" s="1"/>
  <c r="A785" i="2"/>
  <c r="M785" i="2"/>
  <c r="M783" i="2" s="1"/>
  <c r="M776" i="2" s="1"/>
  <c r="A786" i="2"/>
  <c r="A787" i="2"/>
  <c r="A788" i="2"/>
  <c r="A789" i="2"/>
  <c r="A831" i="2"/>
  <c r="A832" i="2"/>
  <c r="A833" i="2"/>
  <c r="A834" i="2"/>
  <c r="A835" i="2"/>
  <c r="M835" i="2"/>
  <c r="M840" i="2" s="1"/>
  <c r="O835" i="2"/>
  <c r="O840" i="2" s="1"/>
  <c r="P835" i="2"/>
  <c r="P840" i="2" s="1"/>
  <c r="Q835" i="2"/>
  <c r="Q840" i="2" s="1"/>
  <c r="R835" i="2"/>
  <c r="R840" i="2" s="1"/>
  <c r="S835" i="2"/>
  <c r="S840" i="2" s="1"/>
  <c r="T835" i="2"/>
  <c r="T840" i="2" s="1"/>
  <c r="U835" i="2"/>
  <c r="U840" i="2" s="1"/>
  <c r="V835" i="2"/>
  <c r="V840" i="2" s="1"/>
  <c r="W835" i="2"/>
  <c r="W840" i="2" s="1"/>
  <c r="X835" i="2"/>
  <c r="X840" i="2" s="1"/>
  <c r="Y835" i="2"/>
  <c r="Y840" i="2" s="1"/>
  <c r="AU835" i="2"/>
  <c r="AU840" i="2" s="1"/>
  <c r="AX835" i="2"/>
  <c r="AX840" i="2" s="1"/>
  <c r="BB835" i="2"/>
  <c r="BB840" i="2" s="1"/>
  <c r="BC835" i="2"/>
  <c r="BC840" i="2" s="1"/>
  <c r="BE835" i="2"/>
  <c r="BE840" i="2" s="1"/>
  <c r="A836" i="2"/>
  <c r="A837" i="2"/>
  <c r="A838" i="2"/>
  <c r="A839" i="2"/>
  <c r="A840" i="2"/>
  <c r="A841" i="2"/>
  <c r="A842" i="2"/>
  <c r="A843" i="2"/>
  <c r="A844" i="2"/>
  <c r="A845" i="2"/>
  <c r="L845" i="2"/>
  <c r="A846" i="2"/>
  <c r="L846" i="2"/>
  <c r="A847" i="2"/>
  <c r="L847" i="2"/>
  <c r="A848" i="2"/>
  <c r="L848" i="2"/>
  <c r="A849" i="2"/>
  <c r="L849" i="2"/>
  <c r="A850" i="2"/>
  <c r="L850" i="2"/>
  <c r="A851" i="2"/>
  <c r="L851" i="2"/>
  <c r="A852" i="2"/>
  <c r="L852" i="2"/>
  <c r="A853" i="2"/>
  <c r="L853" i="2"/>
  <c r="A854" i="2"/>
  <c r="L854" i="2"/>
  <c r="A855" i="2"/>
  <c r="L855" i="2"/>
  <c r="A856" i="2"/>
  <c r="L856" i="2"/>
  <c r="A857" i="2"/>
  <c r="L857" i="2"/>
  <c r="A858" i="2"/>
  <c r="L858" i="2"/>
  <c r="A859" i="2"/>
  <c r="A860" i="2"/>
  <c r="A861" i="2"/>
  <c r="A862" i="2"/>
  <c r="A863" i="2"/>
  <c r="M863" i="2"/>
  <c r="M621" i="2" s="1"/>
  <c r="M619" i="2" s="1"/>
  <c r="O863" i="2"/>
  <c r="O621" i="2" s="1"/>
  <c r="P863" i="2"/>
  <c r="P621" i="2" s="1"/>
  <c r="Q863" i="2"/>
  <c r="Q621" i="2" s="1"/>
  <c r="R863" i="2"/>
  <c r="R621" i="2" s="1"/>
  <c r="S863" i="2"/>
  <c r="S621" i="2" s="1"/>
  <c r="T863" i="2"/>
  <c r="U863" i="2"/>
  <c r="U621" i="2" s="1"/>
  <c r="V863" i="2"/>
  <c r="V621" i="2" s="1"/>
  <c r="W863" i="2"/>
  <c r="W621" i="2" s="1"/>
  <c r="X863" i="2"/>
  <c r="X621" i="2" s="1"/>
  <c r="Y863" i="2"/>
  <c r="Y621" i="2" s="1"/>
  <c r="AU863" i="2"/>
  <c r="AU621" i="2" s="1"/>
  <c r="AX863" i="2"/>
  <c r="AX621" i="2" s="1"/>
  <c r="BB863" i="2"/>
  <c r="BB621" i="2" s="1"/>
  <c r="BC863" i="2"/>
  <c r="BC621" i="2" s="1"/>
  <c r="BD863" i="2"/>
  <c r="BD621" i="2" s="1"/>
  <c r="BE863" i="2"/>
  <c r="BE621" i="2" s="1"/>
  <c r="A864" i="2"/>
  <c r="A865" i="2"/>
  <c r="A866" i="2"/>
  <c r="A867" i="2"/>
  <c r="M867" i="2"/>
  <c r="O867" i="2"/>
  <c r="P867" i="2"/>
  <c r="Q867" i="2"/>
  <c r="R867" i="2"/>
  <c r="S867" i="2"/>
  <c r="T867" i="2"/>
  <c r="U867" i="2"/>
  <c r="V867" i="2"/>
  <c r="W867" i="2"/>
  <c r="X867" i="2"/>
  <c r="Y867" i="2"/>
  <c r="AU867" i="2"/>
  <c r="AX867" i="2"/>
  <c r="BB867" i="2"/>
  <c r="BC867" i="2"/>
  <c r="BD867" i="2"/>
  <c r="BE867" i="2"/>
  <c r="A868" i="2"/>
  <c r="A869" i="2"/>
  <c r="M869" i="2"/>
  <c r="A870" i="2"/>
  <c r="A871" i="2"/>
  <c r="A872" i="2"/>
  <c r="A873" i="2"/>
  <c r="A874" i="2"/>
  <c r="A875" i="2"/>
  <c r="A876" i="2"/>
  <c r="M876" i="2"/>
  <c r="O876" i="2"/>
  <c r="P876" i="2"/>
  <c r="Q876" i="2"/>
  <c r="R876" i="2"/>
  <c r="S876" i="2"/>
  <c r="T876" i="2"/>
  <c r="U876" i="2"/>
  <c r="V876" i="2"/>
  <c r="W876" i="2"/>
  <c r="X876" i="2"/>
  <c r="Y876" i="2"/>
  <c r="AU876" i="2"/>
  <c r="AX876" i="2"/>
  <c r="BB876" i="2"/>
  <c r="BC876" i="2"/>
  <c r="BD876" i="2"/>
  <c r="BE876" i="2"/>
  <c r="A877" i="2"/>
  <c r="A878" i="2"/>
  <c r="A879" i="2"/>
  <c r="A880" i="2"/>
  <c r="M880" i="2"/>
  <c r="O880" i="2"/>
  <c r="P880" i="2"/>
  <c r="Q880" i="2"/>
  <c r="R880" i="2"/>
  <c r="S880" i="2"/>
  <c r="T880" i="2"/>
  <c r="U880" i="2"/>
  <c r="V880" i="2"/>
  <c r="W880" i="2"/>
  <c r="X880" i="2"/>
  <c r="Y880" i="2"/>
  <c r="AU880" i="2"/>
  <c r="AX880" i="2"/>
  <c r="BB880" i="2"/>
  <c r="BC880" i="2"/>
  <c r="BD880" i="2"/>
  <c r="BE880" i="2"/>
  <c r="A881" i="2"/>
  <c r="A882" i="2"/>
  <c r="M882" i="2"/>
  <c r="A883" i="2"/>
  <c r="A884" i="2"/>
  <c r="A885" i="2"/>
  <c r="A886" i="2"/>
  <c r="A887" i="2"/>
  <c r="A888" i="2"/>
  <c r="A889" i="2"/>
  <c r="M889" i="2"/>
  <c r="O889" i="2"/>
  <c r="P889" i="2"/>
  <c r="Q889" i="2"/>
  <c r="R889" i="2"/>
  <c r="S889" i="2"/>
  <c r="T889" i="2"/>
  <c r="U889" i="2"/>
  <c r="V889" i="2"/>
  <c r="W889" i="2"/>
  <c r="X889" i="2"/>
  <c r="Y889" i="2"/>
  <c r="AU889" i="2"/>
  <c r="AX889" i="2"/>
  <c r="BB889" i="2"/>
  <c r="BC889" i="2"/>
  <c r="BD889" i="2"/>
  <c r="BE889" i="2"/>
  <c r="A890" i="2"/>
  <c r="A891" i="2"/>
  <c r="A892" i="2"/>
  <c r="A893" i="2"/>
  <c r="M893" i="2"/>
  <c r="O893" i="2"/>
  <c r="P893" i="2"/>
  <c r="Q893" i="2"/>
  <c r="R893" i="2"/>
  <c r="S893" i="2"/>
  <c r="T893" i="2"/>
  <c r="U893" i="2"/>
  <c r="V893" i="2"/>
  <c r="W893" i="2"/>
  <c r="X893" i="2"/>
  <c r="Y893" i="2"/>
  <c r="AU893" i="2"/>
  <c r="AX893" i="2"/>
  <c r="BB893" i="2"/>
  <c r="BC893" i="2"/>
  <c r="BD893" i="2"/>
  <c r="BE893" i="2"/>
  <c r="A894" i="2"/>
  <c r="A895" i="2"/>
  <c r="M895" i="2"/>
  <c r="A896" i="2"/>
  <c r="A897" i="2"/>
  <c r="A976" i="2"/>
  <c r="A977" i="2"/>
  <c r="A978" i="2"/>
  <c r="A979" i="2"/>
  <c r="A980" i="2"/>
  <c r="M980" i="2"/>
  <c r="O980" i="2"/>
  <c r="P980" i="2"/>
  <c r="Q980" i="2"/>
  <c r="R980" i="2"/>
  <c r="S980" i="2"/>
  <c r="T980" i="2"/>
  <c r="U980" i="2"/>
  <c r="V980" i="2"/>
  <c r="W980" i="2"/>
  <c r="X980" i="2"/>
  <c r="Y980" i="2"/>
  <c r="AU980" i="2"/>
  <c r="AX980" i="2"/>
  <c r="BB980" i="2"/>
  <c r="BC980" i="2"/>
  <c r="BD980" i="2"/>
  <c r="BE980" i="2"/>
  <c r="A981" i="2"/>
  <c r="A982" i="2"/>
  <c r="A983" i="2"/>
  <c r="A984" i="2"/>
  <c r="M984" i="2"/>
  <c r="O984" i="2"/>
  <c r="P984" i="2"/>
  <c r="Q984" i="2"/>
  <c r="R984" i="2"/>
  <c r="S984" i="2"/>
  <c r="T984" i="2"/>
  <c r="U984" i="2"/>
  <c r="V984" i="2"/>
  <c r="W984" i="2"/>
  <c r="X984" i="2"/>
  <c r="Y984" i="2"/>
  <c r="AU984" i="2"/>
  <c r="AX984" i="2"/>
  <c r="BB984" i="2"/>
  <c r="BC984" i="2"/>
  <c r="BD984" i="2"/>
  <c r="BE984" i="2"/>
  <c r="A985" i="2"/>
  <c r="A986" i="2"/>
  <c r="A987" i="2"/>
  <c r="A988" i="2"/>
  <c r="A1002" i="2"/>
  <c r="A1003" i="2"/>
  <c r="A1004" i="2"/>
  <c r="A1005" i="2"/>
  <c r="A1006" i="2"/>
  <c r="M1006" i="2"/>
  <c r="O1006" i="2"/>
  <c r="P1006" i="2"/>
  <c r="Q1006" i="2"/>
  <c r="R1006" i="2"/>
  <c r="S1006" i="2"/>
  <c r="T1006" i="2"/>
  <c r="U1006" i="2"/>
  <c r="V1006" i="2"/>
  <c r="W1006" i="2"/>
  <c r="X1006" i="2"/>
  <c r="Y1006" i="2"/>
  <c r="AU1006" i="2"/>
  <c r="AX1006" i="2"/>
  <c r="BB1006" i="2"/>
  <c r="BC1006" i="2"/>
  <c r="BD1006" i="2"/>
  <c r="BE1006" i="2"/>
  <c r="A1007" i="2"/>
  <c r="A1008" i="2"/>
  <c r="A1009" i="2"/>
  <c r="A1010" i="2"/>
  <c r="M1010" i="2"/>
  <c r="O1010" i="2"/>
  <c r="P1010" i="2"/>
  <c r="Q1010" i="2"/>
  <c r="R1010" i="2"/>
  <c r="S1010" i="2"/>
  <c r="T1010" i="2"/>
  <c r="U1010" i="2"/>
  <c r="V1010" i="2"/>
  <c r="W1010" i="2"/>
  <c r="X1010" i="2"/>
  <c r="Y1010" i="2"/>
  <c r="AU1010" i="2"/>
  <c r="AX1010" i="2"/>
  <c r="BB1010" i="2"/>
  <c r="BC1010" i="2"/>
  <c r="BD1010" i="2"/>
  <c r="BE1010" i="2"/>
  <c r="A1011" i="2"/>
  <c r="A1012" i="2"/>
  <c r="A1013" i="2"/>
  <c r="A1014" i="2"/>
  <c r="A1015" i="2"/>
  <c r="A1016" i="2"/>
  <c r="A1017" i="2"/>
  <c r="A1018" i="2"/>
  <c r="A1019" i="2"/>
  <c r="M1019" i="2"/>
  <c r="O1019" i="2"/>
  <c r="P1019" i="2"/>
  <c r="Q1019" i="2"/>
  <c r="R1019" i="2"/>
  <c r="S1019" i="2"/>
  <c r="T1019" i="2"/>
  <c r="U1019" i="2"/>
  <c r="V1019" i="2"/>
  <c r="W1019" i="2"/>
  <c r="X1019" i="2"/>
  <c r="Y1019" i="2"/>
  <c r="AU1019" i="2"/>
  <c r="AX1019" i="2"/>
  <c r="BB1019" i="2"/>
  <c r="BC1019" i="2"/>
  <c r="BD1019" i="2"/>
  <c r="BE1019" i="2"/>
  <c r="A1020" i="2"/>
  <c r="A1021" i="2"/>
  <c r="A1022" i="2"/>
  <c r="A1023" i="2"/>
  <c r="M1023" i="2"/>
  <c r="O1023" i="2"/>
  <c r="P1023" i="2"/>
  <c r="Q1023" i="2"/>
  <c r="R1023" i="2"/>
  <c r="S1023" i="2"/>
  <c r="T1023" i="2"/>
  <c r="U1023" i="2"/>
  <c r="V1023" i="2"/>
  <c r="W1023" i="2"/>
  <c r="X1023" i="2"/>
  <c r="Y1023" i="2"/>
  <c r="AU1023" i="2"/>
  <c r="AX1023" i="2"/>
  <c r="BB1023" i="2"/>
  <c r="BC1023" i="2"/>
  <c r="BD1023" i="2"/>
  <c r="BE1023" i="2"/>
  <c r="A1024" i="2"/>
  <c r="A1025" i="2"/>
  <c r="A1026" i="2"/>
  <c r="A1027" i="2"/>
  <c r="A1028" i="2"/>
  <c r="A1029" i="2"/>
  <c r="A1030" i="2"/>
  <c r="A1031" i="2"/>
  <c r="A1032" i="2"/>
  <c r="M1032" i="2"/>
  <c r="O1032" i="2"/>
  <c r="P1032" i="2"/>
  <c r="Q1032" i="2"/>
  <c r="R1032" i="2"/>
  <c r="S1032" i="2"/>
  <c r="T1032" i="2"/>
  <c r="U1032" i="2"/>
  <c r="V1032" i="2"/>
  <c r="W1032" i="2"/>
  <c r="X1032" i="2"/>
  <c r="Y1032" i="2"/>
  <c r="AU1032" i="2"/>
  <c r="AX1032" i="2"/>
  <c r="BB1032" i="2"/>
  <c r="BC1032" i="2"/>
  <c r="BD1032" i="2"/>
  <c r="BE1032" i="2"/>
  <c r="A1033" i="2"/>
  <c r="A1034" i="2"/>
  <c r="A1035" i="2"/>
  <c r="A1036" i="2"/>
  <c r="M1036" i="2"/>
  <c r="O1036" i="2"/>
  <c r="P1036" i="2"/>
  <c r="Q1036" i="2"/>
  <c r="R1036" i="2"/>
  <c r="S1036" i="2"/>
  <c r="T1036" i="2"/>
  <c r="U1036" i="2"/>
  <c r="V1036" i="2"/>
  <c r="W1036" i="2"/>
  <c r="X1036" i="2"/>
  <c r="Y1036" i="2"/>
  <c r="AU1036" i="2"/>
  <c r="AX1036" i="2"/>
  <c r="BB1036" i="2"/>
  <c r="BC1036" i="2"/>
  <c r="BD1036" i="2"/>
  <c r="BE1036" i="2"/>
  <c r="A1037" i="2"/>
  <c r="A1038" i="2"/>
  <c r="A1039" i="2"/>
  <c r="A1040" i="2"/>
  <c r="H56" i="8" l="1"/>
  <c r="N16" i="31"/>
  <c r="K5" i="1"/>
  <c r="K11" i="1"/>
  <c r="K10" i="1"/>
  <c r="E77" i="8"/>
  <c r="O46" i="8"/>
  <c r="F69" i="8"/>
  <c r="G62" i="8"/>
  <c r="K9" i="1"/>
  <c r="K8" i="1"/>
  <c r="N22" i="31"/>
  <c r="E102" i="8"/>
  <c r="M64" i="8"/>
  <c r="N33" i="31"/>
  <c r="K7" i="1"/>
  <c r="N5" i="31"/>
  <c r="H55" i="8"/>
  <c r="K6" i="1"/>
  <c r="I44" i="8"/>
  <c r="P63" i="8"/>
  <c r="I178" i="8"/>
  <c r="I48" i="8"/>
  <c r="E88" i="8"/>
  <c r="I150" i="8"/>
  <c r="E105" i="8"/>
  <c r="D51" i="8"/>
  <c r="I114" i="8"/>
  <c r="I159" i="8"/>
  <c r="I167" i="8"/>
  <c r="E15" i="8"/>
  <c r="E92" i="8"/>
  <c r="I125" i="8"/>
  <c r="I133" i="8"/>
  <c r="P172" i="8"/>
  <c r="I70" i="8"/>
  <c r="F49" i="8"/>
  <c r="G49" i="8"/>
  <c r="H58" i="8"/>
  <c r="D55" i="8"/>
  <c r="E55" i="8"/>
  <c r="I50" i="8"/>
  <c r="D149" i="8"/>
  <c r="D157" i="8"/>
  <c r="D165" i="8"/>
  <c r="L173" i="8"/>
  <c r="E166" i="8"/>
  <c r="M174" i="8"/>
  <c r="E159" i="8"/>
  <c r="F163" i="8"/>
  <c r="N171" i="8"/>
  <c r="E150" i="8"/>
  <c r="G152" i="8"/>
  <c r="G160" i="8"/>
  <c r="G168" i="8"/>
  <c r="G176" i="8"/>
  <c r="H160" i="8"/>
  <c r="H168" i="8"/>
  <c r="E158" i="8"/>
  <c r="H60" i="8"/>
  <c r="I62" i="8"/>
  <c r="K45" i="8"/>
  <c r="D54" i="8"/>
  <c r="E68" i="8"/>
  <c r="F68" i="8"/>
  <c r="F54" i="8"/>
  <c r="G70" i="8"/>
  <c r="N45" i="8"/>
  <c r="E62" i="8"/>
  <c r="F48" i="8"/>
  <c r="D116" i="8"/>
  <c r="D124" i="8"/>
  <c r="D132" i="8"/>
  <c r="D140" i="8"/>
  <c r="M118" i="8"/>
  <c r="E126" i="8"/>
  <c r="E134" i="8"/>
  <c r="E142" i="8"/>
  <c r="F120" i="8"/>
  <c r="F128" i="8"/>
  <c r="N136" i="8"/>
  <c r="G114" i="8"/>
  <c r="G122" i="8"/>
  <c r="G130" i="8"/>
  <c r="O138" i="8"/>
  <c r="P118" i="8"/>
  <c r="E78" i="8"/>
  <c r="G14" i="8"/>
  <c r="G56" i="8"/>
  <c r="I19" i="8"/>
  <c r="E96" i="8"/>
  <c r="I151" i="8"/>
  <c r="F42" i="8"/>
  <c r="I59" i="8"/>
  <c r="I115" i="8"/>
  <c r="I160" i="8"/>
  <c r="I168" i="8"/>
  <c r="F23" i="8"/>
  <c r="E100" i="8"/>
  <c r="I126" i="8"/>
  <c r="I134" i="8"/>
  <c r="I8" i="8"/>
  <c r="E85" i="8"/>
  <c r="F57" i="8"/>
  <c r="I55" i="8"/>
  <c r="D50" i="8"/>
  <c r="D59" i="8"/>
  <c r="I58" i="8"/>
  <c r="H42" i="8"/>
  <c r="G59" i="8"/>
  <c r="F51" i="8"/>
  <c r="D150" i="8"/>
  <c r="D158" i="8"/>
  <c r="D166" i="8"/>
  <c r="L174" i="8"/>
  <c r="E167" i="8"/>
  <c r="E175" i="8"/>
  <c r="E161" i="8"/>
  <c r="F156" i="8"/>
  <c r="F164" i="8"/>
  <c r="N172" i="8"/>
  <c r="E152" i="8"/>
  <c r="O153" i="8"/>
  <c r="G161" i="8"/>
  <c r="G169" i="8"/>
  <c r="G177" i="8"/>
  <c r="H152" i="8"/>
  <c r="H161" i="8"/>
  <c r="H169" i="8"/>
  <c r="E162" i="8"/>
  <c r="D61" i="8"/>
  <c r="D68" i="8"/>
  <c r="I52" i="8"/>
  <c r="N46" i="8"/>
  <c r="G57" i="8"/>
  <c r="I69" i="8"/>
  <c r="F70" i="8"/>
  <c r="E56" i="8"/>
  <c r="H48" i="8"/>
  <c r="E52" i="8"/>
  <c r="L117" i="8"/>
  <c r="D125" i="8"/>
  <c r="D133" i="8"/>
  <c r="D141" i="8"/>
  <c r="E127" i="8"/>
  <c r="M135" i="8"/>
  <c r="F113" i="8"/>
  <c r="F121" i="8"/>
  <c r="F129" i="8"/>
  <c r="N137" i="8"/>
  <c r="G115" i="8"/>
  <c r="G123" i="8"/>
  <c r="G131" i="8"/>
  <c r="G139" i="8"/>
  <c r="H116" i="8"/>
  <c r="H125" i="8"/>
  <c r="H133" i="8"/>
  <c r="M9" i="8"/>
  <c r="E86" i="8"/>
  <c r="F60" i="8"/>
  <c r="L64" i="8"/>
  <c r="P27" i="8"/>
  <c r="E104" i="8"/>
  <c r="I152" i="8"/>
  <c r="H50" i="8"/>
  <c r="P154" i="8"/>
  <c r="E67" i="8"/>
  <c r="I116" i="8"/>
  <c r="I161" i="8"/>
  <c r="I169" i="8"/>
  <c r="I31" i="8"/>
  <c r="I127" i="8"/>
  <c r="P135" i="8"/>
  <c r="G16" i="8"/>
  <c r="E93" i="8"/>
  <c r="O63" i="8"/>
  <c r="H57" i="8"/>
  <c r="H49" i="8"/>
  <c r="D43" i="8"/>
  <c r="G58" i="8"/>
  <c r="L66" i="8"/>
  <c r="E59" i="8"/>
  <c r="I42" i="8"/>
  <c r="N66" i="8"/>
  <c r="F55" i="8"/>
  <c r="D151" i="8"/>
  <c r="D159" i="8"/>
  <c r="D167" i="8"/>
  <c r="D175" i="8"/>
  <c r="E168" i="8"/>
  <c r="E176" i="8"/>
  <c r="F149" i="8"/>
  <c r="F157" i="8"/>
  <c r="F165" i="8"/>
  <c r="N173" i="8"/>
  <c r="M154" i="8"/>
  <c r="O154" i="8"/>
  <c r="G162" i="8"/>
  <c r="G170" i="8"/>
  <c r="G178" i="8"/>
  <c r="P153" i="8"/>
  <c r="H162" i="8"/>
  <c r="H170" i="8"/>
  <c r="H62" i="8"/>
  <c r="F44" i="8"/>
  <c r="I17" i="8"/>
  <c r="E94" i="8"/>
  <c r="E99" i="8"/>
  <c r="E79" i="8"/>
  <c r="H41" i="8"/>
  <c r="I139" i="8"/>
  <c r="M153" i="8"/>
  <c r="F58" i="8"/>
  <c r="F5" i="8"/>
  <c r="E82" i="8"/>
  <c r="K117" i="8"/>
  <c r="I162" i="8"/>
  <c r="I170" i="8"/>
  <c r="O45" i="8"/>
  <c r="I120" i="8"/>
  <c r="I128" i="8"/>
  <c r="D33" i="8"/>
  <c r="I175" i="8"/>
  <c r="D18" i="8"/>
  <c r="E95" i="8"/>
  <c r="I57" i="8"/>
  <c r="I141" i="8"/>
  <c r="E91" i="8"/>
  <c r="E81" i="8"/>
  <c r="H21" i="8"/>
  <c r="E98" i="8"/>
  <c r="I156" i="8"/>
  <c r="I164" i="8"/>
  <c r="P30" i="8"/>
  <c r="G61" i="8"/>
  <c r="I122" i="8"/>
  <c r="I130" i="8"/>
  <c r="I6" i="8"/>
  <c r="P46" i="8"/>
  <c r="P174" i="8"/>
  <c r="L63" i="8"/>
  <c r="G42" i="8"/>
  <c r="D58" i="8"/>
  <c r="G50" i="8"/>
  <c r="I51" i="8"/>
  <c r="L154" i="8"/>
  <c r="D162" i="8"/>
  <c r="D170" i="8"/>
  <c r="D178" i="8"/>
  <c r="M171" i="8"/>
  <c r="E151" i="8"/>
  <c r="F152" i="8"/>
  <c r="F160" i="8"/>
  <c r="F168" i="8"/>
  <c r="F176" i="8"/>
  <c r="G149" i="8"/>
  <c r="G157" i="8"/>
  <c r="G165" i="8"/>
  <c r="O173" i="8"/>
  <c r="E156" i="8"/>
  <c r="H157" i="8"/>
  <c r="H165" i="8"/>
  <c r="L46" i="8"/>
  <c r="G69" i="8"/>
  <c r="D48" i="8"/>
  <c r="O64" i="8"/>
  <c r="P64" i="8"/>
  <c r="L45" i="8"/>
  <c r="M45" i="8"/>
  <c r="D62" i="8"/>
  <c r="F41" i="8"/>
  <c r="F56" i="8"/>
  <c r="D69" i="8"/>
  <c r="D113" i="8"/>
  <c r="D121" i="8"/>
  <c r="D129" i="8"/>
  <c r="L137" i="8"/>
  <c r="I25" i="8"/>
  <c r="I142" i="8"/>
  <c r="I13" i="8"/>
  <c r="I158" i="8"/>
  <c r="E69" i="8"/>
  <c r="P173" i="8"/>
  <c r="E101" i="8"/>
  <c r="L153" i="8"/>
  <c r="D169" i="8"/>
  <c r="E170" i="8"/>
  <c r="F151" i="8"/>
  <c r="F167" i="8"/>
  <c r="E163" i="8"/>
  <c r="G164" i="8"/>
  <c r="K154" i="8"/>
  <c r="H164" i="8"/>
  <c r="G67" i="8"/>
  <c r="E48" i="8"/>
  <c r="I67" i="8"/>
  <c r="H44" i="8"/>
  <c r="H59" i="8"/>
  <c r="G52" i="8"/>
  <c r="L118" i="8"/>
  <c r="D130" i="8"/>
  <c r="E113" i="8"/>
  <c r="E123" i="8"/>
  <c r="E133" i="8"/>
  <c r="F115" i="8"/>
  <c r="F125" i="8"/>
  <c r="N135" i="8"/>
  <c r="O117" i="8"/>
  <c r="G127" i="8"/>
  <c r="O137" i="8"/>
  <c r="H128" i="8"/>
  <c r="K10" i="8"/>
  <c r="F17" i="8"/>
  <c r="I7" i="8"/>
  <c r="N10" i="8"/>
  <c r="G31" i="8"/>
  <c r="G18" i="8"/>
  <c r="H20" i="8"/>
  <c r="F31" i="8"/>
  <c r="L30" i="8"/>
  <c r="G13" i="8"/>
  <c r="F19" i="8"/>
  <c r="D12" i="8"/>
  <c r="M27" i="8"/>
  <c r="G8" i="8"/>
  <c r="N27" i="8"/>
  <c r="E20" i="8"/>
  <c r="I34" i="8"/>
  <c r="E13" i="8"/>
  <c r="E6" i="8"/>
  <c r="D14" i="8"/>
  <c r="O30" i="8"/>
  <c r="P171" i="8"/>
  <c r="D42" i="8"/>
  <c r="D177" i="8"/>
  <c r="G156" i="8"/>
  <c r="G53" i="8"/>
  <c r="D123" i="8"/>
  <c r="E139" i="8"/>
  <c r="E87" i="8"/>
  <c r="I149" i="8"/>
  <c r="N29" i="8"/>
  <c r="I163" i="8"/>
  <c r="E84" i="8"/>
  <c r="P136" i="8"/>
  <c r="G51" i="8"/>
  <c r="F67" i="8"/>
  <c r="E43" i="8"/>
  <c r="L171" i="8"/>
  <c r="M172" i="8"/>
  <c r="N153" i="8"/>
  <c r="F169" i="8"/>
  <c r="G150" i="8"/>
  <c r="G166" i="8"/>
  <c r="H149" i="8"/>
  <c r="H166" i="8"/>
  <c r="I49" i="8"/>
  <c r="E70" i="8"/>
  <c r="D60" i="8"/>
  <c r="G54" i="8"/>
  <c r="D131" i="8"/>
  <c r="E114" i="8"/>
  <c r="E124" i="8"/>
  <c r="M136" i="8"/>
  <c r="F116" i="8"/>
  <c r="F126" i="8"/>
  <c r="N138" i="8"/>
  <c r="O118" i="8"/>
  <c r="G128" i="8"/>
  <c r="G140" i="8"/>
  <c r="H120" i="8"/>
  <c r="H129" i="8"/>
  <c r="D7" i="8"/>
  <c r="H23" i="8"/>
  <c r="L10" i="8"/>
  <c r="F26" i="8"/>
  <c r="I32" i="8"/>
  <c r="H16" i="8"/>
  <c r="P10" i="8"/>
  <c r="I12" i="8"/>
  <c r="D21" i="8"/>
  <c r="F33" i="8"/>
  <c r="G33" i="8"/>
  <c r="I24" i="8"/>
  <c r="F21" i="8"/>
  <c r="H13" i="8"/>
  <c r="P28" i="8"/>
  <c r="E12" i="8"/>
  <c r="L29" i="8"/>
  <c r="D24" i="8"/>
  <c r="D23" i="8"/>
  <c r="F18" i="8"/>
  <c r="H22" i="8"/>
  <c r="E25" i="8"/>
  <c r="H25" i="8"/>
  <c r="I124" i="8"/>
  <c r="F159" i="8"/>
  <c r="H156" i="8"/>
  <c r="F59" i="8"/>
  <c r="E129" i="8"/>
  <c r="G55" i="8"/>
  <c r="E103" i="8"/>
  <c r="F22" i="8"/>
  <c r="G43" i="8"/>
  <c r="I165" i="8"/>
  <c r="I121" i="8"/>
  <c r="I68" i="8"/>
  <c r="P45" i="8"/>
  <c r="P66" i="8"/>
  <c r="E50" i="8"/>
  <c r="I43" i="8"/>
  <c r="D156" i="8"/>
  <c r="L172" i="8"/>
  <c r="M173" i="8"/>
  <c r="N154" i="8"/>
  <c r="F170" i="8"/>
  <c r="G151" i="8"/>
  <c r="G167" i="8"/>
  <c r="H150" i="8"/>
  <c r="H167" i="8"/>
  <c r="D52" i="8"/>
  <c r="H61" i="8"/>
  <c r="E60" i="8"/>
  <c r="D120" i="8"/>
  <c r="D134" i="8"/>
  <c r="E115" i="8"/>
  <c r="E125" i="8"/>
  <c r="M137" i="8"/>
  <c r="N117" i="8"/>
  <c r="F127" i="8"/>
  <c r="F139" i="8"/>
  <c r="G129" i="8"/>
  <c r="G141" i="8"/>
  <c r="H121" i="8"/>
  <c r="H130" i="8"/>
  <c r="G20" i="8"/>
  <c r="E31" i="8"/>
  <c r="D13" i="8"/>
  <c r="G34" i="8"/>
  <c r="G5" i="8"/>
  <c r="H14" i="8"/>
  <c r="L27" i="8"/>
  <c r="E14" i="8"/>
  <c r="E106" i="8"/>
  <c r="E53" i="8"/>
  <c r="D161" i="8"/>
  <c r="F175" i="8"/>
  <c r="G68" i="8"/>
  <c r="L136" i="8"/>
  <c r="P137" i="8"/>
  <c r="P138" i="8"/>
  <c r="G12" i="8"/>
  <c r="E90" i="8"/>
  <c r="I166" i="8"/>
  <c r="I123" i="8"/>
  <c r="E83" i="8"/>
  <c r="K46" i="8"/>
  <c r="E58" i="8"/>
  <c r="E41" i="8"/>
  <c r="I41" i="8"/>
  <c r="D57" i="8"/>
  <c r="D160" i="8"/>
  <c r="D176" i="8"/>
  <c r="E177" i="8"/>
  <c r="F158" i="8"/>
  <c r="N174" i="8"/>
  <c r="O171" i="8"/>
  <c r="D44" i="8"/>
  <c r="M46" i="8"/>
  <c r="H53" i="8"/>
  <c r="M65" i="8"/>
  <c r="I53" i="8"/>
  <c r="I61" i="8"/>
  <c r="D122" i="8"/>
  <c r="L135" i="8"/>
  <c r="E116" i="8"/>
  <c r="E128" i="8"/>
  <c r="M138" i="8"/>
  <c r="N118" i="8"/>
  <c r="F130" i="8"/>
  <c r="F140" i="8"/>
  <c r="G120" i="8"/>
  <c r="G132" i="8"/>
  <c r="G142" i="8"/>
  <c r="H122" i="8"/>
  <c r="H131" i="8"/>
  <c r="K9" i="8"/>
  <c r="G15" i="8"/>
  <c r="D26" i="8"/>
  <c r="O10" i="8"/>
  <c r="F24" i="8"/>
  <c r="E5" i="8"/>
  <c r="F7" i="8"/>
  <c r="I14" i="8"/>
  <c r="G24" i="8"/>
  <c r="G22" i="8"/>
  <c r="D8" i="8"/>
  <c r="O28" i="8"/>
  <c r="D32" i="8"/>
  <c r="D16" i="8"/>
  <c r="N30" i="8"/>
  <c r="E16" i="8"/>
  <c r="F32" i="8"/>
  <c r="O27" i="8"/>
  <c r="I176" i="8"/>
  <c r="E49" i="8"/>
  <c r="F20" i="8"/>
  <c r="E24" i="8"/>
  <c r="E57" i="8"/>
  <c r="E42" i="8"/>
  <c r="E178" i="8"/>
  <c r="O172" i="8"/>
  <c r="E44" i="8"/>
  <c r="N65" i="8"/>
  <c r="M117" i="8"/>
  <c r="I177" i="8"/>
  <c r="O65" i="8"/>
  <c r="O66" i="8"/>
  <c r="I113" i="8"/>
  <c r="H52" i="8"/>
  <c r="I129" i="8"/>
  <c r="N63" i="8"/>
  <c r="F50" i="8"/>
  <c r="E51" i="8"/>
  <c r="D163" i="8"/>
  <c r="E164" i="8"/>
  <c r="F161" i="8"/>
  <c r="F177" i="8"/>
  <c r="G158" i="8"/>
  <c r="O174" i="8"/>
  <c r="H158" i="8"/>
  <c r="F53" i="8"/>
  <c r="I60" i="8"/>
  <c r="D41" i="8"/>
  <c r="F61" i="8"/>
  <c r="G41" i="8"/>
  <c r="D67" i="8"/>
  <c r="G60" i="8"/>
  <c r="D126" i="8"/>
  <c r="L138" i="8"/>
  <c r="E120" i="8"/>
  <c r="E130" i="8"/>
  <c r="E140" i="8"/>
  <c r="F122" i="8"/>
  <c r="F132" i="8"/>
  <c r="F142" i="8"/>
  <c r="G124" i="8"/>
  <c r="G134" i="8"/>
  <c r="H113" i="8"/>
  <c r="H124" i="8"/>
  <c r="H134" i="8"/>
  <c r="H12" i="8"/>
  <c r="E23" i="8"/>
  <c r="I5" i="8"/>
  <c r="O29" i="8"/>
  <c r="E21" i="8"/>
  <c r="F13" i="8"/>
  <c r="L9" i="8"/>
  <c r="H5" i="8"/>
  <c r="E17" i="8"/>
  <c r="M28" i="8"/>
  <c r="D25" i="8"/>
  <c r="I20" i="8"/>
  <c r="I22" i="8"/>
  <c r="G6" i="8"/>
  <c r="G19" i="8"/>
  <c r="I33" i="8"/>
  <c r="D20" i="8"/>
  <c r="F12" i="8"/>
  <c r="G32" i="8"/>
  <c r="M10" i="8"/>
  <c r="E80" i="8"/>
  <c r="E89" i="8"/>
  <c r="G7" i="8"/>
  <c r="I131" i="8"/>
  <c r="H54" i="8"/>
  <c r="I54" i="8"/>
  <c r="D164" i="8"/>
  <c r="E157" i="8"/>
  <c r="F162" i="8"/>
  <c r="E54" i="8"/>
  <c r="E165" i="8"/>
  <c r="E26" i="8"/>
  <c r="F166" i="8"/>
  <c r="H163" i="8"/>
  <c r="D115" i="8"/>
  <c r="E132" i="8"/>
  <c r="F141" i="8"/>
  <c r="O136" i="8"/>
  <c r="I26" i="8"/>
  <c r="O9" i="8"/>
  <c r="H6" i="8"/>
  <c r="H8" i="8"/>
  <c r="I140" i="8"/>
  <c r="P65" i="8"/>
  <c r="F178" i="8"/>
  <c r="E149" i="8"/>
  <c r="M63" i="8"/>
  <c r="F43" i="8"/>
  <c r="D127" i="8"/>
  <c r="E141" i="8"/>
  <c r="G113" i="8"/>
  <c r="K118" i="8"/>
  <c r="N9" i="8"/>
  <c r="I21" i="8"/>
  <c r="E18" i="8"/>
  <c r="I16" i="8"/>
  <c r="N28" i="8"/>
  <c r="F8" i="8"/>
  <c r="H19" i="8"/>
  <c r="E22" i="8"/>
  <c r="D22" i="8"/>
  <c r="F124" i="8"/>
  <c r="D34" i="8"/>
  <c r="H24" i="8"/>
  <c r="E97" i="8"/>
  <c r="M66" i="8"/>
  <c r="E160" i="8"/>
  <c r="D49" i="8"/>
  <c r="D128" i="8"/>
  <c r="F114" i="8"/>
  <c r="G116" i="8"/>
  <c r="H114" i="8"/>
  <c r="E33" i="8"/>
  <c r="L28" i="8"/>
  <c r="D5" i="8"/>
  <c r="I18" i="8"/>
  <c r="E19" i="8"/>
  <c r="N64" i="8"/>
  <c r="D142" i="8"/>
  <c r="G21" i="8"/>
  <c r="E34" i="8"/>
  <c r="I157" i="8"/>
  <c r="G159" i="8"/>
  <c r="I56" i="8"/>
  <c r="D139" i="8"/>
  <c r="F123" i="8"/>
  <c r="G121" i="8"/>
  <c r="P117" i="8"/>
  <c r="P9" i="8"/>
  <c r="D31" i="8"/>
  <c r="E7" i="8"/>
  <c r="D19" i="8"/>
  <c r="E8" i="8"/>
  <c r="H17" i="8"/>
  <c r="G25" i="8"/>
  <c r="D53" i="8"/>
  <c r="D152" i="8"/>
  <c r="G163" i="8"/>
  <c r="G125" i="8"/>
  <c r="D17" i="8"/>
  <c r="G26" i="8"/>
  <c r="F34" i="8"/>
  <c r="I132" i="8"/>
  <c r="L65" i="8"/>
  <c r="D168" i="8"/>
  <c r="G175" i="8"/>
  <c r="E61" i="8"/>
  <c r="G48" i="8"/>
  <c r="D56" i="8"/>
  <c r="E121" i="8"/>
  <c r="F131" i="8"/>
  <c r="G126" i="8"/>
  <c r="H126" i="8"/>
  <c r="F15" i="8"/>
  <c r="I15" i="8"/>
  <c r="P29" i="8"/>
  <c r="M30" i="8"/>
  <c r="F25" i="8"/>
  <c r="F14" i="8"/>
  <c r="E131" i="8"/>
  <c r="O135" i="8"/>
  <c r="I23" i="8"/>
  <c r="D6" i="8"/>
  <c r="M29" i="8"/>
  <c r="E169" i="8"/>
  <c r="K153" i="8"/>
  <c r="D70" i="8"/>
  <c r="F52" i="8"/>
  <c r="E122" i="8"/>
  <c r="F133" i="8"/>
  <c r="G133" i="8"/>
  <c r="H127" i="8"/>
  <c r="D15" i="8"/>
  <c r="G23" i="8"/>
  <c r="H18" i="8"/>
  <c r="F6" i="8"/>
  <c r="E32" i="8"/>
  <c r="F16" i="8"/>
  <c r="F62" i="8"/>
  <c r="F150" i="8"/>
  <c r="G44" i="8"/>
  <c r="D114" i="8"/>
  <c r="F134" i="8"/>
  <c r="H132" i="8"/>
  <c r="H26" i="8"/>
  <c r="G17" i="8"/>
  <c r="E52" i="9"/>
  <c r="E45" i="9"/>
  <c r="E53" i="9"/>
  <c r="E54" i="9"/>
  <c r="E55" i="9"/>
  <c r="E58" i="9"/>
  <c r="E56" i="9"/>
  <c r="E57" i="9"/>
  <c r="J7" i="4"/>
  <c r="L7" i="4" s="1"/>
  <c r="H7" i="4" s="1"/>
  <c r="F205" i="32"/>
  <c r="I201" i="32"/>
  <c r="H33" i="32"/>
  <c r="G205" i="32"/>
  <c r="E163" i="32"/>
  <c r="I79" i="32"/>
  <c r="H201" i="32"/>
  <c r="G163" i="32"/>
  <c r="J79" i="32"/>
  <c r="G79" i="32"/>
  <c r="I205" i="32"/>
  <c r="Q79" i="32"/>
  <c r="P205" i="32"/>
  <c r="I163" i="32"/>
  <c r="Q205" i="32"/>
  <c r="E79" i="32"/>
  <c r="E205" i="32"/>
  <c r="D205" i="32"/>
  <c r="F201" i="32"/>
  <c r="F79" i="32"/>
  <c r="J37" i="32"/>
  <c r="D163" i="32"/>
  <c r="P75" i="32"/>
  <c r="D33" i="32"/>
  <c r="F159" i="32"/>
  <c r="G33" i="32"/>
  <c r="D159" i="32"/>
  <c r="E33" i="32"/>
  <c r="D75" i="32"/>
  <c r="F37" i="32"/>
  <c r="P163" i="32"/>
  <c r="I37" i="32"/>
  <c r="Q159" i="32"/>
  <c r="I75" i="32"/>
  <c r="E201" i="32"/>
  <c r="H75" i="32"/>
  <c r="Q37" i="32"/>
  <c r="Q201" i="32"/>
  <c r="I159" i="32"/>
  <c r="Q163" i="32"/>
  <c r="P201" i="32"/>
  <c r="G37" i="32"/>
  <c r="E75" i="32"/>
  <c r="E37" i="32"/>
  <c r="D201" i="32"/>
  <c r="Q33" i="32"/>
  <c r="P33" i="32"/>
  <c r="D79" i="32"/>
  <c r="Q75" i="32"/>
  <c r="J33" i="32"/>
  <c r="I33" i="32"/>
  <c r="P79" i="32"/>
  <c r="G75" i="32"/>
  <c r="J75" i="32"/>
  <c r="H159" i="32"/>
  <c r="P37" i="32"/>
  <c r="F75" i="32"/>
  <c r="P159" i="32"/>
  <c r="G201" i="32"/>
  <c r="E159" i="32"/>
  <c r="F33" i="32"/>
  <c r="D37" i="32"/>
  <c r="G159" i="32"/>
  <c r="F163" i="32"/>
  <c r="D35" i="9" a="1"/>
  <c r="D35" i="9" s="1"/>
  <c r="E75" i="9" a="1"/>
  <c r="E75" i="9" s="1"/>
  <c r="F15" i="9" a="1"/>
  <c r="F15" i="9" s="1"/>
  <c r="G75" i="9"/>
  <c r="D15" i="9" a="1"/>
  <c r="D15" i="9" s="1"/>
  <c r="D95" i="9" a="1"/>
  <c r="D95" i="9" s="1"/>
  <c r="E15" i="9" a="1"/>
  <c r="E15" i="9" s="1"/>
  <c r="F35" i="9" a="1"/>
  <c r="F35" i="9" s="1"/>
  <c r="I35" i="9" a="1"/>
  <c r="I35" i="9" s="1"/>
  <c r="E35" i="9" a="1"/>
  <c r="E35" i="9" s="1"/>
  <c r="F206" i="32"/>
  <c r="H207" i="32"/>
  <c r="L207" i="32"/>
  <c r="N208" i="32"/>
  <c r="F203" i="32"/>
  <c r="M201" i="32"/>
  <c r="E123" i="32"/>
  <c r="D206" i="32"/>
  <c r="F207" i="32"/>
  <c r="L208" i="32"/>
  <c r="O205" i="32"/>
  <c r="Q206" i="32"/>
  <c r="N201" i="32"/>
  <c r="Q202" i="32"/>
  <c r="E117" i="32"/>
  <c r="D207" i="32"/>
  <c r="I206" i="32"/>
  <c r="M205" i="32"/>
  <c r="O206" i="32"/>
  <c r="Q207" i="32"/>
  <c r="N203" i="32"/>
  <c r="Q203" i="32"/>
  <c r="N163" i="32"/>
  <c r="E118" i="32"/>
  <c r="G206" i="32"/>
  <c r="I207" i="32"/>
  <c r="M206" i="32"/>
  <c r="O207" i="32"/>
  <c r="O201" i="32"/>
  <c r="N164" i="32"/>
  <c r="E119" i="32"/>
  <c r="E206" i="32"/>
  <c r="G207" i="32"/>
  <c r="I208" i="32"/>
  <c r="M207" i="32"/>
  <c r="D203" i="32"/>
  <c r="O163" i="32"/>
  <c r="G81" i="32"/>
  <c r="E207" i="32"/>
  <c r="G208" i="32"/>
  <c r="N205" i="32"/>
  <c r="P206" i="32"/>
  <c r="P202" i="32"/>
  <c r="N207" i="32"/>
  <c r="E122" i="32"/>
  <c r="E208" i="32"/>
  <c r="N206" i="32"/>
  <c r="P207" i="32"/>
  <c r="E203" i="32"/>
  <c r="P203" i="32"/>
  <c r="E121" i="32"/>
  <c r="P208" i="32"/>
  <c r="P204" i="32"/>
  <c r="H161" i="32"/>
  <c r="N75" i="32"/>
  <c r="E120" i="32"/>
  <c r="F202" i="32"/>
  <c r="E202" i="32"/>
  <c r="G202" i="32"/>
  <c r="L204" i="32"/>
  <c r="D162" i="32"/>
  <c r="O204" i="32"/>
  <c r="M160" i="32"/>
  <c r="O165" i="32"/>
  <c r="E81" i="32"/>
  <c r="P36" i="32"/>
  <c r="N33" i="32"/>
  <c r="Q166" i="32"/>
  <c r="O164" i="32"/>
  <c r="F77" i="32"/>
  <c r="E78" i="32"/>
  <c r="J38" i="32"/>
  <c r="O34" i="32"/>
  <c r="P160" i="32"/>
  <c r="E77" i="32"/>
  <c r="N202" i="32"/>
  <c r="Q208" i="32"/>
  <c r="D202" i="32"/>
  <c r="Q162" i="32"/>
  <c r="M204" i="32"/>
  <c r="I164" i="32"/>
  <c r="I160" i="32"/>
  <c r="M76" i="32"/>
  <c r="M80" i="32"/>
  <c r="O166" i="32"/>
  <c r="O161" i="32"/>
  <c r="M164" i="32"/>
  <c r="N39" i="32"/>
  <c r="Q82" i="32"/>
  <c r="Q81" i="32"/>
  <c r="L81" i="32"/>
  <c r="D80" i="32"/>
  <c r="F36" i="32"/>
  <c r="N82" i="32"/>
  <c r="N35" i="32"/>
  <c r="P78" i="32"/>
  <c r="L39" i="32"/>
  <c r="L35" i="32"/>
  <c r="H35" i="32"/>
  <c r="P76" i="32"/>
  <c r="I34" i="32"/>
  <c r="P40" i="32"/>
  <c r="P34" i="32"/>
  <c r="I81" i="32"/>
  <c r="I78" i="32"/>
  <c r="D82" i="32"/>
  <c r="M33" i="32"/>
  <c r="O37" i="32"/>
  <c r="E124" i="32"/>
  <c r="E204" i="32"/>
  <c r="O208" i="32"/>
  <c r="N204" i="32"/>
  <c r="H204" i="32"/>
  <c r="O160" i="32"/>
  <c r="O159" i="32"/>
  <c r="F160" i="32"/>
  <c r="L162" i="32"/>
  <c r="M75" i="32"/>
  <c r="M166" i="32"/>
  <c r="Q76" i="32"/>
  <c r="O76" i="32"/>
  <c r="N77" i="32"/>
  <c r="H39" i="32"/>
  <c r="O80" i="32"/>
  <c r="M34" i="32"/>
  <c r="I80" i="32"/>
  <c r="Q36" i="32"/>
  <c r="Q38" i="32"/>
  <c r="O36" i="32"/>
  <c r="M37" i="32"/>
  <c r="O40" i="32"/>
  <c r="D208" i="32"/>
  <c r="I39" i="32"/>
  <c r="Q161" i="32"/>
  <c r="I165" i="32"/>
  <c r="G204" i="32"/>
  <c r="D160" i="32"/>
  <c r="M208" i="32"/>
  <c r="L203" i="32"/>
  <c r="F165" i="32"/>
  <c r="F204" i="32"/>
  <c r="M81" i="32"/>
  <c r="Q160" i="32"/>
  <c r="N165" i="32"/>
  <c r="F162" i="32"/>
  <c r="I162" i="32"/>
  <c r="M165" i="32"/>
  <c r="E76" i="32"/>
  <c r="E160" i="32"/>
  <c r="H166" i="32"/>
  <c r="F164" i="32"/>
  <c r="I35" i="32"/>
  <c r="M79" i="32"/>
  <c r="G34" i="32"/>
  <c r="D81" i="32"/>
  <c r="P39" i="32"/>
  <c r="P81" i="32"/>
  <c r="N37" i="32"/>
  <c r="M40" i="32"/>
  <c r="J82" i="32"/>
  <c r="O77" i="32"/>
  <c r="E40" i="32"/>
  <c r="L78" i="32"/>
  <c r="N76" i="32"/>
  <c r="P35" i="32"/>
  <c r="N40" i="32"/>
  <c r="Q35" i="32"/>
  <c r="N34" i="32"/>
  <c r="O38" i="32"/>
  <c r="D39" i="32"/>
  <c r="L40" i="32"/>
  <c r="D34" i="32"/>
  <c r="F80" i="32"/>
  <c r="D78" i="32"/>
  <c r="H203" i="32"/>
  <c r="O81" i="32"/>
  <c r="M163" i="32"/>
  <c r="H208" i="32"/>
  <c r="N79" i="32"/>
  <c r="O162" i="32"/>
  <c r="Q165" i="32"/>
  <c r="G166" i="32"/>
  <c r="H162" i="32"/>
  <c r="P165" i="32"/>
  <c r="M159" i="32"/>
  <c r="G160" i="32"/>
  <c r="F166" i="32"/>
  <c r="E162" i="32"/>
  <c r="O75" i="32"/>
  <c r="F39" i="32"/>
  <c r="F35" i="32"/>
  <c r="D40" i="32"/>
  <c r="N159" i="32"/>
  <c r="P162" i="32"/>
  <c r="J36" i="32"/>
  <c r="M203" i="32"/>
  <c r="O203" i="32"/>
  <c r="F208" i="32"/>
  <c r="M162" i="32"/>
  <c r="E35" i="32"/>
  <c r="P164" i="32"/>
  <c r="L165" i="32"/>
  <c r="N166" i="32"/>
  <c r="E36" i="32"/>
  <c r="M39" i="32"/>
  <c r="P166" i="32"/>
  <c r="I166" i="32"/>
  <c r="D161" i="32"/>
  <c r="M161" i="32"/>
  <c r="N160" i="32"/>
  <c r="G162" i="32"/>
  <c r="P80" i="32"/>
  <c r="I76" i="32"/>
  <c r="O33" i="32"/>
  <c r="E82" i="32"/>
  <c r="G80" i="32"/>
  <c r="M78" i="32"/>
  <c r="M77" i="32"/>
  <c r="J77" i="32"/>
  <c r="G38" i="32"/>
  <c r="F82" i="32"/>
  <c r="G78" i="32"/>
  <c r="Q40" i="32"/>
  <c r="J76" i="32"/>
  <c r="J40" i="32"/>
  <c r="E34" i="32"/>
  <c r="J34" i="32"/>
  <c r="G161" i="32"/>
  <c r="O79" i="32"/>
  <c r="P82" i="32"/>
  <c r="O35" i="32"/>
  <c r="J39" i="32"/>
  <c r="H81" i="32"/>
  <c r="F38" i="32"/>
  <c r="D166" i="32"/>
  <c r="K166" i="32" s="1"/>
  <c r="D76" i="32"/>
  <c r="I204" i="32"/>
  <c r="M202" i="32"/>
  <c r="O202" i="32"/>
  <c r="G164" i="32"/>
  <c r="E164" i="32"/>
  <c r="H165" i="32"/>
  <c r="E165" i="32"/>
  <c r="G36" i="32"/>
  <c r="O78" i="32"/>
  <c r="G165" i="32"/>
  <c r="D165" i="32"/>
  <c r="F161" i="32"/>
  <c r="L161" i="32"/>
  <c r="N161" i="32"/>
  <c r="P161" i="32"/>
  <c r="J80" i="32"/>
  <c r="D77" i="32"/>
  <c r="H77" i="32"/>
  <c r="G77" i="32"/>
  <c r="Q39" i="32"/>
  <c r="I77" i="32"/>
  <c r="N81" i="32"/>
  <c r="G76" i="32"/>
  <c r="D38" i="32"/>
  <c r="P38" i="32"/>
  <c r="O39" i="32"/>
  <c r="F78" i="32"/>
  <c r="H40" i="32"/>
  <c r="Q34" i="32"/>
  <c r="F81" i="32"/>
  <c r="I38" i="32"/>
  <c r="M82" i="32"/>
  <c r="H82" i="32"/>
  <c r="G35" i="32"/>
  <c r="D204" i="32"/>
  <c r="D164" i="32"/>
  <c r="G203" i="32"/>
  <c r="I203" i="32"/>
  <c r="I202" i="32"/>
  <c r="Q78" i="32"/>
  <c r="Q204" i="32"/>
  <c r="M35" i="32"/>
  <c r="E166" i="32"/>
  <c r="J81" i="32"/>
  <c r="L36" i="32"/>
  <c r="E80" i="32"/>
  <c r="G39" i="32"/>
  <c r="L166" i="32"/>
  <c r="I161" i="32"/>
  <c r="J35" i="32"/>
  <c r="N162" i="32"/>
  <c r="E161" i="32"/>
  <c r="Q164" i="32"/>
  <c r="O82" i="32"/>
  <c r="Q77" i="32"/>
  <c r="Q80" i="32"/>
  <c r="E38" i="32"/>
  <c r="I82" i="32"/>
  <c r="P77" i="32"/>
  <c r="M38" i="32"/>
  <c r="G40" i="32"/>
  <c r="I40" i="32"/>
  <c r="F76" i="32"/>
  <c r="F40" i="32"/>
  <c r="F34" i="32"/>
  <c r="G82" i="32"/>
  <c r="N38" i="32"/>
  <c r="E39" i="32"/>
  <c r="N80" i="32"/>
  <c r="J78" i="32"/>
  <c r="I36" i="32"/>
  <c r="M36" i="32"/>
  <c r="Q783" i="2"/>
  <c r="Q812" i="2"/>
  <c r="L77" i="32" s="1"/>
  <c r="Q769" i="2"/>
  <c r="Q798" i="2"/>
  <c r="L82" i="32"/>
  <c r="V710" i="2"/>
  <c r="U710" i="2"/>
  <c r="T621" i="2"/>
  <c r="S710" i="2"/>
  <c r="J128" i="8" l="1"/>
  <c r="Q128" i="8" s="1"/>
  <c r="J19" i="8"/>
  <c r="Q19" i="8" s="1"/>
  <c r="J21" i="8"/>
  <c r="Q21" i="8" s="1"/>
  <c r="J48" i="8"/>
  <c r="Q48" i="8" s="1"/>
  <c r="J157" i="8"/>
  <c r="Q157" i="8" s="1"/>
  <c r="J41" i="8"/>
  <c r="Q41" i="8" s="1"/>
  <c r="J158" i="8"/>
  <c r="Q158" i="8" s="1"/>
  <c r="J163" i="8"/>
  <c r="Q163" i="8" s="1"/>
  <c r="J134" i="8"/>
  <c r="Q134" i="8" s="1"/>
  <c r="J44" i="8"/>
  <c r="Q44" i="8" s="1"/>
  <c r="J14" i="8"/>
  <c r="Q14" i="8" s="1"/>
  <c r="J12" i="8"/>
  <c r="Q12" i="8" s="1"/>
  <c r="J130" i="8"/>
  <c r="Q130" i="8" s="1"/>
  <c r="J133" i="8"/>
  <c r="Q133" i="8" s="1"/>
  <c r="J25" i="8"/>
  <c r="Q25" i="8" s="1"/>
  <c r="J23" i="8"/>
  <c r="Q23" i="8" s="1"/>
  <c r="J60" i="8"/>
  <c r="Q60" i="8" s="1"/>
  <c r="J58" i="8"/>
  <c r="Q58" i="8" s="1"/>
  <c r="G97" i="8"/>
  <c r="I97" i="8"/>
  <c r="J97" i="8"/>
  <c r="F97" i="8"/>
  <c r="J91" i="8"/>
  <c r="I91" i="8"/>
  <c r="G91" i="8"/>
  <c r="F91" i="8"/>
  <c r="G90" i="8"/>
  <c r="I90" i="8"/>
  <c r="F90" i="8"/>
  <c r="J90" i="8"/>
  <c r="J120" i="8"/>
  <c r="Q120" i="8" s="1"/>
  <c r="Q154" i="8"/>
  <c r="J167" i="8"/>
  <c r="Q167" i="8" s="1"/>
  <c r="J125" i="8"/>
  <c r="Q125" i="8" s="1"/>
  <c r="J150" i="8"/>
  <c r="Q150" i="8" s="1"/>
  <c r="J132" i="8"/>
  <c r="Q132" i="8" s="1"/>
  <c r="J149" i="8"/>
  <c r="Q149" i="8" s="1"/>
  <c r="J102" i="8"/>
  <c r="F102" i="8"/>
  <c r="G102" i="8"/>
  <c r="I102" i="8"/>
  <c r="J225" i="8" a="1"/>
  <c r="J225" i="8" s="1"/>
  <c r="D225" i="8" a="1"/>
  <c r="D225" i="8" s="1"/>
  <c r="E225" i="8" a="1"/>
  <c r="E225" i="8" s="1"/>
  <c r="I225" i="8" a="1"/>
  <c r="I225" i="8" s="1"/>
  <c r="J114" i="8"/>
  <c r="Q114" i="8" s="1"/>
  <c r="J168" i="8"/>
  <c r="Q168" i="8" s="1"/>
  <c r="J127" i="8"/>
  <c r="Q127" i="8" s="1"/>
  <c r="J20" i="8"/>
  <c r="Q20" i="8" s="1"/>
  <c r="Q9" i="8"/>
  <c r="J161" i="8"/>
  <c r="Q161" i="8" s="1"/>
  <c r="J13" i="8"/>
  <c r="Q13" i="8" s="1"/>
  <c r="J62" i="8"/>
  <c r="Q62" i="8" s="1"/>
  <c r="J170" i="8"/>
  <c r="Q170" i="8" s="1"/>
  <c r="J57" i="8"/>
  <c r="Q57" i="8" s="1"/>
  <c r="F85" i="8"/>
  <c r="J85" i="8"/>
  <c r="I85" i="8"/>
  <c r="G85" i="8"/>
  <c r="G78" i="8"/>
  <c r="F78" i="8"/>
  <c r="J78" i="8"/>
  <c r="I78" i="8"/>
  <c r="J124" i="8"/>
  <c r="Q124" i="8" s="1"/>
  <c r="G105" i="8"/>
  <c r="J105" i="8"/>
  <c r="I105" i="8"/>
  <c r="F105" i="8"/>
  <c r="J226" i="8" a="1"/>
  <c r="J226" i="8" s="1"/>
  <c r="D226" i="8" a="1"/>
  <c r="D226" i="8" s="1"/>
  <c r="E226" i="8" a="1"/>
  <c r="E226" i="8" s="1"/>
  <c r="I226" i="8" a="1"/>
  <c r="I226" i="8" s="1"/>
  <c r="Q153" i="8"/>
  <c r="J152" i="8"/>
  <c r="Q152" i="8" s="1"/>
  <c r="J42" i="8"/>
  <c r="Q42" i="8" s="1"/>
  <c r="Q10" i="8"/>
  <c r="J101" i="8"/>
  <c r="F101" i="8"/>
  <c r="G101" i="8"/>
  <c r="I101" i="8"/>
  <c r="J162" i="8"/>
  <c r="Q162" i="8" s="1"/>
  <c r="J95" i="8"/>
  <c r="I95" i="8"/>
  <c r="F95" i="8"/>
  <c r="G95" i="8"/>
  <c r="J79" i="8"/>
  <c r="G79" i="8"/>
  <c r="F79" i="8"/>
  <c r="I79" i="8"/>
  <c r="G104" i="8"/>
  <c r="I104" i="8"/>
  <c r="J104" i="8"/>
  <c r="F104" i="8"/>
  <c r="J116" i="8"/>
  <c r="Q116" i="8" s="1"/>
  <c r="J54" i="8"/>
  <c r="Q54" i="8" s="1"/>
  <c r="I221" i="8" a="1"/>
  <c r="I221" i="8" s="1"/>
  <c r="E221" i="8" a="1"/>
  <c r="E221" i="8" s="1"/>
  <c r="D221" i="8" a="1"/>
  <c r="D221" i="8" s="1"/>
  <c r="J221" i="8" a="1"/>
  <c r="J221" i="8" s="1"/>
  <c r="D223" i="8" a="1"/>
  <c r="D223" i="8" s="1"/>
  <c r="E223" i="8" a="1"/>
  <c r="E223" i="8" s="1"/>
  <c r="J223" i="8" a="1"/>
  <c r="J223" i="8" s="1"/>
  <c r="I223" i="8" a="1"/>
  <c r="I223" i="8" s="1"/>
  <c r="J77" i="8"/>
  <c r="F77" i="8"/>
  <c r="G77" i="8"/>
  <c r="I77" i="8"/>
  <c r="J53" i="8"/>
  <c r="Q53" i="8" s="1"/>
  <c r="J49" i="8"/>
  <c r="Q49" i="8" s="1"/>
  <c r="J16" i="8"/>
  <c r="Q16" i="8" s="1"/>
  <c r="J106" i="8"/>
  <c r="I106" i="8"/>
  <c r="F106" i="8"/>
  <c r="G106" i="8"/>
  <c r="J52" i="8"/>
  <c r="Q52" i="8" s="1"/>
  <c r="J87" i="8"/>
  <c r="G87" i="8"/>
  <c r="F87" i="8"/>
  <c r="I87" i="8"/>
  <c r="J129" i="8"/>
  <c r="Q129" i="8" s="1"/>
  <c r="J18" i="8"/>
  <c r="Q18" i="8" s="1"/>
  <c r="Q117" i="8"/>
  <c r="J99" i="8"/>
  <c r="I99" i="8"/>
  <c r="G99" i="8"/>
  <c r="F99" i="8"/>
  <c r="Q45" i="8"/>
  <c r="J55" i="8"/>
  <c r="Q55" i="8" s="1"/>
  <c r="I92" i="8"/>
  <c r="J92" i="8"/>
  <c r="G92" i="8"/>
  <c r="F92" i="8"/>
  <c r="D224" i="8" a="1"/>
  <c r="D224" i="8" s="1"/>
  <c r="E224" i="8" a="1"/>
  <c r="E224" i="8" s="1"/>
  <c r="J224" i="8" a="1"/>
  <c r="J224" i="8" s="1"/>
  <c r="I224" i="8" a="1"/>
  <c r="I224" i="8" s="1"/>
  <c r="J84" i="8"/>
  <c r="F84" i="8"/>
  <c r="I84" i="8"/>
  <c r="G84" i="8"/>
  <c r="J5" i="8"/>
  <c r="Q5" i="8" s="1"/>
  <c r="J22" i="8"/>
  <c r="Q22" i="8" s="1"/>
  <c r="J164" i="8"/>
  <c r="Q164" i="8" s="1"/>
  <c r="I89" i="8"/>
  <c r="G89" i="8"/>
  <c r="F89" i="8"/>
  <c r="J89" i="8"/>
  <c r="Q46" i="8"/>
  <c r="J156" i="8"/>
  <c r="Q156" i="8" s="1"/>
  <c r="J131" i="8"/>
  <c r="Q131" i="8" s="1"/>
  <c r="J121" i="8"/>
  <c r="Q121" i="8" s="1"/>
  <c r="J98" i="8"/>
  <c r="I98" i="8"/>
  <c r="F98" i="8"/>
  <c r="G98" i="8"/>
  <c r="I82" i="8"/>
  <c r="G82" i="8"/>
  <c r="F82" i="8"/>
  <c r="J82" i="8"/>
  <c r="F94" i="8"/>
  <c r="I94" i="8"/>
  <c r="G94" i="8"/>
  <c r="J94" i="8"/>
  <c r="I88" i="8"/>
  <c r="G88" i="8"/>
  <c r="J88" i="8"/>
  <c r="F88" i="8"/>
  <c r="G80" i="8"/>
  <c r="I80" i="8"/>
  <c r="F80" i="8"/>
  <c r="J80" i="8"/>
  <c r="J59" i="8"/>
  <c r="Q59" i="8" s="1"/>
  <c r="I100" i="8"/>
  <c r="F100" i="8"/>
  <c r="G100" i="8"/>
  <c r="J100" i="8"/>
  <c r="J96" i="8"/>
  <c r="I96" i="8"/>
  <c r="F96" i="8"/>
  <c r="G96" i="8"/>
  <c r="I222" i="8" a="1"/>
  <c r="I222" i="8" s="1"/>
  <c r="E222" i="8" a="1"/>
  <c r="E222" i="8" s="1"/>
  <c r="D222" i="8" a="1"/>
  <c r="D222" i="8" s="1"/>
  <c r="J222" i="8" a="1"/>
  <c r="J222" i="8" s="1"/>
  <c r="J6" i="8"/>
  <c r="Q6" i="8" s="1"/>
  <c r="J56" i="8"/>
  <c r="Q56" i="8" s="1"/>
  <c r="J113" i="8"/>
  <c r="Q113" i="8" s="1"/>
  <c r="G93" i="8"/>
  <c r="J93" i="8"/>
  <c r="F93" i="8"/>
  <c r="I93" i="8"/>
  <c r="J61" i="8"/>
  <c r="Q61" i="8" s="1"/>
  <c r="J17" i="8"/>
  <c r="Q17" i="8" s="1"/>
  <c r="Q118" i="8"/>
  <c r="J126" i="8"/>
  <c r="Q126" i="8" s="1"/>
  <c r="J8" i="8"/>
  <c r="Q8" i="8" s="1"/>
  <c r="J26" i="8"/>
  <c r="Q26" i="8" s="1"/>
  <c r="J122" i="8"/>
  <c r="Q122" i="8" s="1"/>
  <c r="J160" i="8"/>
  <c r="Q160" i="8" s="1"/>
  <c r="J103" i="8"/>
  <c r="F103" i="8"/>
  <c r="I103" i="8"/>
  <c r="G103" i="8"/>
  <c r="J24" i="8"/>
  <c r="Q24" i="8" s="1"/>
  <c r="J169" i="8"/>
  <c r="Q169" i="8" s="1"/>
  <c r="G81" i="8"/>
  <c r="J81" i="8"/>
  <c r="F81" i="8"/>
  <c r="I81" i="8"/>
  <c r="F86" i="8"/>
  <c r="J86" i="8"/>
  <c r="I86" i="8"/>
  <c r="G86" i="8"/>
  <c r="J166" i="8"/>
  <c r="Q166" i="8" s="1"/>
  <c r="J50" i="8"/>
  <c r="Q50" i="8" s="1"/>
  <c r="J165" i="8"/>
  <c r="Q165" i="8" s="1"/>
  <c r="R166" i="32"/>
  <c r="H35" i="9"/>
  <c r="H95" i="9"/>
  <c r="F95" i="9" a="1"/>
  <c r="F95" i="9" s="1"/>
  <c r="H75" i="9"/>
  <c r="I95" i="9" a="1"/>
  <c r="I95" i="9" s="1"/>
  <c r="E95" i="9" a="1"/>
  <c r="E95" i="9" s="1"/>
  <c r="G135" i="9" a="1"/>
  <c r="G135" i="9" s="1"/>
  <c r="P135" i="9" a="1"/>
  <c r="P135" i="9" s="1"/>
  <c r="E135" i="9" a="1"/>
  <c r="E135" i="9" s="1"/>
  <c r="N135" i="9" a="1"/>
  <c r="N135" i="9" s="1"/>
  <c r="H15" i="9"/>
  <c r="I75" i="9" a="1"/>
  <c r="I75" i="9" s="1"/>
  <c r="F58" i="9"/>
  <c r="G58" i="9"/>
  <c r="I58" i="9"/>
  <c r="J58" i="9" s="1"/>
  <c r="G57" i="9"/>
  <c r="F57" i="9"/>
  <c r="I57" i="9"/>
  <c r="J57" i="9" s="1"/>
  <c r="D75" i="9" a="1"/>
  <c r="D75" i="9" s="1"/>
  <c r="F56" i="9"/>
  <c r="G56" i="9"/>
  <c r="I56" i="9"/>
  <c r="J56" i="9" s="1"/>
  <c r="F75" i="9" a="1"/>
  <c r="F75" i="9" s="1"/>
  <c r="I55" i="9"/>
  <c r="J55" i="9" s="1"/>
  <c r="F55" i="9"/>
  <c r="G55" i="9"/>
  <c r="K67" i="9"/>
  <c r="K87" i="9"/>
  <c r="K27" i="9"/>
  <c r="K7" i="9"/>
  <c r="H14" i="9"/>
  <c r="H74" i="9"/>
  <c r="H94" i="9"/>
  <c r="H12" i="9"/>
  <c r="H72" i="9"/>
  <c r="H92" i="9"/>
  <c r="H13" i="9"/>
  <c r="H73" i="9"/>
  <c r="H93" i="9"/>
  <c r="K85" i="9"/>
  <c r="K25" i="9"/>
  <c r="K5" i="9"/>
  <c r="K65" i="9"/>
  <c r="K26" i="9"/>
  <c r="K86" i="9"/>
  <c r="K66" i="9"/>
  <c r="K6" i="9"/>
  <c r="D220" i="8" a="1"/>
  <c r="D220" i="8" s="1"/>
  <c r="K77" i="32"/>
  <c r="R77" i="32" s="1"/>
  <c r="K207" i="32"/>
  <c r="R207" i="32" s="1"/>
  <c r="K82" i="32"/>
  <c r="R82" i="32" s="1"/>
  <c r="I120" i="32"/>
  <c r="F120" i="32"/>
  <c r="J120" i="32"/>
  <c r="G120" i="32"/>
  <c r="I121" i="32"/>
  <c r="J121" i="32"/>
  <c r="F121" i="32"/>
  <c r="G121" i="32"/>
  <c r="J122" i="32"/>
  <c r="G122" i="32"/>
  <c r="F122" i="32"/>
  <c r="I122" i="32"/>
  <c r="F117" i="32"/>
  <c r="I117" i="32"/>
  <c r="J117" i="32"/>
  <c r="G117" i="32"/>
  <c r="G123" i="32"/>
  <c r="I123" i="32"/>
  <c r="J123" i="32"/>
  <c r="F123" i="32"/>
  <c r="K203" i="32"/>
  <c r="R203" i="32" s="1"/>
  <c r="K81" i="32"/>
  <c r="R81" i="32" s="1"/>
  <c r="K208" i="32"/>
  <c r="R208" i="32" s="1"/>
  <c r="K165" i="32"/>
  <c r="R165" i="32" s="1"/>
  <c r="K39" i="32"/>
  <c r="R39" i="32" s="1"/>
  <c r="K162" i="32"/>
  <c r="R162" i="32" s="1"/>
  <c r="K161" i="32"/>
  <c r="R161" i="32" s="1"/>
  <c r="K40" i="32"/>
  <c r="R40" i="32" s="1"/>
  <c r="K204" i="32"/>
  <c r="R204" i="32" s="1"/>
  <c r="I124" i="32"/>
  <c r="G124" i="32"/>
  <c r="F124" i="32"/>
  <c r="J124" i="32"/>
  <c r="F119" i="32"/>
  <c r="I119" i="32"/>
  <c r="J119" i="32"/>
  <c r="G119" i="32"/>
  <c r="F118" i="32"/>
  <c r="J118" i="32"/>
  <c r="G118" i="32"/>
  <c r="I118" i="32"/>
  <c r="K46" i="32"/>
  <c r="K50" i="32"/>
  <c r="K53" i="32"/>
  <c r="K67" i="32"/>
  <c r="K4" i="32"/>
  <c r="C28" i="32"/>
  <c r="C242" i="32"/>
  <c r="C241" i="32"/>
  <c r="C240" i="32"/>
  <c r="C239" i="32"/>
  <c r="C238" i="32"/>
  <c r="C237" i="32"/>
  <c r="C236" i="32"/>
  <c r="C235" i="32"/>
  <c r="C234" i="32"/>
  <c r="C233" i="32"/>
  <c r="C232" i="32"/>
  <c r="C231" i="32"/>
  <c r="C230" i="32"/>
  <c r="C229" i="32"/>
  <c r="C228" i="32"/>
  <c r="C227" i="32"/>
  <c r="C226" i="32"/>
  <c r="C225" i="32"/>
  <c r="C224" i="32"/>
  <c r="C223" i="32"/>
  <c r="C222" i="32"/>
  <c r="C221" i="32"/>
  <c r="C220" i="32"/>
  <c r="C219" i="32"/>
  <c r="C218" i="32"/>
  <c r="C217" i="32"/>
  <c r="C216" i="32"/>
  <c r="C215" i="32"/>
  <c r="B242" i="32"/>
  <c r="B241" i="32"/>
  <c r="B240" i="32"/>
  <c r="B239" i="32"/>
  <c r="B238" i="32"/>
  <c r="B237" i="32"/>
  <c r="B236" i="32"/>
  <c r="B235" i="32"/>
  <c r="B234" i="32"/>
  <c r="B233" i="32"/>
  <c r="B232" i="32"/>
  <c r="B231" i="32"/>
  <c r="B230" i="32"/>
  <c r="B229" i="32"/>
  <c r="B228" i="32"/>
  <c r="B227" i="32"/>
  <c r="B226" i="32"/>
  <c r="B225" i="32"/>
  <c r="B224" i="32"/>
  <c r="B223" i="32"/>
  <c r="B222" i="32"/>
  <c r="B221" i="32"/>
  <c r="B220" i="32"/>
  <c r="B219" i="32"/>
  <c r="B218" i="32"/>
  <c r="B217" i="32"/>
  <c r="B216" i="32"/>
  <c r="B215" i="32"/>
  <c r="B196" i="32"/>
  <c r="C196" i="32"/>
  <c r="B154" i="32"/>
  <c r="C154" i="32"/>
  <c r="B112" i="32"/>
  <c r="C112" i="32"/>
  <c r="E112" i="32" s="1"/>
  <c r="B70" i="32"/>
  <c r="C70" i="32"/>
  <c r="B28" i="32"/>
  <c r="M224" i="8" l="1"/>
  <c r="N224" i="8" s="1"/>
  <c r="M222" i="8"/>
  <c r="N222" i="8" s="1"/>
  <c r="M223" i="8"/>
  <c r="N223" i="8" s="1"/>
  <c r="M226" i="8"/>
  <c r="N226" i="8" s="1"/>
  <c r="M221" i="8"/>
  <c r="N221" i="8" s="1"/>
  <c r="M225" i="8"/>
  <c r="N225" i="8" s="1"/>
  <c r="L56" i="9"/>
  <c r="K56" i="9"/>
  <c r="J75" i="9"/>
  <c r="Q75" i="9" s="1"/>
  <c r="L58" i="9"/>
  <c r="K58" i="9"/>
  <c r="G14" i="6"/>
  <c r="L55" i="9"/>
  <c r="K55" i="9"/>
  <c r="F14" i="6"/>
  <c r="K57" i="9"/>
  <c r="S135" i="9"/>
  <c r="T135" i="9" s="1"/>
  <c r="L57" i="9"/>
  <c r="L118" i="32"/>
  <c r="K123" i="32"/>
  <c r="K122" i="32"/>
  <c r="L122" i="32"/>
  <c r="K120" i="32"/>
  <c r="K121" i="32"/>
  <c r="K119" i="32"/>
  <c r="L123" i="32"/>
  <c r="L117" i="32"/>
  <c r="L121" i="32"/>
  <c r="K118" i="32"/>
  <c r="K124" i="32"/>
  <c r="K117" i="32"/>
  <c r="L119" i="32"/>
  <c r="L124" i="32"/>
  <c r="L120" i="32"/>
  <c r="O154" i="32"/>
  <c r="E154" i="32"/>
  <c r="N154" i="32"/>
  <c r="D154" i="32"/>
  <c r="M154" i="32"/>
  <c r="I154" i="32"/>
  <c r="H154" i="32"/>
  <c r="Q154" i="32"/>
  <c r="G154" i="32"/>
  <c r="P154" i="32"/>
  <c r="F154" i="32"/>
  <c r="N196" i="32"/>
  <c r="H196" i="32"/>
  <c r="D196" i="32"/>
  <c r="O196" i="32"/>
  <c r="I196" i="32"/>
  <c r="E196" i="32"/>
  <c r="P196" i="32"/>
  <c r="F196" i="32"/>
  <c r="Q196" i="32"/>
  <c r="M196" i="32"/>
  <c r="G196" i="32"/>
  <c r="Q70" i="32"/>
  <c r="O70" i="32"/>
  <c r="M70" i="32"/>
  <c r="J70" i="32"/>
  <c r="H70" i="32"/>
  <c r="F70" i="32"/>
  <c r="D70" i="32"/>
  <c r="P70" i="32"/>
  <c r="N70" i="32"/>
  <c r="I70" i="32"/>
  <c r="G70" i="32"/>
  <c r="E70" i="32"/>
  <c r="P28" i="32"/>
  <c r="N28" i="32"/>
  <c r="I28" i="32"/>
  <c r="G28" i="32"/>
  <c r="E28" i="32"/>
  <c r="Q28" i="32"/>
  <c r="O28" i="32"/>
  <c r="M28" i="32"/>
  <c r="J28" i="32"/>
  <c r="H28" i="32"/>
  <c r="F28" i="32"/>
  <c r="D28" i="32"/>
  <c r="BV669" i="2"/>
  <c r="C214" i="32"/>
  <c r="B214" i="32"/>
  <c r="C200" i="32"/>
  <c r="B200" i="32"/>
  <c r="C199" i="32"/>
  <c r="B199" i="32"/>
  <c r="C198" i="32"/>
  <c r="B198" i="32"/>
  <c r="C197" i="32"/>
  <c r="B197" i="32"/>
  <c r="C195" i="32"/>
  <c r="B195" i="32"/>
  <c r="C194" i="32"/>
  <c r="B194" i="32"/>
  <c r="K193" i="32"/>
  <c r="C193" i="32"/>
  <c r="B193" i="32"/>
  <c r="C192" i="32"/>
  <c r="B192" i="32"/>
  <c r="C191" i="32"/>
  <c r="B191" i="32"/>
  <c r="C190" i="32"/>
  <c r="B190" i="32"/>
  <c r="C189" i="32"/>
  <c r="B189" i="32"/>
  <c r="C188" i="32"/>
  <c r="B188" i="32"/>
  <c r="C187" i="32"/>
  <c r="B187" i="32"/>
  <c r="C186" i="32"/>
  <c r="B186" i="32"/>
  <c r="C185" i="32"/>
  <c r="B185" i="32"/>
  <c r="C184" i="32"/>
  <c r="B184" i="32"/>
  <c r="C183" i="32"/>
  <c r="B183" i="32"/>
  <c r="C182" i="32"/>
  <c r="B182" i="32"/>
  <c r="C181" i="32"/>
  <c r="B181" i="32"/>
  <c r="C180" i="32"/>
  <c r="B180" i="32"/>
  <c r="K179" i="32"/>
  <c r="C179" i="32"/>
  <c r="B179" i="32"/>
  <c r="C178" i="32"/>
  <c r="B178" i="32"/>
  <c r="C177" i="32"/>
  <c r="B177" i="32"/>
  <c r="K176" i="32"/>
  <c r="C176" i="32"/>
  <c r="B176" i="32"/>
  <c r="C175" i="32"/>
  <c r="B175" i="32"/>
  <c r="C174" i="32"/>
  <c r="B174" i="32"/>
  <c r="C173" i="32"/>
  <c r="B173" i="32"/>
  <c r="C158" i="32"/>
  <c r="B158" i="32"/>
  <c r="C157" i="32"/>
  <c r="B157" i="32"/>
  <c r="C156" i="32"/>
  <c r="B156" i="32"/>
  <c r="C155" i="32"/>
  <c r="B155" i="32"/>
  <c r="C153" i="32"/>
  <c r="B153" i="32"/>
  <c r="C152" i="32"/>
  <c r="B152" i="32"/>
  <c r="K151" i="32"/>
  <c r="C151" i="32"/>
  <c r="B151" i="32"/>
  <c r="C150" i="32"/>
  <c r="B150" i="32"/>
  <c r="C149" i="32"/>
  <c r="B149" i="32"/>
  <c r="C148" i="32"/>
  <c r="B148" i="32"/>
  <c r="C147" i="32"/>
  <c r="B147" i="32"/>
  <c r="C146" i="32"/>
  <c r="B146" i="32"/>
  <c r="C145" i="32"/>
  <c r="B145" i="32"/>
  <c r="C144" i="32"/>
  <c r="B144" i="32"/>
  <c r="C143" i="32"/>
  <c r="B143" i="32"/>
  <c r="C142" i="32"/>
  <c r="B142" i="32"/>
  <c r="C141" i="32"/>
  <c r="B141" i="32"/>
  <c r="C140" i="32"/>
  <c r="B140" i="32"/>
  <c r="C139" i="32"/>
  <c r="B139" i="32"/>
  <c r="C138" i="32"/>
  <c r="B138" i="32"/>
  <c r="K137" i="32"/>
  <c r="C137" i="32"/>
  <c r="B137" i="32"/>
  <c r="C136" i="32"/>
  <c r="B136" i="32"/>
  <c r="C135" i="32"/>
  <c r="B135" i="32"/>
  <c r="K134" i="32"/>
  <c r="C134" i="32"/>
  <c r="B134" i="32"/>
  <c r="C133" i="32"/>
  <c r="B133" i="32"/>
  <c r="C132" i="32"/>
  <c r="B132" i="32"/>
  <c r="C131" i="32"/>
  <c r="B131" i="32"/>
  <c r="C116" i="32"/>
  <c r="E116" i="32" s="1"/>
  <c r="B116" i="32"/>
  <c r="C115" i="32"/>
  <c r="E115" i="32" s="1"/>
  <c r="B115" i="32"/>
  <c r="C114" i="32"/>
  <c r="E114" i="32" s="1"/>
  <c r="B114" i="32"/>
  <c r="C113" i="32"/>
  <c r="E113" i="32" s="1"/>
  <c r="B113" i="32"/>
  <c r="C111" i="32"/>
  <c r="E111" i="32" s="1"/>
  <c r="B111" i="32"/>
  <c r="C110" i="32"/>
  <c r="E110" i="32" s="1"/>
  <c r="B110" i="32"/>
  <c r="C109" i="32"/>
  <c r="E109" i="32" s="1"/>
  <c r="B109" i="32"/>
  <c r="C108" i="32"/>
  <c r="E108" i="32" s="1"/>
  <c r="B108" i="32"/>
  <c r="C107" i="32"/>
  <c r="E107" i="32" s="1"/>
  <c r="B107" i="32"/>
  <c r="C106" i="32"/>
  <c r="E106" i="32" s="1"/>
  <c r="B106" i="32"/>
  <c r="C105" i="32"/>
  <c r="E105" i="32" s="1"/>
  <c r="B105" i="32"/>
  <c r="C104" i="32"/>
  <c r="E104" i="32" s="1"/>
  <c r="B104" i="32"/>
  <c r="C103" i="32"/>
  <c r="E103" i="32" s="1"/>
  <c r="B103" i="32"/>
  <c r="C102" i="32"/>
  <c r="E102" i="32" s="1"/>
  <c r="B102" i="32"/>
  <c r="C101" i="32"/>
  <c r="E101" i="32" s="1"/>
  <c r="B101" i="32"/>
  <c r="C100" i="32"/>
  <c r="E100" i="32" s="1"/>
  <c r="B100" i="32"/>
  <c r="C99" i="32"/>
  <c r="E99" i="32" s="1"/>
  <c r="B99" i="32"/>
  <c r="C98" i="32"/>
  <c r="E98" i="32" s="1"/>
  <c r="B98" i="32"/>
  <c r="C97" i="32"/>
  <c r="E97" i="32" s="1"/>
  <c r="B97" i="32"/>
  <c r="C96" i="32"/>
  <c r="E96" i="32" s="1"/>
  <c r="B96" i="32"/>
  <c r="C95" i="32"/>
  <c r="E95" i="32" s="1"/>
  <c r="B95" i="32"/>
  <c r="C94" i="32"/>
  <c r="E94" i="32" s="1"/>
  <c r="B94" i="32"/>
  <c r="C93" i="32"/>
  <c r="E93" i="32" s="1"/>
  <c r="B93" i="32"/>
  <c r="C92" i="32"/>
  <c r="E92" i="32" s="1"/>
  <c r="B92" i="32"/>
  <c r="C91" i="32"/>
  <c r="E91" i="32" s="1"/>
  <c r="B91" i="32"/>
  <c r="C90" i="32"/>
  <c r="E90" i="32" s="1"/>
  <c r="B90" i="32"/>
  <c r="C89" i="32"/>
  <c r="E89" i="32" s="1"/>
  <c r="B89" i="32"/>
  <c r="F155" i="32" l="1"/>
  <c r="D155" i="32"/>
  <c r="P155" i="32"/>
  <c r="E155" i="32"/>
  <c r="G155" i="32"/>
  <c r="Q155" i="32"/>
  <c r="I155" i="32"/>
  <c r="G197" i="32"/>
  <c r="F197" i="32"/>
  <c r="D197" i="32"/>
  <c r="P197" i="32"/>
  <c r="E197" i="32"/>
  <c r="Q197" i="32"/>
  <c r="I197" i="32"/>
  <c r="H144" i="32"/>
  <c r="D144" i="32"/>
  <c r="I144" i="32"/>
  <c r="E144" i="32"/>
  <c r="P144" i="32"/>
  <c r="F144" i="32"/>
  <c r="Q144" i="32"/>
  <c r="G144" i="32"/>
  <c r="G186" i="32"/>
  <c r="Q186" i="32"/>
  <c r="D186" i="32"/>
  <c r="H186" i="32"/>
  <c r="E186" i="32"/>
  <c r="I186" i="32"/>
  <c r="P186" i="32"/>
  <c r="F186" i="32"/>
  <c r="M56" i="9"/>
  <c r="M58" i="9"/>
  <c r="M118" i="32"/>
  <c r="M123" i="32"/>
  <c r="M121" i="32"/>
  <c r="M57" i="9"/>
  <c r="H14" i="6"/>
  <c r="M55" i="9"/>
  <c r="M120" i="32"/>
  <c r="M117" i="32"/>
  <c r="M119" i="32"/>
  <c r="M124" i="32"/>
  <c r="M122" i="32"/>
  <c r="Q191" i="32"/>
  <c r="M191" i="32"/>
  <c r="G191" i="32"/>
  <c r="N191" i="32"/>
  <c r="H191" i="32"/>
  <c r="D191" i="32"/>
  <c r="O191" i="32"/>
  <c r="I191" i="32"/>
  <c r="E191" i="32"/>
  <c r="P191" i="32"/>
  <c r="L191" i="32"/>
  <c r="F191" i="32"/>
  <c r="P184" i="32"/>
  <c r="L184" i="32"/>
  <c r="F184" i="32"/>
  <c r="Q184" i="32"/>
  <c r="M184" i="32"/>
  <c r="G184" i="32"/>
  <c r="N184" i="32"/>
  <c r="H184" i="32"/>
  <c r="D184" i="32"/>
  <c r="O184" i="32"/>
  <c r="I184" i="32"/>
  <c r="E184" i="32"/>
  <c r="H149" i="32"/>
  <c r="Q149" i="32"/>
  <c r="G149" i="32"/>
  <c r="P149" i="32"/>
  <c r="F149" i="32"/>
  <c r="O149" i="32"/>
  <c r="E149" i="32"/>
  <c r="N149" i="32"/>
  <c r="D149" i="32"/>
  <c r="M149" i="32"/>
  <c r="L149" i="32"/>
  <c r="I149" i="32"/>
  <c r="I142" i="32"/>
  <c r="H142" i="32"/>
  <c r="Q142" i="32"/>
  <c r="G142" i="32"/>
  <c r="P142" i="32"/>
  <c r="F142" i="32"/>
  <c r="O142" i="32"/>
  <c r="E142" i="32"/>
  <c r="N142" i="32"/>
  <c r="D142" i="32"/>
  <c r="M142" i="32"/>
  <c r="L142" i="32"/>
  <c r="C74" i="32"/>
  <c r="C73" i="32"/>
  <c r="C72" i="32"/>
  <c r="C71" i="32"/>
  <c r="C69" i="32"/>
  <c r="C68" i="32"/>
  <c r="C67" i="32"/>
  <c r="C66" i="32"/>
  <c r="C65" i="32"/>
  <c r="C64" i="32"/>
  <c r="C63" i="32"/>
  <c r="C62" i="32"/>
  <c r="C61" i="32"/>
  <c r="C60" i="32"/>
  <c r="C59" i="32"/>
  <c r="C58" i="32"/>
  <c r="C57" i="32"/>
  <c r="C56" i="32"/>
  <c r="C55" i="32"/>
  <c r="C54" i="32"/>
  <c r="C53" i="32"/>
  <c r="C52" i="32"/>
  <c r="C51" i="32"/>
  <c r="C50" i="32"/>
  <c r="C49" i="32"/>
  <c r="C48" i="32"/>
  <c r="C47" i="32"/>
  <c r="B74" i="32"/>
  <c r="B73" i="32"/>
  <c r="B72" i="32"/>
  <c r="B71" i="32"/>
  <c r="B69" i="32"/>
  <c r="B68" i="32"/>
  <c r="B67" i="32"/>
  <c r="B66" i="32"/>
  <c r="B65" i="32"/>
  <c r="B64" i="32"/>
  <c r="B63" i="32"/>
  <c r="B62" i="32"/>
  <c r="B61" i="32"/>
  <c r="B60" i="32"/>
  <c r="B59" i="32"/>
  <c r="B58" i="32"/>
  <c r="B57" i="32"/>
  <c r="B56" i="32"/>
  <c r="B55" i="32"/>
  <c r="B54" i="32"/>
  <c r="B53" i="32"/>
  <c r="B52" i="32"/>
  <c r="B51" i="32"/>
  <c r="B50" i="32"/>
  <c r="B49" i="32"/>
  <c r="B48" i="32"/>
  <c r="B47" i="32"/>
  <c r="K172" i="32"/>
  <c r="K130" i="32"/>
  <c r="K25" i="32"/>
  <c r="K11" i="32"/>
  <c r="K8" i="32"/>
  <c r="C32" i="32"/>
  <c r="C31" i="32"/>
  <c r="C30" i="32"/>
  <c r="C29" i="32"/>
  <c r="C27" i="32"/>
  <c r="C26" i="32"/>
  <c r="C25" i="32"/>
  <c r="C24" i="32"/>
  <c r="C23" i="32"/>
  <c r="C22" i="32"/>
  <c r="C21" i="32"/>
  <c r="C20" i="32"/>
  <c r="C19" i="32"/>
  <c r="C18" i="32"/>
  <c r="C17" i="32"/>
  <c r="C16" i="32"/>
  <c r="C15" i="32"/>
  <c r="C14" i="32"/>
  <c r="C13" i="32"/>
  <c r="C12" i="32"/>
  <c r="C11" i="32"/>
  <c r="C10" i="32"/>
  <c r="C9" i="32"/>
  <c r="C8" i="32"/>
  <c r="C7" i="32"/>
  <c r="C6" i="32"/>
  <c r="C5" i="32"/>
  <c r="B32" i="32"/>
  <c r="B31" i="32"/>
  <c r="B30" i="32"/>
  <c r="B29" i="32"/>
  <c r="B27" i="32"/>
  <c r="B26" i="32"/>
  <c r="B25" i="32"/>
  <c r="B24" i="32"/>
  <c r="B23" i="32"/>
  <c r="B22" i="32"/>
  <c r="B21" i="32"/>
  <c r="B20" i="32"/>
  <c r="B19" i="32"/>
  <c r="B18" i="32"/>
  <c r="B17" i="32"/>
  <c r="B16" i="32"/>
  <c r="B15" i="32"/>
  <c r="B14" i="32"/>
  <c r="B13" i="32"/>
  <c r="B12" i="32"/>
  <c r="B11" i="32"/>
  <c r="B10" i="32"/>
  <c r="B9" i="32"/>
  <c r="B8" i="32"/>
  <c r="B7" i="32"/>
  <c r="B6" i="32"/>
  <c r="B5" i="32"/>
  <c r="D29" i="32" l="1"/>
  <c r="F29" i="32"/>
  <c r="Q29" i="32"/>
  <c r="G29" i="32"/>
  <c r="J29" i="32"/>
  <c r="I29" i="32"/>
  <c r="E29" i="32"/>
  <c r="P29" i="32"/>
  <c r="G71" i="32"/>
  <c r="E71" i="32"/>
  <c r="P71" i="32"/>
  <c r="F71" i="32"/>
  <c r="I71" i="32"/>
  <c r="D71" i="32"/>
  <c r="Q71" i="32"/>
  <c r="J71" i="32"/>
  <c r="J18" i="32"/>
  <c r="F18" i="32"/>
  <c r="P18" i="32"/>
  <c r="G18" i="32"/>
  <c r="E18" i="32"/>
  <c r="D18" i="32"/>
  <c r="Q18" i="32"/>
  <c r="H18" i="32"/>
  <c r="I18" i="32"/>
  <c r="I60" i="32"/>
  <c r="E60" i="32"/>
  <c r="J60" i="32"/>
  <c r="F60" i="32"/>
  <c r="Q60" i="32"/>
  <c r="D60" i="32"/>
  <c r="P60" i="32"/>
  <c r="G60" i="32"/>
  <c r="H60" i="32"/>
  <c r="P13" i="32"/>
  <c r="N13" i="32"/>
  <c r="I13" i="32"/>
  <c r="G13" i="32"/>
  <c r="E13" i="32"/>
  <c r="Q13" i="32"/>
  <c r="O13" i="32"/>
  <c r="M13" i="32"/>
  <c r="J13" i="32"/>
  <c r="F13" i="32"/>
  <c r="D13" i="32"/>
  <c r="N50" i="32"/>
  <c r="O50" i="32"/>
  <c r="M50" i="32"/>
  <c r="Q66" i="32"/>
  <c r="P66" i="32"/>
  <c r="N66" i="32"/>
  <c r="L66" i="32"/>
  <c r="I66" i="32"/>
  <c r="G66" i="32"/>
  <c r="E66" i="32"/>
  <c r="O66" i="32"/>
  <c r="M66" i="32"/>
  <c r="J66" i="32"/>
  <c r="H66" i="32"/>
  <c r="F66" i="32"/>
  <c r="D66" i="32"/>
  <c r="P14" i="32"/>
  <c r="N14" i="32"/>
  <c r="L14" i="32"/>
  <c r="I14" i="32"/>
  <c r="G14" i="32"/>
  <c r="E14" i="32"/>
  <c r="Q14" i="32"/>
  <c r="O14" i="32"/>
  <c r="M14" i="32"/>
  <c r="J14" i="32"/>
  <c r="H14" i="32"/>
  <c r="F14" i="32"/>
  <c r="D14" i="32"/>
  <c r="P15" i="32"/>
  <c r="N15" i="32"/>
  <c r="L15" i="32"/>
  <c r="I15" i="32"/>
  <c r="G15" i="32"/>
  <c r="E15" i="32"/>
  <c r="Q15" i="32"/>
  <c r="O15" i="32"/>
  <c r="M15" i="32"/>
  <c r="J15" i="32"/>
  <c r="H15" i="32"/>
  <c r="F15" i="32"/>
  <c r="D15" i="32"/>
  <c r="P32" i="32"/>
  <c r="N32" i="32"/>
  <c r="L32" i="32"/>
  <c r="I32" i="32"/>
  <c r="G32" i="32"/>
  <c r="E32" i="32"/>
  <c r="Q32" i="32"/>
  <c r="O32" i="32"/>
  <c r="M32" i="32"/>
  <c r="J32" i="32"/>
  <c r="H32" i="32"/>
  <c r="F32" i="32"/>
  <c r="D32" i="32"/>
  <c r="O8" i="32"/>
  <c r="M8" i="32"/>
  <c r="N8" i="32"/>
  <c r="Q24" i="32"/>
  <c r="O24" i="32"/>
  <c r="M24" i="32"/>
  <c r="J24" i="32"/>
  <c r="H24" i="32"/>
  <c r="F24" i="32"/>
  <c r="D24" i="32"/>
  <c r="P24" i="32"/>
  <c r="N24" i="32"/>
  <c r="L24" i="32"/>
  <c r="I24" i="32"/>
  <c r="G24" i="32"/>
  <c r="E24" i="32"/>
  <c r="N53" i="32"/>
  <c r="O53" i="32"/>
  <c r="M53" i="32"/>
  <c r="Q61" i="32"/>
  <c r="P61" i="32"/>
  <c r="N61" i="32"/>
  <c r="I61" i="32"/>
  <c r="G61" i="32"/>
  <c r="E61" i="32"/>
  <c r="O61" i="32"/>
  <c r="M61" i="32"/>
  <c r="J61" i="32"/>
  <c r="F61" i="32"/>
  <c r="D61" i="32"/>
  <c r="Q9" i="32"/>
  <c r="O9" i="32"/>
  <c r="M9" i="32"/>
  <c r="J9" i="32"/>
  <c r="F9" i="32"/>
  <c r="D9" i="32"/>
  <c r="P9" i="32"/>
  <c r="N9" i="32"/>
  <c r="I9" i="32"/>
  <c r="G9" i="32"/>
  <c r="E9" i="32"/>
  <c r="Q17" i="32"/>
  <c r="O17" i="32"/>
  <c r="M17" i="32"/>
  <c r="J17" i="32"/>
  <c r="F17" i="32"/>
  <c r="D17" i="32"/>
  <c r="P17" i="32"/>
  <c r="N17" i="32"/>
  <c r="I17" i="32"/>
  <c r="G17" i="32"/>
  <c r="E17" i="32"/>
  <c r="O25" i="32"/>
  <c r="M25" i="32"/>
  <c r="N25" i="32"/>
  <c r="Q54" i="32"/>
  <c r="P54" i="32"/>
  <c r="O54" i="32"/>
  <c r="M54" i="32"/>
  <c r="J54" i="32"/>
  <c r="F54" i="32"/>
  <c r="D54" i="32"/>
  <c r="N54" i="32"/>
  <c r="I54" i="32"/>
  <c r="G54" i="32"/>
  <c r="E54" i="32"/>
  <c r="Q62" i="32"/>
  <c r="O62" i="32"/>
  <c r="M62" i="32"/>
  <c r="J62" i="32"/>
  <c r="F62" i="32"/>
  <c r="D62" i="32"/>
  <c r="P62" i="32"/>
  <c r="N62" i="32"/>
  <c r="I62" i="32"/>
  <c r="G62" i="32"/>
  <c r="E62" i="32"/>
  <c r="O71" i="32"/>
  <c r="M71" i="32"/>
  <c r="N71" i="32"/>
  <c r="O18" i="32"/>
  <c r="M18" i="32"/>
  <c r="N18" i="32"/>
  <c r="Q10" i="32"/>
  <c r="O10" i="32"/>
  <c r="M10" i="32"/>
  <c r="J10" i="32"/>
  <c r="H10" i="32"/>
  <c r="F10" i="32"/>
  <c r="D10" i="32"/>
  <c r="P10" i="32"/>
  <c r="N10" i="32"/>
  <c r="L10" i="32"/>
  <c r="I10" i="32"/>
  <c r="G10" i="32"/>
  <c r="E10" i="32"/>
  <c r="Q19" i="32"/>
  <c r="O19" i="32"/>
  <c r="M19" i="32"/>
  <c r="J19" i="32"/>
  <c r="F19" i="32"/>
  <c r="D19" i="32"/>
  <c r="P19" i="32"/>
  <c r="N19" i="32"/>
  <c r="I19" i="32"/>
  <c r="G19" i="32"/>
  <c r="E19" i="32"/>
  <c r="Q56" i="32"/>
  <c r="P56" i="32"/>
  <c r="O56" i="32"/>
  <c r="M56" i="32"/>
  <c r="J56" i="32"/>
  <c r="H56" i="32"/>
  <c r="F56" i="32"/>
  <c r="D56" i="32"/>
  <c r="N56" i="32"/>
  <c r="L56" i="32"/>
  <c r="I56" i="32"/>
  <c r="G56" i="32"/>
  <c r="E56" i="32"/>
  <c r="O11" i="32"/>
  <c r="M11" i="32"/>
  <c r="N11" i="32"/>
  <c r="Q27" i="32"/>
  <c r="O27" i="32"/>
  <c r="M27" i="32"/>
  <c r="J27" i="32"/>
  <c r="F27" i="32"/>
  <c r="D27" i="32"/>
  <c r="P27" i="32"/>
  <c r="N27" i="32"/>
  <c r="L27" i="32"/>
  <c r="I27" i="32"/>
  <c r="G27" i="32"/>
  <c r="E27" i="32"/>
  <c r="P48" i="32"/>
  <c r="Q48" i="32"/>
  <c r="O48" i="32"/>
  <c r="M48" i="32"/>
  <c r="J48" i="32"/>
  <c r="H48" i="32"/>
  <c r="F48" i="32"/>
  <c r="D48" i="32"/>
  <c r="N48" i="32"/>
  <c r="L48" i="32"/>
  <c r="I48" i="32"/>
  <c r="G48" i="32"/>
  <c r="E48" i="32"/>
  <c r="Q64" i="32"/>
  <c r="O64" i="32"/>
  <c r="M64" i="32"/>
  <c r="J64" i="32"/>
  <c r="H64" i="32"/>
  <c r="F64" i="32"/>
  <c r="D64" i="32"/>
  <c r="P64" i="32"/>
  <c r="N64" i="32"/>
  <c r="L64" i="32"/>
  <c r="I64" i="32"/>
  <c r="G64" i="32"/>
  <c r="E64" i="32"/>
  <c r="P12" i="32"/>
  <c r="N12" i="32"/>
  <c r="I12" i="32"/>
  <c r="G12" i="32"/>
  <c r="E12" i="32"/>
  <c r="Q12" i="32"/>
  <c r="O12" i="32"/>
  <c r="M12" i="32"/>
  <c r="J12" i="32"/>
  <c r="F12" i="32"/>
  <c r="D12" i="32"/>
  <c r="P20" i="32"/>
  <c r="N20" i="32"/>
  <c r="I20" i="32"/>
  <c r="G20" i="32"/>
  <c r="E20" i="32"/>
  <c r="Q20" i="32"/>
  <c r="O20" i="32"/>
  <c r="M20" i="32"/>
  <c r="J20" i="32"/>
  <c r="F20" i="32"/>
  <c r="D20" i="32"/>
  <c r="N29" i="32"/>
  <c r="O29" i="32"/>
  <c r="M29" i="32"/>
  <c r="P49" i="32"/>
  <c r="Q49" i="32"/>
  <c r="O49" i="32"/>
  <c r="M49" i="32"/>
  <c r="J49" i="32"/>
  <c r="H49" i="32"/>
  <c r="F49" i="32"/>
  <c r="D49" i="32"/>
  <c r="N49" i="32"/>
  <c r="L49" i="32"/>
  <c r="I49" i="32"/>
  <c r="G49" i="32"/>
  <c r="E49" i="32"/>
  <c r="P57" i="32"/>
  <c r="Q57" i="32"/>
  <c r="O57" i="32"/>
  <c r="M57" i="32"/>
  <c r="J57" i="32"/>
  <c r="H57" i="32"/>
  <c r="F57" i="32"/>
  <c r="D57" i="32"/>
  <c r="N57" i="32"/>
  <c r="L57" i="32"/>
  <c r="I57" i="32"/>
  <c r="G57" i="32"/>
  <c r="E57" i="32"/>
  <c r="Q65" i="32"/>
  <c r="O65" i="32"/>
  <c r="M65" i="32"/>
  <c r="J65" i="32"/>
  <c r="H65" i="32"/>
  <c r="F65" i="32"/>
  <c r="D65" i="32"/>
  <c r="P65" i="32"/>
  <c r="N65" i="32"/>
  <c r="L65" i="32"/>
  <c r="I65" i="32"/>
  <c r="G65" i="32"/>
  <c r="E65" i="32"/>
  <c r="Q74" i="32"/>
  <c r="O74" i="32"/>
  <c r="M74" i="32"/>
  <c r="J74" i="32"/>
  <c r="H74" i="32"/>
  <c r="F74" i="32"/>
  <c r="D74" i="32"/>
  <c r="P74" i="32"/>
  <c r="N74" i="32"/>
  <c r="L74" i="32"/>
  <c r="I74" i="32"/>
  <c r="G74" i="32"/>
  <c r="E74" i="32"/>
  <c r="Q72" i="32"/>
  <c r="O72" i="32"/>
  <c r="M72" i="32"/>
  <c r="J72" i="32"/>
  <c r="F72" i="32"/>
  <c r="D72" i="32"/>
  <c r="P72" i="32"/>
  <c r="N72" i="32"/>
  <c r="I72" i="32"/>
  <c r="G72" i="32"/>
  <c r="E72" i="32"/>
  <c r="P5" i="32"/>
  <c r="N5" i="32"/>
  <c r="I5" i="32"/>
  <c r="G5" i="32"/>
  <c r="E5" i="32"/>
  <c r="Q5" i="32"/>
  <c r="O5" i="32"/>
  <c r="M5" i="32"/>
  <c r="J5" i="32"/>
  <c r="F5" i="32"/>
  <c r="D5" i="32"/>
  <c r="Q26" i="32"/>
  <c r="O26" i="32"/>
  <c r="M26" i="32"/>
  <c r="J26" i="32"/>
  <c r="F26" i="32"/>
  <c r="D26" i="32"/>
  <c r="P26" i="32"/>
  <c r="N26" i="32"/>
  <c r="I26" i="32"/>
  <c r="G26" i="32"/>
  <c r="E26" i="32"/>
  <c r="Q47" i="32"/>
  <c r="P47" i="32"/>
  <c r="O47" i="32"/>
  <c r="M47" i="32"/>
  <c r="J47" i="32"/>
  <c r="F47" i="32"/>
  <c r="D47" i="32"/>
  <c r="N47" i="32"/>
  <c r="I47" i="32"/>
  <c r="G47" i="32"/>
  <c r="E47" i="32"/>
  <c r="P21" i="32"/>
  <c r="N21" i="32"/>
  <c r="L21" i="32"/>
  <c r="I21" i="32"/>
  <c r="G21" i="32"/>
  <c r="E21" i="32"/>
  <c r="Q21" i="32"/>
  <c r="O21" i="32"/>
  <c r="M21" i="32"/>
  <c r="J21" i="32"/>
  <c r="H21" i="32"/>
  <c r="F21" i="32"/>
  <c r="D21" i="32"/>
  <c r="P58" i="32"/>
  <c r="Q58" i="32"/>
  <c r="N58" i="32"/>
  <c r="L58" i="32"/>
  <c r="I58" i="32"/>
  <c r="G58" i="32"/>
  <c r="E58" i="32"/>
  <c r="O58" i="32"/>
  <c r="M58" i="32"/>
  <c r="J58" i="32"/>
  <c r="H58" i="32"/>
  <c r="F58" i="32"/>
  <c r="D58" i="32"/>
  <c r="P51" i="32"/>
  <c r="Q51" i="32"/>
  <c r="N51" i="32"/>
  <c r="I51" i="32"/>
  <c r="G51" i="32"/>
  <c r="E51" i="32"/>
  <c r="O51" i="32"/>
  <c r="M51" i="32"/>
  <c r="J51" i="32"/>
  <c r="F51" i="32"/>
  <c r="D51" i="32"/>
  <c r="Q63" i="32"/>
  <c r="O63" i="32"/>
  <c r="M63" i="32"/>
  <c r="J63" i="32"/>
  <c r="H63" i="32"/>
  <c r="F63" i="32"/>
  <c r="D63" i="32"/>
  <c r="P63" i="32"/>
  <c r="N63" i="32"/>
  <c r="L63" i="32"/>
  <c r="I63" i="32"/>
  <c r="G63" i="32"/>
  <c r="E63" i="32"/>
  <c r="P6" i="32"/>
  <c r="N6" i="32"/>
  <c r="L6" i="32"/>
  <c r="I6" i="32"/>
  <c r="G6" i="32"/>
  <c r="E6" i="32"/>
  <c r="Q6" i="32"/>
  <c r="O6" i="32"/>
  <c r="M6" i="32"/>
  <c r="J6" i="32"/>
  <c r="H6" i="32"/>
  <c r="F6" i="32"/>
  <c r="D6" i="32"/>
  <c r="P7" i="32"/>
  <c r="N7" i="32"/>
  <c r="L7" i="32"/>
  <c r="I7" i="32"/>
  <c r="G7" i="32"/>
  <c r="E7" i="32"/>
  <c r="Q7" i="32"/>
  <c r="O7" i="32"/>
  <c r="M7" i="32"/>
  <c r="J7" i="32"/>
  <c r="H7" i="32"/>
  <c r="F7" i="32"/>
  <c r="D7" i="32"/>
  <c r="Q52" i="32"/>
  <c r="N52" i="32"/>
  <c r="L52" i="32"/>
  <c r="I52" i="32"/>
  <c r="G52" i="32"/>
  <c r="E52" i="32"/>
  <c r="P52" i="32"/>
  <c r="O52" i="32"/>
  <c r="M52" i="32"/>
  <c r="J52" i="32"/>
  <c r="H52" i="32"/>
  <c r="F52" i="32"/>
  <c r="D52" i="32"/>
  <c r="N60" i="32"/>
  <c r="O60" i="32"/>
  <c r="M60" i="32"/>
  <c r="Q68" i="32"/>
  <c r="P68" i="32"/>
  <c r="N68" i="32"/>
  <c r="I68" i="32"/>
  <c r="G68" i="32"/>
  <c r="E68" i="32"/>
  <c r="O68" i="32"/>
  <c r="M68" i="32"/>
  <c r="J68" i="32"/>
  <c r="F68" i="32"/>
  <c r="D68" i="32"/>
  <c r="Q55" i="32"/>
  <c r="P55" i="32"/>
  <c r="O55" i="32"/>
  <c r="M55" i="32"/>
  <c r="J55" i="32"/>
  <c r="F55" i="32"/>
  <c r="D55" i="32"/>
  <c r="N55" i="32"/>
  <c r="I55" i="32"/>
  <c r="G55" i="32"/>
  <c r="E55" i="32"/>
  <c r="P30" i="32"/>
  <c r="N30" i="32"/>
  <c r="I30" i="32"/>
  <c r="G30" i="32"/>
  <c r="E30" i="32"/>
  <c r="Q30" i="32"/>
  <c r="O30" i="32"/>
  <c r="M30" i="32"/>
  <c r="J30" i="32"/>
  <c r="F30" i="32"/>
  <c r="D30" i="32"/>
  <c r="P22" i="32"/>
  <c r="N22" i="32"/>
  <c r="L22" i="32"/>
  <c r="I22" i="32"/>
  <c r="G22" i="32"/>
  <c r="E22" i="32"/>
  <c r="Q22" i="32"/>
  <c r="O22" i="32"/>
  <c r="M22" i="32"/>
  <c r="J22" i="32"/>
  <c r="H22" i="32"/>
  <c r="F22" i="32"/>
  <c r="D22" i="32"/>
  <c r="Q59" i="32"/>
  <c r="P59" i="32"/>
  <c r="N59" i="32"/>
  <c r="I59" i="32"/>
  <c r="G59" i="32"/>
  <c r="E59" i="32"/>
  <c r="O59" i="32"/>
  <c r="M59" i="32"/>
  <c r="J59" i="32"/>
  <c r="F59" i="32"/>
  <c r="D59" i="32"/>
  <c r="N67" i="32"/>
  <c r="O67" i="32"/>
  <c r="M67" i="32"/>
  <c r="P23" i="32"/>
  <c r="N23" i="32"/>
  <c r="L23" i="32"/>
  <c r="I23" i="32"/>
  <c r="G23" i="32"/>
  <c r="E23" i="32"/>
  <c r="Q23" i="32"/>
  <c r="O23" i="32"/>
  <c r="M23" i="32"/>
  <c r="J23" i="32"/>
  <c r="H23" i="32"/>
  <c r="F23" i="32"/>
  <c r="D23" i="32"/>
  <c r="Q16" i="32"/>
  <c r="O16" i="32"/>
  <c r="M16" i="32"/>
  <c r="J16" i="32"/>
  <c r="H16" i="32"/>
  <c r="F16" i="32"/>
  <c r="D16" i="32"/>
  <c r="P16" i="32"/>
  <c r="N16" i="32"/>
  <c r="L16" i="32"/>
  <c r="I16" i="32"/>
  <c r="G16" i="32"/>
  <c r="E16" i="32"/>
  <c r="Q69" i="32"/>
  <c r="P69" i="32"/>
  <c r="N69" i="32"/>
  <c r="L69" i="32"/>
  <c r="I69" i="32"/>
  <c r="G69" i="32"/>
  <c r="E69" i="32"/>
  <c r="O69" i="32"/>
  <c r="M69" i="32"/>
  <c r="J69" i="32"/>
  <c r="F69" i="32"/>
  <c r="D69" i="32"/>
  <c r="G20" i="31"/>
  <c r="D88" i="32"/>
  <c r="B172" i="32"/>
  <c r="C172" i="32"/>
  <c r="C130" i="32"/>
  <c r="B130" i="32"/>
  <c r="B88" i="32"/>
  <c r="C88" i="32"/>
  <c r="E88" i="32" s="1"/>
  <c r="C46" i="32"/>
  <c r="B46" i="32"/>
  <c r="O17" i="31"/>
  <c r="E31" i="32" l="1"/>
  <c r="D73" i="32"/>
  <c r="P73" i="32"/>
  <c r="J31" i="32"/>
  <c r="M73" i="32"/>
  <c r="F31" i="32"/>
  <c r="G31" i="32"/>
  <c r="E73" i="32"/>
  <c r="O31" i="32"/>
  <c r="P31" i="32"/>
  <c r="N73" i="32"/>
  <c r="L31" i="32"/>
  <c r="I31" i="32"/>
  <c r="I73" i="32"/>
  <c r="Q73" i="32"/>
  <c r="H31" i="32"/>
  <c r="D31" i="32"/>
  <c r="F73" i="32"/>
  <c r="J73" i="32"/>
  <c r="Q31" i="32"/>
  <c r="M31" i="32"/>
  <c r="O73" i="32"/>
  <c r="H73" i="32"/>
  <c r="N31" i="32"/>
  <c r="L73" i="32"/>
  <c r="G73" i="32"/>
  <c r="O46" i="32"/>
  <c r="M46" i="32"/>
  <c r="N46" i="32"/>
  <c r="D100" i="32"/>
  <c r="T20" i="31"/>
  <c r="T19" i="31"/>
  <c r="T18" i="31"/>
  <c r="T17" i="31"/>
  <c r="T16" i="31"/>
  <c r="T15" i="31"/>
  <c r="T14" i="31"/>
  <c r="T13" i="31"/>
  <c r="T12" i="31"/>
  <c r="T11" i="31"/>
  <c r="T10" i="31"/>
  <c r="T9" i="31"/>
  <c r="T7" i="31"/>
  <c r="T6" i="31"/>
  <c r="T5" i="31"/>
  <c r="T8" i="31"/>
  <c r="K56" i="32" l="1"/>
  <c r="K63" i="32"/>
  <c r="K196" i="32"/>
  <c r="K154" i="32"/>
  <c r="K70" i="32"/>
  <c r="K57" i="32"/>
  <c r="K64" i="32"/>
  <c r="K48" i="32"/>
  <c r="K52" i="32"/>
  <c r="K49" i="32"/>
  <c r="K66" i="32"/>
  <c r="H100" i="32"/>
  <c r="K74" i="32"/>
  <c r="K73" i="32"/>
  <c r="D112" i="32"/>
  <c r="H112" i="32"/>
  <c r="G100" i="32"/>
  <c r="F100" i="32"/>
  <c r="K24" i="32"/>
  <c r="K31" i="32"/>
  <c r="K32" i="32"/>
  <c r="R32" i="32" s="1"/>
  <c r="K7" i="32"/>
  <c r="L20" i="31"/>
  <c r="L19" i="31"/>
  <c r="L18" i="31"/>
  <c r="L8" i="31"/>
  <c r="C4" i="32"/>
  <c r="B4" i="32"/>
  <c r="G277" i="32"/>
  <c r="F277" i="32"/>
  <c r="K184" i="8"/>
  <c r="H184" i="8"/>
  <c r="K220" i="8"/>
  <c r="O5" i="31" l="1"/>
  <c r="M172" i="32"/>
  <c r="O172" i="32"/>
  <c r="O130" i="32"/>
  <c r="N130" i="32"/>
  <c r="N172" i="32"/>
  <c r="M130" i="32"/>
  <c r="D180" i="32"/>
  <c r="M180" i="32"/>
  <c r="I138" i="32"/>
  <c r="O180" i="32"/>
  <c r="G180" i="32"/>
  <c r="I180" i="32"/>
  <c r="O138" i="32"/>
  <c r="Q138" i="32"/>
  <c r="F138" i="32"/>
  <c r="F180" i="32"/>
  <c r="E138" i="32"/>
  <c r="Q180" i="32"/>
  <c r="N138" i="32"/>
  <c r="D138" i="32"/>
  <c r="N180" i="32"/>
  <c r="M138" i="32"/>
  <c r="E180" i="32"/>
  <c r="G138" i="32"/>
  <c r="P180" i="32"/>
  <c r="P138" i="32"/>
  <c r="M147" i="32"/>
  <c r="D189" i="32"/>
  <c r="M189" i="32"/>
  <c r="L147" i="32"/>
  <c r="I189" i="32"/>
  <c r="P147" i="32"/>
  <c r="H147" i="32"/>
  <c r="P189" i="32"/>
  <c r="F147" i="32"/>
  <c r="Q147" i="32"/>
  <c r="L189" i="32"/>
  <c r="O147" i="32"/>
  <c r="G147" i="32"/>
  <c r="F189" i="32"/>
  <c r="E147" i="32"/>
  <c r="N189" i="32"/>
  <c r="Q189" i="32"/>
  <c r="E189" i="32"/>
  <c r="N147" i="32"/>
  <c r="H189" i="32"/>
  <c r="G189" i="32"/>
  <c r="I147" i="32"/>
  <c r="D147" i="32"/>
  <c r="O189" i="32"/>
  <c r="P156" i="32"/>
  <c r="I156" i="32"/>
  <c r="O198" i="32"/>
  <c r="F156" i="32"/>
  <c r="O156" i="32"/>
  <c r="D156" i="32"/>
  <c r="Q156" i="32"/>
  <c r="G156" i="32"/>
  <c r="Q198" i="32"/>
  <c r="P198" i="32"/>
  <c r="E156" i="32"/>
  <c r="M198" i="32"/>
  <c r="I198" i="32"/>
  <c r="E198" i="32"/>
  <c r="N156" i="32"/>
  <c r="G198" i="32"/>
  <c r="F198" i="32"/>
  <c r="M156" i="32"/>
  <c r="N198" i="32"/>
  <c r="D198" i="32"/>
  <c r="P173" i="32"/>
  <c r="O131" i="32"/>
  <c r="Q131" i="32"/>
  <c r="E131" i="32"/>
  <c r="G131" i="32"/>
  <c r="N173" i="32"/>
  <c r="F173" i="32"/>
  <c r="N131" i="32"/>
  <c r="E173" i="32"/>
  <c r="Q173" i="32"/>
  <c r="M173" i="32"/>
  <c r="P131" i="32"/>
  <c r="G173" i="32"/>
  <c r="F131" i="32"/>
  <c r="D131" i="32"/>
  <c r="D173" i="32"/>
  <c r="M131" i="32"/>
  <c r="O173" i="32"/>
  <c r="I173" i="32"/>
  <c r="I131" i="32"/>
  <c r="P181" i="32"/>
  <c r="O139" i="32"/>
  <c r="Q139" i="32"/>
  <c r="E181" i="32"/>
  <c r="F139" i="32"/>
  <c r="G139" i="32"/>
  <c r="F181" i="32"/>
  <c r="N139" i="32"/>
  <c r="N181" i="32"/>
  <c r="Q181" i="32"/>
  <c r="D139" i="32"/>
  <c r="M181" i="32"/>
  <c r="M139" i="32"/>
  <c r="E139" i="32"/>
  <c r="D181" i="32"/>
  <c r="G181" i="32"/>
  <c r="O181" i="32"/>
  <c r="I139" i="32"/>
  <c r="I181" i="32"/>
  <c r="P139" i="32"/>
  <c r="G190" i="32"/>
  <c r="L190" i="32"/>
  <c r="P148" i="32"/>
  <c r="I148" i="32"/>
  <c r="P190" i="32"/>
  <c r="M190" i="32"/>
  <c r="N190" i="32"/>
  <c r="N148" i="32"/>
  <c r="O148" i="32"/>
  <c r="F190" i="32"/>
  <c r="H190" i="32"/>
  <c r="D148" i="32"/>
  <c r="D190" i="32"/>
  <c r="M148" i="32"/>
  <c r="O190" i="32"/>
  <c r="Q148" i="32"/>
  <c r="L148" i="32"/>
  <c r="I190" i="32"/>
  <c r="G148" i="32"/>
  <c r="H148" i="32"/>
  <c r="F148" i="32"/>
  <c r="E148" i="32"/>
  <c r="E190" i="32"/>
  <c r="Q190" i="32"/>
  <c r="O199" i="32"/>
  <c r="G157" i="32"/>
  <c r="L157" i="32"/>
  <c r="I199" i="32"/>
  <c r="P157" i="32"/>
  <c r="I157" i="32"/>
  <c r="Q199" i="32"/>
  <c r="E199" i="32"/>
  <c r="F157" i="32"/>
  <c r="N199" i="32"/>
  <c r="F199" i="32"/>
  <c r="L199" i="32"/>
  <c r="E157" i="32"/>
  <c r="N157" i="32"/>
  <c r="D157" i="32"/>
  <c r="M199" i="32"/>
  <c r="M157" i="32"/>
  <c r="G199" i="32"/>
  <c r="H199" i="32"/>
  <c r="H157" i="32"/>
  <c r="D199" i="32"/>
  <c r="Q157" i="32"/>
  <c r="P199" i="32"/>
  <c r="O157" i="32"/>
  <c r="G174" i="32"/>
  <c r="L174" i="32"/>
  <c r="N132" i="32"/>
  <c r="E174" i="32"/>
  <c r="O132" i="32"/>
  <c r="E132" i="32"/>
  <c r="Q174" i="32"/>
  <c r="P174" i="32"/>
  <c r="M174" i="32"/>
  <c r="F174" i="32"/>
  <c r="D132" i="32"/>
  <c r="N174" i="32"/>
  <c r="M132" i="32"/>
  <c r="H174" i="32"/>
  <c r="Q132" i="32"/>
  <c r="L132" i="32"/>
  <c r="D174" i="32"/>
  <c r="G132" i="32"/>
  <c r="I132" i="32"/>
  <c r="O174" i="32"/>
  <c r="P132" i="32"/>
  <c r="H132" i="32"/>
  <c r="I174" i="32"/>
  <c r="F132" i="32"/>
  <c r="O182" i="32"/>
  <c r="P140" i="32"/>
  <c r="I140" i="32"/>
  <c r="G182" i="32"/>
  <c r="F182" i="32"/>
  <c r="H182" i="32"/>
  <c r="Q140" i="32"/>
  <c r="L140" i="32"/>
  <c r="D182" i="32"/>
  <c r="G140" i="32"/>
  <c r="H140" i="32"/>
  <c r="N182" i="32"/>
  <c r="I182" i="32"/>
  <c r="F140" i="32"/>
  <c r="E182" i="32"/>
  <c r="O140" i="32"/>
  <c r="D140" i="32"/>
  <c r="Q182" i="32"/>
  <c r="P182" i="32"/>
  <c r="E140" i="32"/>
  <c r="M182" i="32"/>
  <c r="L182" i="32"/>
  <c r="N140" i="32"/>
  <c r="M140" i="32"/>
  <c r="N200" i="32"/>
  <c r="Q158" i="32"/>
  <c r="M158" i="32"/>
  <c r="Q200" i="32"/>
  <c r="O158" i="32"/>
  <c r="M200" i="32"/>
  <c r="E158" i="32"/>
  <c r="G200" i="32"/>
  <c r="N158" i="32"/>
  <c r="H200" i="32"/>
  <c r="I158" i="32"/>
  <c r="D158" i="32"/>
  <c r="D200" i="32"/>
  <c r="H158" i="32"/>
  <c r="L158" i="32"/>
  <c r="P200" i="32"/>
  <c r="O200" i="32"/>
  <c r="G158" i="32"/>
  <c r="L200" i="32"/>
  <c r="I200" i="32"/>
  <c r="P158" i="32"/>
  <c r="F200" i="32"/>
  <c r="E200" i="32"/>
  <c r="F158" i="32"/>
  <c r="G175" i="32"/>
  <c r="L175" i="32"/>
  <c r="E133" i="32"/>
  <c r="D175" i="32"/>
  <c r="Q133" i="32"/>
  <c r="L133" i="32"/>
  <c r="I175" i="32"/>
  <c r="P133" i="32"/>
  <c r="E175" i="32"/>
  <c r="F133" i="32"/>
  <c r="G133" i="32"/>
  <c r="Q175" i="32"/>
  <c r="P175" i="32"/>
  <c r="O133" i="32"/>
  <c r="M175" i="32"/>
  <c r="F175" i="32"/>
  <c r="N133" i="32"/>
  <c r="O175" i="32"/>
  <c r="N175" i="32"/>
  <c r="D133" i="32"/>
  <c r="I133" i="32"/>
  <c r="H175" i="32"/>
  <c r="H133" i="32"/>
  <c r="M133" i="32"/>
  <c r="Q183" i="32"/>
  <c r="E183" i="32"/>
  <c r="H141" i="32"/>
  <c r="D141" i="32"/>
  <c r="M183" i="32"/>
  <c r="P183" i="32"/>
  <c r="Q141" i="32"/>
  <c r="M141" i="32"/>
  <c r="G183" i="32"/>
  <c r="L183" i="32"/>
  <c r="G141" i="32"/>
  <c r="L141" i="32"/>
  <c r="N183" i="32"/>
  <c r="F183" i="32"/>
  <c r="P141" i="32"/>
  <c r="I141" i="32"/>
  <c r="H183" i="32"/>
  <c r="F141" i="32"/>
  <c r="D183" i="32"/>
  <c r="O141" i="32"/>
  <c r="O183" i="32"/>
  <c r="E141" i="32"/>
  <c r="I183" i="32"/>
  <c r="N141" i="32"/>
  <c r="F192" i="32"/>
  <c r="I192" i="32"/>
  <c r="O150" i="32"/>
  <c r="N192" i="32"/>
  <c r="I150" i="32"/>
  <c r="D150" i="32"/>
  <c r="H192" i="32"/>
  <c r="H150" i="32"/>
  <c r="M150" i="32"/>
  <c r="D192" i="32"/>
  <c r="Q150" i="32"/>
  <c r="L150" i="32"/>
  <c r="P192" i="32"/>
  <c r="O192" i="32"/>
  <c r="G150" i="32"/>
  <c r="L192" i="32"/>
  <c r="E192" i="32"/>
  <c r="P150" i="32"/>
  <c r="Q192" i="32"/>
  <c r="F150" i="32"/>
  <c r="M192" i="32"/>
  <c r="E150" i="32"/>
  <c r="G192" i="32"/>
  <c r="N150" i="32"/>
  <c r="O9" i="31"/>
  <c r="O134" i="32"/>
  <c r="N134" i="32"/>
  <c r="M134" i="32"/>
  <c r="O176" i="32"/>
  <c r="N176" i="32"/>
  <c r="M176" i="32"/>
  <c r="F185" i="32"/>
  <c r="I185" i="32"/>
  <c r="D143" i="32"/>
  <c r="Q185" i="32"/>
  <c r="P143" i="32"/>
  <c r="M185" i="32"/>
  <c r="F143" i="32"/>
  <c r="G185" i="32"/>
  <c r="O143" i="32"/>
  <c r="N185" i="32"/>
  <c r="E143" i="32"/>
  <c r="N143" i="32"/>
  <c r="D185" i="32"/>
  <c r="I143" i="32"/>
  <c r="M143" i="32"/>
  <c r="P185" i="32"/>
  <c r="O185" i="32"/>
  <c r="Q143" i="32"/>
  <c r="E185" i="32"/>
  <c r="G143" i="32"/>
  <c r="N193" i="32"/>
  <c r="N151" i="32"/>
  <c r="M193" i="32"/>
  <c r="O193" i="32"/>
  <c r="O151" i="32"/>
  <c r="M151" i="32"/>
  <c r="F177" i="32"/>
  <c r="I177" i="32"/>
  <c r="F135" i="32"/>
  <c r="Q177" i="32"/>
  <c r="P135" i="32"/>
  <c r="M177" i="32"/>
  <c r="O135" i="32"/>
  <c r="G177" i="32"/>
  <c r="E135" i="32"/>
  <c r="N177" i="32"/>
  <c r="N135" i="32"/>
  <c r="I135" i="32"/>
  <c r="D135" i="32"/>
  <c r="D177" i="32"/>
  <c r="M135" i="32"/>
  <c r="O177" i="32"/>
  <c r="Q135" i="32"/>
  <c r="P177" i="32"/>
  <c r="E177" i="32"/>
  <c r="G135" i="32"/>
  <c r="M186" i="32"/>
  <c r="O186" i="32"/>
  <c r="N186" i="32"/>
  <c r="M144" i="32"/>
  <c r="O144" i="32"/>
  <c r="N144" i="32"/>
  <c r="Q152" i="32"/>
  <c r="G152" i="32"/>
  <c r="P152" i="32"/>
  <c r="E194" i="32"/>
  <c r="P194" i="32"/>
  <c r="D194" i="32"/>
  <c r="F152" i="32"/>
  <c r="M152" i="32"/>
  <c r="O152" i="32"/>
  <c r="E152" i="32"/>
  <c r="I152" i="32"/>
  <c r="N152" i="32"/>
  <c r="D152" i="32"/>
  <c r="M194" i="32"/>
  <c r="O194" i="32"/>
  <c r="I194" i="32"/>
  <c r="F194" i="32"/>
  <c r="Q194" i="32"/>
  <c r="G194" i="32"/>
  <c r="N194" i="32"/>
  <c r="Q178" i="32"/>
  <c r="I136" i="32"/>
  <c r="N136" i="32"/>
  <c r="E178" i="32"/>
  <c r="D178" i="32"/>
  <c r="M136" i="32"/>
  <c r="E136" i="32"/>
  <c r="D136" i="32"/>
  <c r="P178" i="32"/>
  <c r="L178" i="32"/>
  <c r="H136" i="32"/>
  <c r="F178" i="32"/>
  <c r="Q136" i="32"/>
  <c r="M178" i="32"/>
  <c r="G136" i="32"/>
  <c r="L136" i="32"/>
  <c r="G178" i="32"/>
  <c r="P136" i="32"/>
  <c r="O178" i="32"/>
  <c r="N178" i="32"/>
  <c r="F136" i="32"/>
  <c r="I178" i="32"/>
  <c r="H178" i="32"/>
  <c r="O136" i="32"/>
  <c r="F187" i="32"/>
  <c r="Q187" i="32"/>
  <c r="Q145" i="32"/>
  <c r="M187" i="32"/>
  <c r="G145" i="32"/>
  <c r="O187" i="32"/>
  <c r="G187" i="32"/>
  <c r="N145" i="32"/>
  <c r="P145" i="32"/>
  <c r="I187" i="32"/>
  <c r="P187" i="32"/>
  <c r="D187" i="32"/>
  <c r="E145" i="32"/>
  <c r="M145" i="32"/>
  <c r="I145" i="32"/>
  <c r="F145" i="32"/>
  <c r="E187" i="32"/>
  <c r="O145" i="32"/>
  <c r="N187" i="32"/>
  <c r="D145" i="32"/>
  <c r="E195" i="32"/>
  <c r="Q153" i="32"/>
  <c r="P195" i="32"/>
  <c r="D195" i="32"/>
  <c r="G153" i="32"/>
  <c r="L195" i="32"/>
  <c r="I195" i="32"/>
  <c r="L153" i="32"/>
  <c r="F195" i="32"/>
  <c r="I153" i="32"/>
  <c r="Q195" i="32"/>
  <c r="M195" i="32"/>
  <c r="P153" i="32"/>
  <c r="G195" i="32"/>
  <c r="F153" i="32"/>
  <c r="N195" i="32"/>
  <c r="N153" i="32"/>
  <c r="O153" i="32"/>
  <c r="D153" i="32"/>
  <c r="E153" i="32"/>
  <c r="O195" i="32"/>
  <c r="M153" i="32"/>
  <c r="N137" i="32"/>
  <c r="M137" i="32"/>
  <c r="O137" i="32"/>
  <c r="O179" i="32"/>
  <c r="M179" i="32"/>
  <c r="N179" i="32"/>
  <c r="P188" i="32"/>
  <c r="N146" i="32"/>
  <c r="P146" i="32"/>
  <c r="N188" i="32"/>
  <c r="Q188" i="32"/>
  <c r="D146" i="32"/>
  <c r="M188" i="32"/>
  <c r="M146" i="32"/>
  <c r="D188" i="32"/>
  <c r="G188" i="32"/>
  <c r="O188" i="32"/>
  <c r="I146" i="32"/>
  <c r="I188" i="32"/>
  <c r="E188" i="32"/>
  <c r="Q146" i="32"/>
  <c r="O146" i="32"/>
  <c r="G146" i="32"/>
  <c r="F188" i="32"/>
  <c r="E146" i="32"/>
  <c r="F146" i="32"/>
  <c r="N197" i="32"/>
  <c r="O197" i="32"/>
  <c r="N155" i="32"/>
  <c r="O155" i="32"/>
  <c r="M197" i="32"/>
  <c r="M155" i="32"/>
  <c r="N4" i="32"/>
  <c r="O4" i="32"/>
  <c r="M4" i="32"/>
  <c r="I100" i="32"/>
  <c r="K100" i="32" s="1"/>
  <c r="J100" i="32"/>
  <c r="L100" i="32" s="1"/>
  <c r="K28" i="32"/>
  <c r="J112" i="32"/>
  <c r="I112" i="32"/>
  <c r="F112" i="32"/>
  <c r="G112" i="32"/>
  <c r="O8" i="31"/>
  <c r="O12" i="31"/>
  <c r="O18" i="31"/>
  <c r="O6" i="31"/>
  <c r="O19" i="31"/>
  <c r="O13" i="31"/>
  <c r="O7" i="31"/>
  <c r="O11" i="31"/>
  <c r="O20" i="31"/>
  <c r="H277" i="32"/>
  <c r="K277" i="32"/>
  <c r="K251" i="8"/>
  <c r="K215" i="8"/>
  <c r="K112" i="32" l="1"/>
  <c r="L112" i="32"/>
  <c r="M100" i="32"/>
  <c r="K175" i="32"/>
  <c r="R175" i="32" s="1"/>
  <c r="K148" i="32"/>
  <c r="R148" i="32" s="1"/>
  <c r="K147" i="32"/>
  <c r="R147" i="32" s="1"/>
  <c r="K150" i="32"/>
  <c r="R150" i="32" s="1"/>
  <c r="K157" i="32"/>
  <c r="R157" i="32" s="1"/>
  <c r="K192" i="32"/>
  <c r="R192" i="32" s="1"/>
  <c r="K133" i="32"/>
  <c r="R133" i="32" s="1"/>
  <c r="K199" i="32"/>
  <c r="R199" i="32" s="1"/>
  <c r="K189" i="32"/>
  <c r="R189" i="32" s="1"/>
  <c r="K136" i="32"/>
  <c r="R136" i="32" s="1"/>
  <c r="K141" i="32"/>
  <c r="R141" i="32" s="1"/>
  <c r="K182" i="32"/>
  <c r="R182" i="32" s="1"/>
  <c r="K174" i="32"/>
  <c r="R174" i="32" s="1"/>
  <c r="K178" i="32"/>
  <c r="R178" i="32" s="1"/>
  <c r="K183" i="32"/>
  <c r="R183" i="32" s="1"/>
  <c r="K140" i="32"/>
  <c r="R140" i="32" s="1"/>
  <c r="K132" i="32"/>
  <c r="R132" i="32" s="1"/>
  <c r="K190" i="32"/>
  <c r="R190" i="32" s="1"/>
  <c r="K158" i="32"/>
  <c r="R158" i="32" s="1"/>
  <c r="K200" i="32"/>
  <c r="R200" i="32" s="1"/>
  <c r="R56" i="32"/>
  <c r="R52" i="32"/>
  <c r="R63" i="32"/>
  <c r="L277" i="32"/>
  <c r="G11" i="18"/>
  <c r="F11" i="18"/>
  <c r="G10" i="18"/>
  <c r="F10" i="18"/>
  <c r="G9" i="18"/>
  <c r="F9" i="18"/>
  <c r="G8" i="18"/>
  <c r="F8" i="18"/>
  <c r="G7" i="18"/>
  <c r="F7" i="18"/>
  <c r="G6" i="18"/>
  <c r="F6" i="18"/>
  <c r="G5" i="18"/>
  <c r="F5" i="18"/>
  <c r="G4" i="18"/>
  <c r="F4" i="18"/>
  <c r="G3" i="18"/>
  <c r="F3" i="18"/>
  <c r="G2" i="18"/>
  <c r="F2" i="18"/>
  <c r="M112" i="32" l="1"/>
  <c r="H32" i="9"/>
  <c r="H33" i="9"/>
  <c r="H34" i="9"/>
  <c r="AZ1152" i="2" l="1"/>
  <c r="AY1152" i="2"/>
  <c r="AX1152" i="2"/>
  <c r="AW1152" i="2"/>
  <c r="AS1152" i="2"/>
  <c r="AP1152" i="2"/>
  <c r="AZ1147" i="2"/>
  <c r="AY1147" i="2"/>
  <c r="AX1147" i="2"/>
  <c r="AW1147" i="2"/>
  <c r="AS1147" i="2"/>
  <c r="AP1147" i="2"/>
  <c r="H134" i="9" a="1"/>
  <c r="H134" i="9" s="1"/>
  <c r="H133" i="9" a="1"/>
  <c r="H133" i="9" s="1"/>
  <c r="H132" i="9" a="1"/>
  <c r="H132" i="9" s="1"/>
  <c r="H131" i="9" a="1"/>
  <c r="H131" i="9" s="1"/>
  <c r="H130" i="9" a="1"/>
  <c r="H130" i="9" s="1"/>
  <c r="H129" i="9" a="1"/>
  <c r="H129" i="9" s="1"/>
  <c r="H128" i="9" a="1"/>
  <c r="H128" i="9" s="1"/>
  <c r="H127" i="9" a="1"/>
  <c r="H127" i="9" s="1"/>
  <c r="H126" i="9" a="1"/>
  <c r="H126" i="9" s="1"/>
  <c r="H125" i="9" a="1"/>
  <c r="H125" i="9" s="1"/>
  <c r="I134" i="9" a="1"/>
  <c r="I134" i="9" s="1"/>
  <c r="I133" i="9" a="1"/>
  <c r="I133" i="9" s="1"/>
  <c r="I132" i="9" a="1"/>
  <c r="I132" i="9" s="1"/>
  <c r="I131" i="9" a="1"/>
  <c r="I131" i="9" s="1"/>
  <c r="I130" i="9" a="1"/>
  <c r="I130" i="9" s="1"/>
  <c r="I129" i="9" a="1"/>
  <c r="I129" i="9" s="1"/>
  <c r="I128" i="9" a="1"/>
  <c r="I128" i="9" s="1"/>
  <c r="I127" i="9" a="1"/>
  <c r="I127" i="9" s="1"/>
  <c r="I126" i="9" a="1"/>
  <c r="I126" i="9" s="1"/>
  <c r="I125" i="9" a="1"/>
  <c r="I125" i="9" s="1"/>
  <c r="J134" i="9" a="1"/>
  <c r="J134" i="9" s="1"/>
  <c r="J133" i="9" a="1"/>
  <c r="J133" i="9" s="1"/>
  <c r="J132" i="9" a="1"/>
  <c r="J132" i="9" s="1"/>
  <c r="J131" i="9" a="1"/>
  <c r="J131" i="9" s="1"/>
  <c r="J130" i="9" a="1"/>
  <c r="J130" i="9" s="1"/>
  <c r="J129" i="9" a="1"/>
  <c r="J129" i="9" s="1"/>
  <c r="J128" i="9" a="1"/>
  <c r="J128" i="9" s="1"/>
  <c r="J127" i="9" a="1"/>
  <c r="J127" i="9" s="1"/>
  <c r="J126" i="9" a="1"/>
  <c r="J126" i="9" s="1"/>
  <c r="J125" i="9" a="1"/>
  <c r="J125" i="9" s="1"/>
  <c r="K134" i="9" a="1"/>
  <c r="K134" i="9" s="1"/>
  <c r="K133" i="9" a="1"/>
  <c r="K133" i="9" s="1"/>
  <c r="K132" i="9" a="1"/>
  <c r="K132" i="9" s="1"/>
  <c r="K131" i="9" a="1"/>
  <c r="K131" i="9" s="1"/>
  <c r="K130" i="9" a="1"/>
  <c r="K130" i="9" s="1"/>
  <c r="K129" i="9" a="1"/>
  <c r="K129" i="9" s="1"/>
  <c r="K128" i="9" a="1"/>
  <c r="K128" i="9" s="1"/>
  <c r="K127" i="9" a="1"/>
  <c r="K127" i="9" s="1"/>
  <c r="K126" i="9" a="1"/>
  <c r="K126" i="9" s="1"/>
  <c r="K125" i="9" a="1"/>
  <c r="K125" i="9" s="1"/>
  <c r="K124" i="9" a="1"/>
  <c r="K124" i="9" s="1"/>
  <c r="I124" i="9" a="1"/>
  <c r="I124" i="9" s="1"/>
  <c r="H220" i="8"/>
  <c r="L220" i="8" s="1"/>
  <c r="F104" i="9" a="1"/>
  <c r="F104" i="9" s="1"/>
  <c r="D57" i="6"/>
  <c r="C57" i="6"/>
  <c r="C134" i="9"/>
  <c r="C133" i="9"/>
  <c r="C132" i="9"/>
  <c r="C131" i="9"/>
  <c r="C130" i="9"/>
  <c r="C129" i="9"/>
  <c r="C128" i="9"/>
  <c r="C127" i="9"/>
  <c r="C126" i="9"/>
  <c r="C125" i="9"/>
  <c r="J124" i="9" a="1"/>
  <c r="J124" i="9" s="1"/>
  <c r="C124" i="9"/>
  <c r="G114" i="9" a="1"/>
  <c r="G114" i="9" s="1"/>
  <c r="F114" i="9" a="1"/>
  <c r="F114" i="9" s="1"/>
  <c r="C114" i="9"/>
  <c r="G113" i="9" a="1"/>
  <c r="G113" i="9" s="1"/>
  <c r="F113" i="9" a="1"/>
  <c r="F113" i="9" s="1"/>
  <c r="C113" i="9"/>
  <c r="G112" i="9" a="1"/>
  <c r="G112" i="9" s="1"/>
  <c r="F112" i="9" a="1"/>
  <c r="F112" i="9" s="1"/>
  <c r="C112" i="9"/>
  <c r="G111" i="9" a="1"/>
  <c r="G111" i="9" s="1"/>
  <c r="F111" i="9" a="1"/>
  <c r="F111" i="9" s="1"/>
  <c r="C111" i="9"/>
  <c r="G110" i="9" a="1"/>
  <c r="G110" i="9" s="1"/>
  <c r="F110" i="9" a="1"/>
  <c r="F110" i="9" s="1"/>
  <c r="C110" i="9"/>
  <c r="G109" i="9" a="1"/>
  <c r="G109" i="9" s="1"/>
  <c r="F109" i="9" a="1"/>
  <c r="F109" i="9" s="1"/>
  <c r="C109" i="9"/>
  <c r="G108" i="9" a="1"/>
  <c r="G108" i="9" s="1"/>
  <c r="F108" i="9" a="1"/>
  <c r="F108" i="9" s="1"/>
  <c r="C108" i="9"/>
  <c r="G107" i="9" a="1"/>
  <c r="G107" i="9" s="1"/>
  <c r="F107" i="9" a="1"/>
  <c r="F107" i="9" s="1"/>
  <c r="C107" i="9"/>
  <c r="G106" i="9" a="1"/>
  <c r="G106" i="9" s="1"/>
  <c r="F106" i="9" a="1"/>
  <c r="F106" i="9" s="1"/>
  <c r="C106" i="9"/>
  <c r="G105" i="9" a="1"/>
  <c r="G105" i="9" s="1"/>
  <c r="F105" i="9" a="1"/>
  <c r="F105" i="9" s="1"/>
  <c r="C105" i="9"/>
  <c r="G104" i="9" a="1"/>
  <c r="G104" i="9" s="1"/>
  <c r="C104" i="9"/>
  <c r="C94" i="9"/>
  <c r="C93" i="9"/>
  <c r="N93" i="9" s="1"/>
  <c r="C92" i="9"/>
  <c r="N92" i="9" s="1"/>
  <c r="C91" i="9"/>
  <c r="C90" i="9"/>
  <c r="C89" i="9"/>
  <c r="C88" i="9"/>
  <c r="C87" i="9"/>
  <c r="C86" i="9"/>
  <c r="C85" i="9"/>
  <c r="C84" i="9"/>
  <c r="C74" i="9"/>
  <c r="C73" i="9"/>
  <c r="C72" i="9"/>
  <c r="C71" i="9"/>
  <c r="C70" i="9"/>
  <c r="C69" i="9"/>
  <c r="C68" i="9"/>
  <c r="C67" i="9"/>
  <c r="C66" i="9"/>
  <c r="C65" i="9"/>
  <c r="C64" i="9"/>
  <c r="C54" i="9"/>
  <c r="C53" i="9"/>
  <c r="C52" i="9"/>
  <c r="C51" i="9"/>
  <c r="C50" i="9"/>
  <c r="C49" i="9"/>
  <c r="C48" i="9"/>
  <c r="C47" i="9"/>
  <c r="C46" i="9"/>
  <c r="C45" i="9"/>
  <c r="C44" i="9"/>
  <c r="C34" i="9"/>
  <c r="C33" i="9"/>
  <c r="C32" i="9"/>
  <c r="C31" i="9"/>
  <c r="C30" i="9"/>
  <c r="C29" i="9"/>
  <c r="C28" i="9"/>
  <c r="C27" i="9"/>
  <c r="C26" i="9"/>
  <c r="C25" i="9"/>
  <c r="C24" i="9"/>
  <c r="C14" i="9"/>
  <c r="I14" i="9" s="1" a="1"/>
  <c r="I14" i="9" s="1"/>
  <c r="C13" i="9"/>
  <c r="C12" i="9"/>
  <c r="C11" i="9"/>
  <c r="C10" i="9"/>
  <c r="I10" i="9" s="1" a="1"/>
  <c r="I10" i="9" s="1"/>
  <c r="C9" i="9"/>
  <c r="I9" i="9" s="1" a="1"/>
  <c r="I9" i="9" s="1"/>
  <c r="C8" i="9"/>
  <c r="I8" i="9" s="1" a="1"/>
  <c r="I8" i="9" s="1"/>
  <c r="C7" i="9"/>
  <c r="I7" i="9" s="1" a="1"/>
  <c r="I7" i="9" s="1"/>
  <c r="C6" i="9"/>
  <c r="I6" i="9" s="1" a="1"/>
  <c r="I6" i="9" s="1"/>
  <c r="C5" i="9"/>
  <c r="I5" i="9" s="1" a="1"/>
  <c r="I5" i="9" s="1"/>
  <c r="C4" i="9"/>
  <c r="G251" i="8"/>
  <c r="F251" i="8"/>
  <c r="C220" i="8"/>
  <c r="B220" i="8"/>
  <c r="G215" i="8"/>
  <c r="F215" i="8"/>
  <c r="C184" i="8"/>
  <c r="B184" i="8"/>
  <c r="C148" i="8"/>
  <c r="G148" i="8" s="1"/>
  <c r="B148" i="8"/>
  <c r="C112" i="8"/>
  <c r="G112" i="8" s="1"/>
  <c r="B112" i="8"/>
  <c r="C76" i="8"/>
  <c r="E76" i="8" s="1"/>
  <c r="B76" i="8"/>
  <c r="C40" i="8"/>
  <c r="B40" i="8"/>
  <c r="C4" i="8"/>
  <c r="B4" i="8"/>
  <c r="F1263" i="2"/>
  <c r="AW1263" i="2" s="1"/>
  <c r="F1262" i="2"/>
  <c r="AZ1262" i="2" s="1"/>
  <c r="F1261" i="2"/>
  <c r="AX1261" i="2" s="1"/>
  <c r="F1260" i="2"/>
  <c r="AW1260" i="2" s="1"/>
  <c r="F1246" i="2"/>
  <c r="AY1246" i="2" s="1"/>
  <c r="F1245" i="2"/>
  <c r="AY1245" i="2" s="1"/>
  <c r="F1244" i="2"/>
  <c r="AP1244" i="2" s="1"/>
  <c r="F1243" i="2"/>
  <c r="AW1243" i="2" s="1"/>
  <c r="F1265" i="2"/>
  <c r="AZ1265" i="2" s="1"/>
  <c r="F1264" i="2"/>
  <c r="AZ1259" i="2"/>
  <c r="AY1259" i="2"/>
  <c r="AX1259" i="2"/>
  <c r="AW1259" i="2"/>
  <c r="AS1259" i="2"/>
  <c r="AP1259" i="2"/>
  <c r="T1259" i="2"/>
  <c r="S1259" i="2"/>
  <c r="R1259" i="2"/>
  <c r="Q1259" i="2"/>
  <c r="P1259" i="2"/>
  <c r="O1259" i="2"/>
  <c r="N1259" i="2"/>
  <c r="M1259" i="2"/>
  <c r="L1259" i="2"/>
  <c r="K1259" i="2"/>
  <c r="J1259" i="2"/>
  <c r="G1259" i="2"/>
  <c r="F1258" i="2"/>
  <c r="AY1258" i="2" s="1"/>
  <c r="F1257" i="2"/>
  <c r="AS1257" i="2" s="1"/>
  <c r="F1256" i="2"/>
  <c r="AY1256" i="2" s="1"/>
  <c r="F1255" i="2"/>
  <c r="AS1255" i="2" s="1"/>
  <c r="AZ1254" i="2"/>
  <c r="AY1254" i="2"/>
  <c r="AX1254" i="2"/>
  <c r="AW1254" i="2"/>
  <c r="AS1254" i="2"/>
  <c r="AP1254" i="2"/>
  <c r="T1254" i="2"/>
  <c r="S1254" i="2"/>
  <c r="R1254" i="2"/>
  <c r="Q1254" i="2"/>
  <c r="P1254" i="2"/>
  <c r="O1254" i="2"/>
  <c r="N1254" i="2"/>
  <c r="M1254" i="2"/>
  <c r="L1254" i="2"/>
  <c r="K1254" i="2"/>
  <c r="J1254" i="2"/>
  <c r="G1254" i="2"/>
  <c r="F1253" i="2"/>
  <c r="AP1253" i="2" s="1"/>
  <c r="F1252" i="2"/>
  <c r="AX1252" i="2" s="1"/>
  <c r="F1251" i="2"/>
  <c r="AP1251" i="2" s="1"/>
  <c r="F1250" i="2"/>
  <c r="AX1250" i="2" s="1"/>
  <c r="AZ1249" i="2"/>
  <c r="AY1249" i="2"/>
  <c r="AX1249" i="2"/>
  <c r="AW1249" i="2"/>
  <c r="AS1249" i="2"/>
  <c r="AP1249" i="2"/>
  <c r="T1249" i="2"/>
  <c r="S1249" i="2"/>
  <c r="R1249" i="2"/>
  <c r="Q1249" i="2"/>
  <c r="P1249" i="2"/>
  <c r="O1249" i="2"/>
  <c r="N1249" i="2"/>
  <c r="M1249" i="2"/>
  <c r="L1249" i="2"/>
  <c r="K1249" i="2"/>
  <c r="J1249" i="2"/>
  <c r="G1249" i="2"/>
  <c r="F1248" i="2"/>
  <c r="AZ1248" i="2" s="1"/>
  <c r="F1247" i="2"/>
  <c r="P1247" i="2" s="1"/>
  <c r="AZ1242" i="2"/>
  <c r="AY1242" i="2"/>
  <c r="AX1242" i="2"/>
  <c r="AW1242" i="2"/>
  <c r="AS1242" i="2"/>
  <c r="AP1242" i="2"/>
  <c r="T1242" i="2"/>
  <c r="S1242" i="2"/>
  <c r="R1242" i="2"/>
  <c r="Q1242" i="2"/>
  <c r="P1242" i="2"/>
  <c r="O1242" i="2"/>
  <c r="N1242" i="2"/>
  <c r="M1242" i="2"/>
  <c r="L1242" i="2"/>
  <c r="K1242" i="2"/>
  <c r="J1242" i="2"/>
  <c r="G1242" i="2"/>
  <c r="F1241" i="2"/>
  <c r="AY1241" i="2" s="1"/>
  <c r="F1240" i="2"/>
  <c r="AS1240" i="2" s="1"/>
  <c r="F1239" i="2"/>
  <c r="AW1239" i="2" s="1"/>
  <c r="F1238" i="2"/>
  <c r="AS1238" i="2" s="1"/>
  <c r="AZ1237" i="2"/>
  <c r="AY1237" i="2"/>
  <c r="AX1237" i="2"/>
  <c r="AW1237" i="2"/>
  <c r="AS1237" i="2"/>
  <c r="AP1237" i="2"/>
  <c r="T1237" i="2"/>
  <c r="S1237" i="2"/>
  <c r="R1237" i="2"/>
  <c r="Q1237" i="2"/>
  <c r="P1237" i="2"/>
  <c r="O1237" i="2"/>
  <c r="N1237" i="2"/>
  <c r="M1237" i="2"/>
  <c r="L1237" i="2"/>
  <c r="K1237" i="2"/>
  <c r="J1237" i="2"/>
  <c r="G1237" i="2"/>
  <c r="F1236" i="2"/>
  <c r="AP1236" i="2" s="1"/>
  <c r="F1235" i="2"/>
  <c r="AX1235" i="2" s="1"/>
  <c r="F1234" i="2"/>
  <c r="AP1234" i="2" s="1"/>
  <c r="F1233" i="2"/>
  <c r="AX1233" i="2" s="1"/>
  <c r="AZ1232" i="2"/>
  <c r="AY1232" i="2"/>
  <c r="AX1232" i="2"/>
  <c r="AW1232" i="2"/>
  <c r="AS1232" i="2"/>
  <c r="AP1232" i="2"/>
  <c r="T1232" i="2"/>
  <c r="S1232" i="2"/>
  <c r="R1232" i="2"/>
  <c r="Q1232" i="2"/>
  <c r="P1232" i="2"/>
  <c r="O1232" i="2"/>
  <c r="N1232" i="2"/>
  <c r="M1232" i="2"/>
  <c r="L1232" i="2"/>
  <c r="K1232" i="2"/>
  <c r="J1232" i="2"/>
  <c r="G1232" i="2"/>
  <c r="F1231" i="2"/>
  <c r="O1231" i="2" s="1"/>
  <c r="F1230" i="2"/>
  <c r="F1223" i="2"/>
  <c r="AP1223" i="2" s="1"/>
  <c r="F1221" i="2"/>
  <c r="AS1221" i="2" s="1"/>
  <c r="F1224" i="2"/>
  <c r="AS1224" i="2" s="1"/>
  <c r="F1222" i="2"/>
  <c r="O1222" i="2" s="1"/>
  <c r="F1218" i="2"/>
  <c r="AP1218" i="2" s="1"/>
  <c r="F1219" i="2"/>
  <c r="N1219" i="2" s="1"/>
  <c r="F1217" i="2"/>
  <c r="AP1217" i="2" s="1"/>
  <c r="F1216" i="2"/>
  <c r="AS1229" i="2"/>
  <c r="AP1229" i="2"/>
  <c r="T1229" i="2"/>
  <c r="O1229" i="2"/>
  <c r="N1229" i="2"/>
  <c r="M1229" i="2"/>
  <c r="L1229" i="2"/>
  <c r="AZ1229" i="2"/>
  <c r="AS1227" i="2"/>
  <c r="AP1227" i="2"/>
  <c r="T1227" i="2"/>
  <c r="O1227" i="2"/>
  <c r="N1227" i="2"/>
  <c r="M1227" i="2"/>
  <c r="L1227" i="2"/>
  <c r="AZ1227" i="2"/>
  <c r="AZ1225" i="2"/>
  <c r="AY1225" i="2"/>
  <c r="AX1225" i="2"/>
  <c r="AW1225" i="2"/>
  <c r="AS1225" i="2"/>
  <c r="AP1225" i="2"/>
  <c r="T1225" i="2"/>
  <c r="S1225" i="2"/>
  <c r="R1225" i="2"/>
  <c r="Q1225" i="2"/>
  <c r="P1225" i="2"/>
  <c r="O1225" i="2"/>
  <c r="N1225" i="2"/>
  <c r="M1225" i="2"/>
  <c r="L1225" i="2"/>
  <c r="K1225" i="2"/>
  <c r="J1225" i="2"/>
  <c r="G1225" i="2"/>
  <c r="AZ1220" i="2"/>
  <c r="AY1220" i="2"/>
  <c r="AX1220" i="2"/>
  <c r="AW1220" i="2"/>
  <c r="AS1220" i="2"/>
  <c r="AP1220" i="2"/>
  <c r="T1220" i="2"/>
  <c r="S1220" i="2"/>
  <c r="R1220" i="2"/>
  <c r="Q1220" i="2"/>
  <c r="P1220" i="2"/>
  <c r="O1220" i="2"/>
  <c r="N1220" i="2"/>
  <c r="M1220" i="2"/>
  <c r="L1220" i="2"/>
  <c r="K1220" i="2"/>
  <c r="J1220" i="2"/>
  <c r="G1220" i="2"/>
  <c r="AZ1215" i="2"/>
  <c r="AY1215" i="2"/>
  <c r="AX1215" i="2"/>
  <c r="AW1215" i="2"/>
  <c r="AS1215" i="2"/>
  <c r="AP1215" i="2"/>
  <c r="T1215" i="2"/>
  <c r="S1215" i="2"/>
  <c r="R1215" i="2"/>
  <c r="Q1215" i="2"/>
  <c r="P1215" i="2"/>
  <c r="O1215" i="2"/>
  <c r="N1215" i="2"/>
  <c r="M1215" i="2"/>
  <c r="L1215" i="2"/>
  <c r="K1215" i="2"/>
  <c r="J1215" i="2"/>
  <c r="G1215" i="2"/>
  <c r="J1164" i="2"/>
  <c r="C3" i="6"/>
  <c r="C4" i="6"/>
  <c r="C5" i="6"/>
  <c r="C6" i="6"/>
  <c r="C7" i="6"/>
  <c r="C8" i="6"/>
  <c r="C9" i="6"/>
  <c r="C10" i="6"/>
  <c r="C11" i="6"/>
  <c r="C12" i="6"/>
  <c r="C13" i="6"/>
  <c r="B3" i="6"/>
  <c r="I12" i="9" l="1" a="1"/>
  <c r="I12" i="9" s="1"/>
  <c r="O12" i="9" a="1"/>
  <c r="O12" i="9" s="1"/>
  <c r="P12" i="9" a="1"/>
  <c r="P12" i="9" s="1"/>
  <c r="N12" i="9"/>
  <c r="P33" i="9" a="1"/>
  <c r="P33" i="9" s="1"/>
  <c r="O33" i="9" a="1"/>
  <c r="O33" i="9" s="1"/>
  <c r="N33" i="9"/>
  <c r="I13" i="9" a="1"/>
  <c r="I13" i="9" s="1"/>
  <c r="O13" i="9" a="1"/>
  <c r="O13" i="9" s="1"/>
  <c r="P13" i="9" a="1"/>
  <c r="P13" i="9" s="1"/>
  <c r="N13" i="9"/>
  <c r="O72" i="9" a="1"/>
  <c r="O72" i="9" s="1"/>
  <c r="P72" i="9" a="1"/>
  <c r="P72" i="9" s="1"/>
  <c r="N72" i="9"/>
  <c r="P73" i="9" a="1"/>
  <c r="P73" i="9" s="1"/>
  <c r="O73" i="9" a="1"/>
  <c r="O73" i="9" s="1"/>
  <c r="N73" i="9"/>
  <c r="O32" i="9" a="1"/>
  <c r="O32" i="9" s="1"/>
  <c r="P32" i="9" a="1"/>
  <c r="P32" i="9" s="1"/>
  <c r="N32" i="9"/>
  <c r="H4" i="8"/>
  <c r="G4" i="8"/>
  <c r="G4" i="9" s="1"/>
  <c r="I4" i="8"/>
  <c r="I4" i="9" s="1" a="1"/>
  <c r="I4" i="9" s="1"/>
  <c r="F9" i="9" a="1"/>
  <c r="F9" i="9" s="1"/>
  <c r="D9" i="9" a="1"/>
  <c r="D9" i="9" s="1"/>
  <c r="E9" i="9" a="1"/>
  <c r="E9" i="9" s="1"/>
  <c r="F26" i="9" a="1"/>
  <c r="F26" i="9" s="1"/>
  <c r="D26" i="9" a="1"/>
  <c r="D26" i="9" s="1"/>
  <c r="I26" i="9" a="1"/>
  <c r="I26" i="9" s="1"/>
  <c r="E26" i="9" a="1"/>
  <c r="E26" i="9" s="1"/>
  <c r="F34" i="9" a="1"/>
  <c r="F34" i="9" s="1"/>
  <c r="I34" i="9" a="1"/>
  <c r="I34" i="9" s="1"/>
  <c r="D34" i="9" a="1"/>
  <c r="D34" i="9" s="1"/>
  <c r="E34" i="9" a="1"/>
  <c r="E34" i="9" s="1"/>
  <c r="D68" i="9" a="1"/>
  <c r="D68" i="9" s="1"/>
  <c r="E68" i="9" a="1"/>
  <c r="E68" i="9" s="1"/>
  <c r="F68" i="9" a="1"/>
  <c r="F68" i="9" s="1"/>
  <c r="I68" i="9" a="1"/>
  <c r="I68" i="9" s="1"/>
  <c r="E85" i="9" a="1"/>
  <c r="E85" i="9" s="1"/>
  <c r="F85" i="9" a="1"/>
  <c r="F85" i="9" s="1"/>
  <c r="I85" i="9" a="1"/>
  <c r="I85" i="9" s="1"/>
  <c r="D85" i="9" a="1"/>
  <c r="D85" i="9" s="1"/>
  <c r="E93" i="9" a="1"/>
  <c r="E93" i="9" s="1"/>
  <c r="F93" i="9" a="1"/>
  <c r="F93" i="9" s="1"/>
  <c r="I93" i="9" a="1"/>
  <c r="I93" i="9" s="1"/>
  <c r="D93" i="9" a="1"/>
  <c r="D93" i="9" s="1"/>
  <c r="F10" i="9" a="1"/>
  <c r="F10" i="9" s="1"/>
  <c r="D10" i="9" a="1"/>
  <c r="D10" i="9" s="1"/>
  <c r="E10" i="9" a="1"/>
  <c r="E10" i="9" s="1"/>
  <c r="F27" i="9" a="1"/>
  <c r="F27" i="9" s="1"/>
  <c r="E27" i="9" a="1"/>
  <c r="E27" i="9" s="1"/>
  <c r="I27" i="9" a="1"/>
  <c r="I27" i="9" s="1"/>
  <c r="D27" i="9" a="1"/>
  <c r="D27" i="9" s="1"/>
  <c r="D69" i="9" a="1"/>
  <c r="D69" i="9" s="1"/>
  <c r="E69" i="9" a="1"/>
  <c r="E69" i="9" s="1"/>
  <c r="F69" i="9" a="1"/>
  <c r="F69" i="9" s="1"/>
  <c r="I69" i="9" a="1"/>
  <c r="I69" i="9" s="1"/>
  <c r="D86" i="9" a="1"/>
  <c r="D86" i="9" s="1"/>
  <c r="F86" i="9" a="1"/>
  <c r="F86" i="9" s="1"/>
  <c r="E86" i="9" a="1"/>
  <c r="E86" i="9" s="1"/>
  <c r="I86" i="9" a="1"/>
  <c r="I86" i="9" s="1"/>
  <c r="D94" i="9" a="1"/>
  <c r="D94" i="9" s="1"/>
  <c r="E94" i="9" a="1"/>
  <c r="E94" i="9" s="1"/>
  <c r="F94" i="9" a="1"/>
  <c r="F94" i="9" s="1"/>
  <c r="I94" i="9" a="1"/>
  <c r="I94" i="9" s="1"/>
  <c r="E28" i="9" a="1"/>
  <c r="E28" i="9" s="1"/>
  <c r="F28" i="9" a="1"/>
  <c r="F28" i="9" s="1"/>
  <c r="I28" i="9" a="1"/>
  <c r="I28" i="9" s="1"/>
  <c r="D28" i="9" a="1"/>
  <c r="D28" i="9" s="1"/>
  <c r="I70" i="9" a="1"/>
  <c r="I70" i="9" s="1"/>
  <c r="E70" i="9" a="1"/>
  <c r="E70" i="9" s="1"/>
  <c r="D70" i="9" a="1"/>
  <c r="D70" i="9" s="1"/>
  <c r="F70" i="9" a="1"/>
  <c r="F70" i="9" s="1"/>
  <c r="N87" i="9"/>
  <c r="D87" i="9" a="1"/>
  <c r="D87" i="9" s="1"/>
  <c r="E87" i="9" a="1"/>
  <c r="E87" i="9" s="1"/>
  <c r="F87" i="9" a="1"/>
  <c r="F87" i="9" s="1"/>
  <c r="I87" i="9" a="1"/>
  <c r="I87" i="9" s="1"/>
  <c r="F12" i="9" a="1"/>
  <c r="F12" i="9" s="1"/>
  <c r="D12" i="9" a="1"/>
  <c r="D12" i="9" s="1"/>
  <c r="E12" i="9" a="1"/>
  <c r="E12" i="9" s="1"/>
  <c r="D29" i="9" a="1"/>
  <c r="D29" i="9" s="1"/>
  <c r="E29" i="9" a="1"/>
  <c r="E29" i="9" s="1"/>
  <c r="F29" i="9" a="1"/>
  <c r="F29" i="9" s="1"/>
  <c r="I29" i="9" a="1"/>
  <c r="I29" i="9" s="1"/>
  <c r="I71" i="9" a="1"/>
  <c r="I71" i="9" s="1"/>
  <c r="D71" i="9" a="1"/>
  <c r="D71" i="9" s="1"/>
  <c r="E71" i="9" a="1"/>
  <c r="E71" i="9" s="1"/>
  <c r="F71" i="9" a="1"/>
  <c r="F71" i="9" s="1"/>
  <c r="I88" i="9" a="1"/>
  <c r="I88" i="9" s="1"/>
  <c r="D88" i="9" a="1"/>
  <c r="D88" i="9" s="1"/>
  <c r="E88" i="9" a="1"/>
  <c r="E88" i="9" s="1"/>
  <c r="F88" i="9" a="1"/>
  <c r="F88" i="9" s="1"/>
  <c r="D5" i="9" a="1"/>
  <c r="D5" i="9" s="1"/>
  <c r="E5" i="9" a="1"/>
  <c r="E5" i="9" s="1"/>
  <c r="F5" i="9" a="1"/>
  <c r="F5" i="9" s="1"/>
  <c r="D13" i="9" a="1"/>
  <c r="D13" i="9" s="1"/>
  <c r="E13" i="9" a="1"/>
  <c r="E13" i="9" s="1"/>
  <c r="F13" i="9" a="1"/>
  <c r="F13" i="9" s="1"/>
  <c r="D30" i="9" a="1"/>
  <c r="D30" i="9" s="1"/>
  <c r="E30" i="9" a="1"/>
  <c r="E30" i="9" s="1"/>
  <c r="F30" i="9" a="1"/>
  <c r="F30" i="9" s="1"/>
  <c r="I30" i="9" a="1"/>
  <c r="I30" i="9" s="1"/>
  <c r="F72" i="9" a="1"/>
  <c r="F72" i="9" s="1"/>
  <c r="I72" i="9" a="1"/>
  <c r="I72" i="9" s="1"/>
  <c r="D72" i="9" a="1"/>
  <c r="D72" i="9" s="1"/>
  <c r="E72" i="9" a="1"/>
  <c r="E72" i="9" s="1"/>
  <c r="I89" i="9" a="1"/>
  <c r="I89" i="9" s="1"/>
  <c r="D89" i="9" a="1"/>
  <c r="D89" i="9" s="1"/>
  <c r="E89" i="9" a="1"/>
  <c r="E89" i="9" s="1"/>
  <c r="F89" i="9" a="1"/>
  <c r="F89" i="9" s="1"/>
  <c r="D6" i="9" a="1"/>
  <c r="D6" i="9" s="1"/>
  <c r="E6" i="9" a="1"/>
  <c r="E6" i="9" s="1"/>
  <c r="F6" i="9" a="1"/>
  <c r="F6" i="9" s="1"/>
  <c r="D14" i="9" a="1"/>
  <c r="D14" i="9" s="1"/>
  <c r="E14" i="9" a="1"/>
  <c r="E14" i="9" s="1"/>
  <c r="F14" i="9" a="1"/>
  <c r="F14" i="9" s="1"/>
  <c r="I31" i="9" a="1"/>
  <c r="I31" i="9" s="1"/>
  <c r="D31" i="9" a="1"/>
  <c r="D31" i="9" s="1"/>
  <c r="E31" i="9" a="1"/>
  <c r="E31" i="9" s="1"/>
  <c r="F31" i="9" a="1"/>
  <c r="F31" i="9" s="1"/>
  <c r="F65" i="9" a="1"/>
  <c r="F65" i="9" s="1"/>
  <c r="I65" i="9" a="1"/>
  <c r="I65" i="9" s="1"/>
  <c r="D65" i="9" a="1"/>
  <c r="D65" i="9" s="1"/>
  <c r="E65" i="9" a="1"/>
  <c r="E65" i="9" s="1"/>
  <c r="F73" i="9" a="1"/>
  <c r="F73" i="9" s="1"/>
  <c r="I73" i="9" a="1"/>
  <c r="I73" i="9" s="1"/>
  <c r="D73" i="9" a="1"/>
  <c r="D73" i="9" s="1"/>
  <c r="E73" i="9" a="1"/>
  <c r="E73" i="9" s="1"/>
  <c r="F90" i="9" a="1"/>
  <c r="F90" i="9" s="1"/>
  <c r="I90" i="9" a="1"/>
  <c r="I90" i="9" s="1"/>
  <c r="D90" i="9" a="1"/>
  <c r="D90" i="9" s="1"/>
  <c r="E90" i="9" a="1"/>
  <c r="E90" i="9" s="1"/>
  <c r="E7" i="9" a="1"/>
  <c r="E7" i="9" s="1"/>
  <c r="F7" i="9" a="1"/>
  <c r="F7" i="9" s="1"/>
  <c r="D7" i="9" a="1"/>
  <c r="D7" i="9" s="1"/>
  <c r="I32" i="9" a="1"/>
  <c r="I32" i="9" s="1"/>
  <c r="D32" i="9" a="1"/>
  <c r="D32" i="9" s="1"/>
  <c r="E32" i="9" a="1"/>
  <c r="E32" i="9" s="1"/>
  <c r="F32" i="9" a="1"/>
  <c r="F32" i="9" s="1"/>
  <c r="E66" i="9" a="1"/>
  <c r="E66" i="9" s="1"/>
  <c r="I66" i="9" a="1"/>
  <c r="I66" i="9" s="1"/>
  <c r="F66" i="9" a="1"/>
  <c r="F66" i="9" s="1"/>
  <c r="D66" i="9" a="1"/>
  <c r="D66" i="9" s="1"/>
  <c r="E74" i="9" a="1"/>
  <c r="E74" i="9" s="1"/>
  <c r="F74" i="9" a="1"/>
  <c r="F74" i="9" s="1"/>
  <c r="I74" i="9" a="1"/>
  <c r="I74" i="9" s="1"/>
  <c r="D74" i="9" a="1"/>
  <c r="D74" i="9" s="1"/>
  <c r="F91" i="9" a="1"/>
  <c r="F91" i="9" s="1"/>
  <c r="I91" i="9" a="1"/>
  <c r="I91" i="9" s="1"/>
  <c r="D91" i="9" a="1"/>
  <c r="D91" i="9" s="1"/>
  <c r="E91" i="9" a="1"/>
  <c r="E91" i="9" s="1"/>
  <c r="E8" i="9" a="1"/>
  <c r="E8" i="9" s="1"/>
  <c r="D8" i="9" a="1"/>
  <c r="D8" i="9" s="1"/>
  <c r="F8" i="9" a="1"/>
  <c r="F8" i="9" s="1"/>
  <c r="I25" i="9" a="1"/>
  <c r="I25" i="9" s="1"/>
  <c r="F25" i="9" a="1"/>
  <c r="F25" i="9" s="1"/>
  <c r="D25" i="9" a="1"/>
  <c r="D25" i="9" s="1"/>
  <c r="E25" i="9" a="1"/>
  <c r="E25" i="9" s="1"/>
  <c r="I33" i="9" a="1"/>
  <c r="I33" i="9" s="1"/>
  <c r="D33" i="9" a="1"/>
  <c r="D33" i="9" s="1"/>
  <c r="E33" i="9" a="1"/>
  <c r="E33" i="9" s="1"/>
  <c r="F33" i="9" a="1"/>
  <c r="F33" i="9" s="1"/>
  <c r="E67" i="9" a="1"/>
  <c r="E67" i="9" s="1"/>
  <c r="F67" i="9" a="1"/>
  <c r="F67" i="9" s="1"/>
  <c r="I67" i="9" a="1"/>
  <c r="I67" i="9" s="1"/>
  <c r="D67" i="9" a="1"/>
  <c r="D67" i="9" s="1"/>
  <c r="E92" i="9" a="1"/>
  <c r="E92" i="9" s="1"/>
  <c r="I92" i="9" a="1"/>
  <c r="I92" i="9" s="1"/>
  <c r="F92" i="9" a="1"/>
  <c r="F92" i="9" s="1"/>
  <c r="D92" i="9" a="1"/>
  <c r="D92" i="9" s="1"/>
  <c r="N85" i="9"/>
  <c r="N7" i="9"/>
  <c r="N67" i="9"/>
  <c r="N27" i="9"/>
  <c r="N25" i="9"/>
  <c r="N5" i="9"/>
  <c r="N65" i="9"/>
  <c r="P148" i="8"/>
  <c r="M148" i="8"/>
  <c r="M84" i="9" s="1"/>
  <c r="K148" i="8"/>
  <c r="K84" i="9" s="1"/>
  <c r="O148" i="8"/>
  <c r="L148" i="8"/>
  <c r="L84" i="9" s="1"/>
  <c r="N148" i="8"/>
  <c r="N84" i="9" s="1"/>
  <c r="O112" i="8"/>
  <c r="P112" i="8"/>
  <c r="M112" i="8"/>
  <c r="M64" i="9" s="1"/>
  <c r="N112" i="8"/>
  <c r="N64" i="9" s="1"/>
  <c r="K112" i="8"/>
  <c r="K64" i="9" s="1"/>
  <c r="L112" i="8"/>
  <c r="L64" i="9" s="1"/>
  <c r="N40" i="8"/>
  <c r="N24" i="9" s="1"/>
  <c r="L40" i="8"/>
  <c r="L24" i="9" s="1"/>
  <c r="K40" i="8"/>
  <c r="K24" i="9" s="1"/>
  <c r="O40" i="8"/>
  <c r="M40" i="8"/>
  <c r="M24" i="9" s="1"/>
  <c r="P40" i="8"/>
  <c r="M4" i="8"/>
  <c r="M4" i="9" s="1"/>
  <c r="P4" i="8"/>
  <c r="K4" i="8"/>
  <c r="K4" i="9" s="1"/>
  <c r="L4" i="8"/>
  <c r="L4" i="9" s="1"/>
  <c r="O4" i="8"/>
  <c r="N4" i="8"/>
  <c r="N4" i="9" s="1"/>
  <c r="N86" i="9"/>
  <c r="N66" i="9"/>
  <c r="N6" i="9"/>
  <c r="N26" i="9"/>
  <c r="M85" i="9"/>
  <c r="M65" i="9"/>
  <c r="M25" i="9"/>
  <c r="M5" i="9"/>
  <c r="S1245" i="2"/>
  <c r="T1245" i="2"/>
  <c r="G57" i="6"/>
  <c r="L57" i="6" s="1"/>
  <c r="D148" i="8"/>
  <c r="D84" i="9" s="1" a="1"/>
  <c r="D84" i="9" s="1"/>
  <c r="I148" i="8"/>
  <c r="F148" i="8"/>
  <c r="H148" i="8"/>
  <c r="E148" i="8"/>
  <c r="F4" i="8"/>
  <c r="F4" i="9" s="1" a="1"/>
  <c r="F4" i="9" s="1"/>
  <c r="E4" i="8"/>
  <c r="E4" i="9" s="1" a="1"/>
  <c r="E4" i="9" s="1"/>
  <c r="F112" i="8"/>
  <c r="H112" i="8"/>
  <c r="E112" i="8"/>
  <c r="E64" i="9" s="1" a="1"/>
  <c r="E64" i="9" s="1"/>
  <c r="G64" i="9"/>
  <c r="D112" i="8"/>
  <c r="I64" i="9" s="1" a="1"/>
  <c r="I64" i="9" s="1"/>
  <c r="I112" i="8"/>
  <c r="D40" i="8"/>
  <c r="D24" i="9" s="1" a="1"/>
  <c r="D24" i="9" s="1"/>
  <c r="I40" i="8"/>
  <c r="I24" i="9" s="1" a="1"/>
  <c r="I24" i="9" s="1"/>
  <c r="F40" i="8"/>
  <c r="F24" i="9" s="1" a="1"/>
  <c r="F24" i="9" s="1"/>
  <c r="H40" i="8"/>
  <c r="E40" i="8"/>
  <c r="E24" i="9" s="1" a="1"/>
  <c r="E24" i="9" s="1"/>
  <c r="AX1244" i="2"/>
  <c r="P1245" i="2"/>
  <c r="K1244" i="2"/>
  <c r="O877" i="2"/>
  <c r="O983" i="2"/>
  <c r="O850" i="2"/>
  <c r="O866" i="2"/>
  <c r="O879" i="2"/>
  <c r="O890" i="2"/>
  <c r="O1007" i="2"/>
  <c r="O1009" i="2"/>
  <c r="O1020" i="2"/>
  <c r="O892" i="2"/>
  <c r="O981" i="2"/>
  <c r="O1022" i="2"/>
  <c r="O1033" i="2"/>
  <c r="O1035" i="2"/>
  <c r="O864" i="2"/>
  <c r="L1262" i="2"/>
  <c r="P1262" i="2"/>
  <c r="T1262" i="2"/>
  <c r="K1245" i="2"/>
  <c r="AZ1245" i="2"/>
  <c r="AP1262" i="2"/>
  <c r="T1261" i="2"/>
  <c r="L1245" i="2"/>
  <c r="AW1245" i="2"/>
  <c r="M1262" i="2"/>
  <c r="AW1262" i="2"/>
  <c r="O1245" i="2"/>
  <c r="G1262" i="2"/>
  <c r="Q1262" i="2"/>
  <c r="AX1262" i="2"/>
  <c r="J1261" i="2"/>
  <c r="L1261" i="2"/>
  <c r="S1244" i="2"/>
  <c r="R1261" i="2"/>
  <c r="G1245" i="2"/>
  <c r="M1245" i="2"/>
  <c r="Q1245" i="2"/>
  <c r="AP1245" i="2"/>
  <c r="AX1245" i="2"/>
  <c r="J1262" i="2"/>
  <c r="N1262" i="2"/>
  <c r="R1262" i="2"/>
  <c r="AS1262" i="2"/>
  <c r="AY1262" i="2"/>
  <c r="J1245" i="2"/>
  <c r="N1245" i="2"/>
  <c r="R1245" i="2"/>
  <c r="AS1245" i="2"/>
  <c r="K1262" i="2"/>
  <c r="O1262" i="2"/>
  <c r="S1262" i="2"/>
  <c r="L251" i="8"/>
  <c r="K106" i="9"/>
  <c r="K110" i="9"/>
  <c r="K114" i="9"/>
  <c r="K111" i="9"/>
  <c r="Q128" i="9"/>
  <c r="Q125" i="9"/>
  <c r="Q129" i="9"/>
  <c r="Q127" i="9"/>
  <c r="Q124" i="9"/>
  <c r="Q126" i="9"/>
  <c r="Q134" i="9"/>
  <c r="K107" i="9"/>
  <c r="K104" i="9"/>
  <c r="K105" i="9"/>
  <c r="K113" i="9"/>
  <c r="K112" i="9"/>
  <c r="L1231" i="2"/>
  <c r="S1260" i="2"/>
  <c r="M1231" i="2"/>
  <c r="M1217" i="2"/>
  <c r="AS1217" i="2"/>
  <c r="Q1244" i="2"/>
  <c r="O1261" i="2"/>
  <c r="AY1261" i="2"/>
  <c r="K1219" i="2"/>
  <c r="AS1251" i="2"/>
  <c r="AS1248" i="2"/>
  <c r="AY1217" i="2"/>
  <c r="T1231" i="2"/>
  <c r="AS1246" i="2"/>
  <c r="L1217" i="2"/>
  <c r="AP1219" i="2"/>
  <c r="J1244" i="2"/>
  <c r="R1244" i="2"/>
  <c r="AY1244" i="2"/>
  <c r="J1246" i="2"/>
  <c r="AZ1246" i="2"/>
  <c r="K1261" i="2"/>
  <c r="P1261" i="2"/>
  <c r="AS1261" i="2"/>
  <c r="AZ1261" i="2"/>
  <c r="N1263" i="2"/>
  <c r="N1246" i="2"/>
  <c r="AS1263" i="2"/>
  <c r="N1244" i="2"/>
  <c r="R1246" i="2"/>
  <c r="N1261" i="2"/>
  <c r="S1261" i="2"/>
  <c r="AW1261" i="2"/>
  <c r="S1246" i="2"/>
  <c r="K1250" i="2"/>
  <c r="O1246" i="2"/>
  <c r="Q1263" i="2"/>
  <c r="AX1263" i="2"/>
  <c r="L1246" i="2"/>
  <c r="T1246" i="2"/>
  <c r="AZ1260" i="2"/>
  <c r="J1263" i="2"/>
  <c r="K1246" i="2"/>
  <c r="AW1246" i="2"/>
  <c r="G1263" i="2"/>
  <c r="L1235" i="2"/>
  <c r="Q1243" i="2"/>
  <c r="P1246" i="2"/>
  <c r="AX1246" i="2"/>
  <c r="M1250" i="2"/>
  <c r="R1263" i="2"/>
  <c r="AY1263" i="2"/>
  <c r="K1217" i="2"/>
  <c r="R1233" i="2"/>
  <c r="G1244" i="2"/>
  <c r="O1244" i="2"/>
  <c r="AS1244" i="2"/>
  <c r="AZ1244" i="2"/>
  <c r="G1246" i="2"/>
  <c r="M1246" i="2"/>
  <c r="Q1246" i="2"/>
  <c r="AP1246" i="2"/>
  <c r="G1261" i="2"/>
  <c r="M1261" i="2"/>
  <c r="Q1261" i="2"/>
  <c r="AP1261" i="2"/>
  <c r="M1263" i="2"/>
  <c r="AP1263" i="2"/>
  <c r="AZ1252" i="2"/>
  <c r="S1258" i="2"/>
  <c r="N1231" i="2"/>
  <c r="AZ1233" i="2"/>
  <c r="R1235" i="2"/>
  <c r="AZ1241" i="2"/>
  <c r="G1243" i="2"/>
  <c r="T1243" i="2"/>
  <c r="AZ1250" i="2"/>
  <c r="K1252" i="2"/>
  <c r="R1252" i="2"/>
  <c r="L1258" i="2"/>
  <c r="T1258" i="2"/>
  <c r="T1260" i="2"/>
  <c r="K1263" i="2"/>
  <c r="O1263" i="2"/>
  <c r="S1263" i="2"/>
  <c r="AZ1263" i="2"/>
  <c r="N1252" i="2"/>
  <c r="AZ1231" i="2"/>
  <c r="S1235" i="2"/>
  <c r="L1243" i="2"/>
  <c r="AP1243" i="2"/>
  <c r="L1252" i="2"/>
  <c r="S1252" i="2"/>
  <c r="N1258" i="2"/>
  <c r="AS1258" i="2"/>
  <c r="G1260" i="2"/>
  <c r="AP1260" i="2"/>
  <c r="L1263" i="2"/>
  <c r="P1263" i="2"/>
  <c r="T1263" i="2"/>
  <c r="AZ1235" i="2"/>
  <c r="M1243" i="2"/>
  <c r="AX1243" i="2"/>
  <c r="M1252" i="2"/>
  <c r="AY1252" i="2"/>
  <c r="O1258" i="2"/>
  <c r="K1260" i="2"/>
  <c r="AX1260" i="2"/>
  <c r="L124" i="9"/>
  <c r="E57" i="6"/>
  <c r="L127" i="9"/>
  <c r="L125" i="9"/>
  <c r="L129" i="9"/>
  <c r="J139" i="9"/>
  <c r="L126" i="9"/>
  <c r="L134" i="9"/>
  <c r="H113" i="9"/>
  <c r="H111" i="9"/>
  <c r="H114" i="9"/>
  <c r="H105" i="9"/>
  <c r="H112" i="9"/>
  <c r="H104" i="9"/>
  <c r="F119" i="9"/>
  <c r="G119" i="9"/>
  <c r="H106" i="9"/>
  <c r="H139" i="9"/>
  <c r="H110" i="9"/>
  <c r="H107" i="9"/>
  <c r="H215" i="8"/>
  <c r="H251" i="8"/>
  <c r="L1260" i="2"/>
  <c r="M1260" i="2"/>
  <c r="Q1260" i="2"/>
  <c r="S1256" i="2"/>
  <c r="O1257" i="2"/>
  <c r="AY1255" i="2"/>
  <c r="T1256" i="2"/>
  <c r="R1257" i="2"/>
  <c r="AZ1255" i="2"/>
  <c r="AS1256" i="2"/>
  <c r="S1257" i="2"/>
  <c r="J1255" i="2"/>
  <c r="K1255" i="2"/>
  <c r="K1256" i="2"/>
  <c r="AZ1256" i="2"/>
  <c r="AY1257" i="2"/>
  <c r="O1255" i="2"/>
  <c r="L1256" i="2"/>
  <c r="AZ1257" i="2"/>
  <c r="R1255" i="2"/>
  <c r="N1256" i="2"/>
  <c r="J1257" i="2"/>
  <c r="S1255" i="2"/>
  <c r="O1256" i="2"/>
  <c r="K1257" i="2"/>
  <c r="K1258" i="2"/>
  <c r="AZ1258" i="2"/>
  <c r="AS1250" i="2"/>
  <c r="Q1251" i="2"/>
  <c r="R1253" i="2"/>
  <c r="J1250" i="2"/>
  <c r="AY1250" i="2"/>
  <c r="R1251" i="2"/>
  <c r="AS1253" i="2"/>
  <c r="N1250" i="2"/>
  <c r="G1251" i="2"/>
  <c r="AX1251" i="2"/>
  <c r="J1253" i="2"/>
  <c r="AY1253" i="2"/>
  <c r="R1250" i="2"/>
  <c r="J1251" i="2"/>
  <c r="AY1251" i="2"/>
  <c r="N1253" i="2"/>
  <c r="G1253" i="2"/>
  <c r="AX1253" i="2"/>
  <c r="S1250" i="2"/>
  <c r="N1251" i="2"/>
  <c r="AP1252" i="2"/>
  <c r="O1253" i="2"/>
  <c r="L1265" i="2"/>
  <c r="AP1250" i="2"/>
  <c r="O1251" i="2"/>
  <c r="J1252" i="2"/>
  <c r="AS1252" i="2"/>
  <c r="Q1253" i="2"/>
  <c r="T1265" i="2"/>
  <c r="J1260" i="2"/>
  <c r="R1260" i="2"/>
  <c r="AY1260" i="2"/>
  <c r="N1260" i="2"/>
  <c r="AS1260" i="2"/>
  <c r="O1260" i="2"/>
  <c r="P1260" i="2"/>
  <c r="J1243" i="2"/>
  <c r="R1243" i="2"/>
  <c r="AY1243" i="2"/>
  <c r="K1243" i="2"/>
  <c r="S1243" i="2"/>
  <c r="AZ1243" i="2"/>
  <c r="P1244" i="2"/>
  <c r="AW1244" i="2"/>
  <c r="N1243" i="2"/>
  <c r="AS1243" i="2"/>
  <c r="O1243" i="2"/>
  <c r="L1244" i="2"/>
  <c r="T1244" i="2"/>
  <c r="P1243" i="2"/>
  <c r="M1244" i="2"/>
  <c r="J1241" i="2"/>
  <c r="L1239" i="2"/>
  <c r="K1241" i="2"/>
  <c r="O1239" i="2"/>
  <c r="O1241" i="2"/>
  <c r="AP1239" i="2"/>
  <c r="S1241" i="2"/>
  <c r="AX1239" i="2"/>
  <c r="T1241" i="2"/>
  <c r="T1248" i="2"/>
  <c r="S1233" i="2"/>
  <c r="AP1248" i="2"/>
  <c r="J1233" i="2"/>
  <c r="AS1234" i="2"/>
  <c r="O1236" i="2"/>
  <c r="M1248" i="2"/>
  <c r="K1233" i="2"/>
  <c r="AS1236" i="2"/>
  <c r="N1248" i="2"/>
  <c r="O1234" i="2"/>
  <c r="L1248" i="2"/>
  <c r="L1233" i="2"/>
  <c r="K1235" i="2"/>
  <c r="O1248" i="2"/>
  <c r="P1264" i="2"/>
  <c r="AW1264" i="2"/>
  <c r="L1219" i="2"/>
  <c r="M1239" i="2"/>
  <c r="AS1239" i="2"/>
  <c r="Q1241" i="2"/>
  <c r="P1255" i="2"/>
  <c r="AW1255" i="2"/>
  <c r="P1257" i="2"/>
  <c r="AW1257" i="2"/>
  <c r="G1264" i="2"/>
  <c r="Q1264" i="2"/>
  <c r="AX1264" i="2"/>
  <c r="M1265" i="2"/>
  <c r="AP1265" i="2"/>
  <c r="M1219" i="2"/>
  <c r="K1223" i="2"/>
  <c r="M1233" i="2"/>
  <c r="N1234" i="2"/>
  <c r="M1235" i="2"/>
  <c r="N1236" i="2"/>
  <c r="O1238" i="2"/>
  <c r="N1239" i="2"/>
  <c r="G1241" i="2"/>
  <c r="R1241" i="2"/>
  <c r="L1250" i="2"/>
  <c r="T1250" i="2"/>
  <c r="P1251" i="2"/>
  <c r="AW1251" i="2"/>
  <c r="T1252" i="2"/>
  <c r="P1253" i="2"/>
  <c r="AW1253" i="2"/>
  <c r="G1255" i="2"/>
  <c r="Q1255" i="2"/>
  <c r="AX1255" i="2"/>
  <c r="M1256" i="2"/>
  <c r="AP1256" i="2"/>
  <c r="G1257" i="2"/>
  <c r="Q1257" i="2"/>
  <c r="AX1257" i="2"/>
  <c r="M1258" i="2"/>
  <c r="AP1258" i="2"/>
  <c r="J1264" i="2"/>
  <c r="R1264" i="2"/>
  <c r="AY1264" i="2"/>
  <c r="N1265" i="2"/>
  <c r="AS1265" i="2"/>
  <c r="K1264" i="2"/>
  <c r="S1264" i="2"/>
  <c r="AZ1264" i="2"/>
  <c r="O1265" i="2"/>
  <c r="T1264" i="2"/>
  <c r="P1265" i="2"/>
  <c r="AW1265" i="2"/>
  <c r="AS1219" i="2"/>
  <c r="L1264" i="2"/>
  <c r="O1218" i="2"/>
  <c r="AZ1219" i="2"/>
  <c r="T1233" i="2"/>
  <c r="T1235" i="2"/>
  <c r="G1239" i="2"/>
  <c r="R1239" i="2"/>
  <c r="AZ1239" i="2"/>
  <c r="L1241" i="2"/>
  <c r="AP1241" i="2"/>
  <c r="O1250" i="2"/>
  <c r="K1251" i="2"/>
  <c r="S1251" i="2"/>
  <c r="AZ1251" i="2"/>
  <c r="O1252" i="2"/>
  <c r="K1253" i="2"/>
  <c r="S1253" i="2"/>
  <c r="AZ1253" i="2"/>
  <c r="L1255" i="2"/>
  <c r="T1255" i="2"/>
  <c r="P1256" i="2"/>
  <c r="AW1256" i="2"/>
  <c r="L1257" i="2"/>
  <c r="T1257" i="2"/>
  <c r="P1258" i="2"/>
  <c r="AW1258" i="2"/>
  <c r="M1264" i="2"/>
  <c r="AP1264" i="2"/>
  <c r="G1265" i="2"/>
  <c r="Q1265" i="2"/>
  <c r="AX1265" i="2"/>
  <c r="Q1239" i="2"/>
  <c r="N1218" i="2"/>
  <c r="AP1233" i="2"/>
  <c r="AP1235" i="2"/>
  <c r="J1239" i="2"/>
  <c r="S1239" i="2"/>
  <c r="M1241" i="2"/>
  <c r="AS1241" i="2"/>
  <c r="P1250" i="2"/>
  <c r="AW1250" i="2"/>
  <c r="L1251" i="2"/>
  <c r="T1251" i="2"/>
  <c r="P1252" i="2"/>
  <c r="AW1252" i="2"/>
  <c r="L1253" i="2"/>
  <c r="T1253" i="2"/>
  <c r="M1255" i="2"/>
  <c r="AP1255" i="2"/>
  <c r="G1256" i="2"/>
  <c r="Q1256" i="2"/>
  <c r="AX1256" i="2"/>
  <c r="M1257" i="2"/>
  <c r="AP1257" i="2"/>
  <c r="G1258" i="2"/>
  <c r="Q1258" i="2"/>
  <c r="AX1258" i="2"/>
  <c r="N1264" i="2"/>
  <c r="AS1264" i="2"/>
  <c r="J1265" i="2"/>
  <c r="R1265" i="2"/>
  <c r="AY1265" i="2"/>
  <c r="AY1239" i="2"/>
  <c r="J1219" i="2"/>
  <c r="AY1233" i="2"/>
  <c r="J1235" i="2"/>
  <c r="AY1235" i="2"/>
  <c r="K1239" i="2"/>
  <c r="T1239" i="2"/>
  <c r="O1240" i="2"/>
  <c r="N1241" i="2"/>
  <c r="G1250" i="2"/>
  <c r="Q1250" i="2"/>
  <c r="M1251" i="2"/>
  <c r="G1252" i="2"/>
  <c r="Q1252" i="2"/>
  <c r="M1253" i="2"/>
  <c r="N1255" i="2"/>
  <c r="J1256" i="2"/>
  <c r="R1256" i="2"/>
  <c r="N1257" i="2"/>
  <c r="J1258" i="2"/>
  <c r="R1258" i="2"/>
  <c r="O1264" i="2"/>
  <c r="K1265" i="2"/>
  <c r="S1265" i="2"/>
  <c r="AS1216" i="2"/>
  <c r="P1238" i="2"/>
  <c r="Q1247" i="2"/>
  <c r="Q1238" i="2"/>
  <c r="Q1240" i="2"/>
  <c r="J1247" i="2"/>
  <c r="AX1234" i="2"/>
  <c r="Q1236" i="2"/>
  <c r="J1238" i="2"/>
  <c r="O1216" i="2"/>
  <c r="O1217" i="2"/>
  <c r="O1219" i="2"/>
  <c r="AS1223" i="2"/>
  <c r="AY1219" i="2"/>
  <c r="N1233" i="2"/>
  <c r="AS1233" i="2"/>
  <c r="J1234" i="2"/>
  <c r="R1234" i="2"/>
  <c r="AY1234" i="2"/>
  <c r="N1235" i="2"/>
  <c r="AS1235" i="2"/>
  <c r="J1236" i="2"/>
  <c r="R1236" i="2"/>
  <c r="AY1236" i="2"/>
  <c r="K1238" i="2"/>
  <c r="S1238" i="2"/>
  <c r="AZ1238" i="2"/>
  <c r="K1240" i="2"/>
  <c r="S1240" i="2"/>
  <c r="AZ1240" i="2"/>
  <c r="L1247" i="2"/>
  <c r="T1247" i="2"/>
  <c r="P1248" i="2"/>
  <c r="AW1248" i="2"/>
  <c r="M1223" i="2"/>
  <c r="AW1238" i="2"/>
  <c r="AW1240" i="2"/>
  <c r="G1247" i="2"/>
  <c r="AW1236" i="2"/>
  <c r="AX1238" i="2"/>
  <c r="G1240" i="2"/>
  <c r="R1247" i="2"/>
  <c r="N1217" i="2"/>
  <c r="T1223" i="2"/>
  <c r="Q1234" i="2"/>
  <c r="G1236" i="2"/>
  <c r="AY1240" i="2"/>
  <c r="K1247" i="2"/>
  <c r="S1217" i="2"/>
  <c r="AS1218" i="2"/>
  <c r="R1219" i="2"/>
  <c r="AZ1223" i="2"/>
  <c r="O1233" i="2"/>
  <c r="K1234" i="2"/>
  <c r="S1234" i="2"/>
  <c r="AZ1234" i="2"/>
  <c r="O1235" i="2"/>
  <c r="K1236" i="2"/>
  <c r="S1236" i="2"/>
  <c r="AZ1236" i="2"/>
  <c r="L1238" i="2"/>
  <c r="T1238" i="2"/>
  <c r="P1239" i="2"/>
  <c r="L1240" i="2"/>
  <c r="T1240" i="2"/>
  <c r="P1241" i="2"/>
  <c r="AW1241" i="2"/>
  <c r="M1247" i="2"/>
  <c r="AP1247" i="2"/>
  <c r="G1248" i="2"/>
  <c r="Q1248" i="2"/>
  <c r="AX1248" i="2"/>
  <c r="P1240" i="2"/>
  <c r="R1217" i="2"/>
  <c r="P1234" i="2"/>
  <c r="G1238" i="2"/>
  <c r="AX1240" i="2"/>
  <c r="AZ1217" i="2"/>
  <c r="AX1236" i="2"/>
  <c r="R1238" i="2"/>
  <c r="J1240" i="2"/>
  <c r="S1247" i="2"/>
  <c r="AX1217" i="2"/>
  <c r="T1217" i="2"/>
  <c r="S1219" i="2"/>
  <c r="S1223" i="2"/>
  <c r="P1233" i="2"/>
  <c r="AW1233" i="2"/>
  <c r="L1234" i="2"/>
  <c r="T1234" i="2"/>
  <c r="P1235" i="2"/>
  <c r="AW1235" i="2"/>
  <c r="L1236" i="2"/>
  <c r="T1236" i="2"/>
  <c r="M1238" i="2"/>
  <c r="AP1238" i="2"/>
  <c r="M1240" i="2"/>
  <c r="AP1240" i="2"/>
  <c r="AX1241" i="2"/>
  <c r="N1247" i="2"/>
  <c r="AS1247" i="2"/>
  <c r="J1248" i="2"/>
  <c r="R1248" i="2"/>
  <c r="AY1248" i="2"/>
  <c r="AW1247" i="2"/>
  <c r="AX1247" i="2"/>
  <c r="O1223" i="2"/>
  <c r="AW1234" i="2"/>
  <c r="P1236" i="2"/>
  <c r="AY1247" i="2"/>
  <c r="G1234" i="2"/>
  <c r="AY1238" i="2"/>
  <c r="R1240" i="2"/>
  <c r="AZ1247" i="2"/>
  <c r="J1217" i="2"/>
  <c r="AX1219" i="2"/>
  <c r="T1219" i="2"/>
  <c r="AY1223" i="2"/>
  <c r="G1233" i="2"/>
  <c r="Q1233" i="2"/>
  <c r="M1234" i="2"/>
  <c r="G1235" i="2"/>
  <c r="Q1235" i="2"/>
  <c r="M1236" i="2"/>
  <c r="N1238" i="2"/>
  <c r="N1240" i="2"/>
  <c r="O1247" i="2"/>
  <c r="K1248" i="2"/>
  <c r="S1248" i="2"/>
  <c r="L1223" i="2"/>
  <c r="N1223" i="2"/>
  <c r="S1221" i="2"/>
  <c r="O1224" i="2"/>
  <c r="AP1216" i="2"/>
  <c r="AS1222" i="2"/>
  <c r="N1216" i="2"/>
  <c r="K1221" i="2"/>
  <c r="AZ1221" i="2"/>
  <c r="L1221" i="2"/>
  <c r="M1221" i="2"/>
  <c r="N1221" i="2"/>
  <c r="T1221" i="2"/>
  <c r="AP1221" i="2"/>
  <c r="AY1221" i="2"/>
  <c r="P1230" i="2"/>
  <c r="AP1231" i="2"/>
  <c r="AW1230" i="2"/>
  <c r="AS1231" i="2"/>
  <c r="P1222" i="2"/>
  <c r="AW1222" i="2"/>
  <c r="AW1224" i="2"/>
  <c r="AX1226" i="2"/>
  <c r="Q1228" i="2"/>
  <c r="Q1230" i="2"/>
  <c r="Q1222" i="2"/>
  <c r="AY1226" i="2"/>
  <c r="AY1228" i="2"/>
  <c r="AX1218" i="2"/>
  <c r="R1222" i="2"/>
  <c r="J1224" i="2"/>
  <c r="K1226" i="2"/>
  <c r="AZ1230" i="2"/>
  <c r="J1216" i="2"/>
  <c r="R1216" i="2"/>
  <c r="AY1216" i="2"/>
  <c r="J1218" i="2"/>
  <c r="R1218" i="2"/>
  <c r="AY1218" i="2"/>
  <c r="O1221" i="2"/>
  <c r="K1222" i="2"/>
  <c r="S1222" i="2"/>
  <c r="AZ1222" i="2"/>
  <c r="K1224" i="2"/>
  <c r="S1224" i="2"/>
  <c r="AZ1224" i="2"/>
  <c r="L1226" i="2"/>
  <c r="T1226" i="2"/>
  <c r="P1227" i="2"/>
  <c r="AW1227" i="2"/>
  <c r="L1228" i="2"/>
  <c r="T1228" i="2"/>
  <c r="P1229" i="2"/>
  <c r="AW1229" i="2"/>
  <c r="L1230" i="2"/>
  <c r="T1230" i="2"/>
  <c r="P1231" i="2"/>
  <c r="AW1231" i="2"/>
  <c r="AW1228" i="2"/>
  <c r="AX1228" i="2"/>
  <c r="AW1216" i="2"/>
  <c r="AX1222" i="2"/>
  <c r="AX1224" i="2"/>
  <c r="R1226" i="2"/>
  <c r="R1230" i="2"/>
  <c r="Q1216" i="2"/>
  <c r="R1224" i="2"/>
  <c r="S1226" i="2"/>
  <c r="K1228" i="2"/>
  <c r="S1228" i="2"/>
  <c r="AZ1228" i="2"/>
  <c r="K1230" i="2"/>
  <c r="K1216" i="2"/>
  <c r="S1216" i="2"/>
  <c r="AZ1216" i="2"/>
  <c r="K1218" i="2"/>
  <c r="S1218" i="2"/>
  <c r="AZ1218" i="2"/>
  <c r="P1221" i="2"/>
  <c r="AW1221" i="2"/>
  <c r="L1222" i="2"/>
  <c r="T1222" i="2"/>
  <c r="P1223" i="2"/>
  <c r="AW1223" i="2"/>
  <c r="L1224" i="2"/>
  <c r="T1224" i="2"/>
  <c r="M1226" i="2"/>
  <c r="AP1226" i="2"/>
  <c r="G1227" i="2"/>
  <c r="Q1227" i="2"/>
  <c r="AX1227" i="2"/>
  <c r="M1228" i="2"/>
  <c r="AP1228" i="2"/>
  <c r="G1229" i="2"/>
  <c r="Q1229" i="2"/>
  <c r="AX1229" i="2"/>
  <c r="M1230" i="2"/>
  <c r="AP1230" i="2"/>
  <c r="G1231" i="2"/>
  <c r="Q1231" i="2"/>
  <c r="AX1231" i="2"/>
  <c r="P1226" i="2"/>
  <c r="Q1226" i="2"/>
  <c r="G1230" i="2"/>
  <c r="P1216" i="2"/>
  <c r="P1218" i="2"/>
  <c r="G1222" i="2"/>
  <c r="G1224" i="2"/>
  <c r="J1228" i="2"/>
  <c r="J1230" i="2"/>
  <c r="AY1230" i="2"/>
  <c r="AX1216" i="2"/>
  <c r="G1218" i="2"/>
  <c r="L1216" i="2"/>
  <c r="T1216" i="2"/>
  <c r="P1217" i="2"/>
  <c r="AW1217" i="2"/>
  <c r="L1218" i="2"/>
  <c r="T1218" i="2"/>
  <c r="P1219" i="2"/>
  <c r="AW1219" i="2"/>
  <c r="G1221" i="2"/>
  <c r="Q1221" i="2"/>
  <c r="AX1221" i="2"/>
  <c r="M1222" i="2"/>
  <c r="AP1222" i="2"/>
  <c r="G1223" i="2"/>
  <c r="Q1223" i="2"/>
  <c r="AX1223" i="2"/>
  <c r="M1224" i="2"/>
  <c r="AP1224" i="2"/>
  <c r="N1226" i="2"/>
  <c r="AS1226" i="2"/>
  <c r="J1227" i="2"/>
  <c r="R1227" i="2"/>
  <c r="AY1227" i="2"/>
  <c r="N1228" i="2"/>
  <c r="AS1228" i="2"/>
  <c r="J1229" i="2"/>
  <c r="R1229" i="2"/>
  <c r="AY1229" i="2"/>
  <c r="N1230" i="2"/>
  <c r="AS1230" i="2"/>
  <c r="J1231" i="2"/>
  <c r="R1231" i="2"/>
  <c r="AY1231" i="2"/>
  <c r="AW1226" i="2"/>
  <c r="P1228" i="2"/>
  <c r="P1224" i="2"/>
  <c r="G1226" i="2"/>
  <c r="G1228" i="2"/>
  <c r="AX1230" i="2"/>
  <c r="AW1218" i="2"/>
  <c r="Q1224" i="2"/>
  <c r="J1226" i="2"/>
  <c r="R1228" i="2"/>
  <c r="G1216" i="2"/>
  <c r="Q1218" i="2"/>
  <c r="J1222" i="2"/>
  <c r="AY1222" i="2"/>
  <c r="AY1224" i="2"/>
  <c r="AZ1226" i="2"/>
  <c r="S1230" i="2"/>
  <c r="M1216" i="2"/>
  <c r="G1217" i="2"/>
  <c r="Q1217" i="2"/>
  <c r="M1218" i="2"/>
  <c r="G1219" i="2"/>
  <c r="Q1219" i="2"/>
  <c r="J1221" i="2"/>
  <c r="R1221" i="2"/>
  <c r="N1222" i="2"/>
  <c r="J1223" i="2"/>
  <c r="R1223" i="2"/>
  <c r="N1224" i="2"/>
  <c r="O1226" i="2"/>
  <c r="K1227" i="2"/>
  <c r="S1227" i="2"/>
  <c r="O1228" i="2"/>
  <c r="K1229" i="2"/>
  <c r="S1229" i="2"/>
  <c r="O1230" i="2"/>
  <c r="K1231" i="2"/>
  <c r="S1231" i="2"/>
  <c r="E84" i="9" l="1" a="1"/>
  <c r="E84" i="9" s="1"/>
  <c r="I84" i="9" a="1"/>
  <c r="I84" i="9" s="1"/>
  <c r="F64" i="9" a="1"/>
  <c r="F64" i="9" s="1"/>
  <c r="F84" i="9" a="1"/>
  <c r="F84" i="9" s="1"/>
  <c r="D64" i="9" a="1"/>
  <c r="D64" i="9" s="1"/>
  <c r="L113" i="9"/>
  <c r="J74" i="9"/>
  <c r="O976" i="2"/>
  <c r="O859" i="2"/>
  <c r="O1002" i="2"/>
  <c r="O1028" i="2"/>
  <c r="O885" i="2"/>
  <c r="O1015" i="2"/>
  <c r="O872" i="2"/>
  <c r="K16" i="32"/>
  <c r="K23" i="32"/>
  <c r="K58" i="32"/>
  <c r="K65" i="32"/>
  <c r="K142" i="32"/>
  <c r="R142" i="32" s="1"/>
  <c r="K149" i="32"/>
  <c r="R149" i="32" s="1"/>
  <c r="K184" i="32"/>
  <c r="R184" i="32" s="1"/>
  <c r="K191" i="32"/>
  <c r="R191" i="32" s="1"/>
  <c r="R127" i="9"/>
  <c r="R125" i="9"/>
  <c r="R124" i="9"/>
  <c r="R134" i="9"/>
  <c r="L112" i="9"/>
  <c r="R126" i="9"/>
  <c r="D79" i="1"/>
  <c r="C45" i="6" s="1"/>
  <c r="L114" i="9"/>
  <c r="L104" i="9"/>
  <c r="R129" i="9"/>
  <c r="L110" i="9"/>
  <c r="L105" i="9"/>
  <c r="D84" i="1"/>
  <c r="C52" i="6" s="1"/>
  <c r="L107" i="9"/>
  <c r="L111" i="9"/>
  <c r="L106" i="9"/>
  <c r="R58" i="32" l="1"/>
  <c r="R65" i="32"/>
  <c r="R57" i="32"/>
  <c r="R64" i="32"/>
  <c r="F1158" i="2"/>
  <c r="AX1158" i="2" s="1"/>
  <c r="F1157" i="2"/>
  <c r="AY1157" i="2" s="1"/>
  <c r="F1156" i="2"/>
  <c r="AZ1156" i="2" s="1"/>
  <c r="F1155" i="2"/>
  <c r="AW1155" i="2" s="1"/>
  <c r="F1154" i="2"/>
  <c r="AX1154" i="2" s="1"/>
  <c r="F1153" i="2"/>
  <c r="AY1153" i="2" s="1"/>
  <c r="F1151" i="2"/>
  <c r="AX1151" i="2" s="1"/>
  <c r="F1150" i="2"/>
  <c r="AY1150" i="2" s="1"/>
  <c r="F1149" i="2"/>
  <c r="AZ1149" i="2" s="1"/>
  <c r="F1148" i="2"/>
  <c r="F1214" i="2"/>
  <c r="AZ1214" i="2" s="1"/>
  <c r="F1213" i="2"/>
  <c r="AX1213" i="2" s="1"/>
  <c r="F1197" i="2"/>
  <c r="AW1197" i="2" s="1"/>
  <c r="F1196" i="2"/>
  <c r="AX1196" i="2" s="1"/>
  <c r="F1180" i="2"/>
  <c r="AW1180" i="2" s="1"/>
  <c r="F1179" i="2"/>
  <c r="F1141" i="2"/>
  <c r="AZ1141" i="2" s="1"/>
  <c r="F1140" i="2"/>
  <c r="AW1140" i="2" s="1"/>
  <c r="F1139" i="2"/>
  <c r="AX1139" i="2" s="1"/>
  <c r="F1111" i="2"/>
  <c r="AX1111" i="2" s="1"/>
  <c r="F1110" i="2"/>
  <c r="AY1110" i="2" s="1"/>
  <c r="F1109" i="2"/>
  <c r="AZ1109" i="2" s="1"/>
  <c r="F1138" i="2"/>
  <c r="AY1138" i="2" s="1"/>
  <c r="F1137" i="2"/>
  <c r="AZ1137" i="2" s="1"/>
  <c r="F1136" i="2"/>
  <c r="AW1136" i="2" s="1"/>
  <c r="F1108" i="2"/>
  <c r="AW1108" i="2" s="1"/>
  <c r="F1107" i="2"/>
  <c r="AX1107" i="2" s="1"/>
  <c r="F1106" i="2"/>
  <c r="AY1106" i="2" s="1"/>
  <c r="F1082" i="2"/>
  <c r="F1081" i="2"/>
  <c r="AZ1208" i="2"/>
  <c r="AZ1203" i="2"/>
  <c r="AZ1198" i="2"/>
  <c r="AZ1191" i="2"/>
  <c r="AZ1186" i="2"/>
  <c r="AZ1181" i="2"/>
  <c r="AY1208" i="2"/>
  <c r="AY1203" i="2"/>
  <c r="AY1198" i="2"/>
  <c r="AY1191" i="2"/>
  <c r="AY1186" i="2"/>
  <c r="AY1181" i="2"/>
  <c r="AX1208" i="2"/>
  <c r="AX1203" i="2"/>
  <c r="AX1198" i="2"/>
  <c r="AX1191" i="2"/>
  <c r="AX1186" i="2"/>
  <c r="AX1181" i="2"/>
  <c r="AW1208" i="2"/>
  <c r="AW1203" i="2"/>
  <c r="AW1198" i="2"/>
  <c r="AW1191" i="2"/>
  <c r="AW1186" i="2"/>
  <c r="AW1181" i="2"/>
  <c r="AS1208" i="2"/>
  <c r="AS1203" i="2"/>
  <c r="AS1198" i="2"/>
  <c r="AS1191" i="2"/>
  <c r="AS1186" i="2"/>
  <c r="AS1181" i="2"/>
  <c r="AP1208" i="2"/>
  <c r="AP1203" i="2"/>
  <c r="AP1198" i="2"/>
  <c r="AP1191" i="2"/>
  <c r="AP1186" i="2"/>
  <c r="AP1181" i="2"/>
  <c r="T1208" i="2"/>
  <c r="T1203" i="2"/>
  <c r="T1198" i="2"/>
  <c r="T1191" i="2"/>
  <c r="T1186" i="2"/>
  <c r="T1181" i="2"/>
  <c r="S1208" i="2"/>
  <c r="S1203" i="2"/>
  <c r="S1198" i="2"/>
  <c r="S1191" i="2"/>
  <c r="S1186" i="2"/>
  <c r="S1181" i="2"/>
  <c r="R1208" i="2"/>
  <c r="R1203" i="2"/>
  <c r="R1198" i="2"/>
  <c r="R1191" i="2"/>
  <c r="R1186" i="2"/>
  <c r="R1181" i="2"/>
  <c r="Q1208" i="2"/>
  <c r="Q1203" i="2"/>
  <c r="Q1198" i="2"/>
  <c r="Q1191" i="2"/>
  <c r="Q1186" i="2"/>
  <c r="Q1181" i="2"/>
  <c r="P1208" i="2"/>
  <c r="P1203" i="2"/>
  <c r="P1198" i="2"/>
  <c r="P1191" i="2"/>
  <c r="P1186" i="2"/>
  <c r="P1181" i="2"/>
  <c r="O1208" i="2"/>
  <c r="O1203" i="2"/>
  <c r="O1198" i="2"/>
  <c r="O1191" i="2"/>
  <c r="O1186" i="2"/>
  <c r="O1181" i="2"/>
  <c r="F1105" i="2"/>
  <c r="J1105" i="2" s="1"/>
  <c r="F1104" i="2"/>
  <c r="M1104" i="2" s="1"/>
  <c r="F1103" i="2"/>
  <c r="N1103" i="2" s="1"/>
  <c r="F1102" i="2"/>
  <c r="O1102" i="2" s="1"/>
  <c r="F1101" i="2"/>
  <c r="F1100" i="2"/>
  <c r="Q1100" i="2" s="1"/>
  <c r="F1099" i="2"/>
  <c r="R1099" i="2" s="1"/>
  <c r="F1098" i="2"/>
  <c r="S1098" i="2" s="1"/>
  <c r="F1097" i="2"/>
  <c r="F1096" i="2"/>
  <c r="AP1096" i="2" s="1"/>
  <c r="F1095" i="2"/>
  <c r="AS1095" i="2" s="1"/>
  <c r="F1094" i="2"/>
  <c r="P1164" i="2"/>
  <c r="Q1164" i="2"/>
  <c r="P1165" i="2"/>
  <c r="AW1165" i="2" s="1"/>
  <c r="Q1165" i="2"/>
  <c r="AX1165" i="2" s="1"/>
  <c r="P1166" i="2"/>
  <c r="AW1166" i="2" s="1"/>
  <c r="Q1166" i="2"/>
  <c r="AX1166" i="2" s="1"/>
  <c r="P1167" i="2"/>
  <c r="AW1167" i="2" s="1"/>
  <c r="Q1167" i="2"/>
  <c r="AX1167" i="2" s="1"/>
  <c r="P1168" i="2"/>
  <c r="AW1168" i="2" s="1"/>
  <c r="Q1168" i="2"/>
  <c r="AX1168" i="2" s="1"/>
  <c r="P1169" i="2"/>
  <c r="AW1169" i="2" s="1"/>
  <c r="Q1169" i="2"/>
  <c r="AX1169" i="2" s="1"/>
  <c r="P1170" i="2"/>
  <c r="AW1170" i="2" s="1"/>
  <c r="Q1170" i="2"/>
  <c r="AX1170" i="2" s="1"/>
  <c r="P1171" i="2"/>
  <c r="AW1171" i="2" s="1"/>
  <c r="Q1171" i="2"/>
  <c r="AX1171" i="2" s="1"/>
  <c r="P1172" i="2"/>
  <c r="AW1172" i="2" s="1"/>
  <c r="Q1172" i="2"/>
  <c r="AX1172" i="2" s="1"/>
  <c r="P1173" i="2"/>
  <c r="AW1173" i="2" s="1"/>
  <c r="Q1173" i="2"/>
  <c r="AX1173" i="2" s="1"/>
  <c r="P1174" i="2"/>
  <c r="AW1174" i="2" s="1"/>
  <c r="Q1174" i="2"/>
  <c r="AX1174" i="2" s="1"/>
  <c r="P1175" i="2"/>
  <c r="AW1175" i="2" s="1"/>
  <c r="Q1175" i="2"/>
  <c r="AX1175" i="2" s="1"/>
  <c r="P1176" i="2"/>
  <c r="AW1176" i="2" s="1"/>
  <c r="Q1176" i="2"/>
  <c r="AX1176" i="2" s="1"/>
  <c r="P1177" i="2"/>
  <c r="AW1177" i="2" s="1"/>
  <c r="Q1177" i="2"/>
  <c r="AX1177" i="2" s="1"/>
  <c r="P1178" i="2"/>
  <c r="AW1178" i="2" s="1"/>
  <c r="Q1178" i="2"/>
  <c r="AX1178" i="2" s="1"/>
  <c r="N1208" i="2"/>
  <c r="N1203" i="2"/>
  <c r="N1198" i="2"/>
  <c r="N1191" i="2"/>
  <c r="N1186" i="2"/>
  <c r="N1181" i="2"/>
  <c r="N1174" i="2"/>
  <c r="AS1174" i="2" s="1"/>
  <c r="N1169" i="2"/>
  <c r="AS1169" i="2" s="1"/>
  <c r="N1164" i="2"/>
  <c r="M1208" i="2"/>
  <c r="M1203" i="2"/>
  <c r="M1198" i="2"/>
  <c r="M1191" i="2"/>
  <c r="M1186" i="2"/>
  <c r="M1181" i="2"/>
  <c r="M1174" i="2"/>
  <c r="AP1174" i="2" s="1"/>
  <c r="M1169" i="2"/>
  <c r="AP1169" i="2" s="1"/>
  <c r="M1164" i="2"/>
  <c r="L1208" i="2"/>
  <c r="L1203" i="2"/>
  <c r="L1198" i="2"/>
  <c r="L1191" i="2"/>
  <c r="L1186" i="2"/>
  <c r="L1181" i="2"/>
  <c r="L1174" i="2"/>
  <c r="T1174" i="2" s="1"/>
  <c r="L1169" i="2"/>
  <c r="T1169" i="2" s="1"/>
  <c r="L1164" i="2"/>
  <c r="K1208" i="2"/>
  <c r="K1203" i="2"/>
  <c r="K1198" i="2"/>
  <c r="K1191" i="2"/>
  <c r="K1186" i="2"/>
  <c r="K1181" i="2"/>
  <c r="K1174" i="2"/>
  <c r="S1174" i="2" s="1"/>
  <c r="AZ1174" i="2" s="1"/>
  <c r="K1169" i="2"/>
  <c r="S1169" i="2" s="1"/>
  <c r="AZ1169" i="2" s="1"/>
  <c r="K1164" i="2"/>
  <c r="J1208" i="2"/>
  <c r="J1203" i="2"/>
  <c r="J1198" i="2"/>
  <c r="J1191" i="2"/>
  <c r="J1186" i="2"/>
  <c r="J1181" i="2"/>
  <c r="R1164" i="2"/>
  <c r="J1174" i="2"/>
  <c r="R1174" i="2" s="1"/>
  <c r="AY1174" i="2" s="1"/>
  <c r="J1169" i="2"/>
  <c r="R1169" i="2" s="1"/>
  <c r="AY1169" i="2" s="1"/>
  <c r="G1208" i="2"/>
  <c r="G1203" i="2"/>
  <c r="G1198" i="2"/>
  <c r="G1191" i="2"/>
  <c r="G1186" i="2"/>
  <c r="G1181" i="2"/>
  <c r="G1174" i="2"/>
  <c r="O1174" i="2" s="1"/>
  <c r="G1169" i="2"/>
  <c r="O1169" i="2" s="1"/>
  <c r="G1164" i="2"/>
  <c r="F1135" i="2"/>
  <c r="N1135" i="2" s="1"/>
  <c r="F1132" i="2"/>
  <c r="P1132" i="2" s="1"/>
  <c r="F1129" i="2"/>
  <c r="AW1129" i="2" s="1"/>
  <c r="F1126" i="2"/>
  <c r="AW1126" i="2" s="1"/>
  <c r="F1134" i="2"/>
  <c r="AY1134" i="2" s="1"/>
  <c r="F1131" i="2"/>
  <c r="T1131" i="2" s="1"/>
  <c r="F1128" i="2"/>
  <c r="AX1128" i="2" s="1"/>
  <c r="F1125" i="2"/>
  <c r="AX1125" i="2" s="1"/>
  <c r="F1133" i="2"/>
  <c r="AS1133" i="2" s="1"/>
  <c r="F1130" i="2"/>
  <c r="AW1130" i="2" s="1"/>
  <c r="F1127" i="2"/>
  <c r="F1124" i="2"/>
  <c r="AY1124" i="2" s="1"/>
  <c r="F1212" i="2"/>
  <c r="F1211" i="2"/>
  <c r="T1211" i="2" s="1"/>
  <c r="F1210" i="2"/>
  <c r="F1209" i="2"/>
  <c r="AX1209" i="2" s="1"/>
  <c r="F1207" i="2"/>
  <c r="F1206" i="2"/>
  <c r="F1205" i="2"/>
  <c r="AP1205" i="2" s="1"/>
  <c r="F1204" i="2"/>
  <c r="F1202" i="2"/>
  <c r="F1201" i="2"/>
  <c r="F1200" i="2"/>
  <c r="F1199" i="2"/>
  <c r="AW1199" i="2" s="1"/>
  <c r="F1195" i="2"/>
  <c r="F1194" i="2"/>
  <c r="F1193" i="2"/>
  <c r="F1192" i="2"/>
  <c r="F1190" i="2"/>
  <c r="F1189" i="2"/>
  <c r="AS1189" i="2" s="1"/>
  <c r="F1188" i="2"/>
  <c r="F1187" i="2"/>
  <c r="AZ1187" i="2" s="1"/>
  <c r="F1185" i="2"/>
  <c r="F1184" i="2"/>
  <c r="F1183" i="2"/>
  <c r="F1182" i="2"/>
  <c r="F1178" i="2"/>
  <c r="K1178" i="2" s="1"/>
  <c r="S1178" i="2" s="1"/>
  <c r="AZ1178" i="2" s="1"/>
  <c r="F1177" i="2"/>
  <c r="J1177" i="2" s="1"/>
  <c r="R1177" i="2" s="1"/>
  <c r="AY1177" i="2" s="1"/>
  <c r="F1176" i="2"/>
  <c r="G1176" i="2" s="1"/>
  <c r="O1176" i="2" s="1"/>
  <c r="F1175" i="2"/>
  <c r="F1173" i="2"/>
  <c r="J1173" i="2" s="1"/>
  <c r="R1173" i="2" s="1"/>
  <c r="AY1173" i="2" s="1"/>
  <c r="F1172" i="2"/>
  <c r="J1172" i="2" s="1"/>
  <c r="R1172" i="2" s="1"/>
  <c r="AY1172" i="2" s="1"/>
  <c r="F1171" i="2"/>
  <c r="F1170" i="2"/>
  <c r="F1168" i="2"/>
  <c r="J1168" i="2" s="1"/>
  <c r="R1168" i="2" s="1"/>
  <c r="AY1168" i="2" s="1"/>
  <c r="F1167" i="2"/>
  <c r="L1167" i="2" s="1"/>
  <c r="T1167" i="2" s="1"/>
  <c r="F1166" i="2"/>
  <c r="F1165" i="2"/>
  <c r="B15" i="5"/>
  <c r="B14" i="5"/>
  <c r="B13" i="5"/>
  <c r="H25" i="9" l="1"/>
  <c r="H26" i="9"/>
  <c r="H27" i="9"/>
  <c r="H24" i="9"/>
  <c r="H10" i="9"/>
  <c r="H7" i="9"/>
  <c r="H11" i="9"/>
  <c r="H5" i="9"/>
  <c r="H6" i="9"/>
  <c r="H8" i="9"/>
  <c r="H9" i="9"/>
  <c r="AX1179" i="2"/>
  <c r="G1179" i="2"/>
  <c r="V983" i="2"/>
  <c r="V890" i="2"/>
  <c r="V1009" i="2"/>
  <c r="V850" i="2"/>
  <c r="V866" i="2"/>
  <c r="V864" i="2"/>
  <c r="V1007" i="2"/>
  <c r="V877" i="2"/>
  <c r="V981" i="2"/>
  <c r="V976" i="2" s="1"/>
  <c r="V1035" i="2"/>
  <c r="V1022" i="2"/>
  <c r="V1033" i="2"/>
  <c r="V879" i="2"/>
  <c r="V892" i="2"/>
  <c r="V1020" i="2"/>
  <c r="W877" i="2"/>
  <c r="W983" i="2"/>
  <c r="W866" i="2"/>
  <c r="W892" i="2"/>
  <c r="W981" i="2"/>
  <c r="W1022" i="2"/>
  <c r="W1033" i="2"/>
  <c r="W1035" i="2"/>
  <c r="W879" i="2"/>
  <c r="W890" i="2"/>
  <c r="W1007" i="2"/>
  <c r="W864" i="2"/>
  <c r="W1009" i="2"/>
  <c r="W1020" i="2"/>
  <c r="W850" i="2"/>
  <c r="Q864" i="2"/>
  <c r="Q1020" i="2"/>
  <c r="Q892" i="2"/>
  <c r="Q1033" i="2"/>
  <c r="Q890" i="2"/>
  <c r="H71" i="32" s="1"/>
  <c r="Q1007" i="2"/>
  <c r="Q1009" i="2"/>
  <c r="Q850" i="2"/>
  <c r="Q877" i="2"/>
  <c r="Q879" i="2"/>
  <c r="Q866" i="2"/>
  <c r="Q983" i="2"/>
  <c r="Q1035" i="2"/>
  <c r="Q981" i="2"/>
  <c r="Q1022" i="2"/>
  <c r="U890" i="2"/>
  <c r="U1009" i="2"/>
  <c r="U850" i="2"/>
  <c r="U866" i="2"/>
  <c r="U1022" i="2"/>
  <c r="U864" i="2"/>
  <c r="U1007" i="2"/>
  <c r="U1033" i="2"/>
  <c r="U1020" i="2"/>
  <c r="U877" i="2"/>
  <c r="U981" i="2"/>
  <c r="U1035" i="2"/>
  <c r="U879" i="2"/>
  <c r="U983" i="2"/>
  <c r="U892" i="2"/>
  <c r="R879" i="2"/>
  <c r="R1007" i="2"/>
  <c r="R864" i="2"/>
  <c r="R1020" i="2"/>
  <c r="R1033" i="2"/>
  <c r="R983" i="2"/>
  <c r="R1009" i="2"/>
  <c r="R877" i="2"/>
  <c r="R1035" i="2"/>
  <c r="R892" i="2"/>
  <c r="R890" i="2"/>
  <c r="R1022" i="2"/>
  <c r="R866" i="2"/>
  <c r="R850" i="2"/>
  <c r="R981" i="2"/>
  <c r="S981" i="2"/>
  <c r="S1035" i="2"/>
  <c r="S879" i="2"/>
  <c r="S1007" i="2"/>
  <c r="S864" i="2"/>
  <c r="S850" i="2"/>
  <c r="S877" i="2"/>
  <c r="S1022" i="2"/>
  <c r="S866" i="2"/>
  <c r="S1020" i="2"/>
  <c r="S892" i="2"/>
  <c r="S1033" i="2"/>
  <c r="S983" i="2"/>
  <c r="S890" i="2"/>
  <c r="S1009" i="2"/>
  <c r="P892" i="2"/>
  <c r="P1033" i="2"/>
  <c r="P877" i="2"/>
  <c r="P981" i="2"/>
  <c r="P850" i="2"/>
  <c r="P866" i="2"/>
  <c r="P879" i="2"/>
  <c r="P890" i="2"/>
  <c r="P983" i="2"/>
  <c r="P1007" i="2"/>
  <c r="P1009" i="2"/>
  <c r="P1020" i="2"/>
  <c r="P1022" i="2"/>
  <c r="P1035" i="2"/>
  <c r="P864" i="2"/>
  <c r="M983" i="2"/>
  <c r="M890" i="2"/>
  <c r="H29" i="32" s="1"/>
  <c r="M1009" i="2"/>
  <c r="M850" i="2"/>
  <c r="M866" i="2"/>
  <c r="M879" i="2"/>
  <c r="M1007" i="2"/>
  <c r="M1020" i="2"/>
  <c r="M877" i="2"/>
  <c r="M892" i="2"/>
  <c r="M981" i="2"/>
  <c r="M1022" i="2"/>
  <c r="M1033" i="2"/>
  <c r="M1035" i="2"/>
  <c r="M864" i="2"/>
  <c r="AW1148" i="2"/>
  <c r="B12" i="9"/>
  <c r="B92" i="9"/>
  <c r="B32" i="9"/>
  <c r="B112" i="9"/>
  <c r="B72" i="9"/>
  <c r="B52" i="9"/>
  <c r="B132" i="9"/>
  <c r="B11" i="9"/>
  <c r="B111" i="9"/>
  <c r="B131" i="9"/>
  <c r="B51" i="9"/>
  <c r="B71" i="9"/>
  <c r="B31" i="9"/>
  <c r="B91" i="9"/>
  <c r="B10" i="9"/>
  <c r="B50" i="9"/>
  <c r="B110" i="9"/>
  <c r="B30" i="9"/>
  <c r="B130" i="9"/>
  <c r="B90" i="9"/>
  <c r="B70" i="9"/>
  <c r="B9" i="9"/>
  <c r="B129" i="9"/>
  <c r="B89" i="9"/>
  <c r="B109" i="9"/>
  <c r="B69" i="9"/>
  <c r="B49" i="9"/>
  <c r="B29" i="9"/>
  <c r="S1164" i="2"/>
  <c r="AX1164" i="2"/>
  <c r="AW1164" i="2"/>
  <c r="AP1164" i="2"/>
  <c r="AS1164" i="2"/>
  <c r="AY1164" i="2"/>
  <c r="T1156" i="2"/>
  <c r="AW1157" i="2"/>
  <c r="O1158" i="2"/>
  <c r="AZ1158" i="2"/>
  <c r="AY1148" i="2"/>
  <c r="AW1156" i="2"/>
  <c r="S1158" i="2"/>
  <c r="L1149" i="2"/>
  <c r="K1157" i="2"/>
  <c r="AS1158" i="2"/>
  <c r="M1149" i="2"/>
  <c r="T1157" i="2"/>
  <c r="AY1158" i="2"/>
  <c r="P1149" i="2"/>
  <c r="G1149" i="2"/>
  <c r="T1149" i="2"/>
  <c r="G1157" i="2"/>
  <c r="AZ1157" i="2"/>
  <c r="M1148" i="2"/>
  <c r="AP1149" i="2"/>
  <c r="G1158" i="2"/>
  <c r="K1158" i="2"/>
  <c r="AS1148" i="2"/>
  <c r="AW1149" i="2"/>
  <c r="P1156" i="2"/>
  <c r="N1158" i="2"/>
  <c r="AX1148" i="2"/>
  <c r="AX1149" i="2"/>
  <c r="G1148" i="2"/>
  <c r="O1153" i="2"/>
  <c r="N1154" i="2"/>
  <c r="L1156" i="2"/>
  <c r="S1157" i="2"/>
  <c r="AP1148" i="2"/>
  <c r="P1153" i="2"/>
  <c r="O1154" i="2"/>
  <c r="G1153" i="2"/>
  <c r="S1153" i="2"/>
  <c r="R1154" i="2"/>
  <c r="G1154" i="2"/>
  <c r="T1153" i="2"/>
  <c r="S1154" i="2"/>
  <c r="AS1154" i="2"/>
  <c r="N1151" i="2"/>
  <c r="AW1153" i="2"/>
  <c r="L1157" i="2"/>
  <c r="N1148" i="2"/>
  <c r="R1151" i="2"/>
  <c r="K1153" i="2"/>
  <c r="AZ1153" i="2"/>
  <c r="AY1154" i="2"/>
  <c r="O1157" i="2"/>
  <c r="Q1148" i="2"/>
  <c r="AS1151" i="2"/>
  <c r="L1153" i="2"/>
  <c r="K1154" i="2"/>
  <c r="AZ1154" i="2"/>
  <c r="P1157" i="2"/>
  <c r="R1158" i="2"/>
  <c r="R1148" i="2"/>
  <c r="Q1149" i="2"/>
  <c r="AY1151" i="2"/>
  <c r="M1155" i="2"/>
  <c r="AX1155" i="2"/>
  <c r="J1150" i="2"/>
  <c r="O1150" i="2"/>
  <c r="S1150" i="2"/>
  <c r="AZ1150" i="2"/>
  <c r="J1156" i="2"/>
  <c r="N1155" i="2"/>
  <c r="R1155" i="2"/>
  <c r="AS1155" i="2"/>
  <c r="AY1155" i="2"/>
  <c r="M1156" i="2"/>
  <c r="Q1156" i="2"/>
  <c r="AP1156" i="2"/>
  <c r="AX1156" i="2"/>
  <c r="J1151" i="2"/>
  <c r="L1150" i="2"/>
  <c r="P1150" i="2"/>
  <c r="T1150" i="2"/>
  <c r="AW1150" i="2"/>
  <c r="K1151" i="2"/>
  <c r="O1151" i="2"/>
  <c r="S1151" i="2"/>
  <c r="AZ1151" i="2"/>
  <c r="G1150" i="2"/>
  <c r="G1155" i="2"/>
  <c r="J1153" i="2"/>
  <c r="J1157" i="2"/>
  <c r="M1153" i="2"/>
  <c r="Q1153" i="2"/>
  <c r="AP1153" i="2"/>
  <c r="AX1153" i="2"/>
  <c r="L1154" i="2"/>
  <c r="P1154" i="2"/>
  <c r="T1154" i="2"/>
  <c r="AW1154" i="2"/>
  <c r="K1155" i="2"/>
  <c r="O1155" i="2"/>
  <c r="S1155" i="2"/>
  <c r="AZ1155" i="2"/>
  <c r="N1156" i="2"/>
  <c r="R1156" i="2"/>
  <c r="AS1156" i="2"/>
  <c r="AY1156" i="2"/>
  <c r="M1157" i="2"/>
  <c r="Q1157" i="2"/>
  <c r="AP1157" i="2"/>
  <c r="AX1157" i="2"/>
  <c r="L1158" i="2"/>
  <c r="P1158" i="2"/>
  <c r="T1158" i="2"/>
  <c r="AW1158" i="2"/>
  <c r="J1148" i="2"/>
  <c r="K1148" i="2"/>
  <c r="O1148" i="2"/>
  <c r="S1148" i="2"/>
  <c r="AZ1148" i="2"/>
  <c r="N1149" i="2"/>
  <c r="R1149" i="2"/>
  <c r="AS1149" i="2"/>
  <c r="AY1149" i="2"/>
  <c r="M1150" i="2"/>
  <c r="Q1150" i="2"/>
  <c r="AP1150" i="2"/>
  <c r="AX1150" i="2"/>
  <c r="L1151" i="2"/>
  <c r="P1151" i="2"/>
  <c r="T1151" i="2"/>
  <c r="AW1151" i="2"/>
  <c r="J1155" i="2"/>
  <c r="Q1155" i="2"/>
  <c r="AP1155" i="2"/>
  <c r="K1150" i="2"/>
  <c r="G1151" i="2"/>
  <c r="G1156" i="2"/>
  <c r="J1154" i="2"/>
  <c r="J1158" i="2"/>
  <c r="N1153" i="2"/>
  <c r="R1153" i="2"/>
  <c r="AS1153" i="2"/>
  <c r="M1154" i="2"/>
  <c r="Q1154" i="2"/>
  <c r="AP1154" i="2"/>
  <c r="L1155" i="2"/>
  <c r="P1155" i="2"/>
  <c r="T1155" i="2"/>
  <c r="K1156" i="2"/>
  <c r="O1156" i="2"/>
  <c r="S1156" i="2"/>
  <c r="N1157" i="2"/>
  <c r="R1157" i="2"/>
  <c r="AS1157" i="2"/>
  <c r="M1158" i="2"/>
  <c r="Q1158" i="2"/>
  <c r="AP1158" i="2"/>
  <c r="J1149" i="2"/>
  <c r="L1148" i="2"/>
  <c r="P1148" i="2"/>
  <c r="T1148" i="2"/>
  <c r="K1149" i="2"/>
  <c r="O1149" i="2"/>
  <c r="S1149" i="2"/>
  <c r="N1150" i="2"/>
  <c r="R1150" i="2"/>
  <c r="AS1150" i="2"/>
  <c r="M1151" i="2"/>
  <c r="Q1151" i="2"/>
  <c r="AP1151" i="2"/>
  <c r="M1214" i="2"/>
  <c r="N1196" i="2"/>
  <c r="AY1179" i="2"/>
  <c r="R1196" i="2"/>
  <c r="O1213" i="2"/>
  <c r="N1179" i="2"/>
  <c r="J1213" i="2"/>
  <c r="R1213" i="2"/>
  <c r="AY1213" i="2"/>
  <c r="P1214" i="2"/>
  <c r="AW1214" i="2"/>
  <c r="AS1196" i="2"/>
  <c r="R1179" i="2"/>
  <c r="K1213" i="2"/>
  <c r="S1213" i="2"/>
  <c r="AZ1213" i="2"/>
  <c r="Q1214" i="2"/>
  <c r="AX1214" i="2"/>
  <c r="AY1196" i="2"/>
  <c r="AP1214" i="2"/>
  <c r="AS1179" i="2"/>
  <c r="N1213" i="2"/>
  <c r="AS1213" i="2"/>
  <c r="L1214" i="2"/>
  <c r="T1214" i="2"/>
  <c r="J1180" i="2"/>
  <c r="M1180" i="2"/>
  <c r="AX1180" i="2"/>
  <c r="G1197" i="2"/>
  <c r="J1197" i="2"/>
  <c r="Q1197" i="2"/>
  <c r="AX1197" i="2"/>
  <c r="K1179" i="2"/>
  <c r="O1179" i="2"/>
  <c r="S1179" i="2"/>
  <c r="AZ1179" i="2"/>
  <c r="N1180" i="2"/>
  <c r="R1180" i="2"/>
  <c r="AS1180" i="2"/>
  <c r="AY1180" i="2"/>
  <c r="G1213" i="2"/>
  <c r="L1213" i="2"/>
  <c r="P1213" i="2"/>
  <c r="T1213" i="2"/>
  <c r="AW1213" i="2"/>
  <c r="J1214" i="2"/>
  <c r="N1214" i="2"/>
  <c r="R1214" i="2"/>
  <c r="AS1214" i="2"/>
  <c r="AY1214" i="2"/>
  <c r="K1196" i="2"/>
  <c r="O1196" i="2"/>
  <c r="S1196" i="2"/>
  <c r="AZ1196" i="2"/>
  <c r="N1197" i="2"/>
  <c r="R1197" i="2"/>
  <c r="AS1197" i="2"/>
  <c r="AY1197" i="2"/>
  <c r="Q1180" i="2"/>
  <c r="AP1180" i="2"/>
  <c r="M1197" i="2"/>
  <c r="AP1197" i="2"/>
  <c r="Q1108" i="2"/>
  <c r="G1180" i="2"/>
  <c r="L1179" i="2"/>
  <c r="P1179" i="2"/>
  <c r="T1179" i="2"/>
  <c r="AW1179" i="2"/>
  <c r="K1180" i="2"/>
  <c r="O1180" i="2"/>
  <c r="S1180" i="2"/>
  <c r="AZ1180" i="2"/>
  <c r="G1214" i="2"/>
  <c r="M1213" i="2"/>
  <c r="Q1213" i="2"/>
  <c r="AP1213" i="2"/>
  <c r="K1214" i="2"/>
  <c r="O1214" i="2"/>
  <c r="S1214" i="2"/>
  <c r="L1196" i="2"/>
  <c r="P1196" i="2"/>
  <c r="T1196" i="2"/>
  <c r="AW1196" i="2"/>
  <c r="K1197" i="2"/>
  <c r="O1197" i="2"/>
  <c r="S1197" i="2"/>
  <c r="AZ1197" i="2"/>
  <c r="J1179" i="2"/>
  <c r="M1179" i="2"/>
  <c r="Q1179" i="2"/>
  <c r="AP1179" i="2"/>
  <c r="L1180" i="2"/>
  <c r="P1180" i="2"/>
  <c r="T1180" i="2"/>
  <c r="G1196" i="2"/>
  <c r="J1196" i="2"/>
  <c r="M1196" i="2"/>
  <c r="Q1196" i="2"/>
  <c r="AP1196" i="2"/>
  <c r="L1197" i="2"/>
  <c r="P1197" i="2"/>
  <c r="T1197" i="2"/>
  <c r="O1110" i="2"/>
  <c r="S1106" i="2"/>
  <c r="S1110" i="2"/>
  <c r="P1137" i="2"/>
  <c r="P1109" i="2"/>
  <c r="G1110" i="2"/>
  <c r="T1109" i="2"/>
  <c r="L1141" i="2"/>
  <c r="K1106" i="2"/>
  <c r="AZ1106" i="2"/>
  <c r="AX1108" i="2"/>
  <c r="AW1109" i="2"/>
  <c r="N1139" i="2"/>
  <c r="J1108" i="2"/>
  <c r="AP1108" i="2"/>
  <c r="G1106" i="2"/>
  <c r="O1106" i="2"/>
  <c r="M1108" i="2"/>
  <c r="L1109" i="2"/>
  <c r="K1110" i="2"/>
  <c r="AZ1110" i="2"/>
  <c r="N1107" i="2"/>
  <c r="AS1107" i="2"/>
  <c r="AY1111" i="2"/>
  <c r="J1137" i="2"/>
  <c r="T1137" i="2"/>
  <c r="S1138" i="2"/>
  <c r="R1139" i="2"/>
  <c r="P1141" i="2"/>
  <c r="G1107" i="2"/>
  <c r="G1111" i="2"/>
  <c r="J1109" i="2"/>
  <c r="L1106" i="2"/>
  <c r="P1106" i="2"/>
  <c r="T1106" i="2"/>
  <c r="AW1106" i="2"/>
  <c r="K1107" i="2"/>
  <c r="O1107" i="2"/>
  <c r="S1107" i="2"/>
  <c r="AZ1107" i="2"/>
  <c r="N1108" i="2"/>
  <c r="R1108" i="2"/>
  <c r="AS1108" i="2"/>
  <c r="AY1108" i="2"/>
  <c r="M1109" i="2"/>
  <c r="Q1109" i="2"/>
  <c r="AP1109" i="2"/>
  <c r="AX1109" i="2"/>
  <c r="L1110" i="2"/>
  <c r="P1110" i="2"/>
  <c r="T1110" i="2"/>
  <c r="AW1110" i="2"/>
  <c r="K1111" i="2"/>
  <c r="O1111" i="2"/>
  <c r="S1111" i="2"/>
  <c r="AZ1111" i="2"/>
  <c r="O1138" i="2"/>
  <c r="R1107" i="2"/>
  <c r="AY1107" i="2"/>
  <c r="N1111" i="2"/>
  <c r="AS1111" i="2"/>
  <c r="J1141" i="2"/>
  <c r="AW1137" i="2"/>
  <c r="AS1139" i="2"/>
  <c r="T1141" i="2"/>
  <c r="G1108" i="2"/>
  <c r="J1106" i="2"/>
  <c r="J1110" i="2"/>
  <c r="M1106" i="2"/>
  <c r="Q1106" i="2"/>
  <c r="AP1106" i="2"/>
  <c r="AX1106" i="2"/>
  <c r="L1107" i="2"/>
  <c r="P1107" i="2"/>
  <c r="T1107" i="2"/>
  <c r="AW1107" i="2"/>
  <c r="K1108" i="2"/>
  <c r="O1108" i="2"/>
  <c r="S1108" i="2"/>
  <c r="AZ1108" i="2"/>
  <c r="N1109" i="2"/>
  <c r="R1109" i="2"/>
  <c r="AS1109" i="2"/>
  <c r="AY1109" i="2"/>
  <c r="M1110" i="2"/>
  <c r="Q1110" i="2"/>
  <c r="AP1110" i="2"/>
  <c r="AX1110" i="2"/>
  <c r="L1111" i="2"/>
  <c r="P1111" i="2"/>
  <c r="T1111" i="2"/>
  <c r="AW1111" i="2"/>
  <c r="G1138" i="2"/>
  <c r="R1111" i="2"/>
  <c r="L1137" i="2"/>
  <c r="K1138" i="2"/>
  <c r="AZ1138" i="2"/>
  <c r="AY1139" i="2"/>
  <c r="AW1141" i="2"/>
  <c r="G1109" i="2"/>
  <c r="J1107" i="2"/>
  <c r="J1111" i="2"/>
  <c r="N1106" i="2"/>
  <c r="R1106" i="2"/>
  <c r="AS1106" i="2"/>
  <c r="M1107" i="2"/>
  <c r="Q1107" i="2"/>
  <c r="AP1107" i="2"/>
  <c r="L1108" i="2"/>
  <c r="P1108" i="2"/>
  <c r="T1108" i="2"/>
  <c r="K1109" i="2"/>
  <c r="O1109" i="2"/>
  <c r="S1109" i="2"/>
  <c r="N1110" i="2"/>
  <c r="R1110" i="2"/>
  <c r="AS1110" i="2"/>
  <c r="M1111" i="2"/>
  <c r="Q1111" i="2"/>
  <c r="AP1111" i="2"/>
  <c r="Q1136" i="2"/>
  <c r="AX1136" i="2"/>
  <c r="Q1140" i="2"/>
  <c r="G1139" i="2"/>
  <c r="J1138" i="2"/>
  <c r="J1136" i="2"/>
  <c r="N1136" i="2"/>
  <c r="R1136" i="2"/>
  <c r="AS1136" i="2"/>
  <c r="AY1136" i="2"/>
  <c r="M1137" i="2"/>
  <c r="Q1137" i="2"/>
  <c r="AP1137" i="2"/>
  <c r="AX1137" i="2"/>
  <c r="L1138" i="2"/>
  <c r="P1138" i="2"/>
  <c r="T1138" i="2"/>
  <c r="AW1138" i="2"/>
  <c r="K1139" i="2"/>
  <c r="O1139" i="2"/>
  <c r="S1139" i="2"/>
  <c r="AZ1139" i="2"/>
  <c r="N1140" i="2"/>
  <c r="R1140" i="2"/>
  <c r="AS1140" i="2"/>
  <c r="AY1140" i="2"/>
  <c r="M1141" i="2"/>
  <c r="Q1141" i="2"/>
  <c r="AP1141" i="2"/>
  <c r="AX1141" i="2"/>
  <c r="M1136" i="2"/>
  <c r="M1140" i="2"/>
  <c r="AX1140" i="2"/>
  <c r="G1136" i="2"/>
  <c r="G1140" i="2"/>
  <c r="J1139" i="2"/>
  <c r="K1136" i="2"/>
  <c r="O1136" i="2"/>
  <c r="S1136" i="2"/>
  <c r="AZ1136" i="2"/>
  <c r="N1137" i="2"/>
  <c r="R1137" i="2"/>
  <c r="AS1137" i="2"/>
  <c r="AY1137" i="2"/>
  <c r="M1138" i="2"/>
  <c r="Q1138" i="2"/>
  <c r="AP1138" i="2"/>
  <c r="AX1138" i="2"/>
  <c r="L1139" i="2"/>
  <c r="P1139" i="2"/>
  <c r="T1139" i="2"/>
  <c r="AW1139" i="2"/>
  <c r="K1140" i="2"/>
  <c r="O1140" i="2"/>
  <c r="S1140" i="2"/>
  <c r="AZ1140" i="2"/>
  <c r="N1141" i="2"/>
  <c r="R1141" i="2"/>
  <c r="AS1141" i="2"/>
  <c r="AY1141" i="2"/>
  <c r="AP1136" i="2"/>
  <c r="AP1140" i="2"/>
  <c r="G1137" i="2"/>
  <c r="G1141" i="2"/>
  <c r="J1140" i="2"/>
  <c r="L1136" i="2"/>
  <c r="P1136" i="2"/>
  <c r="T1136" i="2"/>
  <c r="K1137" i="2"/>
  <c r="O1137" i="2"/>
  <c r="S1137" i="2"/>
  <c r="N1138" i="2"/>
  <c r="R1138" i="2"/>
  <c r="AS1138" i="2"/>
  <c r="M1139" i="2"/>
  <c r="Q1139" i="2"/>
  <c r="AP1139" i="2"/>
  <c r="L1140" i="2"/>
  <c r="P1140" i="2"/>
  <c r="T1140" i="2"/>
  <c r="K1141" i="2"/>
  <c r="O1141" i="2"/>
  <c r="S1141" i="2"/>
  <c r="P1189" i="2"/>
  <c r="AP1201" i="2"/>
  <c r="N1131" i="2"/>
  <c r="Q1201" i="2"/>
  <c r="AW1211" i="2"/>
  <c r="R1211" i="2"/>
  <c r="AY1135" i="2"/>
  <c r="T1189" i="2"/>
  <c r="L1126" i="2"/>
  <c r="AW1124" i="2"/>
  <c r="AP1126" i="2"/>
  <c r="J1100" i="2"/>
  <c r="L1132" i="2"/>
  <c r="N1133" i="2"/>
  <c r="Q1125" i="2"/>
  <c r="AY1126" i="2"/>
  <c r="O1209" i="2"/>
  <c r="Q1187" i="2"/>
  <c r="R1199" i="2"/>
  <c r="S1209" i="2"/>
  <c r="AP1187" i="2"/>
  <c r="AY1189" i="2"/>
  <c r="J1104" i="2"/>
  <c r="N1124" i="2"/>
  <c r="M1135" i="2"/>
  <c r="AS1125" i="2"/>
  <c r="P1130" i="2"/>
  <c r="R1133" i="2"/>
  <c r="O1201" i="2"/>
  <c r="P1211" i="2"/>
  <c r="R1189" i="2"/>
  <c r="S1201" i="2"/>
  <c r="AZ1201" i="2"/>
  <c r="J1099" i="2"/>
  <c r="J1096" i="2"/>
  <c r="K1133" i="2"/>
  <c r="M1126" i="2"/>
  <c r="R1124" i="2"/>
  <c r="P1126" i="2"/>
  <c r="AS1134" i="2"/>
  <c r="O1187" i="2"/>
  <c r="P1199" i="2"/>
  <c r="Q1209" i="2"/>
  <c r="S1187" i="2"/>
  <c r="T1199" i="2"/>
  <c r="AP1209" i="2"/>
  <c r="AY1183" i="2"/>
  <c r="AW1183" i="2"/>
  <c r="AZ1183" i="2"/>
  <c r="AX1183" i="2"/>
  <c r="AS1183" i="2"/>
  <c r="T1183" i="2"/>
  <c r="R1183" i="2"/>
  <c r="P1183" i="2"/>
  <c r="AZ1200" i="2"/>
  <c r="AX1200" i="2"/>
  <c r="AY1200" i="2"/>
  <c r="AW1200" i="2"/>
  <c r="AS1200" i="2"/>
  <c r="AP1200" i="2"/>
  <c r="S1200" i="2"/>
  <c r="Q1200" i="2"/>
  <c r="O1200" i="2"/>
  <c r="T1200" i="2"/>
  <c r="R1200" i="2"/>
  <c r="P1200" i="2"/>
  <c r="G1127" i="2"/>
  <c r="AZ1127" i="2"/>
  <c r="S1127" i="2"/>
  <c r="O1127" i="2"/>
  <c r="L1127" i="2"/>
  <c r="K1127" i="2"/>
  <c r="K1184" i="2"/>
  <c r="AY1184" i="2"/>
  <c r="AW1184" i="2"/>
  <c r="AZ1184" i="2"/>
  <c r="AX1184" i="2"/>
  <c r="AS1184" i="2"/>
  <c r="T1184" i="2"/>
  <c r="R1184" i="2"/>
  <c r="P1184" i="2"/>
  <c r="AP1184" i="2"/>
  <c r="S1184" i="2"/>
  <c r="Q1184" i="2"/>
  <c r="O1184" i="2"/>
  <c r="L1189" i="2"/>
  <c r="AZ1189" i="2"/>
  <c r="AX1189" i="2"/>
  <c r="AP1189" i="2"/>
  <c r="S1189" i="2"/>
  <c r="Q1189" i="2"/>
  <c r="O1189" i="2"/>
  <c r="K1194" i="2"/>
  <c r="AZ1194" i="2"/>
  <c r="AX1194" i="2"/>
  <c r="AY1194" i="2"/>
  <c r="AW1194" i="2"/>
  <c r="AS1194" i="2"/>
  <c r="AP1194" i="2"/>
  <c r="S1194" i="2"/>
  <c r="Q1194" i="2"/>
  <c r="O1194" i="2"/>
  <c r="T1194" i="2"/>
  <c r="R1194" i="2"/>
  <c r="P1194" i="2"/>
  <c r="N1201" i="2"/>
  <c r="AY1201" i="2"/>
  <c r="AW1201" i="2"/>
  <c r="AS1201" i="2"/>
  <c r="T1201" i="2"/>
  <c r="R1201" i="2"/>
  <c r="P1201" i="2"/>
  <c r="M1206" i="2"/>
  <c r="AY1206" i="2"/>
  <c r="AW1206" i="2"/>
  <c r="AS1206" i="2"/>
  <c r="AZ1206" i="2"/>
  <c r="AX1206" i="2"/>
  <c r="T1206" i="2"/>
  <c r="R1206" i="2"/>
  <c r="P1206" i="2"/>
  <c r="AP1206" i="2"/>
  <c r="S1206" i="2"/>
  <c r="Q1206" i="2"/>
  <c r="O1206" i="2"/>
  <c r="L1211" i="2"/>
  <c r="AZ1211" i="2"/>
  <c r="AX1211" i="2"/>
  <c r="AP1211" i="2"/>
  <c r="S1211" i="2"/>
  <c r="Q1211" i="2"/>
  <c r="O1211" i="2"/>
  <c r="AX1130" i="2"/>
  <c r="AP1130" i="2"/>
  <c r="Q1130" i="2"/>
  <c r="AZ1130" i="2"/>
  <c r="S1130" i="2"/>
  <c r="N1130" i="2"/>
  <c r="G1131" i="2"/>
  <c r="AX1131" i="2"/>
  <c r="AP1131" i="2"/>
  <c r="Q1131" i="2"/>
  <c r="AZ1131" i="2"/>
  <c r="S1131" i="2"/>
  <c r="O1131" i="2"/>
  <c r="L1131" i="2"/>
  <c r="K1131" i="2"/>
  <c r="J1132" i="2"/>
  <c r="AX1132" i="2"/>
  <c r="AP1132" i="2"/>
  <c r="Q1132" i="2"/>
  <c r="AW1132" i="2"/>
  <c r="T1132" i="2"/>
  <c r="AZ1132" i="2"/>
  <c r="S1132" i="2"/>
  <c r="J1095" i="2"/>
  <c r="K1124" i="2"/>
  <c r="K1129" i="2"/>
  <c r="K1134" i="2"/>
  <c r="L1128" i="2"/>
  <c r="L1133" i="2"/>
  <c r="O1124" i="2"/>
  <c r="O1126" i="2"/>
  <c r="N1128" i="2"/>
  <c r="M1130" i="2"/>
  <c r="M1132" i="2"/>
  <c r="O1133" i="2"/>
  <c r="T1124" i="2"/>
  <c r="AX1124" i="2"/>
  <c r="R1125" i="2"/>
  <c r="AW1125" i="2"/>
  <c r="Q1126" i="2"/>
  <c r="AS1126" i="2"/>
  <c r="P1127" i="2"/>
  <c r="AP1127" i="2"/>
  <c r="AY1127" i="2"/>
  <c r="T1128" i="2"/>
  <c r="R1129" i="2"/>
  <c r="R1130" i="2"/>
  <c r="AY1130" i="2"/>
  <c r="AS1131" i="2"/>
  <c r="R1132" i="2"/>
  <c r="AZ1193" i="2"/>
  <c r="AX1193" i="2"/>
  <c r="AS1193" i="2"/>
  <c r="AY1193" i="2"/>
  <c r="AW1193" i="2"/>
  <c r="AP1193" i="2"/>
  <c r="S1193" i="2"/>
  <c r="Q1193" i="2"/>
  <c r="O1193" i="2"/>
  <c r="AY1210" i="2"/>
  <c r="AW1210" i="2"/>
  <c r="AS1210" i="2"/>
  <c r="AZ1210" i="2"/>
  <c r="AX1210" i="2"/>
  <c r="T1210" i="2"/>
  <c r="R1210" i="2"/>
  <c r="P1210" i="2"/>
  <c r="AP1210" i="2"/>
  <c r="S1210" i="2"/>
  <c r="Q1210" i="2"/>
  <c r="O1210" i="2"/>
  <c r="J1128" i="2"/>
  <c r="AZ1128" i="2"/>
  <c r="S1128" i="2"/>
  <c r="AZ1129" i="2"/>
  <c r="S1129" i="2"/>
  <c r="M1129" i="2"/>
  <c r="G1101" i="2"/>
  <c r="AZ1101" i="2"/>
  <c r="S1101" i="2"/>
  <c r="O1101" i="2"/>
  <c r="K1101" i="2"/>
  <c r="AY1101" i="2"/>
  <c r="AS1101" i="2"/>
  <c r="R1101" i="2"/>
  <c r="N1101" i="2"/>
  <c r="AX1101" i="2"/>
  <c r="AP1101" i="2"/>
  <c r="Q1101" i="2"/>
  <c r="M1101" i="2"/>
  <c r="L1101" i="2"/>
  <c r="AW1101" i="2"/>
  <c r="T1101" i="2"/>
  <c r="K1128" i="2"/>
  <c r="M1128" i="2"/>
  <c r="T1127" i="2"/>
  <c r="AX1127" i="2"/>
  <c r="R1128" i="2"/>
  <c r="Q1129" i="2"/>
  <c r="AS1129" i="2"/>
  <c r="AZ1185" i="2"/>
  <c r="AX1185" i="2"/>
  <c r="AY1185" i="2"/>
  <c r="AW1185" i="2"/>
  <c r="AP1185" i="2"/>
  <c r="S1185" i="2"/>
  <c r="Q1185" i="2"/>
  <c r="O1185" i="2"/>
  <c r="AZ1190" i="2"/>
  <c r="AX1190" i="2"/>
  <c r="AY1190" i="2"/>
  <c r="AW1190" i="2"/>
  <c r="AP1190" i="2"/>
  <c r="S1190" i="2"/>
  <c r="Q1190" i="2"/>
  <c r="O1190" i="2"/>
  <c r="AS1190" i="2"/>
  <c r="T1190" i="2"/>
  <c r="R1190" i="2"/>
  <c r="P1190" i="2"/>
  <c r="AY1195" i="2"/>
  <c r="AW1195" i="2"/>
  <c r="AZ1195" i="2"/>
  <c r="AX1195" i="2"/>
  <c r="T1195" i="2"/>
  <c r="R1195" i="2"/>
  <c r="P1195" i="2"/>
  <c r="AY1202" i="2"/>
  <c r="AW1202" i="2"/>
  <c r="AS1202" i="2"/>
  <c r="AZ1202" i="2"/>
  <c r="AX1202" i="2"/>
  <c r="T1202" i="2"/>
  <c r="R1202" i="2"/>
  <c r="P1202" i="2"/>
  <c r="AP1202" i="2"/>
  <c r="S1202" i="2"/>
  <c r="Q1202" i="2"/>
  <c r="O1202" i="2"/>
  <c r="AZ1207" i="2"/>
  <c r="AX1207" i="2"/>
  <c r="AY1207" i="2"/>
  <c r="AW1207" i="2"/>
  <c r="AS1207" i="2"/>
  <c r="AP1207" i="2"/>
  <c r="S1207" i="2"/>
  <c r="Q1207" i="2"/>
  <c r="O1207" i="2"/>
  <c r="AZ1212" i="2"/>
  <c r="AX1212" i="2"/>
  <c r="AY1212" i="2"/>
  <c r="AW1212" i="2"/>
  <c r="AS1212" i="2"/>
  <c r="AP1212" i="2"/>
  <c r="S1212" i="2"/>
  <c r="Q1212" i="2"/>
  <c r="O1212" i="2"/>
  <c r="T1212" i="2"/>
  <c r="R1212" i="2"/>
  <c r="P1212" i="2"/>
  <c r="AX1133" i="2"/>
  <c r="AP1133" i="2"/>
  <c r="Q1133" i="2"/>
  <c r="AW1133" i="2"/>
  <c r="T1133" i="2"/>
  <c r="P1133" i="2"/>
  <c r="AZ1133" i="2"/>
  <c r="S1133" i="2"/>
  <c r="M1133" i="2"/>
  <c r="AX1134" i="2"/>
  <c r="AP1134" i="2"/>
  <c r="Q1134" i="2"/>
  <c r="AW1134" i="2"/>
  <c r="T1134" i="2"/>
  <c r="P1134" i="2"/>
  <c r="AZ1134" i="2"/>
  <c r="S1134" i="2"/>
  <c r="N1134" i="2"/>
  <c r="G1135" i="2"/>
  <c r="AX1135" i="2"/>
  <c r="AP1135" i="2"/>
  <c r="Q1135" i="2"/>
  <c r="AW1135" i="2"/>
  <c r="T1135" i="2"/>
  <c r="P1135" i="2"/>
  <c r="AZ1135" i="2"/>
  <c r="S1135" i="2"/>
  <c r="O1135" i="2"/>
  <c r="L1135" i="2"/>
  <c r="K1135" i="2"/>
  <c r="G1095" i="2"/>
  <c r="AX1095" i="2"/>
  <c r="AP1095" i="2"/>
  <c r="Q1095" i="2"/>
  <c r="M1095" i="2"/>
  <c r="AW1095" i="2"/>
  <c r="T1095" i="2"/>
  <c r="P1095" i="2"/>
  <c r="L1095" i="2"/>
  <c r="AZ1095" i="2"/>
  <c r="S1095" i="2"/>
  <c r="O1095" i="2"/>
  <c r="K1095" i="2"/>
  <c r="R1095" i="2"/>
  <c r="N1095" i="2"/>
  <c r="AY1095" i="2"/>
  <c r="G1099" i="2"/>
  <c r="AX1099" i="2"/>
  <c r="AP1099" i="2"/>
  <c r="Q1099" i="2"/>
  <c r="M1099" i="2"/>
  <c r="AW1099" i="2"/>
  <c r="T1099" i="2"/>
  <c r="P1099" i="2"/>
  <c r="L1099" i="2"/>
  <c r="AZ1099" i="2"/>
  <c r="S1099" i="2"/>
  <c r="O1099" i="2"/>
  <c r="K1099" i="2"/>
  <c r="N1099" i="2"/>
  <c r="AY1099" i="2"/>
  <c r="AS1099" i="2"/>
  <c r="G1103" i="2"/>
  <c r="AX1103" i="2"/>
  <c r="AP1103" i="2"/>
  <c r="Q1103" i="2"/>
  <c r="M1103" i="2"/>
  <c r="AW1103" i="2"/>
  <c r="T1103" i="2"/>
  <c r="P1103" i="2"/>
  <c r="L1103" i="2"/>
  <c r="AZ1103" i="2"/>
  <c r="S1103" i="2"/>
  <c r="O1103" i="2"/>
  <c r="K1103" i="2"/>
  <c r="AY1103" i="2"/>
  <c r="AS1103" i="2"/>
  <c r="R1103" i="2"/>
  <c r="J1101" i="2"/>
  <c r="K1125" i="2"/>
  <c r="K1130" i="2"/>
  <c r="L1124" i="2"/>
  <c r="L1129" i="2"/>
  <c r="L1134" i="2"/>
  <c r="N1125" i="2"/>
  <c r="M1127" i="2"/>
  <c r="O1128" i="2"/>
  <c r="O1130" i="2"/>
  <c r="N1132" i="2"/>
  <c r="M1134" i="2"/>
  <c r="P1124" i="2"/>
  <c r="AP1124" i="2"/>
  <c r="T1125" i="2"/>
  <c r="R1126" i="2"/>
  <c r="Q1127" i="2"/>
  <c r="AS1127" i="2"/>
  <c r="P1128" i="2"/>
  <c r="AP1128" i="2"/>
  <c r="AY1128" i="2"/>
  <c r="T1129" i="2"/>
  <c r="AX1129" i="2"/>
  <c r="T1130" i="2"/>
  <c r="P1131" i="2"/>
  <c r="AW1131" i="2"/>
  <c r="AS1132" i="2"/>
  <c r="AY1133" i="2"/>
  <c r="R1135" i="2"/>
  <c r="O1183" i="2"/>
  <c r="O1195" i="2"/>
  <c r="O1205" i="2"/>
  <c r="P1185" i="2"/>
  <c r="P1193" i="2"/>
  <c r="P1207" i="2"/>
  <c r="Q1183" i="2"/>
  <c r="Q1195" i="2"/>
  <c r="Q1205" i="2"/>
  <c r="R1185" i="2"/>
  <c r="R1193" i="2"/>
  <c r="R1207" i="2"/>
  <c r="S1183" i="2"/>
  <c r="S1195" i="2"/>
  <c r="S1205" i="2"/>
  <c r="T1185" i="2"/>
  <c r="T1193" i="2"/>
  <c r="T1207" i="2"/>
  <c r="AP1183" i="2"/>
  <c r="AP1195" i="2"/>
  <c r="AS1185" i="2"/>
  <c r="AS1195" i="2"/>
  <c r="AS1211" i="2"/>
  <c r="AW1189" i="2"/>
  <c r="AX1201" i="2"/>
  <c r="AY1211" i="2"/>
  <c r="AY1188" i="2"/>
  <c r="AW1188" i="2"/>
  <c r="AZ1188" i="2"/>
  <c r="AX1188" i="2"/>
  <c r="AS1188" i="2"/>
  <c r="T1188" i="2"/>
  <c r="R1188" i="2"/>
  <c r="P1188" i="2"/>
  <c r="AP1188" i="2"/>
  <c r="S1188" i="2"/>
  <c r="Q1188" i="2"/>
  <c r="O1188" i="2"/>
  <c r="AY1205" i="2"/>
  <c r="AW1205" i="2"/>
  <c r="AZ1205" i="2"/>
  <c r="AX1205" i="2"/>
  <c r="T1205" i="2"/>
  <c r="R1205" i="2"/>
  <c r="P1205" i="2"/>
  <c r="AS1205" i="2"/>
  <c r="G1097" i="2"/>
  <c r="AZ1097" i="2"/>
  <c r="S1097" i="2"/>
  <c r="O1097" i="2"/>
  <c r="K1097" i="2"/>
  <c r="AY1097" i="2"/>
  <c r="AS1097" i="2"/>
  <c r="R1097" i="2"/>
  <c r="N1097" i="2"/>
  <c r="AX1097" i="2"/>
  <c r="AP1097" i="2"/>
  <c r="Q1097" i="2"/>
  <c r="M1097" i="2"/>
  <c r="P1097" i="2"/>
  <c r="L1097" i="2"/>
  <c r="AW1097" i="2"/>
  <c r="G1105" i="2"/>
  <c r="AZ1105" i="2"/>
  <c r="S1105" i="2"/>
  <c r="O1105" i="2"/>
  <c r="K1105" i="2"/>
  <c r="AY1105" i="2"/>
  <c r="AS1105" i="2"/>
  <c r="R1105" i="2"/>
  <c r="N1105" i="2"/>
  <c r="AX1105" i="2"/>
  <c r="AP1105" i="2"/>
  <c r="Q1105" i="2"/>
  <c r="M1105" i="2"/>
  <c r="AW1105" i="2"/>
  <c r="T1105" i="2"/>
  <c r="P1105" i="2"/>
  <c r="O1129" i="2"/>
  <c r="AW1128" i="2"/>
  <c r="AZ1182" i="2"/>
  <c r="AX1182" i="2"/>
  <c r="AY1182" i="2"/>
  <c r="AW1182" i="2"/>
  <c r="AP1182" i="2"/>
  <c r="S1182" i="2"/>
  <c r="Q1182" i="2"/>
  <c r="O1182" i="2"/>
  <c r="AS1182" i="2"/>
  <c r="T1182" i="2"/>
  <c r="R1182" i="2"/>
  <c r="P1182" i="2"/>
  <c r="AY1187" i="2"/>
  <c r="AW1187" i="2"/>
  <c r="AS1187" i="2"/>
  <c r="T1187" i="2"/>
  <c r="R1187" i="2"/>
  <c r="P1187" i="2"/>
  <c r="AY1192" i="2"/>
  <c r="AW1192" i="2"/>
  <c r="AS1192" i="2"/>
  <c r="AZ1192" i="2"/>
  <c r="AX1192" i="2"/>
  <c r="T1192" i="2"/>
  <c r="R1192" i="2"/>
  <c r="P1192" i="2"/>
  <c r="AP1192" i="2"/>
  <c r="S1192" i="2"/>
  <c r="Q1192" i="2"/>
  <c r="O1192" i="2"/>
  <c r="AZ1199" i="2"/>
  <c r="AX1199" i="2"/>
  <c r="AS1199" i="2"/>
  <c r="AP1199" i="2"/>
  <c r="S1199" i="2"/>
  <c r="Q1199" i="2"/>
  <c r="O1199" i="2"/>
  <c r="AZ1204" i="2"/>
  <c r="AX1204" i="2"/>
  <c r="AY1204" i="2"/>
  <c r="AW1204" i="2"/>
  <c r="AS1204" i="2"/>
  <c r="AP1204" i="2"/>
  <c r="S1204" i="2"/>
  <c r="Q1204" i="2"/>
  <c r="O1204" i="2"/>
  <c r="T1204" i="2"/>
  <c r="R1204" i="2"/>
  <c r="P1204" i="2"/>
  <c r="AY1209" i="2"/>
  <c r="AW1209" i="2"/>
  <c r="AS1209" i="2"/>
  <c r="T1209" i="2"/>
  <c r="R1209" i="2"/>
  <c r="P1209" i="2"/>
  <c r="J1124" i="2"/>
  <c r="AZ1124" i="2"/>
  <c r="S1124" i="2"/>
  <c r="AZ1125" i="2"/>
  <c r="S1125" i="2"/>
  <c r="M1125" i="2"/>
  <c r="AZ1126" i="2"/>
  <c r="S1126" i="2"/>
  <c r="N1126" i="2"/>
  <c r="G1096" i="2"/>
  <c r="AW1096" i="2"/>
  <c r="T1096" i="2"/>
  <c r="P1096" i="2"/>
  <c r="L1096" i="2"/>
  <c r="AZ1096" i="2"/>
  <c r="S1096" i="2"/>
  <c r="O1096" i="2"/>
  <c r="K1096" i="2"/>
  <c r="AY1096" i="2"/>
  <c r="AS1096" i="2"/>
  <c r="R1096" i="2"/>
  <c r="N1096" i="2"/>
  <c r="Q1096" i="2"/>
  <c r="M1096" i="2"/>
  <c r="AX1096" i="2"/>
  <c r="G1100" i="2"/>
  <c r="AW1100" i="2"/>
  <c r="T1100" i="2"/>
  <c r="P1100" i="2"/>
  <c r="L1100" i="2"/>
  <c r="AZ1100" i="2"/>
  <c r="S1100" i="2"/>
  <c r="O1100" i="2"/>
  <c r="K1100" i="2"/>
  <c r="AY1100" i="2"/>
  <c r="AS1100" i="2"/>
  <c r="R1100" i="2"/>
  <c r="N1100" i="2"/>
  <c r="M1100" i="2"/>
  <c r="AX1100" i="2"/>
  <c r="AP1100" i="2"/>
  <c r="G1104" i="2"/>
  <c r="AW1104" i="2"/>
  <c r="T1104" i="2"/>
  <c r="P1104" i="2"/>
  <c r="L1104" i="2"/>
  <c r="AZ1104" i="2"/>
  <c r="S1104" i="2"/>
  <c r="O1104" i="2"/>
  <c r="K1104" i="2"/>
  <c r="AY1104" i="2"/>
  <c r="AS1104" i="2"/>
  <c r="R1104" i="2"/>
  <c r="N1104" i="2"/>
  <c r="AX1104" i="2"/>
  <c r="AP1104" i="2"/>
  <c r="Q1104" i="2"/>
  <c r="J1097" i="2"/>
  <c r="J1103" i="2"/>
  <c r="K1126" i="2"/>
  <c r="K1132" i="2"/>
  <c r="L1125" i="2"/>
  <c r="L1130" i="2"/>
  <c r="M1124" i="2"/>
  <c r="O1125" i="2"/>
  <c r="N1127" i="2"/>
  <c r="N1129" i="2"/>
  <c r="M1131" i="2"/>
  <c r="O1132" i="2"/>
  <c r="O1134" i="2"/>
  <c r="Q1124" i="2"/>
  <c r="AS1124" i="2"/>
  <c r="P1125" i="2"/>
  <c r="AP1125" i="2"/>
  <c r="AY1125" i="2"/>
  <c r="T1126" i="2"/>
  <c r="AX1126" i="2"/>
  <c r="R1127" i="2"/>
  <c r="AW1127" i="2"/>
  <c r="Q1128" i="2"/>
  <c r="AS1128" i="2"/>
  <c r="P1129" i="2"/>
  <c r="AP1129" i="2"/>
  <c r="AY1129" i="2"/>
  <c r="AS1130" i="2"/>
  <c r="R1131" i="2"/>
  <c r="AY1131" i="2"/>
  <c r="AY1132" i="2"/>
  <c r="R1134" i="2"/>
  <c r="AS1135" i="2"/>
  <c r="AX1187" i="2"/>
  <c r="AY1199" i="2"/>
  <c r="AZ1209" i="2"/>
  <c r="T1097" i="2"/>
  <c r="P1101" i="2"/>
  <c r="L1105" i="2"/>
  <c r="G1094" i="2"/>
  <c r="AY1094" i="2"/>
  <c r="AS1094" i="2"/>
  <c r="R1094" i="2"/>
  <c r="N1094" i="2"/>
  <c r="AX1094" i="2"/>
  <c r="AP1094" i="2"/>
  <c r="Q1094" i="2"/>
  <c r="M1094" i="2"/>
  <c r="AW1094" i="2"/>
  <c r="T1094" i="2"/>
  <c r="P1094" i="2"/>
  <c r="L1094" i="2"/>
  <c r="G1098" i="2"/>
  <c r="AY1098" i="2"/>
  <c r="AS1098" i="2"/>
  <c r="R1098" i="2"/>
  <c r="N1098" i="2"/>
  <c r="AX1098" i="2"/>
  <c r="AP1098" i="2"/>
  <c r="Q1098" i="2"/>
  <c r="M1098" i="2"/>
  <c r="AW1098" i="2"/>
  <c r="T1098" i="2"/>
  <c r="P1098" i="2"/>
  <c r="L1098" i="2"/>
  <c r="G1102" i="2"/>
  <c r="AY1102" i="2"/>
  <c r="AS1102" i="2"/>
  <c r="R1102" i="2"/>
  <c r="N1102" i="2"/>
  <c r="AX1102" i="2"/>
  <c r="AP1102" i="2"/>
  <c r="Q1102" i="2"/>
  <c r="M1102" i="2"/>
  <c r="AW1102" i="2"/>
  <c r="T1102" i="2"/>
  <c r="P1102" i="2"/>
  <c r="L1102" i="2"/>
  <c r="J1094" i="2"/>
  <c r="J1098" i="2"/>
  <c r="J1102" i="2"/>
  <c r="K1094" i="2"/>
  <c r="AZ1094" i="2"/>
  <c r="S1102" i="2"/>
  <c r="O1094" i="2"/>
  <c r="K1098" i="2"/>
  <c r="AZ1098" i="2"/>
  <c r="S1094" i="2"/>
  <c r="O1098" i="2"/>
  <c r="K1102" i="2"/>
  <c r="AZ1102" i="2"/>
  <c r="G1172" i="2"/>
  <c r="O1172" i="2" s="1"/>
  <c r="G1177" i="2"/>
  <c r="O1177" i="2" s="1"/>
  <c r="N1177" i="2"/>
  <c r="AS1177" i="2" s="1"/>
  <c r="G1173" i="2"/>
  <c r="O1173" i="2" s="1"/>
  <c r="G1168" i="2"/>
  <c r="O1168" i="2" s="1"/>
  <c r="J1176" i="2"/>
  <c r="R1176" i="2" s="1"/>
  <c r="AY1176" i="2" s="1"/>
  <c r="M1184" i="2"/>
  <c r="G1132" i="2"/>
  <c r="M1165" i="2"/>
  <c r="AP1165" i="2" s="1"/>
  <c r="L1165" i="2"/>
  <c r="T1165" i="2" s="1"/>
  <c r="K1165" i="2"/>
  <c r="S1165" i="2" s="1"/>
  <c r="AZ1165" i="2" s="1"/>
  <c r="L1170" i="2"/>
  <c r="T1170" i="2" s="1"/>
  <c r="N1170" i="2"/>
  <c r="AS1170" i="2" s="1"/>
  <c r="K1175" i="2"/>
  <c r="S1175" i="2" s="1"/>
  <c r="AZ1175" i="2" s="1"/>
  <c r="N1175" i="2"/>
  <c r="AS1175" i="2" s="1"/>
  <c r="M1175" i="2"/>
  <c r="AP1175" i="2" s="1"/>
  <c r="J1175" i="2"/>
  <c r="R1175" i="2" s="1"/>
  <c r="AY1175" i="2" s="1"/>
  <c r="N1182" i="2"/>
  <c r="M1182" i="2"/>
  <c r="L1182" i="2"/>
  <c r="M1187" i="2"/>
  <c r="L1187" i="2"/>
  <c r="K1187" i="2"/>
  <c r="L1192" i="2"/>
  <c r="K1192" i="2"/>
  <c r="N1192" i="2"/>
  <c r="J1192" i="2"/>
  <c r="K1199" i="2"/>
  <c r="N1199" i="2"/>
  <c r="M1199" i="2"/>
  <c r="G1199" i="2"/>
  <c r="N1204" i="2"/>
  <c r="M1204" i="2"/>
  <c r="L1204" i="2"/>
  <c r="M1209" i="2"/>
  <c r="L1209" i="2"/>
  <c r="K1209" i="2"/>
  <c r="J1125" i="2"/>
  <c r="G1125" i="2"/>
  <c r="J1126" i="2"/>
  <c r="G1126" i="2"/>
  <c r="O1164" i="2"/>
  <c r="G1182" i="2"/>
  <c r="J1165" i="2"/>
  <c r="R1165" i="2" s="1"/>
  <c r="AY1165" i="2" s="1"/>
  <c r="J1170" i="2"/>
  <c r="R1170" i="2" s="1"/>
  <c r="AY1170" i="2" s="1"/>
  <c r="K1182" i="2"/>
  <c r="L1166" i="2"/>
  <c r="T1166" i="2" s="1"/>
  <c r="N1166" i="2"/>
  <c r="AS1166" i="2" s="1"/>
  <c r="N1171" i="2"/>
  <c r="AS1171" i="2" s="1"/>
  <c r="M1171" i="2"/>
  <c r="AP1171" i="2" s="1"/>
  <c r="J1171" i="2"/>
  <c r="R1171" i="2" s="1"/>
  <c r="AY1171" i="2" s="1"/>
  <c r="N1176" i="2"/>
  <c r="AS1176" i="2" s="1"/>
  <c r="M1176" i="2"/>
  <c r="AP1176" i="2" s="1"/>
  <c r="L1176" i="2"/>
  <c r="T1176" i="2" s="1"/>
  <c r="M1183" i="2"/>
  <c r="L1183" i="2"/>
  <c r="K1183" i="2"/>
  <c r="L1188" i="2"/>
  <c r="K1188" i="2"/>
  <c r="N1188" i="2"/>
  <c r="J1188" i="2"/>
  <c r="K1193" i="2"/>
  <c r="N1193" i="2"/>
  <c r="M1193" i="2"/>
  <c r="G1193" i="2"/>
  <c r="N1200" i="2"/>
  <c r="M1200" i="2"/>
  <c r="L1200" i="2"/>
  <c r="M1205" i="2"/>
  <c r="L1205" i="2"/>
  <c r="K1205" i="2"/>
  <c r="L1210" i="2"/>
  <c r="K1210" i="2"/>
  <c r="N1210" i="2"/>
  <c r="J1210" i="2"/>
  <c r="J1129" i="2"/>
  <c r="G1129" i="2"/>
  <c r="G1165" i="2"/>
  <c r="O1165" i="2" s="1"/>
  <c r="G1183" i="2"/>
  <c r="G1187" i="2"/>
  <c r="G1192" i="2"/>
  <c r="G1200" i="2"/>
  <c r="G1204" i="2"/>
  <c r="G1209" i="2"/>
  <c r="J1166" i="2"/>
  <c r="R1166" i="2" s="1"/>
  <c r="AY1166" i="2" s="1"/>
  <c r="J1182" i="2"/>
  <c r="J1187" i="2"/>
  <c r="J1193" i="2"/>
  <c r="J1199" i="2"/>
  <c r="J1204" i="2"/>
  <c r="J1209" i="2"/>
  <c r="K1166" i="2"/>
  <c r="S1166" i="2" s="1"/>
  <c r="AZ1166" i="2" s="1"/>
  <c r="K1170" i="2"/>
  <c r="S1170" i="2" s="1"/>
  <c r="AZ1170" i="2" s="1"/>
  <c r="K1176" i="2"/>
  <c r="S1176" i="2" s="1"/>
  <c r="AZ1176" i="2" s="1"/>
  <c r="K1204" i="2"/>
  <c r="L1175" i="2"/>
  <c r="T1175" i="2" s="1"/>
  <c r="L1199" i="2"/>
  <c r="M1170" i="2"/>
  <c r="AP1170" i="2" s="1"/>
  <c r="M1192" i="2"/>
  <c r="N1165" i="2"/>
  <c r="AS1165" i="2" s="1"/>
  <c r="N1187" i="2"/>
  <c r="N1209" i="2"/>
  <c r="J1127" i="2"/>
  <c r="N1167" i="2"/>
  <c r="AS1167" i="2" s="1"/>
  <c r="M1167" i="2"/>
  <c r="AP1167" i="2" s="1"/>
  <c r="J1167" i="2"/>
  <c r="R1167" i="2" s="1"/>
  <c r="AY1167" i="2" s="1"/>
  <c r="N1172" i="2"/>
  <c r="AS1172" i="2" s="1"/>
  <c r="M1172" i="2"/>
  <c r="AP1172" i="2" s="1"/>
  <c r="L1172" i="2"/>
  <c r="T1172" i="2" s="1"/>
  <c r="M1177" i="2"/>
  <c r="AP1177" i="2" s="1"/>
  <c r="L1177" i="2"/>
  <c r="T1177" i="2" s="1"/>
  <c r="K1177" i="2"/>
  <c r="S1177" i="2" s="1"/>
  <c r="AZ1177" i="2" s="1"/>
  <c r="L1184" i="2"/>
  <c r="N1184" i="2"/>
  <c r="J1184" i="2"/>
  <c r="K1189" i="2"/>
  <c r="N1189" i="2"/>
  <c r="M1189" i="2"/>
  <c r="G1189" i="2"/>
  <c r="N1194" i="2"/>
  <c r="M1194" i="2"/>
  <c r="L1194" i="2"/>
  <c r="M1201" i="2"/>
  <c r="L1201" i="2"/>
  <c r="K1201" i="2"/>
  <c r="L1206" i="2"/>
  <c r="K1206" i="2"/>
  <c r="N1206" i="2"/>
  <c r="J1206" i="2"/>
  <c r="K1211" i="2"/>
  <c r="N1211" i="2"/>
  <c r="M1211" i="2"/>
  <c r="G1211" i="2"/>
  <c r="J1130" i="2"/>
  <c r="G1130" i="2"/>
  <c r="G1166" i="2"/>
  <c r="O1166" i="2" s="1"/>
  <c r="G1170" i="2"/>
  <c r="O1170" i="2" s="1"/>
  <c r="G1178" i="2"/>
  <c r="O1178" i="2" s="1"/>
  <c r="G1184" i="2"/>
  <c r="G1188" i="2"/>
  <c r="G1194" i="2"/>
  <c r="G1201" i="2"/>
  <c r="G1205" i="2"/>
  <c r="G1210" i="2"/>
  <c r="J1178" i="2"/>
  <c r="R1178" i="2" s="1"/>
  <c r="AY1178" i="2" s="1"/>
  <c r="J1183" i="2"/>
  <c r="J1189" i="2"/>
  <c r="J1194" i="2"/>
  <c r="J1200" i="2"/>
  <c r="J1205" i="2"/>
  <c r="J1211" i="2"/>
  <c r="K1167" i="2"/>
  <c r="S1167" i="2" s="1"/>
  <c r="AZ1167" i="2" s="1"/>
  <c r="K1171" i="2"/>
  <c r="S1171" i="2" s="1"/>
  <c r="AZ1171" i="2" s="1"/>
  <c r="G1124" i="2"/>
  <c r="J1131" i="2"/>
  <c r="N1168" i="2"/>
  <c r="AS1168" i="2" s="1"/>
  <c r="M1168" i="2"/>
  <c r="AP1168" i="2" s="1"/>
  <c r="L1168" i="2"/>
  <c r="T1168" i="2" s="1"/>
  <c r="M1173" i="2"/>
  <c r="AP1173" i="2" s="1"/>
  <c r="L1173" i="2"/>
  <c r="T1173" i="2" s="1"/>
  <c r="K1173" i="2"/>
  <c r="S1173" i="2" s="1"/>
  <c r="AZ1173" i="2" s="1"/>
  <c r="L1178" i="2"/>
  <c r="T1178" i="2" s="1"/>
  <c r="N1178" i="2"/>
  <c r="AS1178" i="2" s="1"/>
  <c r="K1185" i="2"/>
  <c r="N1185" i="2"/>
  <c r="M1185" i="2"/>
  <c r="N1190" i="2"/>
  <c r="M1190" i="2"/>
  <c r="L1190" i="2"/>
  <c r="M1195" i="2"/>
  <c r="L1195" i="2"/>
  <c r="K1195" i="2"/>
  <c r="L1202" i="2"/>
  <c r="K1202" i="2"/>
  <c r="N1202" i="2"/>
  <c r="J1202" i="2"/>
  <c r="K1207" i="2"/>
  <c r="N1207" i="2"/>
  <c r="M1207" i="2"/>
  <c r="G1207" i="2"/>
  <c r="N1212" i="2"/>
  <c r="M1212" i="2"/>
  <c r="L1212" i="2"/>
  <c r="J1133" i="2"/>
  <c r="G1133" i="2"/>
  <c r="J1134" i="2"/>
  <c r="G1134" i="2"/>
  <c r="G1167" i="2"/>
  <c r="O1167" i="2" s="1"/>
  <c r="G1171" i="2"/>
  <c r="O1171" i="2" s="1"/>
  <c r="G1175" i="2"/>
  <c r="O1175" i="2" s="1"/>
  <c r="G1185" i="2"/>
  <c r="G1190" i="2"/>
  <c r="G1195" i="2"/>
  <c r="G1202" i="2"/>
  <c r="G1206" i="2"/>
  <c r="G1212" i="2"/>
  <c r="J1185" i="2"/>
  <c r="J1190" i="2"/>
  <c r="J1195" i="2"/>
  <c r="J1201" i="2"/>
  <c r="J1207" i="2"/>
  <c r="J1212" i="2"/>
  <c r="K1168" i="2"/>
  <c r="S1168" i="2" s="1"/>
  <c r="AZ1168" i="2" s="1"/>
  <c r="K1172" i="2"/>
  <c r="S1172" i="2" s="1"/>
  <c r="AZ1172" i="2" s="1"/>
  <c r="K1190" i="2"/>
  <c r="K1200" i="2"/>
  <c r="K1212" i="2"/>
  <c r="L1171" i="2"/>
  <c r="T1171" i="2" s="1"/>
  <c r="L1185" i="2"/>
  <c r="L1193" i="2"/>
  <c r="L1207" i="2"/>
  <c r="M1166" i="2"/>
  <c r="AP1166" i="2" s="1"/>
  <c r="M1178" i="2"/>
  <c r="AP1178" i="2" s="1"/>
  <c r="M1188" i="2"/>
  <c r="M1202" i="2"/>
  <c r="M1210" i="2"/>
  <c r="N1173" i="2"/>
  <c r="AS1173" i="2" s="1"/>
  <c r="N1183" i="2"/>
  <c r="N1195" i="2"/>
  <c r="N1205" i="2"/>
  <c r="G1128" i="2"/>
  <c r="J1135" i="2"/>
  <c r="T1164" i="2"/>
  <c r="J11" i="3"/>
  <c r="I11" i="3"/>
  <c r="J3" i="3"/>
  <c r="J4" i="3"/>
  <c r="J5" i="3"/>
  <c r="J6" i="3"/>
  <c r="J7" i="3"/>
  <c r="J8" i="3"/>
  <c r="J9" i="3"/>
  <c r="J10" i="3"/>
  <c r="J2" i="3"/>
  <c r="I3" i="3"/>
  <c r="I4" i="3"/>
  <c r="I5" i="3"/>
  <c r="I6" i="3"/>
  <c r="I7" i="3"/>
  <c r="I8" i="3"/>
  <c r="I9" i="3"/>
  <c r="I10" i="3"/>
  <c r="I2" i="3"/>
  <c r="H86" i="9" l="1"/>
  <c r="H90" i="9"/>
  <c r="H87" i="9"/>
  <c r="H91" i="9"/>
  <c r="H85" i="9"/>
  <c r="H84" i="9"/>
  <c r="K27" i="8"/>
  <c r="Q27" i="8" s="1"/>
  <c r="K28" i="8"/>
  <c r="Q28" i="8" s="1"/>
  <c r="K29" i="8"/>
  <c r="Q29" i="8" s="1"/>
  <c r="K30" i="8"/>
  <c r="Q30" i="8" s="1"/>
  <c r="L28" i="32"/>
  <c r="R28" i="32" s="1"/>
  <c r="L17" i="32"/>
  <c r="K63" i="8"/>
  <c r="Q63" i="8" s="1"/>
  <c r="K65" i="8"/>
  <c r="Q65" i="8" s="1"/>
  <c r="K64" i="8"/>
  <c r="Q64" i="8" s="1"/>
  <c r="K66" i="8"/>
  <c r="Q66" i="8" s="1"/>
  <c r="L70" i="32"/>
  <c r="R70" i="32" s="1"/>
  <c r="L59" i="32"/>
  <c r="H70" i="9"/>
  <c r="H66" i="9"/>
  <c r="J66" i="9" s="1"/>
  <c r="H67" i="9"/>
  <c r="J67" i="9" s="1"/>
  <c r="H71" i="9"/>
  <c r="H65" i="9"/>
  <c r="J65" i="9" s="1"/>
  <c r="H64" i="9"/>
  <c r="J64" i="9" s="1"/>
  <c r="H15" i="8"/>
  <c r="J15" i="8" s="1"/>
  <c r="Q15" i="8" s="1"/>
  <c r="H32" i="8"/>
  <c r="J32" i="8" s="1"/>
  <c r="Q32" i="8" s="1"/>
  <c r="H33" i="8"/>
  <c r="J33" i="8" s="1"/>
  <c r="Q33" i="8" s="1"/>
  <c r="H34" i="8"/>
  <c r="J34" i="8" s="1"/>
  <c r="Q34" i="8" s="1"/>
  <c r="H7" i="8"/>
  <c r="J7" i="8" s="1"/>
  <c r="Q7" i="8" s="1"/>
  <c r="H31" i="8"/>
  <c r="J31" i="8" s="1"/>
  <c r="Q31" i="8" s="1"/>
  <c r="H51" i="8"/>
  <c r="J51" i="8" s="1"/>
  <c r="Q51" i="8" s="1"/>
  <c r="H37" i="32"/>
  <c r="H17" i="32"/>
  <c r="H79" i="32"/>
  <c r="H59" i="32"/>
  <c r="H67" i="8"/>
  <c r="J67" i="8" s="1"/>
  <c r="Q67" i="8" s="1"/>
  <c r="H43" i="8"/>
  <c r="J43" i="8" s="1"/>
  <c r="Q43" i="8" s="1"/>
  <c r="H69" i="8"/>
  <c r="J69" i="8" s="1"/>
  <c r="Q69" i="8" s="1"/>
  <c r="H68" i="8"/>
  <c r="J68" i="8" s="1"/>
  <c r="Q68" i="8" s="1"/>
  <c r="H70" i="8"/>
  <c r="J70" i="8" s="1"/>
  <c r="Q70" i="8" s="1"/>
  <c r="H69" i="32"/>
  <c r="K69" i="32" s="1"/>
  <c r="M845" i="2"/>
  <c r="H27" i="32"/>
  <c r="K27" i="32" s="1"/>
  <c r="L37" i="32"/>
  <c r="L33" i="32"/>
  <c r="L8" i="32"/>
  <c r="L11" i="32"/>
  <c r="L25" i="32"/>
  <c r="L29" i="32"/>
  <c r="K29" i="32" s="1"/>
  <c r="L18" i="32"/>
  <c r="K18" i="32" s="1"/>
  <c r="L4" i="32"/>
  <c r="L79" i="32"/>
  <c r="L75" i="32"/>
  <c r="L67" i="32"/>
  <c r="L71" i="32"/>
  <c r="K71" i="32" s="1"/>
  <c r="L60" i="32"/>
  <c r="K60" i="32" s="1"/>
  <c r="L53" i="32"/>
  <c r="L50" i="32"/>
  <c r="R50" i="32" s="1"/>
  <c r="L46" i="32"/>
  <c r="L62" i="32"/>
  <c r="L55" i="32"/>
  <c r="H20" i="32"/>
  <c r="H13" i="32"/>
  <c r="H38" i="32"/>
  <c r="H34" i="32"/>
  <c r="H19" i="32"/>
  <c r="H26" i="32"/>
  <c r="H5" i="32"/>
  <c r="H30" i="32"/>
  <c r="H9" i="32"/>
  <c r="H12" i="32"/>
  <c r="L38" i="32"/>
  <c r="L34" i="32"/>
  <c r="L9" i="32"/>
  <c r="L5" i="32"/>
  <c r="L30" i="32"/>
  <c r="L12" i="32"/>
  <c r="L19" i="32"/>
  <c r="L26" i="32"/>
  <c r="H55" i="32"/>
  <c r="H62" i="32"/>
  <c r="H80" i="32"/>
  <c r="H76" i="32"/>
  <c r="H68" i="32"/>
  <c r="H54" i="32"/>
  <c r="H72" i="32"/>
  <c r="H51" i="32"/>
  <c r="H61" i="32"/>
  <c r="H47" i="32"/>
  <c r="L20" i="32"/>
  <c r="L13" i="32"/>
  <c r="P976" i="2"/>
  <c r="L76" i="32"/>
  <c r="L80" i="32"/>
  <c r="L68" i="32"/>
  <c r="L47" i="32"/>
  <c r="L72" i="32"/>
  <c r="L51" i="32"/>
  <c r="L61" i="32"/>
  <c r="L54" i="32"/>
  <c r="P693" i="2"/>
  <c r="R693" i="2"/>
  <c r="T693" i="2"/>
  <c r="S693" i="2"/>
  <c r="Q693" i="2"/>
  <c r="N78" i="32" s="1"/>
  <c r="H78" i="32"/>
  <c r="U1015" i="2"/>
  <c r="M693" i="2"/>
  <c r="N36" i="32" s="1"/>
  <c r="O693" i="2"/>
  <c r="H68" i="9"/>
  <c r="H69" i="9"/>
  <c r="P1028" i="2"/>
  <c r="U885" i="2"/>
  <c r="S1002" i="2"/>
  <c r="U872" i="2"/>
  <c r="V872" i="2"/>
  <c r="W1015" i="2"/>
  <c r="Q1015" i="2"/>
  <c r="R859" i="2"/>
  <c r="W859" i="2"/>
  <c r="V1015" i="2"/>
  <c r="S1028" i="2"/>
  <c r="V859" i="2"/>
  <c r="U859" i="2"/>
  <c r="U1028" i="2"/>
  <c r="P1002" i="2"/>
  <c r="R872" i="2"/>
  <c r="U976" i="2"/>
  <c r="W872" i="2"/>
  <c r="R885" i="2"/>
  <c r="Q872" i="2"/>
  <c r="R1002" i="2"/>
  <c r="V1028" i="2"/>
  <c r="W885" i="2"/>
  <c r="P885" i="2"/>
  <c r="Q1028" i="2"/>
  <c r="BD877" i="2"/>
  <c r="BD983" i="2"/>
  <c r="BD850" i="2"/>
  <c r="BD981" i="2"/>
  <c r="BD1033" i="2"/>
  <c r="BD1035" i="2"/>
  <c r="BD864" i="2"/>
  <c r="BD866" i="2"/>
  <c r="BD879" i="2"/>
  <c r="BD890" i="2"/>
  <c r="BD1007" i="2"/>
  <c r="BD892" i="2"/>
  <c r="BD1009" i="2"/>
  <c r="BD1020" i="2"/>
  <c r="BD1022" i="2"/>
  <c r="M1028" i="2"/>
  <c r="P1015" i="2"/>
  <c r="AX981" i="2"/>
  <c r="AX1035" i="2"/>
  <c r="AX879" i="2"/>
  <c r="AX1007" i="2"/>
  <c r="AX864" i="2"/>
  <c r="AX890" i="2"/>
  <c r="H197" i="32" s="1"/>
  <c r="AX1009" i="2"/>
  <c r="AX866" i="2"/>
  <c r="AX1022" i="2"/>
  <c r="AX850" i="2"/>
  <c r="H195" i="32" s="1"/>
  <c r="K195" i="32" s="1"/>
  <c r="R195" i="32" s="1"/>
  <c r="AX1020" i="2"/>
  <c r="AX877" i="2"/>
  <c r="AX892" i="2"/>
  <c r="AX1033" i="2"/>
  <c r="AX983" i="2"/>
  <c r="P872" i="2"/>
  <c r="S1015" i="2"/>
  <c r="W1028" i="2"/>
  <c r="Y864" i="2"/>
  <c r="Y1020" i="2"/>
  <c r="Y892" i="2"/>
  <c r="Y1033" i="2"/>
  <c r="Y877" i="2"/>
  <c r="Y879" i="2"/>
  <c r="Y890" i="2"/>
  <c r="Y983" i="2"/>
  <c r="Y1007" i="2"/>
  <c r="Y1009" i="2"/>
  <c r="Y850" i="2"/>
  <c r="Y866" i="2"/>
  <c r="Y981" i="2"/>
  <c r="Y1022" i="2"/>
  <c r="Y1035" i="2"/>
  <c r="AU879" i="2"/>
  <c r="AU1007" i="2"/>
  <c r="AU864" i="2"/>
  <c r="AU1020" i="2"/>
  <c r="AU850" i="2"/>
  <c r="H153" i="32" s="1"/>
  <c r="K153" i="32" s="1"/>
  <c r="R153" i="32" s="1"/>
  <c r="AU981" i="2"/>
  <c r="AU1022" i="2"/>
  <c r="AU877" i="2"/>
  <c r="AU892" i="2"/>
  <c r="AU1033" i="2"/>
  <c r="AU866" i="2"/>
  <c r="AU1035" i="2"/>
  <c r="AU890" i="2"/>
  <c r="H155" i="32" s="1"/>
  <c r="AU983" i="2"/>
  <c r="AU1009" i="2"/>
  <c r="M976" i="2"/>
  <c r="M1002" i="2"/>
  <c r="S859" i="2"/>
  <c r="S976" i="2"/>
  <c r="U1002" i="2"/>
  <c r="Q976" i="2"/>
  <c r="Q1002" i="2"/>
  <c r="BB850" i="2"/>
  <c r="BB890" i="2"/>
  <c r="BB1009" i="2"/>
  <c r="BB866" i="2"/>
  <c r="BB1022" i="2"/>
  <c r="BB1035" i="2"/>
  <c r="BB1020" i="2"/>
  <c r="BB981" i="2"/>
  <c r="BB1033" i="2"/>
  <c r="BB877" i="2"/>
  <c r="BB983" i="2"/>
  <c r="BB879" i="2"/>
  <c r="BB1007" i="2"/>
  <c r="BB864" i="2"/>
  <c r="BB892" i="2"/>
  <c r="M885" i="2"/>
  <c r="R976" i="2"/>
  <c r="W976" i="2"/>
  <c r="T850" i="2"/>
  <c r="T866" i="2"/>
  <c r="T1022" i="2"/>
  <c r="T981" i="2"/>
  <c r="T1035" i="2"/>
  <c r="T892" i="2"/>
  <c r="T890" i="2"/>
  <c r="T879" i="2"/>
  <c r="T1020" i="2"/>
  <c r="T877" i="2"/>
  <c r="T983" i="2"/>
  <c r="T1033" i="2"/>
  <c r="T1009" i="2"/>
  <c r="T1007" i="2"/>
  <c r="T864" i="2"/>
  <c r="BC983" i="2"/>
  <c r="BC850" i="2"/>
  <c r="BC890" i="2"/>
  <c r="BC1009" i="2"/>
  <c r="BC866" i="2"/>
  <c r="BC877" i="2"/>
  <c r="BC981" i="2"/>
  <c r="BC1035" i="2"/>
  <c r="BC864" i="2"/>
  <c r="BC1007" i="2"/>
  <c r="BC1020" i="2"/>
  <c r="BC892" i="2"/>
  <c r="BC879" i="2"/>
  <c r="BC1022" i="2"/>
  <c r="BC1033" i="2"/>
  <c r="M872" i="2"/>
  <c r="S872" i="2"/>
  <c r="V1002" i="2"/>
  <c r="X892" i="2"/>
  <c r="X1033" i="2"/>
  <c r="X877" i="2"/>
  <c r="X879" i="2"/>
  <c r="X890" i="2"/>
  <c r="X983" i="2"/>
  <c r="X1007" i="2"/>
  <c r="X1009" i="2"/>
  <c r="X1020" i="2"/>
  <c r="X850" i="2"/>
  <c r="X866" i="2"/>
  <c r="X981" i="2"/>
  <c r="X1022" i="2"/>
  <c r="X1035" i="2"/>
  <c r="X864" i="2"/>
  <c r="M1015" i="2"/>
  <c r="P859" i="2"/>
  <c r="S885" i="2"/>
  <c r="R1028" i="2"/>
  <c r="Q859" i="2"/>
  <c r="Q885" i="2"/>
  <c r="W1002" i="2"/>
  <c r="V885" i="2"/>
  <c r="M859" i="2"/>
  <c r="R1015" i="2"/>
  <c r="R66" i="32"/>
  <c r="AZ1164" i="2"/>
  <c r="K17" i="32" l="1"/>
  <c r="K59" i="32"/>
  <c r="R59" i="32" s="1"/>
  <c r="K136" i="8"/>
  <c r="Q136" i="8" s="1"/>
  <c r="K138" i="8"/>
  <c r="Q138" i="8" s="1"/>
  <c r="K135" i="8"/>
  <c r="Q135" i="8" s="1"/>
  <c r="K137" i="8"/>
  <c r="Q137" i="8" s="1"/>
  <c r="L154" i="32"/>
  <c r="R154" i="32" s="1"/>
  <c r="L143" i="32"/>
  <c r="H163" i="32"/>
  <c r="H143" i="32"/>
  <c r="K172" i="8"/>
  <c r="Q172" i="8" s="1"/>
  <c r="K171" i="8"/>
  <c r="Q171" i="8" s="1"/>
  <c r="K174" i="8"/>
  <c r="Q174" i="8" s="1"/>
  <c r="K173" i="8"/>
  <c r="Q173" i="8" s="1"/>
  <c r="L196" i="32"/>
  <c r="R196" i="32" s="1"/>
  <c r="L185" i="32"/>
  <c r="H123" i="8"/>
  <c r="J123" i="8" s="1"/>
  <c r="Q123" i="8" s="1"/>
  <c r="H175" i="8"/>
  <c r="J175" i="8" s="1"/>
  <c r="Q175" i="8" s="1"/>
  <c r="H176" i="8"/>
  <c r="J176" i="8" s="1"/>
  <c r="Q176" i="8" s="1"/>
  <c r="H177" i="8"/>
  <c r="J177" i="8" s="1"/>
  <c r="Q177" i="8" s="1"/>
  <c r="H151" i="8"/>
  <c r="J151" i="8" s="1"/>
  <c r="Q151" i="8" s="1"/>
  <c r="H178" i="8"/>
  <c r="J178" i="8" s="1"/>
  <c r="Q178" i="8" s="1"/>
  <c r="H140" i="8"/>
  <c r="J140" i="8" s="1"/>
  <c r="Q140" i="8" s="1"/>
  <c r="H139" i="8"/>
  <c r="J139" i="8" s="1"/>
  <c r="Q139" i="8" s="1"/>
  <c r="H115" i="8"/>
  <c r="J115" i="8" s="1"/>
  <c r="Q115" i="8" s="1"/>
  <c r="H141" i="8"/>
  <c r="J141" i="8" s="1"/>
  <c r="Q141" i="8" s="1"/>
  <c r="H142" i="8"/>
  <c r="J142" i="8" s="1"/>
  <c r="Q142" i="8" s="1"/>
  <c r="H159" i="8"/>
  <c r="J159" i="8" s="1"/>
  <c r="Q159" i="8" s="1"/>
  <c r="H205" i="32"/>
  <c r="H185" i="32"/>
  <c r="K75" i="32"/>
  <c r="R75" i="32" s="1"/>
  <c r="K33" i="32"/>
  <c r="R33" i="32" s="1"/>
  <c r="K79" i="32"/>
  <c r="R79" i="32" s="1"/>
  <c r="K37" i="32"/>
  <c r="R37" i="32" s="1"/>
  <c r="K78" i="32"/>
  <c r="R78" i="32" s="1"/>
  <c r="K76" i="32"/>
  <c r="R76" i="32" s="1"/>
  <c r="K80" i="32"/>
  <c r="R80" i="32" s="1"/>
  <c r="L164" i="32"/>
  <c r="L160" i="32"/>
  <c r="L145" i="32"/>
  <c r="L138" i="32"/>
  <c r="L135" i="32"/>
  <c r="L152" i="32"/>
  <c r="L156" i="32"/>
  <c r="L131" i="32"/>
  <c r="K34" i="32"/>
  <c r="R34" i="32" s="1"/>
  <c r="L163" i="32"/>
  <c r="L159" i="32"/>
  <c r="L155" i="32"/>
  <c r="L151" i="32"/>
  <c r="R151" i="32" s="1"/>
  <c r="L144" i="32"/>
  <c r="L137" i="32"/>
  <c r="R137" i="32" s="1"/>
  <c r="L130" i="32"/>
  <c r="L134" i="32"/>
  <c r="R134" i="32" s="1"/>
  <c r="L188" i="32"/>
  <c r="L181" i="32"/>
  <c r="K38" i="32"/>
  <c r="R38" i="32" s="1"/>
  <c r="L205" i="32"/>
  <c r="L201" i="32"/>
  <c r="L172" i="32"/>
  <c r="L176" i="32"/>
  <c r="R176" i="32" s="1"/>
  <c r="L186" i="32"/>
  <c r="L179" i="32"/>
  <c r="R179" i="32" s="1"/>
  <c r="L193" i="32"/>
  <c r="R193" i="32" s="1"/>
  <c r="L197" i="32"/>
  <c r="L206" i="32"/>
  <c r="L202" i="32"/>
  <c r="L180" i="32"/>
  <c r="L187" i="32"/>
  <c r="L173" i="32"/>
  <c r="L194" i="32"/>
  <c r="L177" i="32"/>
  <c r="L198" i="32"/>
  <c r="L139" i="32"/>
  <c r="L146" i="32"/>
  <c r="H139" i="32"/>
  <c r="H146" i="32"/>
  <c r="H188" i="32"/>
  <c r="H181" i="32"/>
  <c r="H160" i="32"/>
  <c r="H164" i="32"/>
  <c r="H152" i="32"/>
  <c r="H131" i="32"/>
  <c r="H135" i="32"/>
  <c r="H145" i="32"/>
  <c r="H156" i="32"/>
  <c r="H138" i="32"/>
  <c r="H202" i="32"/>
  <c r="H206" i="32"/>
  <c r="H187" i="32"/>
  <c r="H198" i="32"/>
  <c r="H173" i="32"/>
  <c r="H180" i="32"/>
  <c r="H194" i="32"/>
  <c r="H177" i="32"/>
  <c r="H36" i="32"/>
  <c r="M672" i="2"/>
  <c r="T1002" i="2"/>
  <c r="BB872" i="2"/>
  <c r="X885" i="2"/>
  <c r="BB885" i="2"/>
  <c r="X872" i="2"/>
  <c r="BC1015" i="2"/>
  <c r="AU976" i="2"/>
  <c r="BC1028" i="2"/>
  <c r="AU1002" i="2"/>
  <c r="AX1002" i="2"/>
  <c r="AX872" i="2"/>
  <c r="AU872" i="2"/>
  <c r="BB976" i="2"/>
  <c r="T1028" i="2"/>
  <c r="BC1002" i="2"/>
  <c r="BB1002" i="2"/>
  <c r="Y885" i="2"/>
  <c r="AX976" i="2"/>
  <c r="BB859" i="2"/>
  <c r="AU1015" i="2"/>
  <c r="Y859" i="2"/>
  <c r="Y1028" i="2"/>
  <c r="AX1028" i="2"/>
  <c r="AX885" i="2"/>
  <c r="X1015" i="2"/>
  <c r="BC885" i="2"/>
  <c r="T872" i="2"/>
  <c r="AU1028" i="2"/>
  <c r="Y1015" i="2"/>
  <c r="BD1015" i="2"/>
  <c r="X1002" i="2"/>
  <c r="T1015" i="2"/>
  <c r="Y1002" i="2"/>
  <c r="AX1015" i="2"/>
  <c r="BD1028" i="2"/>
  <c r="X859" i="2"/>
  <c r="BC859" i="2"/>
  <c r="BD885" i="2"/>
  <c r="BD976" i="2"/>
  <c r="X1028" i="2"/>
  <c r="T859" i="2"/>
  <c r="T885" i="2"/>
  <c r="BB1028" i="2"/>
  <c r="BD1002" i="2"/>
  <c r="BC976" i="2"/>
  <c r="AX859" i="2"/>
  <c r="T976" i="2"/>
  <c r="AU859" i="2"/>
  <c r="BD859" i="2"/>
  <c r="BE892" i="2"/>
  <c r="BE1033" i="2"/>
  <c r="BE877" i="2"/>
  <c r="BE864" i="2"/>
  <c r="BE866" i="2"/>
  <c r="BE890" i="2"/>
  <c r="BE1009" i="2"/>
  <c r="BE1022" i="2"/>
  <c r="BE850" i="2"/>
  <c r="BE1007" i="2"/>
  <c r="BE981" i="2"/>
  <c r="BE983" i="2"/>
  <c r="BE879" i="2"/>
  <c r="BE1020" i="2"/>
  <c r="BE1035" i="2"/>
  <c r="X976" i="2"/>
  <c r="BC872" i="2"/>
  <c r="BB1015" i="2"/>
  <c r="AU885" i="2"/>
  <c r="Y976" i="2"/>
  <c r="Y872" i="2"/>
  <c r="BD872" i="2"/>
  <c r="K55" i="32"/>
  <c r="R55" i="32" s="1"/>
  <c r="K62" i="32"/>
  <c r="R62" i="32" s="1"/>
  <c r="K72" i="32"/>
  <c r="K54" i="32"/>
  <c r="R54" i="32" s="1"/>
  <c r="K68" i="32"/>
  <c r="R68" i="32" s="1"/>
  <c r="K61" i="32"/>
  <c r="R61" i="32" s="1"/>
  <c r="K51" i="32"/>
  <c r="R51" i="32" s="1"/>
  <c r="K47" i="32"/>
  <c r="R67" i="32"/>
  <c r="R53" i="32"/>
  <c r="R60" i="32"/>
  <c r="B13" i="9"/>
  <c r="B133" i="9"/>
  <c r="B73" i="9"/>
  <c r="B113" i="9"/>
  <c r="B33" i="9"/>
  <c r="B93" i="9"/>
  <c r="B53" i="9"/>
  <c r="B7" i="9"/>
  <c r="B127" i="9"/>
  <c r="B47" i="9"/>
  <c r="B67" i="9"/>
  <c r="B107" i="9"/>
  <c r="B87" i="9"/>
  <c r="B27" i="9"/>
  <c r="B6" i="9"/>
  <c r="B86" i="9"/>
  <c r="B106" i="9"/>
  <c r="B66" i="9"/>
  <c r="B46" i="9"/>
  <c r="B126" i="9"/>
  <c r="B26" i="9"/>
  <c r="B14" i="9"/>
  <c r="B94" i="9"/>
  <c r="B54" i="9"/>
  <c r="B114" i="9"/>
  <c r="B74" i="9"/>
  <c r="B134" i="9"/>
  <c r="B34" i="9"/>
  <c r="B8" i="9"/>
  <c r="B128" i="9"/>
  <c r="B108" i="9"/>
  <c r="B88" i="9"/>
  <c r="B68" i="9"/>
  <c r="B48" i="9"/>
  <c r="B28" i="9"/>
  <c r="B4" i="9"/>
  <c r="B84" i="9"/>
  <c r="B44" i="9"/>
  <c r="B64" i="9"/>
  <c r="B124" i="9"/>
  <c r="B104" i="9"/>
  <c r="B24" i="9"/>
  <c r="B5" i="9"/>
  <c r="B105" i="9"/>
  <c r="B25" i="9"/>
  <c r="B125" i="9"/>
  <c r="B65" i="9"/>
  <c r="B85" i="9"/>
  <c r="B45" i="9"/>
  <c r="K185" i="32" l="1"/>
  <c r="R185" i="32" s="1"/>
  <c r="K143" i="32"/>
  <c r="R143" i="32" s="1"/>
  <c r="M685" i="2"/>
  <c r="D36" i="32" s="1"/>
  <c r="K36" i="32" s="1"/>
  <c r="R36" i="32" s="1"/>
  <c r="D35" i="32"/>
  <c r="K35" i="32" s="1"/>
  <c r="R35" i="32" s="1"/>
  <c r="K205" i="32"/>
  <c r="R205" i="32" s="1"/>
  <c r="K197" i="32"/>
  <c r="R197" i="32" s="1"/>
  <c r="K155" i="32"/>
  <c r="R155" i="32" s="1"/>
  <c r="K159" i="32"/>
  <c r="R159" i="32" s="1"/>
  <c r="K163" i="32"/>
  <c r="R163" i="32" s="1"/>
  <c r="K201" i="32"/>
  <c r="R201" i="32" s="1"/>
  <c r="K186" i="32"/>
  <c r="R186" i="32" s="1"/>
  <c r="K144" i="32"/>
  <c r="R144" i="32" s="1"/>
  <c r="K164" i="32"/>
  <c r="R164" i="32" s="1"/>
  <c r="K160" i="32"/>
  <c r="R160" i="32" s="1"/>
  <c r="K206" i="32"/>
  <c r="R206" i="32" s="1"/>
  <c r="K202" i="32"/>
  <c r="R202" i="32" s="1"/>
  <c r="BE1028" i="2"/>
  <c r="BE1002" i="2"/>
  <c r="BE885" i="2"/>
  <c r="BE1015" i="2"/>
  <c r="BE976" i="2"/>
  <c r="BE859" i="2"/>
  <c r="BE872" i="2"/>
  <c r="K139" i="32"/>
  <c r="R139" i="32" s="1"/>
  <c r="K173" i="32"/>
  <c r="R173" i="32" s="1"/>
  <c r="K145" i="32"/>
  <c r="R145" i="32" s="1"/>
  <c r="K198" i="32"/>
  <c r="R198" i="32" s="1"/>
  <c r="K152" i="32"/>
  <c r="R152" i="32" s="1"/>
  <c r="K138" i="32"/>
  <c r="R138" i="32" s="1"/>
  <c r="K188" i="32"/>
  <c r="R188" i="32" s="1"/>
  <c r="K194" i="32"/>
  <c r="R194" i="32" s="1"/>
  <c r="K181" i="32"/>
  <c r="R181" i="32" s="1"/>
  <c r="K177" i="32"/>
  <c r="R177" i="32" s="1"/>
  <c r="K156" i="32"/>
  <c r="R156" i="32" s="1"/>
  <c r="K131" i="32"/>
  <c r="R131" i="32" s="1"/>
  <c r="K180" i="32"/>
  <c r="R180" i="32" s="1"/>
  <c r="K146" i="32"/>
  <c r="R146" i="32" s="1"/>
  <c r="K135" i="32"/>
  <c r="R135" i="32" s="1"/>
  <c r="K187" i="32"/>
  <c r="R187" i="32" s="1"/>
  <c r="F13" i="5"/>
  <c r="F14" i="5"/>
  <c r="F15" i="5"/>
  <c r="D111" i="32" l="1"/>
  <c r="H111" i="32"/>
  <c r="D91" i="32"/>
  <c r="H91" i="32"/>
  <c r="D115" i="32"/>
  <c r="H115" i="32"/>
  <c r="D107" i="32"/>
  <c r="H107" i="32"/>
  <c r="D101" i="32"/>
  <c r="H101" i="32"/>
  <c r="D108" i="32"/>
  <c r="H108" i="32"/>
  <c r="D94" i="32"/>
  <c r="H94" i="32"/>
  <c r="D116" i="32"/>
  <c r="H116" i="32"/>
  <c r="D93" i="32"/>
  <c r="H93" i="32"/>
  <c r="D90" i="32"/>
  <c r="H90" i="32"/>
  <c r="D114" i="32"/>
  <c r="H114" i="32"/>
  <c r="D97" i="32"/>
  <c r="H97" i="32"/>
  <c r="D89" i="32"/>
  <c r="H89" i="32"/>
  <c r="D95" i="32"/>
  <c r="H95" i="32"/>
  <c r="D96" i="32"/>
  <c r="H96" i="32"/>
  <c r="D105" i="32"/>
  <c r="H105" i="32"/>
  <c r="D99" i="32"/>
  <c r="H99" i="32"/>
  <c r="D103" i="32"/>
  <c r="H103" i="32"/>
  <c r="D104" i="32"/>
  <c r="H104" i="32"/>
  <c r="D102" i="32"/>
  <c r="H102" i="32"/>
  <c r="D113" i="32"/>
  <c r="H113" i="32"/>
  <c r="D110" i="32"/>
  <c r="H110" i="32"/>
  <c r="D109" i="32"/>
  <c r="H109" i="32"/>
  <c r="D106" i="32"/>
  <c r="H106" i="32"/>
  <c r="D92" i="32"/>
  <c r="H92" i="32"/>
  <c r="D98" i="32"/>
  <c r="H98" i="32"/>
  <c r="H88" i="32"/>
  <c r="J41" i="32"/>
  <c r="I184" i="8" a="1"/>
  <c r="I184" i="8" s="1"/>
  <c r="J184" i="8" a="1"/>
  <c r="J184" i="8" s="1"/>
  <c r="H76" i="8"/>
  <c r="E220" i="8" a="1"/>
  <c r="E220" i="8" s="1"/>
  <c r="I220" i="8" a="1"/>
  <c r="I220" i="8" s="1"/>
  <c r="J220" i="8" a="1"/>
  <c r="J220" i="8" s="1"/>
  <c r="H88" i="9"/>
  <c r="H89" i="9"/>
  <c r="J112" i="8" l="1"/>
  <c r="Q112" i="8" s="1"/>
  <c r="F116" i="32"/>
  <c r="G116" i="32"/>
  <c r="F107" i="32"/>
  <c r="G107" i="32"/>
  <c r="I94" i="32"/>
  <c r="J94" i="32"/>
  <c r="J115" i="32"/>
  <c r="I115" i="32"/>
  <c r="J116" i="32"/>
  <c r="I116" i="32"/>
  <c r="G94" i="32"/>
  <c r="F94" i="32"/>
  <c r="F115" i="32"/>
  <c r="G115" i="32"/>
  <c r="J108" i="32"/>
  <c r="I108" i="32"/>
  <c r="I91" i="32"/>
  <c r="J91" i="32"/>
  <c r="G108" i="32"/>
  <c r="F108" i="32"/>
  <c r="G91" i="32"/>
  <c r="F91" i="32"/>
  <c r="I107" i="32"/>
  <c r="J107" i="32"/>
  <c r="J101" i="32"/>
  <c r="I101" i="32"/>
  <c r="I111" i="32"/>
  <c r="J111" i="32"/>
  <c r="F101" i="32"/>
  <c r="G101" i="32"/>
  <c r="G111" i="32"/>
  <c r="F111" i="32"/>
  <c r="J106" i="32"/>
  <c r="I106" i="32"/>
  <c r="J102" i="32"/>
  <c r="I102" i="32"/>
  <c r="J105" i="32"/>
  <c r="I105" i="32"/>
  <c r="J97" i="32"/>
  <c r="I97" i="32"/>
  <c r="G106" i="32"/>
  <c r="F106" i="32"/>
  <c r="G102" i="32"/>
  <c r="F102" i="32"/>
  <c r="G105" i="32"/>
  <c r="F105" i="32"/>
  <c r="F97" i="32"/>
  <c r="G97" i="32"/>
  <c r="J109" i="32"/>
  <c r="I109" i="32"/>
  <c r="J104" i="32"/>
  <c r="I104" i="32"/>
  <c r="J96" i="32"/>
  <c r="I96" i="32"/>
  <c r="J114" i="32"/>
  <c r="I114" i="32"/>
  <c r="F109" i="32"/>
  <c r="G109" i="32"/>
  <c r="G104" i="32"/>
  <c r="F104" i="32"/>
  <c r="G96" i="32"/>
  <c r="F96" i="32"/>
  <c r="F114" i="32"/>
  <c r="G114" i="32"/>
  <c r="J98" i="32"/>
  <c r="I98" i="32"/>
  <c r="J110" i="32"/>
  <c r="I110" i="32"/>
  <c r="I103" i="32"/>
  <c r="J103" i="32"/>
  <c r="J95" i="32"/>
  <c r="I95" i="32"/>
  <c r="J90" i="32"/>
  <c r="I90" i="32"/>
  <c r="G98" i="32"/>
  <c r="F98" i="32"/>
  <c r="G110" i="32"/>
  <c r="F110" i="32"/>
  <c r="G103" i="32"/>
  <c r="F103" i="32"/>
  <c r="G95" i="32"/>
  <c r="F95" i="32"/>
  <c r="G90" i="32"/>
  <c r="F90" i="32"/>
  <c r="I92" i="32"/>
  <c r="J92" i="32"/>
  <c r="J113" i="32"/>
  <c r="I113" i="32"/>
  <c r="I99" i="32"/>
  <c r="J99" i="32"/>
  <c r="J89" i="32"/>
  <c r="I89" i="32"/>
  <c r="J93" i="32"/>
  <c r="I93" i="32"/>
  <c r="G92" i="32"/>
  <c r="F92" i="32"/>
  <c r="G113" i="32"/>
  <c r="F113" i="32"/>
  <c r="G99" i="32"/>
  <c r="F99" i="32"/>
  <c r="F89" i="32"/>
  <c r="G89" i="32"/>
  <c r="F93" i="32"/>
  <c r="G93" i="32"/>
  <c r="K20" i="32"/>
  <c r="R20" i="32" s="1"/>
  <c r="K21" i="32"/>
  <c r="R21" i="32" s="1"/>
  <c r="K14" i="32"/>
  <c r="R14" i="32" s="1"/>
  <c r="K12" i="32"/>
  <c r="R12" i="32" s="1"/>
  <c r="K30" i="32"/>
  <c r="R30" i="32" s="1"/>
  <c r="K15" i="32"/>
  <c r="R15" i="32" s="1"/>
  <c r="K10" i="32"/>
  <c r="R10" i="32" s="1"/>
  <c r="K13" i="32"/>
  <c r="R13" i="32" s="1"/>
  <c r="K9" i="32"/>
  <c r="R9" i="32" s="1"/>
  <c r="K5" i="32"/>
  <c r="R5" i="32" s="1"/>
  <c r="K26" i="32"/>
  <c r="R26" i="32" s="1"/>
  <c r="K6" i="32"/>
  <c r="R6" i="32" s="1"/>
  <c r="K19" i="32"/>
  <c r="R19" i="32" s="1"/>
  <c r="K22" i="32"/>
  <c r="R22" i="32" s="1"/>
  <c r="P209" i="32"/>
  <c r="E167" i="32"/>
  <c r="N41" i="32"/>
  <c r="P83" i="32"/>
  <c r="O83" i="32"/>
  <c r="P167" i="32"/>
  <c r="R48" i="32"/>
  <c r="N209" i="32"/>
  <c r="R29" i="32"/>
  <c r="E41" i="32"/>
  <c r="M83" i="32"/>
  <c r="N167" i="32"/>
  <c r="R71" i="32"/>
  <c r="O209" i="32"/>
  <c r="M209" i="32"/>
  <c r="F167" i="32"/>
  <c r="H83" i="32"/>
  <c r="G83" i="32"/>
  <c r="Q41" i="32"/>
  <c r="R8" i="32"/>
  <c r="R27" i="32"/>
  <c r="F41" i="32"/>
  <c r="G41" i="32"/>
  <c r="P41" i="32"/>
  <c r="O41" i="32"/>
  <c r="L83" i="32"/>
  <c r="R46" i="32"/>
  <c r="Q167" i="32"/>
  <c r="R130" i="32"/>
  <c r="L167" i="32"/>
  <c r="D277" i="32"/>
  <c r="E209" i="32"/>
  <c r="H167" i="32"/>
  <c r="D209" i="32"/>
  <c r="R49" i="32"/>
  <c r="R31" i="32"/>
  <c r="H41" i="32"/>
  <c r="R11" i="32"/>
  <c r="F209" i="32"/>
  <c r="D83" i="32"/>
  <c r="R72" i="32"/>
  <c r="I277" i="32"/>
  <c r="E277" i="32"/>
  <c r="G88" i="32"/>
  <c r="F88" i="32"/>
  <c r="D125" i="32"/>
  <c r="I83" i="32"/>
  <c r="I167" i="32"/>
  <c r="R7" i="32"/>
  <c r="G209" i="32"/>
  <c r="R74" i="32"/>
  <c r="I41" i="32"/>
  <c r="M41" i="32"/>
  <c r="R17" i="32"/>
  <c r="R18" i="32"/>
  <c r="R23" i="32"/>
  <c r="N83" i="32"/>
  <c r="R47" i="32"/>
  <c r="J277" i="32"/>
  <c r="O167" i="32"/>
  <c r="M220" i="8"/>
  <c r="J76" i="8"/>
  <c r="I76" i="8"/>
  <c r="H125" i="32"/>
  <c r="I88" i="32"/>
  <c r="J88" i="32"/>
  <c r="I209" i="32"/>
  <c r="Q83" i="32"/>
  <c r="F83" i="32"/>
  <c r="M167" i="32"/>
  <c r="G167" i="32"/>
  <c r="R73" i="32"/>
  <c r="D41" i="32"/>
  <c r="R16" i="32"/>
  <c r="R24" i="32"/>
  <c r="R4" i="32"/>
  <c r="L41" i="32"/>
  <c r="R25" i="32"/>
  <c r="R172" i="32"/>
  <c r="L209" i="32"/>
  <c r="Q209" i="32"/>
  <c r="E83" i="32"/>
  <c r="D167" i="32"/>
  <c r="H209" i="32"/>
  <c r="D51" i="9"/>
  <c r="E111" i="9"/>
  <c r="D111" i="9"/>
  <c r="I111" i="9"/>
  <c r="Q131" i="9"/>
  <c r="L131" i="9"/>
  <c r="J111" i="9"/>
  <c r="H51" i="9"/>
  <c r="I51" i="9" s="1"/>
  <c r="J51" i="9" s="1"/>
  <c r="D105" i="9"/>
  <c r="D45" i="9"/>
  <c r="E105" i="9"/>
  <c r="J105" i="9"/>
  <c r="H45" i="9"/>
  <c r="I45" i="9" s="1"/>
  <c r="J45" i="9" s="1"/>
  <c r="I105" i="9"/>
  <c r="E106" i="9"/>
  <c r="D46" i="9"/>
  <c r="D106" i="9"/>
  <c r="J106" i="9"/>
  <c r="H46" i="9"/>
  <c r="I46" i="9" s="1"/>
  <c r="J46" i="9" s="1"/>
  <c r="I106" i="9"/>
  <c r="D113" i="9"/>
  <c r="E113" i="9"/>
  <c r="D53" i="9"/>
  <c r="Q133" i="9"/>
  <c r="H53" i="9"/>
  <c r="I53" i="9" s="1"/>
  <c r="J53" i="9" s="1"/>
  <c r="I113" i="9"/>
  <c r="J113" i="9"/>
  <c r="L133" i="9"/>
  <c r="E114" i="9"/>
  <c r="D54" i="9"/>
  <c r="D114" i="9"/>
  <c r="J114" i="9"/>
  <c r="H54" i="9"/>
  <c r="I54" i="9" s="1"/>
  <c r="J54" i="9" s="1"/>
  <c r="I114" i="9"/>
  <c r="E107" i="9"/>
  <c r="D107" i="9"/>
  <c r="D47" i="9"/>
  <c r="I107" i="9"/>
  <c r="H47" i="9"/>
  <c r="I47" i="9" s="1"/>
  <c r="J47" i="9" s="1"/>
  <c r="J107" i="9"/>
  <c r="D108" i="9"/>
  <c r="H108" i="9" s="1"/>
  <c r="E108" i="9"/>
  <c r="D48" i="9"/>
  <c r="I108" i="9"/>
  <c r="K108" i="9" s="1"/>
  <c r="J108" i="9"/>
  <c r="H48" i="9"/>
  <c r="I48" i="9" s="1"/>
  <c r="J48" i="9" s="1"/>
  <c r="D104" i="9"/>
  <c r="E104" i="9"/>
  <c r="D44" i="9"/>
  <c r="I104" i="9"/>
  <c r="J104" i="9"/>
  <c r="H44" i="9"/>
  <c r="D49" i="9"/>
  <c r="E109" i="9"/>
  <c r="D109" i="9"/>
  <c r="H109" i="9" s="1"/>
  <c r="I109" i="9"/>
  <c r="K109" i="9" s="1"/>
  <c r="J109" i="9"/>
  <c r="H49" i="9"/>
  <c r="I49" i="9" s="1"/>
  <c r="J49" i="9" s="1"/>
  <c r="E110" i="9"/>
  <c r="D50" i="9"/>
  <c r="D110" i="9"/>
  <c r="I110" i="9"/>
  <c r="Q130" i="9"/>
  <c r="J110" i="9"/>
  <c r="H50" i="9"/>
  <c r="I50" i="9" s="1"/>
  <c r="J50" i="9" s="1"/>
  <c r="E112" i="9"/>
  <c r="D52" i="9"/>
  <c r="D112" i="9"/>
  <c r="J112" i="9"/>
  <c r="H52" i="9"/>
  <c r="I52" i="9" s="1"/>
  <c r="J52" i="9" s="1"/>
  <c r="I112" i="9"/>
  <c r="Q132" i="9"/>
  <c r="L132" i="9"/>
  <c r="O143" i="8"/>
  <c r="O179" i="8"/>
  <c r="O71" i="8"/>
  <c r="P71" i="8"/>
  <c r="P179" i="8"/>
  <c r="P143" i="8"/>
  <c r="O35" i="8"/>
  <c r="L35" i="8"/>
  <c r="L71" i="8"/>
  <c r="N179" i="8"/>
  <c r="M143" i="8"/>
  <c r="M71" i="8"/>
  <c r="N35" i="8"/>
  <c r="N143" i="8"/>
  <c r="K143" i="8"/>
  <c r="L179" i="8"/>
  <c r="K71" i="8"/>
  <c r="N71" i="8"/>
  <c r="M35" i="8"/>
  <c r="L143" i="8"/>
  <c r="F76" i="8"/>
  <c r="G76" i="8"/>
  <c r="K35" i="8"/>
  <c r="P35" i="8"/>
  <c r="K179" i="8"/>
  <c r="M179" i="8"/>
  <c r="L107" i="32" l="1"/>
  <c r="K108" i="32"/>
  <c r="K107" i="32"/>
  <c r="L108" i="32"/>
  <c r="L94" i="32"/>
  <c r="L113" i="32"/>
  <c r="L95" i="32"/>
  <c r="K114" i="32"/>
  <c r="K97" i="32"/>
  <c r="K116" i="32"/>
  <c r="K109" i="32"/>
  <c r="K113" i="32"/>
  <c r="K95" i="32"/>
  <c r="L99" i="32"/>
  <c r="K94" i="32"/>
  <c r="K90" i="32"/>
  <c r="L88" i="32"/>
  <c r="K93" i="32"/>
  <c r="L92" i="32"/>
  <c r="L103" i="32"/>
  <c r="K88" i="32"/>
  <c r="K98" i="32"/>
  <c r="K115" i="32"/>
  <c r="L114" i="32"/>
  <c r="L97" i="32"/>
  <c r="M97" i="32" s="1"/>
  <c r="L115" i="32"/>
  <c r="K96" i="32"/>
  <c r="K105" i="32"/>
  <c r="L93" i="32"/>
  <c r="K92" i="32"/>
  <c r="K103" i="32"/>
  <c r="L96" i="32"/>
  <c r="L105" i="32"/>
  <c r="K89" i="32"/>
  <c r="K110" i="32"/>
  <c r="K104" i="32"/>
  <c r="K102" i="32"/>
  <c r="L111" i="32"/>
  <c r="L89" i="32"/>
  <c r="L110" i="32"/>
  <c r="L104" i="32"/>
  <c r="L102" i="32"/>
  <c r="K111" i="32"/>
  <c r="K106" i="32"/>
  <c r="K101" i="32"/>
  <c r="L91" i="32"/>
  <c r="K99" i="32"/>
  <c r="L90" i="32"/>
  <c r="L98" i="32"/>
  <c r="L109" i="32"/>
  <c r="L106" i="32"/>
  <c r="L101" i="32"/>
  <c r="K91" i="32"/>
  <c r="L116" i="32"/>
  <c r="L109" i="9"/>
  <c r="L108" i="9"/>
  <c r="M108" i="9" s="1"/>
  <c r="H119" i="9"/>
  <c r="K119" i="9"/>
  <c r="R132" i="9"/>
  <c r="R133" i="9"/>
  <c r="R131" i="9"/>
  <c r="R167" i="32"/>
  <c r="J125" i="32"/>
  <c r="G125" i="32"/>
  <c r="R69" i="32"/>
  <c r="R83" i="32" s="1"/>
  <c r="K83" i="32"/>
  <c r="I125" i="32"/>
  <c r="R41" i="32"/>
  <c r="M277" i="32"/>
  <c r="N277" i="32"/>
  <c r="Q139" i="9"/>
  <c r="I119" i="9"/>
  <c r="K167" i="32"/>
  <c r="K41" i="32"/>
  <c r="R209" i="32"/>
  <c r="K209" i="32"/>
  <c r="N220" i="8"/>
  <c r="F125" i="32"/>
  <c r="M139" i="9"/>
  <c r="O139" i="9"/>
  <c r="J119" i="9"/>
  <c r="M110" i="9"/>
  <c r="M114" i="9"/>
  <c r="M113" i="9"/>
  <c r="M106" i="9"/>
  <c r="M105" i="9"/>
  <c r="M111" i="9"/>
  <c r="M112" i="9"/>
  <c r="N130" i="9" a="1"/>
  <c r="N130" i="9" s="1"/>
  <c r="E130" i="9" a="1"/>
  <c r="E130" i="9" s="1"/>
  <c r="P130" i="9" a="1"/>
  <c r="P130" i="9" s="1"/>
  <c r="N132" i="9" a="1"/>
  <c r="N132" i="9" s="1"/>
  <c r="P132" i="9" a="1"/>
  <c r="P132" i="9" s="1"/>
  <c r="E132" i="9" a="1"/>
  <c r="E132" i="9" s="1"/>
  <c r="P129" i="9" a="1"/>
  <c r="P129" i="9" s="1"/>
  <c r="E129" i="9" a="1"/>
  <c r="E129" i="9" s="1"/>
  <c r="N129" i="9" a="1"/>
  <c r="N129" i="9" s="1"/>
  <c r="P131" i="9" a="1"/>
  <c r="P131" i="9" s="1"/>
  <c r="E131" i="9" a="1"/>
  <c r="E131" i="9" s="1"/>
  <c r="N131" i="9" a="1"/>
  <c r="N131" i="9" s="1"/>
  <c r="I44" i="9"/>
  <c r="H59" i="9"/>
  <c r="M104" i="9"/>
  <c r="M107" i="9"/>
  <c r="H29" i="9"/>
  <c r="G132" i="9" a="1"/>
  <c r="G132" i="9" s="1"/>
  <c r="G129" i="9" a="1"/>
  <c r="G129" i="9" s="1"/>
  <c r="J72" i="9"/>
  <c r="H31" i="9"/>
  <c r="G131" i="9" a="1"/>
  <c r="G131" i="9" s="1"/>
  <c r="G130" i="9" a="1"/>
  <c r="G130" i="9" s="1"/>
  <c r="H30" i="9"/>
  <c r="D139" i="9"/>
  <c r="E119" i="9"/>
  <c r="D119" i="9"/>
  <c r="F139" i="9"/>
  <c r="L130" i="9"/>
  <c r="R130" i="9" s="1"/>
  <c r="I79" i="9"/>
  <c r="E79" i="9"/>
  <c r="D99" i="9"/>
  <c r="E39" i="9"/>
  <c r="G79" i="9"/>
  <c r="I39" i="9"/>
  <c r="O79" i="9"/>
  <c r="P99" i="9"/>
  <c r="F99" i="9"/>
  <c r="D39" i="9"/>
  <c r="L39" i="9"/>
  <c r="D79" i="9"/>
  <c r="O99" i="9"/>
  <c r="P39" i="9"/>
  <c r="L99" i="9"/>
  <c r="M79" i="9"/>
  <c r="I99" i="9"/>
  <c r="G52" i="9"/>
  <c r="F52" i="9"/>
  <c r="F45" i="9"/>
  <c r="G45" i="9"/>
  <c r="N99" i="9"/>
  <c r="N79" i="9"/>
  <c r="O39" i="9"/>
  <c r="M39" i="9"/>
  <c r="L79" i="9"/>
  <c r="F39" i="9"/>
  <c r="G48" i="9"/>
  <c r="F48" i="9"/>
  <c r="E99" i="9"/>
  <c r="N39" i="9"/>
  <c r="F54" i="9"/>
  <c r="G54" i="9"/>
  <c r="G53" i="9"/>
  <c r="F53" i="9"/>
  <c r="G44" i="9"/>
  <c r="F44" i="9"/>
  <c r="D59" i="9"/>
  <c r="F50" i="9"/>
  <c r="G50" i="9"/>
  <c r="F51" i="9"/>
  <c r="G51" i="9"/>
  <c r="P79" i="9"/>
  <c r="F79" i="9"/>
  <c r="M99" i="9"/>
  <c r="G49" i="9"/>
  <c r="F49" i="9"/>
  <c r="F46" i="9"/>
  <c r="G46" i="9"/>
  <c r="F47" i="9"/>
  <c r="G47" i="9"/>
  <c r="O19" i="9"/>
  <c r="P19" i="9"/>
  <c r="M19" i="9"/>
  <c r="L19" i="9"/>
  <c r="N19" i="9"/>
  <c r="D49" i="4" l="1"/>
  <c r="D38" i="4"/>
  <c r="D48" i="4"/>
  <c r="M90" i="32"/>
  <c r="M109" i="9"/>
  <c r="M119" i="9" s="1"/>
  <c r="M114" i="32"/>
  <c r="M108" i="32"/>
  <c r="M107" i="32"/>
  <c r="M113" i="32"/>
  <c r="M94" i="32"/>
  <c r="M95" i="32"/>
  <c r="M116" i="32"/>
  <c r="M109" i="32"/>
  <c r="M99" i="32"/>
  <c r="M102" i="32"/>
  <c r="M93" i="32"/>
  <c r="M88" i="32"/>
  <c r="M98" i="32"/>
  <c r="M92" i="32"/>
  <c r="M103" i="32"/>
  <c r="M115" i="32"/>
  <c r="M91" i="32"/>
  <c r="M101" i="32"/>
  <c r="M106" i="32"/>
  <c r="M111" i="32"/>
  <c r="M89" i="32"/>
  <c r="L125" i="32"/>
  <c r="K125" i="32"/>
  <c r="M104" i="32"/>
  <c r="M110" i="32"/>
  <c r="M105" i="32"/>
  <c r="M96" i="32"/>
  <c r="D55" i="4"/>
  <c r="E45" i="6" s="1"/>
  <c r="L119" i="9"/>
  <c r="S130" i="9"/>
  <c r="S129" i="9"/>
  <c r="S132" i="9"/>
  <c r="S131" i="9"/>
  <c r="N105" i="9"/>
  <c r="N108" i="9"/>
  <c r="N112" i="9"/>
  <c r="N113" i="9"/>
  <c r="N107" i="9"/>
  <c r="N106" i="9"/>
  <c r="N114" i="9"/>
  <c r="N110" i="9"/>
  <c r="N104" i="9"/>
  <c r="J44" i="9"/>
  <c r="J59" i="9" s="1"/>
  <c r="I59" i="9"/>
  <c r="N111" i="9"/>
  <c r="G6" i="6"/>
  <c r="L47" i="9"/>
  <c r="F8" i="6"/>
  <c r="K49" i="9"/>
  <c r="F9" i="6"/>
  <c r="K50" i="9"/>
  <c r="F6" i="6"/>
  <c r="K47" i="9"/>
  <c r="G8" i="6"/>
  <c r="L49" i="9"/>
  <c r="G10" i="6"/>
  <c r="L51" i="9"/>
  <c r="G12" i="6"/>
  <c r="L53" i="9"/>
  <c r="G11" i="6"/>
  <c r="L52" i="9"/>
  <c r="F12" i="6"/>
  <c r="K53" i="9"/>
  <c r="G5" i="6"/>
  <c r="L46" i="9"/>
  <c r="F10" i="6"/>
  <c r="K51" i="9"/>
  <c r="F3" i="6"/>
  <c r="G13" i="6"/>
  <c r="L54" i="9"/>
  <c r="F7" i="6"/>
  <c r="K48" i="9"/>
  <c r="G4" i="6"/>
  <c r="L45" i="9"/>
  <c r="F11" i="6"/>
  <c r="K52" i="9"/>
  <c r="F5" i="6"/>
  <c r="K46" i="9"/>
  <c r="G9" i="6"/>
  <c r="L50" i="9"/>
  <c r="G3" i="6"/>
  <c r="F13" i="6"/>
  <c r="K54" i="9"/>
  <c r="G7" i="6"/>
  <c r="L48" i="9"/>
  <c r="F4" i="6"/>
  <c r="K45" i="9"/>
  <c r="H11" i="6"/>
  <c r="Q72" i="9"/>
  <c r="D57" i="4"/>
  <c r="J71" i="9"/>
  <c r="J69" i="9"/>
  <c r="J70" i="9"/>
  <c r="F59" i="9"/>
  <c r="G59" i="9"/>
  <c r="D56" i="4" l="1"/>
  <c r="N109" i="9"/>
  <c r="N119" i="9" s="1"/>
  <c r="D45" i="6"/>
  <c r="G45" i="6" s="1"/>
  <c r="L45" i="6" s="1"/>
  <c r="M125" i="32"/>
  <c r="L44" i="9"/>
  <c r="K44" i="9"/>
  <c r="M54" i="9"/>
  <c r="M45" i="9"/>
  <c r="M48" i="9"/>
  <c r="M49" i="9"/>
  <c r="M53" i="9"/>
  <c r="M52" i="9"/>
  <c r="M47" i="9"/>
  <c r="M46" i="9"/>
  <c r="M51" i="9"/>
  <c r="M50" i="9"/>
  <c r="H9" i="6"/>
  <c r="Q70" i="9"/>
  <c r="H10" i="6"/>
  <c r="Q71" i="9"/>
  <c r="H8" i="6"/>
  <c r="Q69" i="9"/>
  <c r="D43" i="4"/>
  <c r="D32" i="6" s="1"/>
  <c r="D42" i="4"/>
  <c r="D46" i="6"/>
  <c r="D47" i="6" l="1"/>
  <c r="L59" i="9"/>
  <c r="M44" i="9"/>
  <c r="K59" i="9"/>
  <c r="P125" i="9" a="1"/>
  <c r="P125" i="9" s="1"/>
  <c r="N125" i="9" a="1"/>
  <c r="N125" i="9" s="1"/>
  <c r="E125" i="9" a="1"/>
  <c r="E125" i="9" s="1"/>
  <c r="P127" i="9" a="1"/>
  <c r="P127" i="9" s="1"/>
  <c r="N127" i="9" a="1"/>
  <c r="N127" i="9" s="1"/>
  <c r="E127" i="9" a="1"/>
  <c r="E127" i="9" s="1"/>
  <c r="N133" i="9" a="1"/>
  <c r="N133" i="9" s="1"/>
  <c r="P133" i="9" a="1"/>
  <c r="P133" i="9" s="1"/>
  <c r="E133" i="9" a="1"/>
  <c r="E133" i="9" s="1"/>
  <c r="P124" i="9" a="1"/>
  <c r="P124" i="9" s="1"/>
  <c r="N124" i="9" a="1"/>
  <c r="N124" i="9" s="1"/>
  <c r="P134" i="9" a="1"/>
  <c r="P134" i="9" s="1"/>
  <c r="N134" i="9" a="1"/>
  <c r="N134" i="9" s="1"/>
  <c r="E134" i="9" a="1"/>
  <c r="E134" i="9" s="1"/>
  <c r="N126" i="9" a="1"/>
  <c r="N126" i="9" s="1"/>
  <c r="P126" i="9" a="1"/>
  <c r="P126" i="9" s="1"/>
  <c r="E126" i="9" a="1"/>
  <c r="E126" i="9" s="1"/>
  <c r="N128" i="9" a="1"/>
  <c r="N128" i="9" s="1"/>
  <c r="E128" i="9" a="1"/>
  <c r="E128" i="9" s="1"/>
  <c r="P128" i="9" a="1"/>
  <c r="P128" i="9" s="1"/>
  <c r="D31" i="6"/>
  <c r="D44" i="4"/>
  <c r="G128" i="9" a="1"/>
  <c r="G128" i="9" s="1"/>
  <c r="H28" i="9"/>
  <c r="G134" i="9" a="1"/>
  <c r="G134" i="9" s="1"/>
  <c r="G125" i="9" a="1"/>
  <c r="G125" i="9" s="1"/>
  <c r="G133" i="9" a="1"/>
  <c r="G133" i="9" s="1"/>
  <c r="J73" i="9"/>
  <c r="G124" i="9" a="1"/>
  <c r="G124" i="9" s="1"/>
  <c r="G127" i="9" a="1"/>
  <c r="G127" i="9" s="1"/>
  <c r="G126" i="9" a="1"/>
  <c r="G126" i="9" s="1"/>
  <c r="L128" i="9"/>
  <c r="M59" i="9" l="1"/>
  <c r="S126" i="9"/>
  <c r="S134" i="9"/>
  <c r="D33" i="6"/>
  <c r="N139" i="9"/>
  <c r="P139" i="9"/>
  <c r="S127" i="9"/>
  <c r="S125" i="9"/>
  <c r="S133" i="9"/>
  <c r="S124" i="9"/>
  <c r="L139" i="9"/>
  <c r="D61" i="4" s="1"/>
  <c r="R128" i="9"/>
  <c r="S128" i="9" s="1"/>
  <c r="H4" i="6"/>
  <c r="Q65" i="9"/>
  <c r="H6" i="6"/>
  <c r="Q67" i="9"/>
  <c r="H12" i="6"/>
  <c r="Q73" i="9"/>
  <c r="H13" i="6"/>
  <c r="Q74" i="9"/>
  <c r="H5" i="6"/>
  <c r="Q66" i="9"/>
  <c r="H3" i="6"/>
  <c r="Q64" i="9"/>
  <c r="J68" i="9"/>
  <c r="H39" i="9"/>
  <c r="E139" i="9"/>
  <c r="G139" i="9"/>
  <c r="H99" i="9"/>
  <c r="H79" i="9"/>
  <c r="K19" i="9"/>
  <c r="K99" i="9"/>
  <c r="K79" i="9"/>
  <c r="K39" i="9"/>
  <c r="S139" i="9" l="1"/>
  <c r="J79" i="9"/>
  <c r="D37" i="6" s="1"/>
  <c r="Q68" i="9"/>
  <c r="Q79" i="9" s="1"/>
  <c r="D63" i="4"/>
  <c r="H7" i="6"/>
  <c r="D52" i="6"/>
  <c r="G52" i="6" s="1"/>
  <c r="L52" i="6" s="1"/>
  <c r="D62" i="4" l="1"/>
  <c r="D53" i="6"/>
  <c r="E52" i="6"/>
  <c r="D54" i="6" l="1"/>
  <c r="T132" i="9" l="1"/>
  <c r="R139" i="9"/>
  <c r="T124" i="9"/>
  <c r="T131" i="9"/>
  <c r="T127" i="9"/>
  <c r="T134" i="9"/>
  <c r="T130" i="9"/>
  <c r="T126" i="9"/>
  <c r="T133" i="9"/>
  <c r="T129" i="9"/>
  <c r="T125" i="9"/>
  <c r="T128" i="9"/>
  <c r="T139" i="9" l="1"/>
  <c r="G7" i="9" l="1"/>
  <c r="J7" i="9" s="1"/>
  <c r="G8" i="9"/>
  <c r="G14" i="9" l="1"/>
  <c r="G15" i="9"/>
  <c r="J8" i="9"/>
  <c r="D7" i="6" s="1"/>
  <c r="J7" i="6" s="1"/>
  <c r="G12" i="9"/>
  <c r="G10" i="9"/>
  <c r="G9" i="9"/>
  <c r="G13" i="9"/>
  <c r="Q7" i="9"/>
  <c r="G11" i="9"/>
  <c r="G6" i="9"/>
  <c r="J9" i="9" l="1"/>
  <c r="D8" i="6" s="1"/>
  <c r="J8" i="6" s="1"/>
  <c r="J10" i="9"/>
  <c r="Q10" i="9" s="1"/>
  <c r="J12" i="9"/>
  <c r="D11" i="6" s="1"/>
  <c r="J11" i="6" s="1"/>
  <c r="D6" i="6"/>
  <c r="J6" i="6" s="1"/>
  <c r="J15" i="9"/>
  <c r="D14" i="6" s="1"/>
  <c r="J14" i="6" s="1"/>
  <c r="J14" i="9"/>
  <c r="Q14" i="9" s="1"/>
  <c r="J13" i="9"/>
  <c r="Q13" i="9" s="1"/>
  <c r="J6" i="9"/>
  <c r="Q6" i="9" s="1"/>
  <c r="Q8" i="9"/>
  <c r="D12" i="6" l="1"/>
  <c r="J12" i="6" s="1"/>
  <c r="Q12" i="9"/>
  <c r="Q15" i="9"/>
  <c r="D9" i="6"/>
  <c r="J9" i="6" s="1"/>
  <c r="D5" i="6"/>
  <c r="J5" i="6" s="1"/>
  <c r="D13" i="6"/>
  <c r="J13" i="6" s="1"/>
  <c r="Q9" i="9"/>
  <c r="G5" i="9"/>
  <c r="J5" i="9" l="1"/>
  <c r="G19" i="9"/>
  <c r="Q5" i="9" l="1"/>
  <c r="D4" i="6"/>
  <c r="J4" i="6" s="1"/>
  <c r="H4" i="9"/>
  <c r="J4" i="9" s="1"/>
  <c r="J4" i="8"/>
  <c r="D3" i="6" l="1"/>
  <c r="J3" i="6" s="1"/>
  <c r="H19" i="9"/>
  <c r="Q4" i="9"/>
  <c r="Q4" i="8"/>
  <c r="G88" i="9" l="1"/>
  <c r="J88" i="9" s="1"/>
  <c r="Q88" i="9" s="1"/>
  <c r="G93" i="9"/>
  <c r="G92" i="9"/>
  <c r="J92" i="9" s="1"/>
  <c r="Q92" i="9" s="1"/>
  <c r="G90" i="9"/>
  <c r="G91" i="9"/>
  <c r="J91" i="9" s="1"/>
  <c r="Q91" i="9" s="1"/>
  <c r="G89" i="9"/>
  <c r="J89" i="9" s="1"/>
  <c r="J148" i="8"/>
  <c r="Q148" i="8" s="1"/>
  <c r="G84" i="9"/>
  <c r="G86" i="9"/>
  <c r="J86" i="9" s="1"/>
  <c r="G87" i="9"/>
  <c r="G94" i="9"/>
  <c r="G85" i="9"/>
  <c r="J85" i="9" s="1"/>
  <c r="G95" i="9"/>
  <c r="J95" i="9" s="1"/>
  <c r="J94" i="9" l="1"/>
  <c r="Q94" i="9" s="1"/>
  <c r="I8" i="6"/>
  <c r="I5" i="6"/>
  <c r="Q86" i="9"/>
  <c r="I14" i="6"/>
  <c r="Q85" i="9"/>
  <c r="I4" i="6"/>
  <c r="I10" i="6"/>
  <c r="I11" i="6"/>
  <c r="I7" i="6"/>
  <c r="J90" i="9"/>
  <c r="I9" i="6" s="1"/>
  <c r="J93" i="9"/>
  <c r="Q93" i="9" s="1"/>
  <c r="G99" i="9"/>
  <c r="Q95" i="9"/>
  <c r="J84" i="9"/>
  <c r="Q84" i="9" s="1"/>
  <c r="J87" i="9"/>
  <c r="I6" i="6" s="1"/>
  <c r="Q89" i="9"/>
  <c r="I13" i="6" l="1"/>
  <c r="J99" i="9"/>
  <c r="Q87" i="9"/>
  <c r="Q90" i="9"/>
  <c r="I12" i="6"/>
  <c r="I3" i="6"/>
  <c r="Q99" i="9" l="1"/>
  <c r="D38" i="6"/>
  <c r="D50" i="4"/>
  <c r="D39" i="6" s="1"/>
  <c r="G35" i="9" l="1"/>
  <c r="J35" i="9" s="1"/>
  <c r="G34" i="9"/>
  <c r="G25" i="9"/>
  <c r="G28" i="9"/>
  <c r="J28" i="9" s="1"/>
  <c r="G26" i="9"/>
  <c r="G40" i="8"/>
  <c r="G24" i="9" s="1"/>
  <c r="G32" i="9"/>
  <c r="G33" i="9"/>
  <c r="G31" i="9"/>
  <c r="J31" i="9" s="1"/>
  <c r="G30" i="9"/>
  <c r="J30" i="9" s="1"/>
  <c r="G29" i="9" l="1"/>
  <c r="J29" i="9" s="1"/>
  <c r="Q29" i="9" s="1"/>
  <c r="G27" i="9"/>
  <c r="J27" i="9" s="1"/>
  <c r="Q27" i="9" s="1"/>
  <c r="Q28" i="9"/>
  <c r="Q30" i="9"/>
  <c r="Q35" i="9"/>
  <c r="J32" i="9"/>
  <c r="Q32" i="9" s="1"/>
  <c r="J25" i="9"/>
  <c r="J26" i="9"/>
  <c r="Q26" i="9" s="1"/>
  <c r="J33" i="9"/>
  <c r="Q33" i="9" s="1"/>
  <c r="E9" i="6"/>
  <c r="J34" i="9"/>
  <c r="Q34" i="9" s="1"/>
  <c r="J24" i="9"/>
  <c r="Q31" i="9"/>
  <c r="J40" i="8"/>
  <c r="E4" i="6" l="1"/>
  <c r="G39" i="9"/>
  <c r="E6" i="6"/>
  <c r="E10" i="6"/>
  <c r="E3" i="6"/>
  <c r="E5" i="6"/>
  <c r="E7" i="6"/>
  <c r="Q24" i="9"/>
  <c r="Q40" i="8"/>
  <c r="Q25" i="9"/>
  <c r="E8" i="6"/>
  <c r="E13" i="6"/>
  <c r="E12" i="6"/>
  <c r="E14" i="6"/>
  <c r="J39" i="9"/>
  <c r="E11" i="6"/>
  <c r="D26" i="6" l="1"/>
  <c r="Q39" i="9"/>
  <c r="F119" i="8" l="1"/>
  <c r="F143" i="8" s="1"/>
  <c r="E47" i="8"/>
  <c r="E71" i="8" s="1"/>
  <c r="I191" i="8" a="1"/>
  <c r="I191" i="8" s="1"/>
  <c r="I215" i="8" s="1"/>
  <c r="G11" i="8"/>
  <c r="G35" i="8" s="1"/>
  <c r="G47" i="8"/>
  <c r="G71" i="8" s="1"/>
  <c r="I119" i="8"/>
  <c r="I143" i="8" s="1"/>
  <c r="H47" i="8"/>
  <c r="H71" i="8" s="1"/>
  <c r="I47" i="8"/>
  <c r="I71" i="8" s="1"/>
  <c r="E191" i="8" a="1"/>
  <c r="E191" i="8" s="1"/>
  <c r="E215" i="8" s="1"/>
  <c r="H83" i="8"/>
  <c r="J83" i="8" s="1"/>
  <c r="J107" i="8" s="1"/>
  <c r="G155" i="8"/>
  <c r="G179" i="8" s="1"/>
  <c r="E155" i="8"/>
  <c r="E179" i="8" s="1"/>
  <c r="H155" i="8"/>
  <c r="H179" i="8" s="1"/>
  <c r="H119" i="8"/>
  <c r="H143" i="8" s="1"/>
  <c r="H11" i="8"/>
  <c r="H35" i="8" s="1"/>
  <c r="G119" i="8"/>
  <c r="G143" i="8" s="1"/>
  <c r="I155" i="8"/>
  <c r="I179" i="8" s="1"/>
  <c r="J191" i="8" a="1"/>
  <c r="J191" i="8" s="1"/>
  <c r="J215" i="8" s="1"/>
  <c r="F179" i="8"/>
  <c r="F155" i="8"/>
  <c r="E119" i="8"/>
  <c r="E143" i="8" s="1"/>
  <c r="E11" i="8"/>
  <c r="E35" i="8" s="1"/>
  <c r="E11" i="9" a="1"/>
  <c r="E11" i="9" s="1"/>
  <c r="E19" i="9" s="1"/>
  <c r="D155" i="8"/>
  <c r="J155" i="8" s="1"/>
  <c r="I11" i="8"/>
  <c r="I35" i="8" s="1"/>
  <c r="F11" i="8"/>
  <c r="F11" i="9" s="1" a="1"/>
  <c r="F11" i="9" s="1"/>
  <c r="F19" i="9" s="1"/>
  <c r="D191" i="8" a="1"/>
  <c r="D191" i="8" s="1"/>
  <c r="D215" i="8" s="1"/>
  <c r="D47" i="8"/>
  <c r="F47" i="8"/>
  <c r="D83" i="8"/>
  <c r="D107" i="8" s="1"/>
  <c r="G83" i="8"/>
  <c r="G107" i="8"/>
  <c r="D70" i="1" s="1"/>
  <c r="D11" i="9" a="1"/>
  <c r="D11" i="9" s="1"/>
  <c r="D11" i="8"/>
  <c r="D35" i="8" s="1"/>
  <c r="K12" i="1"/>
  <c r="I227" i="8" s="1" a="1"/>
  <c r="I227" i="8" s="1"/>
  <c r="I251" i="8" s="1"/>
  <c r="D119" i="8"/>
  <c r="D143" i="8"/>
  <c r="I11" i="9" l="1" a="1"/>
  <c r="I11" i="9" s="1"/>
  <c r="I19" i="9" s="1"/>
  <c r="F83" i="8"/>
  <c r="F107" i="8" s="1"/>
  <c r="J119" i="8"/>
  <c r="J143" i="8" s="1"/>
  <c r="D74" i="1" s="1"/>
  <c r="H107" i="8"/>
  <c r="J47" i="8"/>
  <c r="J71" i="8" s="1"/>
  <c r="D71" i="8"/>
  <c r="D179" i="8"/>
  <c r="C32" i="6"/>
  <c r="G32" i="6" s="1"/>
  <c r="L32" i="6" s="1"/>
  <c r="E32" i="6"/>
  <c r="J179" i="8"/>
  <c r="Q155" i="8"/>
  <c r="Q179" i="8" s="1"/>
  <c r="D80" i="1"/>
  <c r="D19" i="9"/>
  <c r="D227" i="8" a="1"/>
  <c r="D227" i="8" s="1"/>
  <c r="F71" i="8"/>
  <c r="D78" i="31"/>
  <c r="J227" i="8" a="1"/>
  <c r="J227" i="8" s="1"/>
  <c r="J251" i="8" s="1"/>
  <c r="F35" i="8"/>
  <c r="I83" i="8"/>
  <c r="I107" i="8" s="1"/>
  <c r="D77" i="31" s="1"/>
  <c r="J11" i="8"/>
  <c r="J35" i="8" s="1"/>
  <c r="E227" i="8" a="1"/>
  <c r="E227" i="8" s="1"/>
  <c r="E251" i="8" s="1"/>
  <c r="Q119" i="8"/>
  <c r="Q143" i="8" s="1"/>
  <c r="J11" i="9" l="1"/>
  <c r="J19" i="9" s="1"/>
  <c r="D79" i="31"/>
  <c r="D75" i="1"/>
  <c r="E38" i="6" s="1"/>
  <c r="D86" i="31"/>
  <c r="C37" i="6"/>
  <c r="G37" i="6" s="1"/>
  <c r="L37" i="6" s="1"/>
  <c r="E37" i="6"/>
  <c r="D26" i="4"/>
  <c r="D32" i="4" s="1"/>
  <c r="D44" i="1"/>
  <c r="C21" i="6" s="1"/>
  <c r="C58" i="6" s="1"/>
  <c r="Q47" i="8"/>
  <c r="Q71" i="8" s="1"/>
  <c r="E46" i="6"/>
  <c r="E47" i="6" s="1"/>
  <c r="C46" i="6"/>
  <c r="D10" i="6"/>
  <c r="J10" i="6" s="1"/>
  <c r="Q11" i="9"/>
  <c r="Q19" i="9" s="1"/>
  <c r="D87" i="31"/>
  <c r="D88" i="31" s="1"/>
  <c r="Q11" i="8"/>
  <c r="Q35" i="8" s="1"/>
  <c r="D66" i="1"/>
  <c r="D68" i="31"/>
  <c r="D69" i="1"/>
  <c r="D251" i="8"/>
  <c r="D85" i="1" s="1"/>
  <c r="C53" i="6" s="1"/>
  <c r="M227" i="8"/>
  <c r="D76" i="1" l="1"/>
  <c r="C38" i="6"/>
  <c r="G38" i="6" s="1"/>
  <c r="L38" i="6" s="1"/>
  <c r="E21" i="6"/>
  <c r="E58" i="6" s="1"/>
  <c r="D21" i="6"/>
  <c r="D28" i="4"/>
  <c r="D33" i="4" s="1"/>
  <c r="D58" i="6"/>
  <c r="G21" i="6"/>
  <c r="L21" i="6" s="1"/>
  <c r="C26" i="6"/>
  <c r="G26" i="6" s="1"/>
  <c r="L26" i="6" s="1"/>
  <c r="E26" i="6"/>
  <c r="M251" i="8"/>
  <c r="N227" i="8"/>
  <c r="N251" i="8" s="1"/>
  <c r="E39" i="6"/>
  <c r="C39" i="6"/>
  <c r="E31" i="6"/>
  <c r="C31" i="6"/>
  <c r="G31" i="6" s="1"/>
  <c r="L31" i="6" s="1"/>
  <c r="D71" i="1"/>
  <c r="C47" i="6"/>
  <c r="G47" i="6" s="1"/>
  <c r="L47" i="6" s="1"/>
  <c r="G46" i="6"/>
  <c r="L46" i="6" s="1"/>
  <c r="E53" i="6"/>
  <c r="G53" i="6"/>
  <c r="L53" i="6" s="1"/>
  <c r="C54" i="6"/>
  <c r="D31" i="4" l="1"/>
  <c r="E33" i="6"/>
  <c r="C33" i="6"/>
  <c r="G33" i="6" s="1"/>
  <c r="L33" i="6" s="1"/>
  <c r="E54" i="6"/>
  <c r="G54" i="6"/>
  <c r="L54"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15ADCBC-4EBB-48E6-AFB5-F341161A3C2A}" keepAlive="1" name="Query - Inschrijf_Bouwplaats_Totaal" description="Verbinding maken met de query Inschrijf_Bouwplaats_Totaal in de werkmap." type="5" refreshedVersion="0" background="1" saveData="1">
    <dbPr connection="Provider=Microsoft.Mashup.OleDb.1;Data Source=$Workbook$;Location=Inschrijf_Bouwplaats_Totaal;Extended Properties=&quot;&quot;" command="SELECT * FROM [Inschrijf_Bouwplaats_Totaal]"/>
  </connection>
  <connection id="2" xr16:uid="{B1A4F52E-A3DA-434A-B25F-1057AE5AE98C}" keepAlive="1" name="Query - Inschrijf_CO2_Totaal" description="Verbinding maken met de query Inschrijf_CO2_Totaal in de werkmap." type="5" refreshedVersion="0" background="1" saveData="1">
    <dbPr connection="Provider=Microsoft.Mashup.OleDb.1;Data Source=$Workbook$;Location=Inschrijf_CO2_Totaal;Extended Properties=&quot;&quot;" command="SELECT * FROM [Inschrijf_CO2_Totaal]"/>
  </connection>
  <connection id="3" xr16:uid="{049F6A75-C3AD-4FFB-85AE-B2E096B5C451}" keepAlive="1" name="Query - Inschrijf_Export" description="Verbinding maken met de query Inschrijf_Export in de werkmap." type="5" refreshedVersion="8" background="1" saveData="1">
    <dbPr connection="Provider=Microsoft.Mashup.OleDb.1;Data Source=$Workbook$;Location=Inschrijf_Export;Extended Properties=&quot;&quot;" command="SELECT * FROM [Inschrijf_Export]"/>
  </connection>
  <connection id="4" xr16:uid="{0C6BDF0D-8109-4C49-BE34-A80E8627B7F3}" keepAlive="1" name="Query - Inschrijf_Fossiele_Energie_Totaal" description="Verbinding maken met de query Inschrijf_Fossiele_Energie_Totaal in de werkmap." type="5" refreshedVersion="0" background="1" saveData="1">
    <dbPr connection="Provider=Microsoft.Mashup.OleDb.1;Data Source=$Workbook$;Location=Inschrijf_Fossiele_Energie_Totaal;Extended Properties=&quot;&quot;" command="SELECT * FROM [Inschrijf_Fossiele_Energie_Totaal]"/>
  </connection>
  <connection id="5" xr16:uid="{0D8BAFD2-8458-4A64-A6CB-5674151588E0}" keepAlive="1" name="Query - Inschrijf_Hernieuwbare_Energie_Totaal" description="Verbinding maken met de query Inschrijf_Hernieuwbare_Energie_Totaal in de werkmap." type="5" refreshedVersion="0" background="1" saveData="1">
    <dbPr connection="Provider=Microsoft.Mashup.OleDb.1;Data Source=$Workbook$;Location=Inschrijf_Hernieuwbare_Energie_Totaal;Extended Properties=&quot;&quot;" command="SELECT * FROM [Inschrijf_Hernieuwbare_Energie_Totaal]"/>
  </connection>
  <connection id="6" xr16:uid="{06707529-B10B-4D7B-87BC-982CEF62DD2E}" keepAlive="1" name="Query - Inschrijf_Materiaal_Totaal" description="Verbinding maken met de query Inschrijf_Materiaal_Totaal in de werkmap." type="5" refreshedVersion="0" background="1" saveData="1">
    <dbPr connection="Provider=Microsoft.Mashup.OleDb.1;Data Source=$Workbook$;Location=Inschrijf_Materiaal_Totaal;Extended Properties=&quot;&quot;" command="SELECT * FROM [Inschrijf_Materiaal_Totaal]"/>
  </connection>
  <connection id="7" xr16:uid="{2A85E8F7-6DC6-4EA6-9C01-2EA239B74E86}" keepAlive="1" name="Query - Inschrijf_MKI_Totaal" description="Verbinding maken met de query Inschrijf_MKI_Totaal in de werkmap." type="5" refreshedVersion="0" background="1" saveData="1">
    <dbPr connection="Provider=Microsoft.Mashup.OleDb.1;Data Source=$Workbook$;Location=Inschrijf_MKI_Totaal;Extended Properties=&quot;&quot;" command="SELECT * FROM [Inschrijf_MKI_Totaal]"/>
  </connection>
  <connection id="8" xr16:uid="{5761B434-8EFA-4ABF-A5B5-F1FC4E92A3FD}" keepAlive="1" name="Query - Inschrijf_Transport_Totaal" description="Verbinding maken met de query Inschrijf_Transport_Totaal in de werkmap." type="5" refreshedVersion="0" background="1" saveData="1">
    <dbPr connection="Provider=Microsoft.Mashup.OleDb.1;Data Source=$Workbook$;Location=Inschrijf_Transport_Totaal;Extended Properties=&quot;&quot;" command="SELECT * FROM [Inschrijf_Transport_Totaal]"/>
  </connection>
  <connection id="9" xr16:uid="{BA6D93F6-7AB8-482C-9993-D16D0020AF46}" keepAlive="1" name="Query - Invoer_Inschrijf" description="Verbinding maken met de query Invoer_Inschrijf in de werkmap." type="5" refreshedVersion="0" background="1" saveData="1">
    <dbPr connection="Provider=Microsoft.Mashup.OleDb.1;Data Source=$Workbook$;Location=Invoer_Inschrijf;Extended Properties=&quot;&quot;" command="SELECT * FROM [Invoer_Inschrijf]"/>
  </connection>
  <connection id="10" xr16:uid="{38557CDE-2DF1-4B71-8869-4CE36CBF0733}" keepAlive="1" name="Query - Invoer_Referentie" description="Verbinding maken met de query Invoer_Referentie in de werkmap." type="5" refreshedVersion="0" background="1" saveData="1">
    <dbPr connection="Provider=Microsoft.Mashup.OleDb.1;Data Source=$Workbook$;Location=Invoer_Referentie;Extended Properties=&quot;&quot;" command="SELECT * FROM [Invoer_Referentie]"/>
  </connection>
  <connection id="11" xr16:uid="{2DEE6C01-912B-492D-9C5D-5725BCB762E9}" keepAlive="1" name="Query - Project_ID_Inschrijver" description="Verbinding maken met de query Project_ID_Inschrijver in de werkmap." type="5" refreshedVersion="0" background="1" saveData="1">
    <dbPr connection="Provider=Microsoft.Mashup.OleDb.1;Data Source=$Workbook$;Location=Project_ID_Inschrijver;Extended Properties=&quot;&quot;" command="SELECT * FROM [Project_ID_Inschrijver]"/>
  </connection>
  <connection id="12" xr16:uid="{B674D99B-17DA-4AFD-98A8-3A171F47C8DA}" keepAlive="1" name="Query - Project_ID_Referentie" description="Verbinding maken met de query Project_ID_Referentie in de werkmap." type="5" refreshedVersion="0" background="1" saveData="1">
    <dbPr connection="Provider=Microsoft.Mashup.OleDb.1;Data Source=$Workbook$;Location=Project_ID_Referentie;Extended Properties=&quot;&quot;" command="SELECT * FROM [Project_ID_Referentie]"/>
  </connection>
  <connection id="13" xr16:uid="{89E1C7BA-C469-4CA5-BC1B-C79FF434BD88}" keepAlive="1" name="Query - Referentie_Bouwplaats_Totaal" description="Verbinding maken met de query Referentie_Bouwplaats_Totaal in de werkmap." type="5" refreshedVersion="0" background="1" saveData="1">
    <dbPr connection="Provider=Microsoft.Mashup.OleDb.1;Data Source=$Workbook$;Location=Referentie_Bouwplaats_Totaal;Extended Properties=&quot;&quot;" command="SELECT * FROM [Referentie_Bouwplaats_Totaal]"/>
  </connection>
  <connection id="14" xr16:uid="{00AEB30D-690D-433F-9D44-B5904FE21C3C}" keepAlive="1" name="Query - Referentie_CO2_Totaal" description="Verbinding maken met de query Referentie_CO2_Totaal in de werkmap." type="5" refreshedVersion="0" background="1" saveData="1">
    <dbPr connection="Provider=Microsoft.Mashup.OleDb.1;Data Source=$Workbook$;Location=Referentie_CO2_Totaal;Extended Properties=&quot;&quot;" command="SELECT * FROM [Referentie_CO2_Totaal]"/>
  </connection>
  <connection id="15" xr16:uid="{8374ED80-CB2F-4130-911E-0C2E70E62650}" keepAlive="1" name="Query - Referentie_Export" description="Verbinding maken met de query Referentie_Export in de werkmap." type="5" refreshedVersion="8" background="1" saveData="1">
    <dbPr connection="Provider=Microsoft.Mashup.OleDb.1;Data Source=$Workbook$;Location=Referentie_Export;Extended Properties=&quot;&quot;" command="SELECT * FROM [Referentie_Export]"/>
  </connection>
  <connection id="16" xr16:uid="{0429F3AA-D9AD-464B-BC2D-426BE97457DC}" keepAlive="1" name="Query - Referentie_Fossiele_Energie_Totaal" description="Verbinding maken met de query Referentie_Fossiele_Energie_Totaal in de werkmap." type="5" refreshedVersion="0" background="1" saveData="1">
    <dbPr connection="Provider=Microsoft.Mashup.OleDb.1;Data Source=$Workbook$;Location=Referentie_Fossiele_Energie_Totaal;Extended Properties=&quot;&quot;" command="SELECT * FROM [Referentie_Fossiele_Energie_Totaal]"/>
  </connection>
  <connection id="17" xr16:uid="{6FE89AA2-49AE-45DB-8B12-2C312D10E602}" keepAlive="1" name="Query - Referentie_Hernieuwbare_Energie_Totaal" description="Verbinding maken met de query Referentie_Hernieuwbare_Energie_Totaal in de werkmap." type="5" refreshedVersion="0" background="1" saveData="1">
    <dbPr connection="Provider=Microsoft.Mashup.OleDb.1;Data Source=$Workbook$;Location=Referentie_Hernieuwbare_Energie_Totaal;Extended Properties=&quot;&quot;" command="SELECT * FROM [Referentie_Hernieuwbare_Energie_Totaal]"/>
  </connection>
  <connection id="18" xr16:uid="{48F88265-3F98-46A0-A56E-2247C7A1CBB0}" keepAlive="1" name="Query - Referentie_Materiaal_Totaal" description="Verbinding maken met de query Referentie_Materiaal_Totaal in de werkmap." type="5" refreshedVersion="0" background="1" saveData="1">
    <dbPr connection="Provider=Microsoft.Mashup.OleDb.1;Data Source=$Workbook$;Location=Referentie_Materiaal_Totaal;Extended Properties=&quot;&quot;" command="SELECT * FROM [Referentie_Materiaal_Totaal]"/>
  </connection>
  <connection id="19" xr16:uid="{465A18E2-30AC-449D-AAFF-F2AE377240F1}" keepAlive="1" name="Query - Referentie_MKI_Totaal" description="Verbinding maken met de query Referentie_MKI_Totaal in de werkmap." type="5" refreshedVersion="0" background="1" saveData="1">
    <dbPr connection="Provider=Microsoft.Mashup.OleDb.1;Data Source=$Workbook$;Location=Referentie_MKI_Totaal;Extended Properties=&quot;&quot;" command="SELECT * FROM [Referentie_MKI_Totaal]"/>
  </connection>
  <connection id="20" xr16:uid="{3E9B9A33-7F4A-47D5-B597-95365B026FBD}" keepAlive="1" name="Query - Referentie_Transport_Totaal" description="Verbinding maken met de query Referentie_Transport_Totaal in de werkmap." type="5" refreshedVersion="0" background="1" saveData="1">
    <dbPr connection="Provider=Microsoft.Mashup.OleDb.1;Data Source=$Workbook$;Location=Referentie_Transport_Totaal;Extended Properties=&quot;&quot;" command="SELECT * FROM [Referentie_Transport_Totaal]"/>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<sst xmlns="http://schemas.openxmlformats.org/spreadsheetml/2006/main" count="10801" uniqueCount="1618">
  <si>
    <t>Dikte [m]</t>
  </si>
  <si>
    <t>Hoeveelheid [m3]</t>
  </si>
  <si>
    <t>Hoeveelheid [ton]</t>
  </si>
  <si>
    <t>Soortelijk gewicht [ton / m3]</t>
  </si>
  <si>
    <t>Product</t>
  </si>
  <si>
    <t>Productgroep</t>
  </si>
  <si>
    <t>Oppervlakte [m2]</t>
  </si>
  <si>
    <t>Milieu Kosten Indicator (euro) - Euro</t>
  </si>
  <si>
    <t>Totaal gebruik van hernieuwbare primaire energie (MJ)</t>
  </si>
  <si>
    <t>Totaal gebruik van niet hernieuwbare primaire energie (MJ)</t>
  </si>
  <si>
    <t>Energie, primair (MJ)</t>
  </si>
  <si>
    <t>Gevaarlijk afval (kg)</t>
  </si>
  <si>
    <t>Niet-gevaarlijk afval (kg)</t>
  </si>
  <si>
    <t>Radioactief afval (kg)</t>
  </si>
  <si>
    <t>Soortelijk Gewicht [ton / m3]</t>
  </si>
  <si>
    <t>Levensduur</t>
  </si>
  <si>
    <t>Totaal</t>
  </si>
  <si>
    <t>Zoeksleutel</t>
  </si>
  <si>
    <t>Levensfase</t>
  </si>
  <si>
    <t>A1</t>
  </si>
  <si>
    <t>A2</t>
  </si>
  <si>
    <t>A3</t>
  </si>
  <si>
    <t>A4</t>
  </si>
  <si>
    <t>A5</t>
  </si>
  <si>
    <t>B1</t>
  </si>
  <si>
    <t>C1</t>
  </si>
  <si>
    <t>C2</t>
  </si>
  <si>
    <t>C3</t>
  </si>
  <si>
    <t>C4</t>
  </si>
  <si>
    <t>AC Surf 0% PR</t>
  </si>
  <si>
    <t>AC surf 30% PR</t>
  </si>
  <si>
    <t>AC Surf G.M. 0% PR</t>
  </si>
  <si>
    <t>AC Surf G.M. 30% PR</t>
  </si>
  <si>
    <t>AC bin/base 50% PR</t>
  </si>
  <si>
    <t>AC bin/base 50% PR G.M.</t>
  </si>
  <si>
    <t>ZOAB Regulier</t>
  </si>
  <si>
    <t>DZOAB</t>
  </si>
  <si>
    <t>DZOAB 30% PR</t>
  </si>
  <si>
    <t>2L-ZOAB toplaag G.M.</t>
  </si>
  <si>
    <t>2L-ZOAB onderlaag</t>
  </si>
  <si>
    <t>2L-ZOAB onderlaag 30% PR</t>
  </si>
  <si>
    <t>SMA 8-11</t>
  </si>
  <si>
    <t>SMA 5</t>
  </si>
  <si>
    <t>SMA G.R. (obv 8G+)</t>
  </si>
  <si>
    <t>WB asfaltbeton</t>
  </si>
  <si>
    <t>Open steenasfalt</t>
  </si>
  <si>
    <t xml:space="preserve">WB gietasfalt </t>
  </si>
  <si>
    <t>WB asfaltmastiek</t>
  </si>
  <si>
    <t>Project levensduur</t>
  </si>
  <si>
    <t>Vervangingen</t>
  </si>
  <si>
    <t>B4</t>
  </si>
  <si>
    <t>D1</t>
  </si>
  <si>
    <t>D2</t>
  </si>
  <si>
    <t>MKI project totaal</t>
  </si>
  <si>
    <t>Zand</t>
  </si>
  <si>
    <t>Bestekspost</t>
  </si>
  <si>
    <t>Milieuprofiel</t>
  </si>
  <si>
    <t>Eenheid</t>
  </si>
  <si>
    <t>Life cycle stage</t>
  </si>
  <si>
    <t>Milieuprofiel / Bron</t>
  </si>
  <si>
    <t>Dichtheid [kg/liter]</t>
  </si>
  <si>
    <t>Comment</t>
  </si>
  <si>
    <t>Vrachtwagen (&gt;32 ton), euro 4, diesel</t>
  </si>
  <si>
    <t>tkm</t>
  </si>
  <si>
    <t>Transport</t>
  </si>
  <si>
    <t>Total</t>
  </si>
  <si>
    <t>1 tkm 0319-tra&amp;Transport, vrachtwagen (&gt;32 ton), euro 4, diesel (o.b.v. Transport, freight, lorry &gt;32 metric ton, EURO4 {RER}| transport, freight, lorry &gt;32 metric ton, EURO4 | Cut-off, U) (of project Nationale Milieudatabase SBK versie 3.2 (ecoinvent 3.5)JUL20)</t>
  </si>
  <si>
    <t>Vrachtwagen (&gt;32 ton), euro 5, diesel</t>
  </si>
  <si>
    <t>1 tkm 0320-tra&amp;Transport, vrachtwagen (&gt;32 ton), euro 5, diesel, per tkm (o.b.v. Vrachtwagen (&gt;32 ton), euro 5, diesel, per liter, c2) (of project Nationale Milieudatabase SBK versie 3.2 (ecoinvent 3.5)JUL20)</t>
  </si>
  <si>
    <t>Brandstof verbruik in kg/tkm (0,01917) / Soortelijk gewicht brandstof in kg/l (0,84)</t>
  </si>
  <si>
    <t>Vrachtwagen (&gt;32 ton), euro 5, biodiesel</t>
  </si>
  <si>
    <t>1 tkm 0321-tra&amp;Transport, vrachtwagen (&gt;32 ton), euro 5, 100% biodiesel, per tkm (o.b.v. Vrachtwagen (&gt;32 ton), euro 5, ongemixte biodiesel, per liter, c2) (of project Nationale Milieudatabase SBK versie 3.2 (ecoinvent 3.5)JUL20)</t>
  </si>
  <si>
    <t>Brandstof verbruik in kg/tkm (0,01917) / Soortelijk gewicht brandstof in kg/l (0,876)</t>
  </si>
  <si>
    <t>Vrachtwagen (&gt;32 ton), euro 5, GTL</t>
  </si>
  <si>
    <t>1 tkm 0322-tra&amp;Transport, vrachtwagen (&gt;32 ton), euro 5, GTL, per tkm (o.b.v. Vrachtwagen (&gt;32 ton), euro 5, GTL, per liter, c2) (of project Nationale Milieudatabase SBK versie 3.2 (ecoinvent 3.5)JUL20)</t>
  </si>
  <si>
    <t>Brandstof verbruik in kg/tkm (0,01917) / Soortelijk gewicht brandstof in kg/l (0,779)</t>
  </si>
  <si>
    <t>Vrachtwagen (&gt;32 ton), euro 5, HVO</t>
  </si>
  <si>
    <t>1 tkm 0323-tra&amp;Transport, vrachtwagen (&gt;32 ton), euro 5, 100% HVO, per tkm (o.b.v. Vrachtwagen (&gt;32 ton), euro 5, ongemixte HVO, per liter, c2) (of project Nationale Milieudatabase SBK versie 3.2 (ecoinvent 3.5)JUL20)</t>
  </si>
  <si>
    <t>Brandstof verbruik in kg/tkm (0,01917) / Soortelijk gewicht brandstof in kg/l (0,781)</t>
  </si>
  <si>
    <t>Vrachtwagen (&gt;32 ton), euro 6, diesel</t>
  </si>
  <si>
    <t>1 tkm 0324-tra&amp;Transport, vrachtwagen (&gt;32 ton), euro 6, diesel, per tkm (o.b.v. Vrachtwagen (&gt;32 ton), euro 6, diesel, per liter, c2) (of project Nationale Milieudatabase SBK versie 3.2 (ecoinvent 3.5)JUL20)</t>
  </si>
  <si>
    <t>Brandstof verbruik in kg/tkm (0,01919) / Soortelijk gewicht brandstof in kg/l (0,84)</t>
  </si>
  <si>
    <t>Vrachtwagen (&gt;32 ton), euro 6, biodiesel</t>
  </si>
  <si>
    <t>1 tkm 0325-tra&amp;Transport, vrachtwagen (&gt;32 ton), euro 6, 100% biodiesel, per tkm (o.b.v. Vrachtwagen (&gt;32 ton), euro 6, ongemixte biodiesel, per liter, c2) (of project Nationale Milieudatabase SBK versie 3.2 (ecoinvent 3.5)JUL20)</t>
  </si>
  <si>
    <t>Brandstof verbruik in kg/tkm (0,01919) / Soortelijk gewicht brandstof in kg/l (0,876)</t>
  </si>
  <si>
    <t>Vrachtwagen (&gt;32 ton), euro 6, GTL</t>
  </si>
  <si>
    <t>1 tkm 0326-tra&amp;Transport, vrachtwagen (&gt;32 ton), euro 6, GTL, per tkm (o.b.v. Vrachtwagen (&gt;32 ton), euro 6, GTL, per liter, c2) (of project Nationale Milieudatabase SBK versie 3.2 (ecoinvent 3.5)JUL20)</t>
  </si>
  <si>
    <t>Brandstof verbruik in kg/tkm (0,01919) / Soortelijk gewicht brandstof in kg/l (0,779)</t>
  </si>
  <si>
    <t>Vrachtwagen (&gt;32 ton), euro 6, HVO</t>
  </si>
  <si>
    <t>1 tkm 0327-tra&amp;Transport, vrachtwagen (&gt;32 ton), euro 6, 100% HVO, per tkm (o.b.v. Vrachtwagen (&gt;32 ton), euro 6, ongemixte HVO, per liter, c2) (of project Nationale Milieudatabase SBK versie 3.2 (ecoinvent 3.5)JUL20)</t>
  </si>
  <si>
    <t>Brandstof verbruik in kg/tkm (0,01919) / Soortelijk gewicht brandstof in kg/l (0,781)</t>
  </si>
  <si>
    <t>Ton</t>
  </si>
  <si>
    <t>Tabel 1: Inschrijfberekening</t>
  </si>
  <si>
    <t>ton</t>
  </si>
  <si>
    <t>1 kg A5 Emissies + brandstof Stage IIIb/IV aanlegset asfalt – 400 ton/dag - per ton asfalt (of project Nationale Milieudatabase SBK versie 3.2 (ecoinvent 3.5)JUL20)</t>
  </si>
  <si>
    <t>SBK Bepalingsmethode, jul 2020 (NMD 3.2) V3.04 / MKI-SBK single-score &amp; PCR Asfalt v1.0</t>
  </si>
  <si>
    <t>Branchegemiddeld</t>
  </si>
  <si>
    <t>1 kg A5 Emissies + brandstof Stage IIIb/IV aanlegset asfalt – 1000 ton/dag - per ton asfalt (of project Nationale Milieudatabase SBK versie 3.2 (ecoinvent 3.5)JUL20)</t>
  </si>
  <si>
    <t>1 kg A5 Emissies + brandstof Stage IIIb/IV aanlegset asfalt – 2000 ton/dag - per ton asfalt (of project Nationale Milieudatabase SBK versie 3.2 (ecoinvent 3.5)JUL20)</t>
  </si>
  <si>
    <t>1 m3 A5 Emissies + brandstof Stage V/extralicht (18-37kW) - per liter (o.b.v. ""Diesel, burned in building machine {GLO} | processing | Cut-off, U"") (of project Nationale Milieudatabase SBK versie 3.2 (ecoinvent 3.5)JUL20) + 1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</si>
  <si>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Strukton</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</si>
  <si>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</si>
  <si>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 + 1 m3 A5 Emissies + brandstof Stage IV/zwaar (130-560kW) - per liter (o.b.v. ""Diesel, burned in building machine {GLO} | processing | Cut-off, U"") (of project Nationale Milieudatabase SBK versie 3.2 (ecoinvent 3.5)JUL20)</t>
  </si>
  <si>
    <t>1 ton C1 Emissies + brandstof Stage IIIb/IV verwijderingsset asfalt – 400 ton/dag - per ton asfalt (of project Nationale Milieudatabase versie 3.3 (ecoinvent 3.6) Feb 2021)</t>
  </si>
  <si>
    <t>1 ton C1 Emissies + brandstof Stage IIIb/IV verwijderingsset asfalt – 1000 ton/dag - per ton asfalt (of project Nationale Milieudatabase versie 3.3 (ecoinvent 3.6) Feb 2021)</t>
  </si>
  <si>
    <t>1 ton C1 Emissies + brandstof Stage IIIb/IV verwijderingsset asfalt – 2000 ton/dag - per ton asfalt (of project Nationale Milieudatabase versie 3.3 (ecoinvent 3.6) Feb 2021)</t>
  </si>
  <si>
    <t>1 ton C1 Emissies + brandstof Stage IV verwijderingsset asfalt – 400 ton/dag - per ton asfalt (of project Nationale Milieudatabase versie 3.3 (ecoinvent 3.6) Feb 2021)</t>
  </si>
  <si>
    <t>1 ton C1 Emissies + brandstof Stage IV verwijderingsset asfalt – 1000 ton/dag - per ton asfalt (of project Nationale Milieudatabase versie 3.3 (ecoinvent 3.6) Feb 2021)</t>
  </si>
  <si>
    <t>1 ton C1 Emissies + brandstof Stage IV verwijderingsset asfalt – 2000 ton/dag - per ton asfalt (of project Nationale Milieudatabase versie 3.3 (ecoinvent 3.6) Feb 2021)</t>
  </si>
  <si>
    <t>TNO 2020 R10987 LCA Achtergrondrapport voor brancherepresentatieve Nederlandse asfaltmengsels 2020</t>
  </si>
  <si>
    <t>1000 ton/dag - Categorie IIIb/IV - Diesel</t>
  </si>
  <si>
    <t>2000 ton/dag - Categorie IIIb/IV - Diesel</t>
  </si>
  <si>
    <t>1000 ton/dag - Categorie IV - Diesel</t>
  </si>
  <si>
    <t>2000 ton/dag - Categorie IV - Diesel</t>
  </si>
  <si>
    <t>400 ton/dag - Categorie IIIb/IV - Diesel</t>
  </si>
  <si>
    <t>400 ton/dag - Categorie IV - Diesel</t>
  </si>
  <si>
    <t>Asfalt Aanlegsets - PCR</t>
  </si>
  <si>
    <t>Asfalt Verwijdersets - PCR</t>
  </si>
  <si>
    <t>Asfalt Verwerkingssets - PCR</t>
  </si>
  <si>
    <t>Aanleg &amp; Verwijder Sets</t>
  </si>
  <si>
    <t>Overig Materieel</t>
  </si>
  <si>
    <t>Uitgangspunten</t>
  </si>
  <si>
    <t>Referentiewaarde</t>
  </si>
  <si>
    <t>Streefwaarde</t>
  </si>
  <si>
    <t>Gunningsvoordeel</t>
  </si>
  <si>
    <t>Eur/MKI</t>
  </si>
  <si>
    <t>Project MKI</t>
  </si>
  <si>
    <t>Fictieve korting</t>
  </si>
  <si>
    <t>Indien gebruik wordt gemaakt van Categorie 1 Data dient u hieronder de benodigde informatie vanuit het LCA Rapport in te voeren.</t>
  </si>
  <si>
    <t>Tabel 2: Categorie 1 LCA informatie - Producten</t>
  </si>
  <si>
    <t>In onderstaand invoerveld kiest u voor producten en processen (Cat. 2 &amp; 3) met behulp van dropdown menu's. Indien u gebruik wilt maken van alternatieve (Cat.1) LCA profielen, voer dan uniform de naam in van het product of proces en lever de benodigde informatie aan in tabblad "Inschrijf LCA's".</t>
  </si>
  <si>
    <t>Grondwerken</t>
  </si>
  <si>
    <t>uur</t>
  </si>
  <si>
    <t>Menggranulaat 0/31,5</t>
  </si>
  <si>
    <t>Betongranulaat</t>
  </si>
  <si>
    <t>Hydraulisch Menggranulaat</t>
  </si>
  <si>
    <t>Funderingslagen</t>
  </si>
  <si>
    <t>Categorie 1 LCA - Producten</t>
  </si>
  <si>
    <t>Categorie 1 LCA - Processen</t>
  </si>
  <si>
    <t>Grond</t>
  </si>
  <si>
    <t>Categorie_1_LCA_Producten</t>
  </si>
  <si>
    <t>Graafmachine, Categorie IIIB, Diesel</t>
  </si>
  <si>
    <t>Graafmachine, Categorie IIIB, Biodiesel</t>
  </si>
  <si>
    <t>Graafmachine, Categorie IIIB, HVO</t>
  </si>
  <si>
    <t>Graafmachine, Categorie IIIB, GTL</t>
  </si>
  <si>
    <t>Graafmachine, Categorie IV, Diesel</t>
  </si>
  <si>
    <t>Graafmachine, Categorie IV, Biodiesel</t>
  </si>
  <si>
    <t>Graafmachine, Categorie IV, HVO</t>
  </si>
  <si>
    <t>Graafmachine, Categorie IV, GTL</t>
  </si>
  <si>
    <t>Graafmachine, Categorie V, Diesel</t>
  </si>
  <si>
    <t>Graafmachine, Categorie V, Biodiesel</t>
  </si>
  <si>
    <t>Graafmachine, Categorie V, HVO</t>
  </si>
  <si>
    <t>Graafmachine, Categorie V, GTL</t>
  </si>
  <si>
    <t>Overige Materieelstukken</t>
  </si>
  <si>
    <t>liter</t>
  </si>
  <si>
    <t>Ja</t>
  </si>
  <si>
    <t>Capaciteit [m3/uur]</t>
  </si>
  <si>
    <t>Bestaande Situatie of Nieuw Sitautie?</t>
  </si>
  <si>
    <t>Sitautie</t>
  </si>
  <si>
    <t>Bestaande situatie</t>
  </si>
  <si>
    <t>Nieuwe situatie</t>
  </si>
  <si>
    <t>Ophoogzand, Cascade-leden</t>
  </si>
  <si>
    <t>Industriezand, Cascade-leden</t>
  </si>
  <si>
    <t>Waterverbruik (m3)</t>
  </si>
  <si>
    <t>Werkelijk geleverd Product</t>
  </si>
  <si>
    <t>Werkelijke hoeveelheid geleverd Product [ton]</t>
  </si>
  <si>
    <t>Aanvoerregistratie</t>
  </si>
  <si>
    <t>Werkelijke hoeveelheid geleverd Product [m3]</t>
  </si>
  <si>
    <t>Aan te leveren bewijsmiddelen overzichten op projectniveau</t>
  </si>
  <si>
    <t>Tankbonnen</t>
  </si>
  <si>
    <t>Pak-/ Weegbonnen</t>
  </si>
  <si>
    <t>Dag-/ Weekrapport</t>
  </si>
  <si>
    <t>EPD 1 tkm d.m.v. Vrachtwagen (&gt;32 t, Euro 5) op basis van 100% Blauwe Diesel 100 EN15940 Nederland (GoodFuels BV, 2019)</t>
  </si>
  <si>
    <t>EPD 1 tkm d.m.v. Vrachtwagen (&gt;32 t, Euro 6) op basis van 100% Blauwe Diesel 100 EN15940 Nederland (GoodFuels BV, 2019)</t>
  </si>
  <si>
    <t>Vrachtwagen (&gt;32 ton), euro 5, Blauwe Diesel 100, Good Fuels</t>
  </si>
  <si>
    <t>Vrachtwagen (&gt;32 ton), euro 6, Blauwe Diesel 100, Good Fuels</t>
  </si>
  <si>
    <t>Graafmachine, Categorie IIIB, Blauwe Diesel 100, Good Fuels</t>
  </si>
  <si>
    <t>Graafmachine, Categorie IV, Blauwe Diesel 100, Good Fuels</t>
  </si>
  <si>
    <t>Graafmachine, Categorie V, Blauwe Diesel 100, Good Fuels</t>
  </si>
  <si>
    <t>Wiellader, Categorie IIIB, Blauwe Diesel 100, Good Fuels</t>
  </si>
  <si>
    <t>Wiellader, Categorie IV, Blauwe Diesel 100, Good Fuels</t>
  </si>
  <si>
    <t>Bulldozer, Categorie IIIB, Blauwe Diesel 100, Good Fuels</t>
  </si>
  <si>
    <t>Bulldozer, Categorie IV, Blauwe Diesel 100, Good Fuels</t>
  </si>
  <si>
    <t>Vrachtwagen (&gt;32 ton), euro 5, Diesel Xtra, Den Hartog</t>
  </si>
  <si>
    <t>Vrachtwagen (&gt;32 ton), euro 5, CO2 Saving Diesel 10, Den Hartog</t>
  </si>
  <si>
    <t>Vrachtwagen (&gt;32 ton), euro 5, CO2 Saving Diesel 10+, Den Hartog</t>
  </si>
  <si>
    <t>Vrachtwagen (&gt;32 ton), euro 5, CO2 Saving Diesel 20, Den Hartog</t>
  </si>
  <si>
    <t>Vrachtwagen (&gt;32 ton), euro 5, CO2 Saving Diesel 20+, Den Hartog</t>
  </si>
  <si>
    <t>Vrachtwagen (&gt;32 ton), euro 5, CO2 Saving Diesel 30, Den Hartog</t>
  </si>
  <si>
    <t>Vrachtwagen (&gt;32 ton), euro 5, CO2 Saving Diesel 30+, Den Hartog</t>
  </si>
  <si>
    <t>Vrachtwagen (&gt;32 ton), euro 5, CO2 Saving Diesel 50, Den Hartog</t>
  </si>
  <si>
    <t>Vrachtwagen (&gt;32 ton), euro 5, CO2 Saving Diesel 50+, Den Hartog</t>
  </si>
  <si>
    <t>Vrachtwagen (&gt;32 ton), euro 5, CO2 Saving Diesel 100, Den Hartog</t>
  </si>
  <si>
    <t>“LCA achtergrondrapport Transport met 9 CO2 Saving Diesel blends &amp; Diesel Xtra” - Den Hartog</t>
  </si>
  <si>
    <t>Vrachtwagen (&gt;32 ton), euro 6, Diesel Xtra, Den Hartog</t>
  </si>
  <si>
    <t>Vrachtwagen (&gt;32 ton), euro 6, CO2 Saving Diesel 10, Den Hartog</t>
  </si>
  <si>
    <t>Vrachtwagen (&gt;32 ton), euro 6, CO2 Saving Diesel 10+, Den Hartog</t>
  </si>
  <si>
    <t>Vrachtwagen (&gt;32 ton), euro 6, CO2 Saving Diesel 20, Den Hartog</t>
  </si>
  <si>
    <t>Vrachtwagen (&gt;32 ton), euro 6, CO2 Saving Diesel 20+, Den Hartog</t>
  </si>
  <si>
    <t>Vrachtwagen (&gt;32 ton), euro 6, CO2 Saving Diesel 30, Den Hartog</t>
  </si>
  <si>
    <t>Vrachtwagen (&gt;32 ton), euro 6, CO2 Saving Diesel 30+, Den Hartog</t>
  </si>
  <si>
    <t>Vrachtwagen (&gt;32 ton), euro 6, CO2 Saving Diesel 50, Den Hartog</t>
  </si>
  <si>
    <t>Vrachtwagen (&gt;32 ton), euro 6, CO2 Saving Diesel 50+, Den Hartog</t>
  </si>
  <si>
    <t>Vrachtwagen (&gt;32 ton), euro 6, CO2 Saving Diesel 100, Den Hartog</t>
  </si>
  <si>
    <t>Stookwaarde [MJ/liter]</t>
  </si>
  <si>
    <t>Brandstoffen</t>
  </si>
  <si>
    <t>Categorie IIIB, Diesel</t>
  </si>
  <si>
    <t>Categorie IIIB, Biodiesel</t>
  </si>
  <si>
    <t>Categorie IIIB, HVO</t>
  </si>
  <si>
    <t>Categorie IIIB, GTL</t>
  </si>
  <si>
    <t>Categorie IIIB, Blauwe Diesel 100, Good Fuels</t>
  </si>
  <si>
    <t>Categorie IV, Diesel</t>
  </si>
  <si>
    <t>Categorie IV, Biodiesel</t>
  </si>
  <si>
    <t>Categorie IV, HVO</t>
  </si>
  <si>
    <t>Categorie IV, GTL</t>
  </si>
  <si>
    <t>Categorie IV, Blauwe Diesel 100, Good Fuels</t>
  </si>
  <si>
    <t>Categorie V, Diesel</t>
  </si>
  <si>
    <t>Categorie V, Biodiesel</t>
  </si>
  <si>
    <t>Categorie V, HVO</t>
  </si>
  <si>
    <t>Categorie V, GTL</t>
  </si>
  <si>
    <t>Categorie V, Blauwe Diesel 100, Good Fuels</t>
  </si>
  <si>
    <t>Wiellader, Categorie IIIB, Diesel</t>
  </si>
  <si>
    <t>Wiellader, Categorie IIIB, Biodiesel</t>
  </si>
  <si>
    <t>Wiellader, Categorie IIIB, HVO</t>
  </si>
  <si>
    <t>Wiellader, Categorie IIIB, GTL</t>
  </si>
  <si>
    <t>Wiellader, Categorie IV, Diesel</t>
  </si>
  <si>
    <t>Wiellader, Categorie IV, Biodiesel</t>
  </si>
  <si>
    <t>Wiellader, Categorie IV, HVO</t>
  </si>
  <si>
    <t>Wiellader, Categorie IV, GTL</t>
  </si>
  <si>
    <t>Wiellader, Categorie V, Diesel</t>
  </si>
  <si>
    <t>Wiellader, Categorie V, Biodiesel</t>
  </si>
  <si>
    <t>Wiellader, Categorie V, HVO</t>
  </si>
  <si>
    <t>Wiellader, Categorie V, GTL</t>
  </si>
  <si>
    <t>Wiellader, Categorie V, Blauwe Diesel 100, Good Fuels</t>
  </si>
  <si>
    <t>Bulldozer, Categorie IIIB, Diesel</t>
  </si>
  <si>
    <t>Bulldozer, Categorie IIIB, Biodiesel</t>
  </si>
  <si>
    <t>Bulldozer, Categorie IIIB, HVO</t>
  </si>
  <si>
    <t>Bulldozer, Categorie IIIB, GTL</t>
  </si>
  <si>
    <t>Bulldozer, Categorie IV, Diesel</t>
  </si>
  <si>
    <t>Bulldozer, Categorie IV, Biodiesel</t>
  </si>
  <si>
    <t>Bulldozer, Categorie IV, HVO</t>
  </si>
  <si>
    <t>Bulldozer, Categorie IV, GTL</t>
  </si>
  <si>
    <t>Bulldozer, Categorie V, Diesel</t>
  </si>
  <si>
    <t>Bulldozer, Categorie V, Biodiesel</t>
  </si>
  <si>
    <t>Bulldozer, Categorie V, HVO</t>
  </si>
  <si>
    <t>Bulldozer, Categorie V, GTL</t>
  </si>
  <si>
    <t>Bulldozer, Categorie V, Blauwe Diesel 100, Good Fuels</t>
  </si>
  <si>
    <t>1 l Graafmachine, categorie IIIB, diesel, per liter, c2 (of project Nationale Milieudatabase SBK versie 3.2 (ecoinvent 3.5)JUL20)</t>
  </si>
  <si>
    <t>1 l Graafmachine, categorie IIIB, GTL, per liter, c2 (of project Nationale Milieudatabase SBK versie 3.2 (ecoinvent 3.5)JUL20)</t>
  </si>
  <si>
    <t>1 l Graafmachine, categorie IIIB, ongemixte biodiesel, per liter, c2 (of project Nationale Milieudatabase SBK versie 3.2 (ecoinvent 3.5)JUL20)</t>
  </si>
  <si>
    <t>1 l Graafmachine, categorie IIIB, ongemixte HVO, per liter, c2 (of project Nationale Milieudatabase SBK versie 3.2 (ecoinvent 3.5)JUL20)</t>
  </si>
  <si>
    <t>1 l Graafmachine, categorie IV, diesel, per liter, c2 (of project Nationale Milieudatabase SBK versie 3.2 (ecoinvent 3.5)JUL20)</t>
  </si>
  <si>
    <t>1 l Graafmachine, categorie IV, GTL, per liter, c2 (of project Nationale Milieudatabase SBK versie 3.2 (ecoinvent 3.5)JUL20)</t>
  </si>
  <si>
    <t>1 l Graafmachine, categorie IV, ongemixte biodiesel, per liter, c2 (of project Nationale Milieudatabase SBK versie 3.2 (ecoinvent 3.5)JUL20)</t>
  </si>
  <si>
    <t>1 l Graafmachine, categorie IV, ongemixte HVO, per liter, c2 (of project Nationale Milieudatabase SBK versie 3.2 (ecoinvent 3.5)JUL20)</t>
  </si>
  <si>
    <t>1 l Graafmachine, categorie V, diesel, per liter, c2 (of project Nationale Milieudatabase SBK versie 3.2 (ecoinvent 3.5)JUL20)</t>
  </si>
  <si>
    <t>1 l Graafmachine, categorie V, GTL, per liter, c2 (of project Nationale Milieudatabase SBK versie 3.2 (ecoinvent 3.5)JUL20)</t>
  </si>
  <si>
    <t>1 l Graafmachine, categorie V, ongemixte biodiesel, per liter, c2 (of project Nationale Milieudatabase SBK versie 3.2 (ecoinvent 3.5)JUL20)</t>
  </si>
  <si>
    <t>1 l Graafmachine, categorie V, ongemixte HVO, per liter, c2 (of project Nationale Milieudatabase SBK versie 3.2 (ecoinvent 3.5)JUL20)</t>
  </si>
  <si>
    <t>400 ton/dag - Categorie IV - Biodiesel</t>
  </si>
  <si>
    <t>1000 ton/dag - Categorie IV - Biodiesel</t>
  </si>
  <si>
    <t>2000 ton/dag - Categorie IV - Biodiesel</t>
  </si>
  <si>
    <t>400 ton/dag - Categorie IV - HVO</t>
  </si>
  <si>
    <t>1000 ton/dag - Categorie IV - HVO</t>
  </si>
  <si>
    <t>2000 ton/dag - Categorie IV - HVO</t>
  </si>
  <si>
    <t>400 ton/dag - Categorie IV - GTL</t>
  </si>
  <si>
    <t>1000 ton/dag - Categorie IV - GTL</t>
  </si>
  <si>
    <t>2000 ton/dag - Categorie IV - GTL</t>
  </si>
  <si>
    <t>400 ton/dag - Categorie IV - Blauwe Diesel 100, Good Fuels</t>
  </si>
  <si>
    <t>1000 ton/dag - Categorie IV - Blauwe Diesel 100, Good Fuels</t>
  </si>
  <si>
    <t>2000 ton/dag - Categorie IV - Blauwe Diesel 100, Good Fuels</t>
  </si>
  <si>
    <t>Literverbruik materieelstruk per uur verschaald obv energetische inhoud alternatieve brandstof * milieuprofiel brandstofverbruik per liter</t>
  </si>
  <si>
    <t>1 l d.m.v. Materieel NRMM categorie 3B op basis van 100% Blauwe Diesel 100 EN15940 Nederland</t>
  </si>
  <si>
    <t>1 l d.m.v. Materieel NRMM categorie 4 op basis van 100% Blauwe Diesel 100 EN15940 Nederland</t>
  </si>
  <si>
    <t>Capaciteit</t>
  </si>
  <si>
    <t>Verbruik [liter/kWh/kg per uur]</t>
  </si>
  <si>
    <t>Arbeid geleverd met 1 liter diesel komt ongeveer overeen met arbeid geleverd door e-werktuig dat 3,10 kWh ‘verbruikt’</t>
  </si>
  <si>
    <t>LCA Rapportage categorie 3 data, Nationale Milieudatabase, Hoofdstuk 1000 t/m 8000 Processen - CONCEPT!</t>
  </si>
  <si>
    <t>Elektrisch groen</t>
  </si>
  <si>
    <t>kWh</t>
  </si>
  <si>
    <t>CONCEPT!</t>
  </si>
  <si>
    <t>Elektrisch grijs</t>
  </si>
  <si>
    <t>400 ton/dag - Elektrisch grijs</t>
  </si>
  <si>
    <t>1000 ton/dag - Elektrisch grijs</t>
  </si>
  <si>
    <t>2000 ton/dag - Elektrisch grijs</t>
  </si>
  <si>
    <t>400 ton/dag - Elektrisch groen</t>
  </si>
  <si>
    <t>1000 ton/dag - Elektrisch groen</t>
  </si>
  <si>
    <t>2000 ton/dag - Elektrisch groen</t>
  </si>
  <si>
    <t>Vrachtwagen (&gt;32 ton), elektrisch groen</t>
  </si>
  <si>
    <t>Vrachtwagen (&gt;32 ton), elektrisch grijs</t>
  </si>
  <si>
    <t>Graafmachine, Elektrisch groen</t>
  </si>
  <si>
    <t>Graafmachine, Elektrisch grijs</t>
  </si>
  <si>
    <t>Wiellader, Elektrisch groen</t>
  </si>
  <si>
    <t>Wiellader, Elektrisch grijs</t>
  </si>
  <si>
    <t>Bulldozer, Elektrisch groen</t>
  </si>
  <si>
    <t>Bulldozer, Elektrisch grijs</t>
  </si>
  <si>
    <t>Verwerkingsset - Elektrisch grijs</t>
  </si>
  <si>
    <t>Verwerkingsset - Elektrisch groen</t>
  </si>
  <si>
    <t>Verwerkingsset - Categorie IV - Blauwe Diesel 100, Good Fuels</t>
  </si>
  <si>
    <t>Verwerkingsset - Categorie IIIB - Diesel</t>
  </si>
  <si>
    <t>Verwerkingsset - Categorie IIIB - Biodiesel</t>
  </si>
  <si>
    <t>Verwerkingsset - Categorie IIIB - HVO</t>
  </si>
  <si>
    <t>Verwerkingsset - Categorie IIIB - GTL</t>
  </si>
  <si>
    <t>Verwerkingsset - Categorie IIIB - Blauwe Diesel 100, Good Fuels</t>
  </si>
  <si>
    <t>Verwerkingsset - Categorie IV - Diesel</t>
  </si>
  <si>
    <t>Verwerkingsset - Categorie IV - Biodiesel</t>
  </si>
  <si>
    <t>Verwerkingsset - Categorie IV - HVO</t>
  </si>
  <si>
    <t>Verwerkingsset - Categorie IV - GTL</t>
  </si>
  <si>
    <t>Primair</t>
  </si>
  <si>
    <t>Secundair</t>
  </si>
  <si>
    <t>% Secundair</t>
  </si>
  <si>
    <t>CO2 project totaal (kg)</t>
  </si>
  <si>
    <t>Primair materiaalverbruik</t>
  </si>
  <si>
    <t>Secundair Materiaalverbruik</t>
  </si>
  <si>
    <t>Materiaalgebruik (ton)</t>
  </si>
  <si>
    <t>Secundair Materiaal [%]</t>
  </si>
  <si>
    <t>Hernieuwbare energie</t>
  </si>
  <si>
    <t>Totaal Energie</t>
  </si>
  <si>
    <t>n.v.t.</t>
  </si>
  <si>
    <t xml:space="preserve"> €                                                                                                      -  </t>
  </si>
  <si>
    <t>A4 - Transportafstand naar bouwplaats [km]</t>
  </si>
  <si>
    <t>A4 - Transportmiddel naar bouwplaats</t>
  </si>
  <si>
    <t>A5 - Asfalt Aanlegset</t>
  </si>
  <si>
    <t>A5 - Overig Materieel tbv Aanleg</t>
  </si>
  <si>
    <t>C1 - Asfalt Verwijderset</t>
  </si>
  <si>
    <t>C1 - Overig Materieel tbv Verwijderen</t>
  </si>
  <si>
    <t>C2 - Transportafstand naar verwerker [km]</t>
  </si>
  <si>
    <t>C2 - Transportmiddel naar verwerker</t>
  </si>
  <si>
    <t>C3 - Verwerkingsset</t>
  </si>
  <si>
    <t>Inschrijfprijs [€]</t>
  </si>
  <si>
    <t>Kostenraming [€]</t>
  </si>
  <si>
    <t>Materiaalreductie [ton]</t>
  </si>
  <si>
    <t>Meerprijs [€]</t>
  </si>
  <si>
    <t>MKI Reductie [€]</t>
  </si>
  <si>
    <t>Primair materiaalverbruik [ton]</t>
  </si>
  <si>
    <t>Secundair materiaalverbruik [ton]</t>
  </si>
  <si>
    <t>Totale meerprijs</t>
  </si>
  <si>
    <t>Fossiele energie</t>
  </si>
  <si>
    <t>Fossiel energieverbruik (MJ)</t>
  </si>
  <si>
    <t>Hernieuwbaar energieverbruik (MJ)</t>
  </si>
  <si>
    <t>Hernieuwbaar</t>
  </si>
  <si>
    <t>Fossiel</t>
  </si>
  <si>
    <t>Grondstoffengebruik (ton)</t>
  </si>
  <si>
    <t>Emissieloos Transport</t>
  </si>
  <si>
    <t>Transport naar bouwplaats [tkm]</t>
  </si>
  <si>
    <t>Transport naar verwerker [tkm]</t>
  </si>
  <si>
    <t>Vraag</t>
  </si>
  <si>
    <t>Nee</t>
  </si>
  <si>
    <t>Emissieloos Transport naar bouwplaats?</t>
  </si>
  <si>
    <t>Emissieloos Transport naar verwerker?</t>
  </si>
  <si>
    <t>Emissieloos Bouwplaats</t>
  </si>
  <si>
    <t>Draaiuren Sloop</t>
  </si>
  <si>
    <t>Draaiuren Bouw</t>
  </si>
  <si>
    <t>Emissieloos Bouwmaterieel</t>
  </si>
  <si>
    <t>Emissieloos bouwplaats</t>
  </si>
  <si>
    <t>Emissieloos Sloopmaterieel</t>
  </si>
  <si>
    <t>CO2 project totaal (ton)</t>
  </si>
  <si>
    <t>Energiegebruik (GJ)</t>
  </si>
  <si>
    <t>Energieverbruik [GJ]</t>
  </si>
  <si>
    <t>CO2 Emissies [ton]</t>
  </si>
  <si>
    <t>Totaal transport</t>
  </si>
  <si>
    <t>Emissieloos transport</t>
  </si>
  <si>
    <t>Emissieloos Transport [tkm]</t>
  </si>
  <si>
    <t>Emissieloos Bouwmaterieel [uur]</t>
  </si>
  <si>
    <t>Emissieloos bouwmaterieel</t>
  </si>
  <si>
    <t>Totaal bouwmaterieel</t>
  </si>
  <si>
    <t>Fossiel energieverbruik [MJ]</t>
  </si>
  <si>
    <t>Hernieuwbaar energieverbruik [MJ]</t>
  </si>
  <si>
    <t>Materiaalgebruik [ton]</t>
  </si>
  <si>
    <t>Energieverbruik (GJ)</t>
  </si>
  <si>
    <t>Dumper, Categorie IIIB, Diesel</t>
  </si>
  <si>
    <t>Dumper, Categorie IIIB, Biodiesel</t>
  </si>
  <si>
    <t>Dumper, Categorie IIIB, HVO</t>
  </si>
  <si>
    <t>Dumper, Categorie IIIB, GTL</t>
  </si>
  <si>
    <t>Dumper, Categorie IIIB, Blauwe Diesel 100, Good Fuels</t>
  </si>
  <si>
    <t>Dumper, Categorie IV, Diesel</t>
  </si>
  <si>
    <t>Dumper, Categorie IV, Biodiesel</t>
  </si>
  <si>
    <t>Dumper, Categorie IV, HVO</t>
  </si>
  <si>
    <t>Dumper, Categorie IV, GTL</t>
  </si>
  <si>
    <t>Dumper, Categorie IV, Blauwe Diesel 100, Good Fuels</t>
  </si>
  <si>
    <t>Dumper, Categorie V, Diesel</t>
  </si>
  <si>
    <t>Dumper, Categorie V, Biodiesel</t>
  </si>
  <si>
    <t>Dumper, Categorie V, HVO</t>
  </si>
  <si>
    <t>Dumper, Categorie V, GTL</t>
  </si>
  <si>
    <t>Dumper, Categorie V, Blauwe Diesel 100, Good Fuels</t>
  </si>
  <si>
    <t>Dumper, Elektrisch groen</t>
  </si>
  <si>
    <t>Dumper, Elektrisch grijs</t>
  </si>
  <si>
    <t xml:space="preserve">LCA Rapportage categorie 3 data Nationale Milieudatabase Hoofdstuk 1000 t/m 8000 Processen </t>
  </si>
  <si>
    <t>Wals, Categorie IIIB, Diesel</t>
  </si>
  <si>
    <t>Wals, Categorie IIIB, Biodiesel</t>
  </si>
  <si>
    <t>Wals, Categorie IIIB, HVO</t>
  </si>
  <si>
    <t>Wals, Categorie IIIB, GTL</t>
  </si>
  <si>
    <t>Wals, Categorie IIIB, Blauwe Diesel 100, Good Fuels</t>
  </si>
  <si>
    <t>Wals, Categorie IV, Diesel</t>
  </si>
  <si>
    <t>Wals, Categorie IV, Biodiesel</t>
  </si>
  <si>
    <t>Wals, Categorie IV, HVO</t>
  </si>
  <si>
    <t>Wals, Categorie IV, GTL</t>
  </si>
  <si>
    <t>Wals, Categorie IV, Blauwe Diesel 100, Good Fuels</t>
  </si>
  <si>
    <t>Wals, Categorie V, Diesel</t>
  </si>
  <si>
    <t>Wals, Categorie V, Biodiesel</t>
  </si>
  <si>
    <t>Wals, Categorie V, HVO</t>
  </si>
  <si>
    <t>Wals, Categorie V, GTL</t>
  </si>
  <si>
    <t>Wals, Categorie V, Blauwe Diesel 100, Good Fuels</t>
  </si>
  <si>
    <t>Wals, Elektrisch groen</t>
  </si>
  <si>
    <t>Wals, Elektrisch grijs</t>
  </si>
  <si>
    <t>Trilplaat, Categorie IIIB, Biodiesel</t>
  </si>
  <si>
    <t>Trilplaat, Categorie IIIB, HVO</t>
  </si>
  <si>
    <t>Trilplaat, Categorie IIIB, GTL</t>
  </si>
  <si>
    <t>Trilplaat, Categorie IIIB, Blauwe Diesel 100, Good Fuels</t>
  </si>
  <si>
    <t>Trilplaat, Categorie IV, Diesel</t>
  </si>
  <si>
    <t>Trilplaat, Categorie IV, Biodiesel</t>
  </si>
  <si>
    <t>Trilplaat, Categorie IV, HVO</t>
  </si>
  <si>
    <t>Trilplaat, Categorie IV, GTL</t>
  </si>
  <si>
    <t>Trilplaat, Categorie IV, Blauwe Diesel 100, Good Fuels</t>
  </si>
  <si>
    <t>Trilplaat, Categorie V, Diesel</t>
  </si>
  <si>
    <t>Trilplaat, Categorie V, Biodiesel</t>
  </si>
  <si>
    <t>Trilplaat, Categorie V, HVO</t>
  </si>
  <si>
    <t>Trilplaat, Categorie V, GTL</t>
  </si>
  <si>
    <t>Trilplaat, Categorie V, Blauwe Diesel 100, Good Fuels</t>
  </si>
  <si>
    <t>Trilplaat, Elektrisch groen</t>
  </si>
  <si>
    <t>Trilplaat, Elektrisch grijs</t>
  </si>
  <si>
    <t>Trilplaat, Categorie IIIB, Diesel</t>
  </si>
  <si>
    <t>MKI project totaal (€)</t>
  </si>
  <si>
    <t>Referentieberekening</t>
  </si>
  <si>
    <t>Inschrijfberekening</t>
  </si>
  <si>
    <t>Emissieloos Asfalt Aanlegset</t>
  </si>
  <si>
    <t>Emissieloos Asfalt Verwijderset</t>
  </si>
  <si>
    <t>Draaiuren Bouw Asfalt</t>
  </si>
  <si>
    <t>Draaiuren Bouw Overig</t>
  </si>
  <si>
    <t>Draaiuren Verwijder Asfalt</t>
  </si>
  <si>
    <t>Draaiuren Verwijder Overig</t>
  </si>
  <si>
    <t>€ / MKI</t>
  </si>
  <si>
    <t>Hernieuwbare energie [MJ]</t>
  </si>
  <si>
    <t>Secundaire grondstoffen gebruik [ton]</t>
  </si>
  <si>
    <t>Primaire grondstoffen gebruik [ton]</t>
  </si>
  <si>
    <t>CO2 Reductie [kg]</t>
  </si>
  <si>
    <t>Niet hernieuwbare energie [MJ]</t>
  </si>
  <si>
    <t>Emissieloos Bouwplaats [uur]</t>
  </si>
  <si>
    <t>Emissie bouwmaterieel</t>
  </si>
  <si>
    <t>Emissie transport</t>
  </si>
  <si>
    <t>Project ID</t>
  </si>
  <si>
    <t>Inschrijver</t>
  </si>
  <si>
    <t>Producttype</t>
  </si>
  <si>
    <t>Bitumineuze verhardingen</t>
  </si>
  <si>
    <t>Bitumineuze_verhardingen</t>
  </si>
  <si>
    <t>Betonverhardingen</t>
  </si>
  <si>
    <t>Vrachtwagen</t>
  </si>
  <si>
    <t>Asfaltsets</t>
  </si>
  <si>
    <t>Verwerkingsset</t>
  </si>
  <si>
    <t>Aanlegset</t>
  </si>
  <si>
    <t>Verwijderset</t>
  </si>
  <si>
    <t>Bouwmachines</t>
  </si>
  <si>
    <t>Graafmachine</t>
  </si>
  <si>
    <t>Wiellader</t>
  </si>
  <si>
    <t>Bulldozer</t>
  </si>
  <si>
    <t>Dumper</t>
  </si>
  <si>
    <t>Wals</t>
  </si>
  <si>
    <t>Triplaat</t>
  </si>
  <si>
    <t>Brandstof</t>
  </si>
  <si>
    <t>Diesel</t>
  </si>
  <si>
    <t>Biodiesel</t>
  </si>
  <si>
    <t>HVO</t>
  </si>
  <si>
    <t>GTL</t>
  </si>
  <si>
    <t>Elektrisch</t>
  </si>
  <si>
    <t>Elementenverhardingen</t>
  </si>
  <si>
    <t>Riolering</t>
  </si>
  <si>
    <t>Betonconstructies</t>
  </si>
  <si>
    <t>Staalconstructies</t>
  </si>
  <si>
    <t>Poducttype</t>
  </si>
  <si>
    <t>ZOAB</t>
  </si>
  <si>
    <t>AC bin/base</t>
  </si>
  <si>
    <t>AC Surf</t>
  </si>
  <si>
    <t>SMA</t>
  </si>
  <si>
    <t>Asfaltbeton</t>
  </si>
  <si>
    <t>Asfaltmastiek</t>
  </si>
  <si>
    <t>Gietasfalt</t>
  </si>
  <si>
    <t>Menggranulaat</t>
  </si>
  <si>
    <t>Hoeveelheid Vervaningen [ton]</t>
  </si>
  <si>
    <t>Primair materiaalverbruik Vervangingen [ton]</t>
  </si>
  <si>
    <t>Secundair materiaalverbruik Vervangingen [ton]</t>
  </si>
  <si>
    <t>Transport naar bouwplaats Vervangingen [tkm]</t>
  </si>
  <si>
    <t>Transport naar verwerker Vervangingen [tkm]</t>
  </si>
  <si>
    <t>Draaiuren Bouw Vervangingen</t>
  </si>
  <si>
    <t>Draaiuren Sloop Vervangingen</t>
  </si>
  <si>
    <t>Emissieloos Transport Vervangingen</t>
  </si>
  <si>
    <t>Emissieloos bouwplaats Vervangingen</t>
  </si>
  <si>
    <t>Hoeveelheid Vervangingen [ton]</t>
  </si>
  <si>
    <t>Primair materiaalverbruik Vervangingen</t>
  </si>
  <si>
    <t>Secundair Materiaalverbruik Vervangingen</t>
  </si>
  <si>
    <t>Draaiuren Bouw Asfalt Vervangingen</t>
  </si>
  <si>
    <t>Draaiuren Bouw Overig Vervangingen</t>
  </si>
  <si>
    <t>Draaiuren Verwijder Asfalt Vervangingen</t>
  </si>
  <si>
    <t>Draaiuren Verwijder Overig Vervangingen</t>
  </si>
  <si>
    <t>Totaal Materieelgebruik</t>
  </si>
  <si>
    <t>Totaal Primair Materieelgebruik</t>
  </si>
  <si>
    <t>Totaal Secundair Materieelgebruik</t>
  </si>
  <si>
    <t>Totaal Emissieloos Transport</t>
  </si>
  <si>
    <t>Totaal Niet Emissieloos Transport</t>
  </si>
  <si>
    <t>Totaal Transport</t>
  </si>
  <si>
    <t>Totaal Emissieloos Bouwplaats</t>
  </si>
  <si>
    <t>Totaal Niet Emissieloos Bouwplaats</t>
  </si>
  <si>
    <t>Totaal Bouwplaats</t>
  </si>
  <si>
    <t>Overige</t>
  </si>
  <si>
    <t>Licht ophoogmateriaal</t>
  </si>
  <si>
    <t>Ophoogmateriaal van kunststof</t>
  </si>
  <si>
    <t>AEC-bodemas</t>
  </si>
  <si>
    <t>Gebonden wegfundering</t>
  </si>
  <si>
    <t>Schraalbeton</t>
  </si>
  <si>
    <t>Schuimbeton</t>
  </si>
  <si>
    <t>Levering</t>
  </si>
  <si>
    <t>Aanbrengen</t>
  </si>
  <si>
    <t>Verwijderen</t>
  </si>
  <si>
    <t>Afvoeren</t>
  </si>
  <si>
    <t>Werk Sitautie</t>
  </si>
  <si>
    <t>Project datum</t>
  </si>
  <si>
    <t>Opdrachtgever</t>
  </si>
  <si>
    <t>Project datum [DD-MM-YY]</t>
  </si>
  <si>
    <t>Workscope</t>
  </si>
  <si>
    <t>Price</t>
  </si>
  <si>
    <t>Productgroup</t>
  </si>
  <si>
    <t>Amount[ton]</t>
  </si>
  <si>
    <t>Amount[m3]</t>
  </si>
  <si>
    <t>Replacements</t>
  </si>
  <si>
    <t>Assumptions</t>
  </si>
  <si>
    <t>Client</t>
  </si>
  <si>
    <t>Surface[m2]</t>
  </si>
  <si>
    <t>Thickness[m]</t>
  </si>
  <si>
    <t>Kosten [€]</t>
  </si>
  <si>
    <t>Kunststofverhardingen</t>
  </si>
  <si>
    <t>Lengte[m]</t>
  </si>
  <si>
    <t>Breedte [m]</t>
  </si>
  <si>
    <t>500</t>
  </si>
  <si>
    <t>4</t>
  </si>
  <si>
    <t>3,5</t>
  </si>
  <si>
    <t>4,5</t>
  </si>
  <si>
    <t>Rijlabels</t>
  </si>
  <si>
    <t>Eindtotaal</t>
  </si>
  <si>
    <t>Product-/ Projectvariant</t>
  </si>
  <si>
    <t>m1</t>
  </si>
  <si>
    <t>m2</t>
  </si>
  <si>
    <t>m3</t>
  </si>
  <si>
    <t>stuks</t>
  </si>
  <si>
    <t>Hoeveelheid</t>
  </si>
  <si>
    <t>Rood gestort beton</t>
  </si>
  <si>
    <t>Kunststofverhadingen</t>
  </si>
  <si>
    <t>Thermoplast markering</t>
  </si>
  <si>
    <t>Kleeflaag</t>
  </si>
  <si>
    <t>Opsluitband 80x200</t>
  </si>
  <si>
    <t>Betonstraatsteen</t>
  </si>
  <si>
    <t>Gebakken klinker keiformaat</t>
  </si>
  <si>
    <t>Betontegel</t>
  </si>
  <si>
    <t>Onderhoudscylus [jaar]</t>
  </si>
  <si>
    <t>Onderhoudsbeurten</t>
  </si>
  <si>
    <t>Product levensduur [jaar]</t>
  </si>
  <si>
    <t>Fietspad</t>
  </si>
  <si>
    <t>(obv AC Surf 0% PR * 1,65)</t>
  </si>
  <si>
    <t>(o.b.v. SMA 8-11 * 1,5)</t>
  </si>
  <si>
    <t>AC Surf 0% PR Rood</t>
  </si>
  <si>
    <t>SMA 8-11 Rood</t>
  </si>
  <si>
    <t>NMD ASFALTVERHARDING, Bitumen emulsie kleeflaag 0,3 kgm2</t>
  </si>
  <si>
    <t>9,990 E -5</t>
  </si>
  <si>
    <t>2,248 E -5</t>
  </si>
  <si>
    <t>6,612 E -5</t>
  </si>
  <si>
    <t>7,849 E -6</t>
  </si>
  <si>
    <t>Markering</t>
  </si>
  <si>
    <t>1,599 E -5</t>
  </si>
  <si>
    <t>9,244 E -5</t>
  </si>
  <si>
    <t>1,884 E -5</t>
  </si>
  <si>
    <t>5,756 E -4</t>
  </si>
  <si>
    <t>5,290 E -5</t>
  </si>
  <si>
    <t>1,688 E -4</t>
  </si>
  <si>
    <t>1,705 E -4</t>
  </si>
  <si>
    <t>2,658 E -4</t>
  </si>
  <si>
    <t>2,265 E -5</t>
  </si>
  <si>
    <t>2,017 E -4</t>
  </si>
  <si>
    <t>3,860 E -5</t>
  </si>
  <si>
    <t>3,373 E -4</t>
  </si>
  <si>
    <t>6,058 E -5</t>
  </si>
  <si>
    <t>1,572 E -5</t>
  </si>
  <si>
    <t>9,090 E -5</t>
  </si>
  <si>
    <t>1,853 E -5</t>
  </si>
  <si>
    <t>5,660 E -4</t>
  </si>
  <si>
    <t>5,202 E -5</t>
  </si>
  <si>
    <t>2,510 E -6</t>
  </si>
  <si>
    <t>7,160 E -6</t>
  </si>
  <si>
    <t>1,680 E -6</t>
  </si>
  <si>
    <t>5,832 E -4</t>
  </si>
  <si>
    <t>2,340 E -4</t>
  </si>
  <si>
    <t>2,000 E -6</t>
  </si>
  <si>
    <t>3,329 E -5</t>
  </si>
  <si>
    <t>4,081 E -4</t>
  </si>
  <si>
    <t>7,293 E -5</t>
  </si>
  <si>
    <t>NMD Lengtemarkering, thermoplastisch, doorlopend</t>
  </si>
  <si>
    <t>MKIwaarde op basis van een doorgetrokken streep van 20 cm breed1 meter lengtemarkering. Toelichting m2 per m1 toepassing: 3 mm dikke thermoplast aangebracht met een open slof of een extruder, 610 hier 10 kg 3mm 1m2.</t>
  </si>
  <si>
    <t>Opsluitband</t>
  </si>
  <si>
    <t>Opsluitband 100x200</t>
  </si>
  <si>
    <t>NMD Opsluitband 100x200x1000mm grijs</t>
  </si>
  <si>
    <t>NMD 100x200 * 0,8</t>
  </si>
  <si>
    <t>0,02</t>
  </si>
  <si>
    <t>NMD Betonstraatsteen 210x105x80 mm door en door grijs</t>
  </si>
  <si>
    <t>Betonstraatsteen 210x105x80</t>
  </si>
  <si>
    <t>Som van Totaal</t>
  </si>
  <si>
    <t>B3</t>
  </si>
  <si>
    <t>Uitgangspunt is herbestraten, 10% inboet</t>
  </si>
  <si>
    <t>B2</t>
  </si>
  <si>
    <t>Gestort beton</t>
  </si>
  <si>
    <t>Prefab beton</t>
  </si>
  <si>
    <t>Prefab beton platen 140mm</t>
  </si>
  <si>
    <t>0271-reD&amp;Module D, grind, per kg NETTO geleverd granulaat/grind (vermeden: Gravel, round {RoW}| gravel and sand quarry operation | Cut-off, U)</t>
  </si>
  <si>
    <t>0247-sto&amp;Stort inert afval (o.b.v. Inert waste, for final disposal {RoW}| treatment of inert waste, inert material landfill | Cut-off, U) fijn-/grofkeramisch, grind, kalkzandsteen, schelpen, zand</t>
  </si>
  <si>
    <t>12,5 m2 / uur Stage IIIB Graafmachine Diesel</t>
  </si>
  <si>
    <t>43 kg</t>
  </si>
  <si>
    <t>C4 - % stort / verlies</t>
  </si>
  <si>
    <t>C3 - % Verbranding</t>
  </si>
  <si>
    <t>C3 - % Recycling</t>
  </si>
  <si>
    <t>D - % Hergebruik</t>
  </si>
  <si>
    <t>Ecochain 2022 LCA Achtergrondrapport voor Nederlandse branchereferentiemengsels 2022</t>
  </si>
  <si>
    <t>Plastic Road CCL200</t>
  </si>
  <si>
    <t>Toplaag</t>
  </si>
  <si>
    <t>2,0 - 3,0 kg per m2. Referentieprofiel * 1,5 (lengtemarkering = 2 kg / meter)</t>
  </si>
  <si>
    <t>Thermoplastische coating rood</t>
  </si>
  <si>
    <t>10 kg kleurstof per m3 beton. https://static.betoninfra.nl/assets/Themas/Betontechnologie/kleurstoffen-in-beton-i.pdf?v=1556890209</t>
  </si>
  <si>
    <t>10 kg kleurstof per m3 beton &gt; 80 mm dik = 0,8 kg per m2 . https://static.betoninfra.nl/assets/Themas/Betontechnologie/kleurstoffen-in-beton-i.pdf?v=1556890209</t>
  </si>
  <si>
    <t>NMD Betonstraatsteen 210x105x80 mm door en door grijs + Chemical, inorganic {GLO}| production | Cut-off, U</t>
  </si>
  <si>
    <t>0065-fab&amp;Cellenbeton, blokken (o.b.v. Autoclaved aerated concrete block {GLO}| market for | Cut-off, U)</t>
  </si>
  <si>
    <t>Soortelijk gewicht [ton / eenheid]</t>
  </si>
  <si>
    <t>Producten</t>
  </si>
  <si>
    <t>001. abiotic depletion, non fuel (AD)</t>
  </si>
  <si>
    <t>002. abiotic depletion, fuel (AD)</t>
  </si>
  <si>
    <t>004. global warming (GWP)</t>
  </si>
  <si>
    <t>005. ozone layer depletion (ODP)</t>
  </si>
  <si>
    <t>006. photochemical oxidation (POCP)</t>
  </si>
  <si>
    <t>007. acidification (AP)</t>
  </si>
  <si>
    <t>008. eutrophication (EP)</t>
  </si>
  <si>
    <t>009. human toxicity (HT)</t>
  </si>
  <si>
    <t>010. Ecotoxicity, fresh water (FAETP)</t>
  </si>
  <si>
    <t>012. Ecotoxcity, marine water (MAETP)</t>
  </si>
  <si>
    <t>014. Ecotoxicity, terrestric (TETP)</t>
  </si>
  <si>
    <t>051. Climate change</t>
  </si>
  <si>
    <t>052. Climate change - Fossil</t>
  </si>
  <si>
    <t>053. Climate change - Biogenic</t>
  </si>
  <si>
    <t>054. Climate change - Land use and LU ch</t>
  </si>
  <si>
    <t>055. Ozone depletion</t>
  </si>
  <si>
    <t>056. Acidification</t>
  </si>
  <si>
    <t>057. Eutrophication, freshwater</t>
  </si>
  <si>
    <t>058. Eutrophication, marine</t>
  </si>
  <si>
    <t>059. Eutrophication, terrestrial</t>
  </si>
  <si>
    <t>060. Photochemical ozone formation</t>
  </si>
  <si>
    <t>061. Resource use, minerals and metals</t>
  </si>
  <si>
    <t>062. Resource use, fossils</t>
  </si>
  <si>
    <t>063. Water use</t>
  </si>
  <si>
    <t>064. Particulate matter</t>
  </si>
  <si>
    <t>065. Ionising radiation</t>
  </si>
  <si>
    <t>066. Ecotoxicity, freshwater</t>
  </si>
  <si>
    <t>067. Human toxicity, cancer</t>
  </si>
  <si>
    <t>068. Human toxicity, non-cancer</t>
  </si>
  <si>
    <t>069. Land use</t>
  </si>
  <si>
    <t>111. Energy, primary, renewable, excludi</t>
  </si>
  <si>
    <t>113. Energy, primary, renewable, materia</t>
  </si>
  <si>
    <t>101. Energy, primary, renewable (MJ)</t>
  </si>
  <si>
    <t>112. Energy, primary, non-renewable, exc</t>
  </si>
  <si>
    <t>114. Energy, primary, non-renewable, mat</t>
  </si>
  <si>
    <t>102. Energy, primary, non-renewable (MJ)</t>
  </si>
  <si>
    <t>108. Secondary material (kg)</t>
  </si>
  <si>
    <t>109. Secondary fuel, renewable (kg)</t>
  </si>
  <si>
    <t>110. Secondary fuel, non-renewable (kg)</t>
  </si>
  <si>
    <t>104. Water, fresh water use (m3)</t>
  </si>
  <si>
    <t>106. Waste, hazardous (kg)</t>
  </si>
  <si>
    <t>105. Waste, non hazardous (kg)</t>
  </si>
  <si>
    <t>107. Waste, radioactive (kg)</t>
  </si>
  <si>
    <t>120. Components for re-use (kg)</t>
  </si>
  <si>
    <t>121. Materials for recycling (kg)</t>
  </si>
  <si>
    <t>122. Materials for energy recovery (kg)</t>
  </si>
  <si>
    <t>123. Exported energy, electric (MJ)</t>
  </si>
  <si>
    <t>124. Exported energy, thermal (MJ)</t>
  </si>
  <si>
    <t>kg Sb eq</t>
  </si>
  <si>
    <t>kg CO2 eq</t>
  </si>
  <si>
    <t>kg CFC-11 eq</t>
  </si>
  <si>
    <t>kg C2H4</t>
  </si>
  <si>
    <t>kg SO2 eq</t>
  </si>
  <si>
    <t>kg PO4--- eq</t>
  </si>
  <si>
    <t>kg 1,4-DB eq</t>
  </si>
  <si>
    <t>kg CFC11 eq</t>
  </si>
  <si>
    <t>mol H+ eq</t>
  </si>
  <si>
    <t>kg P eq</t>
  </si>
  <si>
    <t>kg N eq</t>
  </si>
  <si>
    <t>mol N eq</t>
  </si>
  <si>
    <t>kg NMVOC eq</t>
  </si>
  <si>
    <t>MJ</t>
  </si>
  <si>
    <t>m3 depriv.</t>
  </si>
  <si>
    <t>disease inc.</t>
  </si>
  <si>
    <t>kBq U-235 eq</t>
  </si>
  <si>
    <t>CTUe</t>
  </si>
  <si>
    <t>CTUh</t>
  </si>
  <si>
    <t>Pt</t>
  </si>
  <si>
    <t>kg</t>
  </si>
  <si>
    <t>Betonmortel, C20/25 XC2 S2 (110 kg/m3 CEM I; 110 kg/m3 CEM III; p.k.vliegas: 100 kg/m3), Attestbeton I, 20% betongranulaat, 2375 kg/m3, Betonhuis, PRODUCTIE (A1-A3), 2018, c2 &amp; Chemical, inorganic {GLO}| production | Cut-off, U</t>
  </si>
  <si>
    <t>0099-pro&amp;Betonpomp, incl. voertuig, per m3 (o.b.v. data uit 1995; gemiddelde van giekpomp, leidingpomp en mixerpomp) &amp; Power sawing, with catalytic converter {RER}| processing | Cut-off, U</t>
  </si>
  <si>
    <t>Stage IIIB Graafmachine Diesel</t>
  </si>
  <si>
    <t>Elke 100 meter uitzetrvoeg &amp; elke 3,5 meter krimpvoeg https://www.betoninfra.nl/toepassingen/fiets-en-voetpaden/betonnen-fietspad-in-stedelijk-gebied = Uitgangspunt +/- 2 minuten zagen per m2</t>
  </si>
  <si>
    <t>A2 - Transport</t>
  </si>
  <si>
    <t>A3 - Productie</t>
  </si>
  <si>
    <t>A4 - Transport</t>
  </si>
  <si>
    <t>A5 - Bouw &amp; Aanleg</t>
  </si>
  <si>
    <t>B1 - Gebruik</t>
  </si>
  <si>
    <t>B4 - Vervangingen</t>
  </si>
  <si>
    <t>C1 - Sloop</t>
  </si>
  <si>
    <t>C2 - Transport</t>
  </si>
  <si>
    <t>C3 - Afvalbewerking</t>
  </si>
  <si>
    <t>C4 - Finale Afvalverwerking</t>
  </si>
  <si>
    <t>D2 - Uitsparing transport</t>
  </si>
  <si>
    <t>D1 - Uitsparing grondstoffen</t>
  </si>
  <si>
    <t>A1 - Grondstoffen</t>
  </si>
  <si>
    <t>Secundair materiaalverbruik</t>
  </si>
  <si>
    <t>B3 - Onderhoud</t>
  </si>
  <si>
    <t>339,9 kg Beton + 4,13 Wapeningsstaal =  344,03</t>
  </si>
  <si>
    <t>Aandeel vliegas is meengenomen in secundair %. Aandeel secundair wapeningsstaal &amp; hoogovenslak in CEM III niet.</t>
  </si>
  <si>
    <t>50 * 0,34403 = 17,2015 tkm Euro 5 diesel</t>
  </si>
  <si>
    <t>0111-pro&amp;Aardgas, algemeen gebruik, per m3 (o.b.v. 31,7 MJ Heat, district or industrial, natural gas {RER}| market group for | Cut-off, U)</t>
  </si>
  <si>
    <t>0111-pro&amp;Aardgas, algemeen gebruik, per m3 (o.b.v. 31,7 MJ Heat, district or industrial, natural gas {RER}| market group for | Cut-off, U)
0095-pro&amp;Diesel, gasolie, gebruik, liter (o.b.v. 35,8 MJ Diesel, burned in building machine {GLO}| processing | Cut-off, U)
0081-fab&amp;Materialisatie energieopwekking (centrales o.b.v. NL-mix) en elektriciteitsnet; per kWh aan huis</t>
  </si>
  <si>
    <t>0,38 m3 gas ; 0,11 l diesel ; 2,3 kWh Electriciteit</t>
  </si>
  <si>
    <t>Betonmortel, C30/37 XC1 S3 (335 kg/m3 CEM III), 20% betongranulaat, 2318 kg/m3, Betonhuis, PRODUCTIE (A1-A3), 2018, c2
0167-fab&amp;Staal, wapening, ongelegeerd (betonstaal, wapeningsnet, vezels, voorspanstaal) (o.b.v. 21,5% Steel, unalloyed, 78,5% Steel, low-alloyed &amp; Hot rolling, steel {GLO}| market for | Cut-off, U; 17,8% primair, 82,2% secundair)</t>
  </si>
  <si>
    <t>Impact category</t>
  </si>
  <si>
    <t>Unit</t>
  </si>
  <si>
    <t>0464-reC&amp;Reactiveren actief kool (o.b.v. Activated carbon, granular {RER}| treatment of spent activated carbon, granular from hard coal, reactivation | Cut-off, U)</t>
  </si>
  <si>
    <t>0106-pro&amp;Verbranden, overig (o.b.v. Municipal solid waste {NL}| treatment of, incineration | Cut-off, U)</t>
  </si>
  <si>
    <t>0239-sto&amp;Stort aluminium (o.b.v. Waste aluminium {RoW}| treatment of, sanitary landfill | Cut-off, U)</t>
  </si>
  <si>
    <t>0240-sto&amp;Stort beton, cellenbeton (o.b.v. Waste concrete {Europe without Switzerland}| treatment of waste concrete, inert material landfill | Cut-off, U)</t>
  </si>
  <si>
    <t>0241-sto&amp;Stort bitumen (o.b.v. Waste bitumen {Europe without Switzerland}| treatment of waste bitumen, sanitary landfill | Cut-off, U)</t>
  </si>
  <si>
    <t>0242-sto&amp;Stort EPS, XPS (o.b.v. Waste polystyrene {Europe without Switzerland}| treatment of waste polystyrene, sanitary landfill | Cut-off, U)</t>
  </si>
  <si>
    <t>0243-sto&amp;Stort gips (o.b.v. Waste gypsum {Europe without Switzerland}| treatment of waste gypsum, inert material landfill | Cut-off, U)</t>
  </si>
  <si>
    <t>0244-sto&amp;Stort glas (o.b.v. Waste glass {CH}| treatment of, inert material landfill | Cut-off, U)</t>
  </si>
  <si>
    <t>0245-sto&amp;Stort hout, 'schoon' (o.b.v. Waste wood, untreated {Europe without Switzerland}| treatment of waste wood, untreated, sanitary landfill | Cut-off, U)</t>
  </si>
  <si>
    <t>0246-sto&amp;Stort hout, geschilderd (o.b.v. 99% Waste wood, untreated en 1% Waste paint {EU}| treatment of, sanitary landfill | Cut-off, U)</t>
  </si>
  <si>
    <t>0248-sto&amp;Stort koper, lood, verzinkt staal, zink (o.b.v. Scrap tin sheet {CH}| treatment of, sanitary landfill | Cut-off, U, bij gebrek aan passender proces)</t>
  </si>
  <si>
    <t>0249-sto&amp;Stort kunststoffen (o.b.v. mix 21% PE, 21% PP, 17% PVC, 21% PS en 20% mixture)</t>
  </si>
  <si>
    <t>0250-sto&amp;Stort minerale wol (o.b.v. Waste mineral wool, for final disposal {Europe without Switzerland}| treatment of waste mineral wool, inert material landfill | Cut-off, U)</t>
  </si>
  <si>
    <t>0251-sto&amp;Stort PE (o.b.v. Waste polyethylene {Europe without Switzerland}| treatment of waste polyethylene, sanitary landfill | Cut-off, U), ook elastomeren als epdm</t>
  </si>
  <si>
    <t>0252-sto&amp;Stort PVC (o.b.v. Waste polyvinylchloride {Europe without Switzerland}| treatment of waste polyvinylchloride, sanitary landfill | Cut-off, U)</t>
  </si>
  <si>
    <t>0253-sto&amp;Stort staal (o.b.v. Scrap steel {Europe without Switzerland}| treatment of scrap steel, inert material landfill | Cut-off, U)</t>
  </si>
  <si>
    <t>0254-sto&amp;Stort huishoudelijk afval (o.b.v. Municipal solid waste {RoW}| treatment of, sanitary landfill | Cut-off, U)</t>
  </si>
  <si>
    <t>0255-avC&amp;Verbranden aluminium (o.b.v. Scrap aluminium {Europe without Switzerland}| treatment of scrap aluminium, municipal incineration | Cut-off, U)</t>
  </si>
  <si>
    <t>0256-avC&amp;Verbranden glas (o.b.v. Waste glass {Europe without Switzerland}| treatment of waste glass, municipal incineration | Cut-off, U)</t>
  </si>
  <si>
    <t>0257-avC&amp;Verbranden staalschroot (o.b.v. Scrap steel {Europe without Switzerland}| treatment of scrap steel, municipal incineration | Cut-off, U)</t>
  </si>
  <si>
    <t>0258-avC&amp;Verbranden volkern (o.b.v. Waste cement-fibre slab, dismantled {CH}| treatment of waste cement-fibre slab, municipal incineration | Cut-off, U)</t>
  </si>
  <si>
    <t>0259-avC&amp;Verbranden bitumen (30,1 MJ/kg) (o.b.v. Waste bitumen sheet {CH}| treatment of, municipal incineration | Cut-off, U)</t>
  </si>
  <si>
    <t>0260-avC&amp;Verbranden rubber/EPDM (27,2 MJ/kg) (o.b.v. Waste rubber, unspecified {Europe without Switzerland}| treatment of waste rubber, unspecified, municipal incineration | Cut-off, U)</t>
  </si>
  <si>
    <t>0261-avC&amp;Verbranden EPS (32,2 MJ/kg) (o.b.v. Waste expanded polystyrene {CH}| treatment of, municipal incineration | Cut-off, U)</t>
  </si>
  <si>
    <t>0262-avC&amp;Verbranden hout, 'schoon' (13,99 MJ/kg) (o.b.v. Waste wood, untreated {CH}| treatment of, municipal incineration | Cut-off, U)</t>
  </si>
  <si>
    <t>0263-avC&amp;Verbranden hout, verontreinigd (13,99 MJ/kg) (o.b.v. Waste building wood, chrome preserved {CH}| treatment of, municipal incineration | Cut-off, U)</t>
  </si>
  <si>
    <t>0264-avC&amp;Verbranden kunststoffen (28,67 MJ/kg) (o.b.v. o.b.v. mix 21% PE, 21% PP, 20% PVC, 17% PS en 21% mixture)</t>
  </si>
  <si>
    <t>0265-avC&amp;Verbranden PVC (21,51 MJ/kg) (o.b.v. Waste polyvinylchloride {CH}| treatment of, municipal incineration | Cut-off, U)</t>
  </si>
  <si>
    <t>0266-avC&amp;Verbranden verf (10,14 MJ/kg) (o.b.v. Waste paint {Europe without Switzerland}| treatment of waste paint, municipal incineration | Cut-off, U)</t>
  </si>
  <si>
    <t>0267-avD&amp;Vermeden energieproductie AVI, o.b.v. FOSSIELE grondstoffen, 18% elektrisch en 31% thermisch (per MJ LHV)</t>
  </si>
  <si>
    <t>0268-avD&amp;Vermeden energieproductie AVI, o.b.v. HERNIEUWBARE grondstoffen, 18% elektrisch en 31% thermisch (per MJ LHV)</t>
  </si>
  <si>
    <t>0269-reD&amp;Module D aluminium, per kg NETTO geleverd schroot (vermeden: Aluminium, cast alloy {GLO}| aluminium ingot, primary, to market | Cut-off, U; Aluminium, cast alloy {RER}| treatment of aluminium scrap, post-consumer, prepared for recycling, at refiner | Cut-off, U)</t>
  </si>
  <si>
    <t>0270-reC&amp;Breken, per kg steenachtig (o.b.v. SBK Breken steenachtig MRPI)</t>
  </si>
  <si>
    <t>0272-reC&amp;Recycling vlakglas (worst case: Glass cullet, sorted {RER}| treatment of waste glass from unsorted public collection, sorting | Cut-off, U)</t>
  </si>
  <si>
    <t>0273-reD&amp;Module D, vlakglas per kg NETTO geleverd kringloopglas (46% verpakkingsglas-, 45% glaswol- en 8% vlakglastoepassing waar primaire grondstoffen worden vermeden - niet de energie )</t>
  </si>
  <si>
    <t>0274-reD&amp;Module D, glaswol/glasschuim, per kg NETTO geleverd (glaswol/-schuimtoepassing waar primaire grondstoffen worden vermeden - niet de energie)</t>
  </si>
  <si>
    <t>0275-reD&amp;Module D, houten balk, per kg NETTO geleverd (o.b.v. Sawnwood, beam, softwood, dried (u=10%), planed {RoW}| planing, beam, softwood, u=10% | Cut-off, U)</t>
  </si>
  <si>
    <t>0276-reD&amp;Module D, houtspaanders, per kg NETTO geleverd (o.b.v. Wood chips, dry, measured as dry mass {RER}| three layered laminated board production | Cut-off, U)</t>
  </si>
  <si>
    <t>0277-reD&amp;Module D, koper, per kg NETTO geleverd schroot (vermeden: Copper {RER}| production, primary | Cut-off, U)</t>
  </si>
  <si>
    <t>0278-reD&amp;Module D, PE, per kg NETTO geleverd (o.b.v. vermeden Polyethylene, high density, granulate {RER}| production | Cut-off, U en kwaliteitsfactor 0,67)</t>
  </si>
  <si>
    <t>0450-reD&amp;Module D, PP, per kg NETTO geleverd (o.b.v. vermeden Polypropylene, granulate {RER}| production | Cut-off, U en kwaliteitsfactor 0,67)</t>
  </si>
  <si>
    <t>0279-reD&amp;Module D, PVC, per kg NETTO geleverd (o.b.v. vermeden Polyvinylchloride, suspension polymerised {RER}| polyvinylchloride production, suspension polymerisation | Cut-off, U en kwaliteitsfactor 0,67)</t>
  </si>
  <si>
    <t>0280-reD&amp;Module D, zand (o.b.v. Sand {RoW}| gravel and quarry operation | Cut-off, U)</t>
  </si>
  <si>
    <t>0281-reD&amp;Module D, lood, per kg NETTO geleverd schroot (vermeden: Lead {GLO}| primary lead production from concentrate | Cut-off, U)</t>
  </si>
  <si>
    <t>0282-reD&amp;Module D, staal, per kg NETTO geleverd ongelegeerd schroot (World Steel methode obv Steel, low-alloyed {RER&amp;RoW}| steel production, electric, low-alloyed | Cut-off, U  - Steel, unalloyed {RER&amp;RoW}| steel production, converter, unalloyed | Cut-off, U)</t>
  </si>
  <si>
    <t>0283-reD&amp;Module D, zink, per kg NETTO geleverd schroot (vermeden: Zinc {RoW}| primary production from concentrate | Cut-off, U)</t>
  </si>
  <si>
    <t>0478-reD&amp;Module D, Zink uit EAF-stof, per kg NETTO geleverd zink in EAF-stof (door recycling van verzink staal in EAF) (vermeden: Zinc concentrate {GLO}| market for | Cut-off, U en 68% efficientie)</t>
  </si>
  <si>
    <t>0284-reC&amp;Verspanen hout (o.b.v. Wood chipping, industrial residual wood, stationary electric chipper {GLO}| market for | Cut-off, U)</t>
  </si>
  <si>
    <t>0285-reC&amp;Schaven hout (o.b.v. aangepaste Sawnwood, beam, softwood, dried (u=10%), planed {RoW}| planing, beam, softwood, u=10% | Cut-off, U)</t>
  </si>
  <si>
    <t>0286-reC&amp;verwerking kunststof voor recycling (o.b.v. Waste polyethylene, for recycling, sorted {Europe without Switzerland}| treatment of waste polyethylene, for recycling, unsorted, sorting | Cut-off, U)</t>
  </si>
  <si>
    <t>0294-reC&amp;Composteren, per kg te composteren materiaal (o.b.v. Biowaste {RoW}| treatment of biowaste, industrial composting | Cut-off, U)</t>
  </si>
  <si>
    <t>0297-avC&amp;Verbranden organisch afval (4,29 MJ/kg) (o.b.v. Biowaste {GLO}| treatment of biowaste, municipal incineration | Cut-off, U)</t>
  </si>
  <si>
    <t>0299-sto&amp;Stort verf (o.b.v. Waste paint {Europe without Switzerland}| treatment of waste paint, sanitary landfill | Cut-off, U)</t>
  </si>
  <si>
    <t>0300-sto&amp;Stort PUR (o.b.v. Waste polyurethane {RoW}| treatment of, sanitary landfill | Cut-off, U)</t>
  </si>
  <si>
    <t>0455-sto&amp;Stort PUR, fenolschuim, hardschuim, ongecontroleerd ('laten zitten') (o.b.v. Waste polyurethane {GLO}| treatment of waste polyurethane, unsanitary landfill, moist infiltration class (300mm) | Cut-off, U)</t>
  </si>
  <si>
    <t>0307-avC&amp;Verbranden koperschroot (o.b.v. Scrap copper {RoW}| treatment of, municipal incineration | Cut-off, U)</t>
  </si>
  <si>
    <t>0308-sto&amp;Stort PS, EPS, XPS, ongecontroleerd ('laten zitten') (o.b.v. Waste polystyrene {GLO}| treatment of waste polystyrene, unsanitary landfill, moist infiltration class (300mm) | Cut-off, U)</t>
  </si>
  <si>
    <t>0309-reD&amp;Module D, EPS, per kg NETTO geleverd EPS (o.b.v. vermeden Polystyrene, expandable {RER}| production | Cut-off, U en kwaliteitsfactor 0,9)</t>
  </si>
  <si>
    <t>0310-avC&amp;Verbranden PP (32,78 MJ/kg) (o.b.v. Waste polypropylene {RoW}| treatment of waste polypropylene, municipal incineration | Cut-off, U)</t>
  </si>
  <si>
    <t>0311-avC&amp;Verbranden PE (42,47 MJ/kg) (o.b.v. Waste polyethylene {RoW}| treatment of waste polyethylene, municipal incineration | Cut-off, U)</t>
  </si>
  <si>
    <t>0457-avC&amp;Verbranden minerale olie (45,7 MJ/kg) (o.b.v. Waste mineral oil {Europe without Switzerland}| treatment of waste mineral oil, hazardous waste incineration | Cut-off, U)</t>
  </si>
  <si>
    <t>0312-sto&amp;Stort PP, ongecontroleerd ('laten zitten') (o.b.v. Waste polypropylene {GLO}| treatment of waste polypropylene, unsanitary landfill, moist infiltration class (300mm) | Cut-off, U)</t>
  </si>
  <si>
    <t>0313-sto&amp;Stort PE, ongecontroleerd ('laten zitten') (o.b.v. Waste polyethylene {GLO}| treatment of waste polyethylene, unsanitary landfill, moist infiltration class (300mm) | Cut-off, U)</t>
  </si>
  <si>
    <t>0315-reC&amp;Sorteren en persen oud ijzer (o.b.v. Iron scrap, sorted, pressed {RER}| sorting and pressing of iron scrap | Cut-off, U)</t>
  </si>
  <si>
    <t>0376-reD&amp;Module D, Cement, CEM I, zonder 30% opslag (vermeden: 0172-fab&amp;Cement, CEM I (o.b.v. CEM I 52.5 R))</t>
  </si>
  <si>
    <t>0377-reD&amp;Module D, Cement, CEM III/A, zonder 30% opslag (vermeden: 0349-fab&amp;Cement, CEM III/A (o.b.v. CEM III/A 52.5 N))</t>
  </si>
  <si>
    <t>0378-reD&amp;Module D, Cement, CEM III/B, zonder 30% opslag (vermeden: 0350-fab&amp;Cement, CEM III/B (o.b.v. CEM III/B 42.5 N))</t>
  </si>
  <si>
    <t>0384-reD&amp;Module D, Klei, per kg NETTO geleverd klei (o.b.v. Clay {CH}| clay pit operation | Cut-off, U)</t>
  </si>
  <si>
    <t>0439-reD&amp;Module D, Spoorballast, winning t/m aanleg (A1-A5), per kg (o.b.v. 0205-fab&amp;Steenslag, groeve; Transport; 0095-pro&amp;Diesel, gasolie, gebruik, liter)</t>
  </si>
  <si>
    <t>0440-reD&amp;Module D, LEEG PROCES (0-waarden), voor generiek gebruik</t>
  </si>
  <si>
    <t>0441-reD&amp;Module D, Gips, per kg NETTO geleverd gips (vermeden: Anhydrite rock {RoW}| gypsum quarry operation | Cut-off, U)</t>
  </si>
  <si>
    <t>0442-reD&amp;Module D, Basalt, per kg NETTO vermeden basalt - steenwol vermijdt 70% basalt (vermeden: Basalt {RER}| quarry operation | Cut-off, U)</t>
  </si>
  <si>
    <t>0444-reD&amp;Module D, EPDM, rubber, chloropreen, neoprene, styreen butadieen rubber - SBR, per kg NETTO geleverd rubber (o.b.v. vermeden Synthetic rubber {RER}| production | Cut-off, U en kwaliteitsfactor 0,67)</t>
  </si>
  <si>
    <t>0479-reC&amp;Thermisch reinigen, grond, per kg</t>
  </si>
  <si>
    <t>0480-reC&amp;Thermisch reinigen, teerhoudend asfalt, per kg</t>
  </si>
  <si>
    <t>0482-reD&amp;Module D, bims, per kg NETTO geleverd bims (o.b.v. Pumice {RoW}| quarry operation | Cut-off, U)</t>
  </si>
  <si>
    <t>_SBK Bepalingsmethode, jul 2020 (NMD 3.2) A1+A2 V3.04 / MKI-SBK single-score</t>
  </si>
  <si>
    <t>0055-fab&amp;ABS (o.b.v. Acrylonitrile-butadiene-styrene copolymer {GLO}| market for | Cut-off, U)</t>
  </si>
  <si>
    <t>0301-fab&amp;Accu, Lithium-ion (o.b.v. Battery, Li-ion, rechargeable, prismatic {GLO}| market for | Cut-off, U; 97,7% primair, 2,3% secundair)</t>
  </si>
  <si>
    <t>0302-fab&amp;Accu, NiMH (o.b.v. Battery, NiMH, rechargeable, prismatic {GLO}| market for | Cut-off, U)</t>
  </si>
  <si>
    <t>0026-fab&amp;Acrylaat/alkydemulsieverf, watergedragen voor buiten  (Verfrichtlijn 2004/42/EC) - onderhoud 1 maal per 10 jaar [VVVF]</t>
  </si>
  <si>
    <t>0402-fab&amp;AEC-bodemas, gewassen (1650 kg/m3), inclusief uitloging gebruiksfase (o.b.v. Vergelijkende LCA AEC-bodemas)</t>
  </si>
  <si>
    <t>0468-fab&amp;Afdruipremmer cellulosevezel; o.b.v. Cellulose fibre, inclusive blowing in {RoW}| production | Cut-off, U (zonder Borax en Boric acid)</t>
  </si>
  <si>
    <t>0029-fab&amp;Alkydharsverf, gemodificeerd, voor buiten INCLUSIEF EMSISSIE OPLOSMIDDEL (voldoet aan Verfrichtlijn 2004/42/EC) - onderhoud 1 maal per 10 jaar [VVVF]</t>
  </si>
  <si>
    <t>0209-fab&amp;Alkydharsverf, standaard, voor buiten INCLUSIEF EMISSIE OPLOSMIDDEL A5 (voldoet aan Verfrichtlijn 2004/42/EC) - onderhoud 1 maal per 6 jaar [VVVF]</t>
  </si>
  <si>
    <t>0025-fab&amp;Alkydharsverf, watergedragen, voor binnen (voldoet aan Arboregel) - onderhoud 1 maal per 8 jaar [VVVF]</t>
  </si>
  <si>
    <t>0074-fab&amp;Akoestische spuitpleister cellulose (o.b.v. oude bron; 8% primair, 92% secundair)</t>
  </si>
  <si>
    <t>0151-fab&amp;Aluminium (o.b.v. Aluminium, cast alloy {GLO}| market for | Cut-off, U; 26% primair, 74% secundair)</t>
  </si>
  <si>
    <t>0418-fab&amp;Aluminium, gietlegering, uit 100% schroot (o.b.v. Alumnium, cast alloy {GLO}| market for | Cut-off, U - gecorrigeerd voor input; 100% secundair)</t>
  </si>
  <si>
    <t>0415-fab&amp;Aluminium, gietlegering, uit 100% schroot, met poedercoating (o.b.v. Aluminium, cast alloy {GLO}| market for | Cut-off, U; 100% secundair + Powder coat, aluminium sheet {RER}| powder coating, aluminium sheet | Cut-off, U)</t>
  </si>
  <si>
    <t>0379-fab&amp;Aluminium, kneedlegering (o.b.v. Aluminium, wrought alloy {GLO}| market for | Cut-off, U; 70% primair, 30% secundair)</t>
  </si>
  <si>
    <t>0018-fab&amp;Aluminium, met poedercoating (o.b.v. Aluminium, cast alloy {GLO}| market for | Cut-off, U; 26% primair, 74% secundair + Powder coat, aluminium sheet {RER}| powder coating, aluminium sheet | Cut-off, U)</t>
  </si>
  <si>
    <t>0446-pro&amp;Aluminium opofferingsanode, per kg (o.b.v. 95,96% primair aluminium, 4% zink en 0,04% indium)</t>
  </si>
  <si>
    <t>0150-fab&amp;Asfalt, AGRAC, asfaltgranulaatcement (o.b.v. Standaard RAW Bepaling en energieverbruik data uit 2000)</t>
  </si>
  <si>
    <t>0422-fab&amp;Asfalt, asfaltbeton, waterbouw (module A1-D; totaalprofiel t.b.v. categorie 3 productkaart) [TNO, 2020]</t>
  </si>
  <si>
    <t>0173-fab&amp;Asfalt, DAB, dicht asfaltbeton, partiële recycling 0%</t>
  </si>
  <si>
    <t>0152-fab&amp;Asfalt, DAB, dicht asfaltbeton, partiële recycling 20%</t>
  </si>
  <si>
    <t>0219-fab&amp;Asfalt, EME, Enrobé à Module Élevé, asfalt met verhoogde stijfheidsmodulus (= "Asfalt, DAB, dicht asfaltbeton, partiële recycling 0%")</t>
  </si>
  <si>
    <t>0421-fab&amp;Asfalt, gietasfalt, waterbouw (module A1-D; totaalprofiel t.b.v. categorie 3 productkaart) [TNO, 2020]</t>
  </si>
  <si>
    <t>0218-fab&amp;Asfalt, LTA, laagtemperatuurasfalt (= gekarakteriseerde effectscores 2008)</t>
  </si>
  <si>
    <t>0153-fab&amp;Asfalt, OAB, open asfaltbeton, 0/16, type 3, partiële recycling 20% (o.b.v. oude bronnen)</t>
  </si>
  <si>
    <t>0420-fab&amp;Asfalt, open steenasfalt, waterbouw (module A1-D; totaalprofiel t.b.v. categorie 3 productkaart) [TNO, 2020]</t>
  </si>
  <si>
    <t>0204-fab&amp;Asfalt, STAB, steenslagasfaltbeton, partiële recycling 0% (o.b.v. 2002 informatie)</t>
  </si>
  <si>
    <t>0154-fab&amp;Asfalt, STAB, steenslagasfaltbeton, partiële recycling 20% (o.b.v. 2002 informatie)</t>
  </si>
  <si>
    <t>0155-fab&amp;Asfalt, STAB, steenslagasfaltbeton, partiële recycling 50% (o.b.v. 2002 informatie)</t>
  </si>
  <si>
    <t>0230-fab&amp;Asfalt, ZOAB, zeer open asfaltbeton (o.b.v. oude, waarschijnlijk 2002, gegevens)</t>
  </si>
  <si>
    <t>0210-fab&amp;Asfalt, SMA, steen- of splitmastiekasfalt, 0/11 (o.b.v. oude bronnen, 2000)</t>
  </si>
  <si>
    <t>0212-fab&amp;Asfaltmastiek</t>
  </si>
  <si>
    <t>0235-fab&amp;Aluminium oxide (o.b.v. Aluminium oxide {GLO}| market for | Cut-off, U)</t>
  </si>
  <si>
    <t>0156-fab&amp;AVI-Bodemas (= 0-waarden; onderbouwd niet gealloceerd)</t>
  </si>
  <si>
    <t>0398-fab&amp;AVI-Bodemas, gewassen (o.b.v. 1 kg drinkwater;  0,005 kWh elektriciteit; 12,5% verlies/niet bruikbaar materiaal)</t>
  </si>
  <si>
    <t>0008-fab&amp;Baksteen, metselbaksteen, straatbaksteen, klinker (o.b.v. Clay brick {GLO}| market for | Cut-off, U)</t>
  </si>
  <si>
    <t>0414-fab&amp;Bamboe, balk, geperste bundels strips (Strand woven bamboo beams [VanderLugt&amp;Vogtlander 2015])</t>
  </si>
  <si>
    <t>0452-fab&amp;Basalt (o.b.v. Basalt {GLO}| market for | Cut-off, U)</t>
  </si>
  <si>
    <t>0380-fab&amp;Bauxiet (o.b.v. Bauxite, without water {GLO}| market for | Cut-off, U)</t>
  </si>
  <si>
    <t>0222-fab&amp;Bentonietmatten</t>
  </si>
  <si>
    <t>0228-fab&amp;Bestortingsmateriaal, werk met werk (= 0-waarden want 'vrij van milieulast')</t>
  </si>
  <si>
    <t>0148-fab&amp;Betonbuis (o.b.v. Concrete roof tile {GLO}| market for | Cut-off, U)</t>
  </si>
  <si>
    <t>0157-fab&amp;Betongranulaat (= 0-waarden want 'vrij van milieulast')</t>
  </si>
  <si>
    <t>0159-fab&amp;Betonmortel C12/15 (o.b.v. CEM I), 2384 kg/m3</t>
  </si>
  <si>
    <t>0160-fab&amp;Betonmortel C12/15 (o.b.v. CEM III), 2351 kg/m3</t>
  </si>
  <si>
    <t>0004-fab&amp;Betonmortel C20/25 (o.b.v. 75% CEM III en 25% CEM I), 2407 kg/m3</t>
  </si>
  <si>
    <t>0162-fab&amp;Betonmortel C20/25 (o.b.v. CEM I), 2407 kg/m3</t>
  </si>
  <si>
    <t>0161-fab&amp;Betonmortel C20/25 (o.b.v. CEM III), 2407 kg/m3</t>
  </si>
  <si>
    <t>0005-fab&amp;Betonmortel C30/37 (o.b.v. 75% CEM III en 25% CEM I), 2395 kg/m3</t>
  </si>
  <si>
    <t>0158-fab&amp;Betonmortel C30/37 (o.b.v. CEM I), 2395 kg/m3</t>
  </si>
  <si>
    <t>0163-fab&amp;Betonmortel C30/37 (o.b.v. CEM III), 2395 kg/m3</t>
  </si>
  <si>
    <t>0164-fab&amp;Betonmortel C35/45 (o.b.v. CEM III), 2440 kg/m3</t>
  </si>
  <si>
    <t>0165-fab&amp;Betonmortel C55/67 (o.b.v. 75% CEM III en 25% CEM I), 2437 kg/m3</t>
  </si>
  <si>
    <t>0483-fab&amp;Betonmortel C60/75 (o.b.v. 50% CEM III en 50% CEM I), 2363 kg/m3</t>
  </si>
  <si>
    <t>0166-fab&amp;Betonmortel C70/85 (o.b.v. 50% CEM I en 50% CEM III), 2455 kg/m3</t>
  </si>
  <si>
    <t>0194-fab&amp;Betonmortel, onderwaterbeton C20/25 (o.b.v. CEM III), 2399 kg/m3</t>
  </si>
  <si>
    <t>0195-fab&amp;Betonmortel, onderwaterbeton C30/37 (o.b.v. CEM III), 2343 kg/m3</t>
  </si>
  <si>
    <t>0484-fab&amp;Betonmortel, onderwaterbeton C20/25 (o.b.v. CEM III / B 42.5 N), 2321 kg/m3, 0% recyclaat</t>
  </si>
  <si>
    <t>0485-fab&amp;Betonmortel, onderwaterbeton C20/25 (o.b.v. CEM III / B 42.5 N), 2304 kg/m3, 30% recyclaat</t>
  </si>
  <si>
    <t>0486-fab&amp;Betonmortel, onderwaterbeton C30/37 (o.b.v. CEM III / B 42.5 N), 2332 kg/m3, 0% recyclaat</t>
  </si>
  <si>
    <t>0487-fab&amp;Betonmortel, onderwaterbeton C30/37 (o.b.v. CEM III / B 42.5 N), 2315 kg/m3, 30% recyclaat</t>
  </si>
  <si>
    <t>0149-fab&amp;Betontegels, straattegels (o.b.v. Concrete roof tile {GLO}| market for | Cut-off, U)</t>
  </si>
  <si>
    <t>0063-fab&amp;Bims (puimsteen, vulkanisch gesteente, heklabims, liparibims, yalibims; o.b.v Pumice {GLO}| market for | Cut-off, U = inclusief 124 km transportmix) ==&gt;OVERIG TRANSPORT TOEVOEGEN OBV HERKOMST</t>
  </si>
  <si>
    <t>0408-fab&amp;Bisfenol A vinylesterhars op epoxybasis (o.b.v. Bisphenol A epoxy based vinyl ester resin {GLO}| market for | Cut-off, U)</t>
  </si>
  <si>
    <t>0169-fab&amp;Bitumen (o.b.v. Bitumen adhesive compound, hot {GLO}| market for | Cut-off, U)</t>
  </si>
  <si>
    <t>0052-fab&amp;Bitumen, APP-gemodificeerd (o.b.v. Bitumen seal, V60 {GLO}| market for | Cut-off, U)</t>
  </si>
  <si>
    <t>0051-fab&amp;Bitumen, SBS-gemodificeerd (o.b.v. Bitumen seal, polymer EP4 flame retardant {GLO}| market for | Cut-off, U)</t>
  </si>
  <si>
    <t>0298-fab&amp;Boomschors (o.b.v. Bark {GLO}| market for | Cut-off, U)</t>
  </si>
  <si>
    <t>0295-fab&amp;Boomzaailing, voor planten, PER STUK (o.b.v. Tree seedling, for planting {GLO}| market for tree seedling | Cut-off, U)</t>
  </si>
  <si>
    <t>0171-fab&amp;Breuksteen, waterbouwsteen (NVLB: A1)</t>
  </si>
  <si>
    <t>0236-fab&amp;Brons (o.b.v. Bronze {GLO}| market for | Cut-off, U)</t>
  </si>
  <si>
    <t>0231-fab&amp;C-fix (= leeg proces)</t>
  </si>
  <si>
    <t>0443-fab&amp;Calciumsilicaatplaat (35% zand, 35% kalksteen, 25% CEM I, 5% papiervezels, productie o.b.v. Gypsumfibreboard {RoW} production)</t>
  </si>
  <si>
    <t>0292-fab&amp;Carboxymethylcellulose, toepassing in colloïdaal beton (o.b.v. Carboxymethyl cellulose, powder {GLO}| market for | Cut-off, U)</t>
  </si>
  <si>
    <t>0006-fab&amp;Cellulair glas (o.b.v. Foam glass {GLO}| market for | Cut-off, U; 19% primair, 81% secundair)</t>
  </si>
  <si>
    <t>0049-fab&amp;Cellulose, inclusief inblazen (o.b.v. Cellulose fibre, inclusive blowing in {GLO}| market for | Cut-off, U)</t>
  </si>
  <si>
    <t>0172-fab&amp;Cement, CEM I (o.b.v. CEM I 52.5 R)</t>
  </si>
  <si>
    <t>0349-fab&amp;Cement, CEM III/A (o.b.v. CEM III/A 52.5 N)</t>
  </si>
  <si>
    <t>0350-fab&amp;Cement, CEM III/B (o.b.v. CEM III/B 42.5 N)</t>
  </si>
  <si>
    <t>0068-fab&amp;Cementmortel, metselspecie (Cement mortar {RoW}| market for cement mortar | Cut-off, U)</t>
  </si>
  <si>
    <t>0041-fab&amp;Cementpleister</t>
  </si>
  <si>
    <t>0407-fab&amp;Chemicaliën, anorganisch (o.b.v. Chemical, inorganic {GLO}| market for chemicals, inorganic | Cut-off, U)</t>
  </si>
  <si>
    <t>0459-fab&amp;Chemicaliën, organisch (o.b.v. Chemical, organic {GLO}| market for | Cut-off, U)</t>
  </si>
  <si>
    <t>0370-fab&amp;Compost (o.b.v. Compost {GLO}| market for | Cut-off, U)</t>
  </si>
  <si>
    <t>0078-fab&amp;Dakpan, beton (o.b.v. Concrete roof tile {GLO}| market for | Cut-off, U)</t>
  </si>
  <si>
    <t>0070-fab&amp;Dakpan, keramisch (o.b.v. Roof tile {GLO}| market for | Cut-off, U)</t>
  </si>
  <si>
    <t>0466-fab&amp;Dicyclopentadieen (o.b.v. Dicyclopentadiene based unsaturated polyester resin {GLO}| market for | Cut-off, U)</t>
  </si>
  <si>
    <t>0057-fab&amp;Elektronica, actieve componenten (o.b.v. Electronic component, active, unspecified {GLO}| market for | Cut-off, U)</t>
  </si>
  <si>
    <t>0303-fab&amp;Elektronica, passieve componenten (o.b.v. Electronic component, passive, unspecified {GLO}| market for | Cut-off, U)</t>
  </si>
  <si>
    <t>0405-fab&amp;Elektronica, printplaat, inclusief elektronische componenten (o.b.v. Printed wiring board, surface mounted, unspecified, Pb free {GLO}| market for | Cut-off, U)</t>
  </si>
  <si>
    <t>0014-fab&amp;EPDM, rubber, chloropreen, neoprene, styrene butadiene rubber - SBR (o.b.v. Synthetic rubber {GLO}| market for | Cut-off, U)</t>
  </si>
  <si>
    <t>0461-fab&amp;Epoxyhars, vloeibaar (o.b.v. Epoxy resin, liquid {RER}| market for epoxy resin, liquid | Cut-off, U)</t>
  </si>
  <si>
    <t>0462-fab&amp;Epoxyhars, vloeibaar (o.b.v. Epoxy resin, liquid {RER}| market for epoxy resin, liquid | Cut-off, U) =0461</t>
  </si>
  <si>
    <t>0042-fab&amp;Fenolschuim, hardschuim (o.b.v. Urea formaldehyde foam, in situ foaming {GLO}| market for | Cut-off, U)</t>
  </si>
  <si>
    <t>0351-fab&amp;Ferrochroom (o.b.v. Ferrochromium, high-carbon, 68% Cr {GLO}| production | Cut-off, U)</t>
  </si>
  <si>
    <t>0352-fab&amp;Ferronikkel (o.b.v. Ferronickel, 25% Ni {GLO}| production | Cut-off, U)</t>
  </si>
  <si>
    <t>0372-fab&amp;Folie, voor o.a. verkeersborden, incl. lamineren, per kg (o.b.v. Laminating service, foil, with acrylic binder {GLO}| market for | Cut-off, U; 0,0014 kg foil per m2)</t>
  </si>
  <si>
    <t>0176-fab&amp;Fosforslakmengsel (NVLB:C) (aangehouden = 0-waarden want 'vrij van milieulast', al is waarschijnlijk sprake van co-productie)</t>
  </si>
  <si>
    <t>0470-fab&amp;Gel Coat (o.b.v. EUCIA LCI data)</t>
  </si>
  <si>
    <t>0220-fab&amp;Gietijzer (o.b.v. Cast iron {GLO}| market for | Cut-off, U; 61,3% primair, 38,7% secundair)</t>
  </si>
  <si>
    <t>0011-fab&amp;Gips, stuc, voor pleisterwerk en gipsplaat (o.b.v. Stucco {GLO}| market for | Cut-off, U; 100% primair, 0% secundair)</t>
  </si>
  <si>
    <t>0020-fab&amp;Gipskartonplaat (o.b.v. Gypsum plasterboard {GLO}| market for | Cut-off, U)</t>
  </si>
  <si>
    <t>0019-fab&amp;Glas, vlakglas (o.b.v. Flat glass, coated {GLO}| market for | Cut-off, U)</t>
  </si>
  <si>
    <t>0374-fab&amp;Glasvezel (o.b.v. Glass fibre {GLO}| market for | Cut-off, U)</t>
  </si>
  <si>
    <t>0465-fab&amp;Glasvezel (o.b.v. Glass fibre {GLO}| market for | Cut-off, U) =374</t>
  </si>
  <si>
    <t>0017-fab&amp;Glaswol (o.b.v. Glass wool mat {GLO}| market for | Cut-off, U; 20% primair, 80% secundair)</t>
  </si>
  <si>
    <t>0293-fab&amp;Graszaad (o.b.v. Grass seed, organic, for sowing {GLO}| market for | Cut-off, U)</t>
  </si>
  <si>
    <t>0221-fab&amp;Gres, gresbuis (bron niet gedateerd; geen ecoinvent proces voorhanden)</t>
  </si>
  <si>
    <t>0193-fab&amp;Grind (o.b.v. Gravel, round {RoW}| market for gravel, round | Cut-off, U)</t>
  </si>
  <si>
    <t>0183-fab&amp;Grond (= 0-waarden want 'vrij van milieulast')</t>
  </si>
  <si>
    <t>0179-fab&amp;Grond, gereinigd  (o.b.v. 1999 data)</t>
  </si>
  <si>
    <t>0190-fab&amp;Grond, licht verontreinigd (= 0-waarden; onderbouwd niet gealloceerd)</t>
  </si>
  <si>
    <t>0184-fab&amp;Grout (o.b.v. 71% Cement, CEM III (CEM III/B) + 29% water; damwandsamenstelling)</t>
  </si>
  <si>
    <t>0038-fab&amp;HDF, high density fibreboard, hardboard (o.b.v. Fibreboard, hard {GLO}| market for | Cut-off, U en 900 kg/m3; 100% primair, 0% secundair)</t>
  </si>
  <si>
    <t>0186-fab&amp;Hoogovenslakmengsel (NVLB: C) (aangehouden = 0-waarden want 'vrij van milieulast', al is waarschijnlijk sprake van co-productie)</t>
  </si>
  <si>
    <t>0453-fab&amp;Hout, Eucalyptus, Cloeziana, uit Zuid-Afrika (o.b.v. Roundwood, eucalyptus ssp. from sustainable forest management, under bark {GLO}| market for | Cut-off, U en 1100 kg/m3 + 13000km zeetransport, 200km treintransport, 200km trucktransport)</t>
  </si>
  <si>
    <t>0027-fab&amp;Hout, Europees hardhout, eiken, kastanje, robinia, western red cedar, gezaagd (o.b.v. Sawnwood, hardwood, raw, dried (u=10%) {RER}| market for | Cut-off, U en 650 kg/m3 + 1500 kg per as)</t>
  </si>
  <si>
    <t>0291-fab&amp;Hout, Europees hardhout, wilg (o.b.v. Wood chips and particles, willow {GLO}| market for | Cut-off, U)</t>
  </si>
  <si>
    <t>0069-fab&amp;Hout, HPL, high pressure laminate, volkern (o.b.v. Particle board, for outdoor use {GLO}| market for | Cut-off, U en 900 kg/m3; 25% primair, 75% secundair)</t>
  </si>
  <si>
    <t>0010-fab&amp;Hout, multiplex, binnentoepassing (o.b.v. Plywood, for indoor use {RER}| market for | Cut-off, U en 500 kg/m3; 100% primair, 0% secundair)</t>
  </si>
  <si>
    <t>0077-fab&amp;Hout, multiplex, buitentoepassing (o.b.v. Plywood, for outdoor use {RER}| market for | Cut-off, U en 500 kg/m3; 100% primair, 0% secundair)</t>
  </si>
  <si>
    <t>0023-fab&amp;Hout, OSB (o.b.v. Oriented strand board {GLO}| market for | Cut-off, U en 600 kg/m3; 100% primair, 0% secundair)</t>
  </si>
  <si>
    <t>0021-fab&amp;Hout, spaanplaat, binnengebruik (o.b.v. Particle board, for indoor use {GLO}| market for | Cut-off, U en 680 kg/m3; 35,1% primair, 64,9% secundair)</t>
  </si>
  <si>
    <t>0071-fab&amp;Hout, resthout, houtafval, houtsnippers, secundair (= 0-waarden want 'vrij van milieulast'; 0% primair, 100% secundair)</t>
  </si>
  <si>
    <t>0201-fab&amp;Hout, rijshout, bleeslatten, staken, wiepen (alleen energieverbruik; o.b.v. zeer oude bronnen)</t>
  </si>
  <si>
    <t>0182-fab&amp;Hout, tropisch hardhout, Afrikaans, gezaagd (o.b.v. Sawnwood, azobe from sustainable forest management, planed, air dried {GLO}| market for | Cut-off, U + 7000 km ocean transport en 1150 kg/m3)</t>
  </si>
  <si>
    <t>0381-fab&amp;Hout, tropisch hardhout, Zuid-Amerikaans, gezaagd (o.b.v. Sawnwood, hardwood, dried (u=10%), planed {RoW}| market for | Cut-off, U en 1000 kg/m3 + 10100 km zeetransport + 350 km per as)</t>
  </si>
  <si>
    <t>0177-fab&amp;Hout, zachthout, gecreosoteerd (o.b.v. Sawnwood, softwood, dried (u=10%) en Wood preservation, pressure vessel, creosote)</t>
  </si>
  <si>
    <t>0180-fab&amp;Hout, zachthout, gewolmaniseerd (o.b.v. Sawnwood, softwood, dried (u=10%) en Wood preservation, oscillating pressure method, inorganic salt, containing Cr)</t>
  </si>
  <si>
    <t>0067-fab&amp;Hout, zachthout, vuren, grenen, lariks, douglas (o.b.v. Sawnwood, softwood, dried (u=10%), planed {RER}| production | Cut-off, U en 1 m3 = 460 kg)</t>
  </si>
  <si>
    <t>0024-fab&amp;Hout, zachthout, vuren, grenen, lariks, douglas, gelamineerd (o.b.v. Glued laminated timber, for indoor use {GLO}| market for | Cut-off, U en 1 m3 = 460 kg; 100% primair, 0% secundair)</t>
  </si>
  <si>
    <t>0039-fab&amp;Houtverduurzamingsmiddel, chroomhoudend (o.b.v. Wood preservative, inorganic salt, containing Cr {GLO}| market for | Cut-off, U)</t>
  </si>
  <si>
    <t>0072-fab&amp;Houtvezelplaat (o.b.v. Fibreboard, soft {GLO}| market for | Cut-off, U en 159 kg/m3; 100% primair, 0% secundair)</t>
  </si>
  <si>
    <t>0040-fab&amp;Houtvezelplaat, houtvezelcementplaat (o.b.v. Particle board, cement bonded {GLO}| market for | Cut-off, U en 1200 kg/m3; 50% primair, 50% secundair)</t>
  </si>
  <si>
    <t>0076-fab&amp;Houtwolcementplaat (o.b.v. Wood wool boards, cement bonded {GLO}| market for | Cut-off, U en 465 kg/m3; 50% primair en 50% secundair)</t>
  </si>
  <si>
    <t>0469-fab&amp;IJzeroxide (o.b.v. Portafer {GLO} | market for| Cut-Off, U)</t>
  </si>
  <si>
    <t>0411-fab&amp;Impregneermiddel voor onbehandeld hard- en zachthout</t>
  </si>
  <si>
    <t>0304-fab&amp;Inverter, 0,5 kW, 93,5% efficiency, per kg (1,6 kg per stuk) (o.b.v. Inverter, 0.5kW {GLO}| market for | Cut-off, U; 66,3% primair, 33,7% secundair)</t>
  </si>
  <si>
    <t>0089-fab&amp;Inverter, 2,5 kW, 93,5% efficiency, per kg (18,5 kg per stuk) (o.b.v. Inverter, 2.5kW {GLO}| market for | Cut-off, U; 63% primair, 37% secundair)</t>
  </si>
  <si>
    <t>0187-fab&amp;Jute, geweven (o.b.v. Textile, jute {GLO}| market for | Cut-off, U)</t>
  </si>
  <si>
    <t>0046-fab&amp;Kalk, geblust, calcium(di)hydroxide, slaked lime, hydrated lime, grondstof voor metselkalk (o.b.v. Lime, hydrated, packed {RER}| market for lime, hydrated, packed | Cut-off, U)</t>
  </si>
  <si>
    <t>0215-fab&amp;kalksteen, kalksteenmeel (o.b.v. Limestone, crushed, washed {RoW}| market for limestone, crushed, washed | Cut-off, U)</t>
  </si>
  <si>
    <t>0034-fab&amp;Keramiek (o.b.v. Ceramic tile {GLO}| market for | Cut-off, U)</t>
  </si>
  <si>
    <t>0016-fab&amp;Kit / lijm, acryl [VLK]</t>
  </si>
  <si>
    <t>0045-fab&amp;Kit / lijm, siliconen [VLK]</t>
  </si>
  <si>
    <t>0033-fab&amp;Kit, hybride (MS/STP/SPUR) [VLK]</t>
  </si>
  <si>
    <t>0188-fab&amp;Klei (o.b.v. Clay {RoW}| market for clay | Cut-off, U)</t>
  </si>
  <si>
    <t>0225-fab&amp;Klei, geëxpandeerd (o.b.v. Expanded clay {GLO}| market for | Cut-off, U)</t>
  </si>
  <si>
    <t>0189-fab&amp;Kokos, matten en vliezen (o.b.v. Coconut husk {GLO}| market for coconut husk | Cut-off, U (= 0-waarden want 'vrij van milieulast') + Weaving + 12500 km oceanic transport)</t>
  </si>
  <si>
    <t>0463-fab&amp;Koolstof, geactiveerd, granulair (o.b.v. Activated carbon, granular {RER}| activated carbon production, granular from hard coal | Cut-off, U)</t>
  </si>
  <si>
    <t>0059-fab&amp;Koper, kathode, voor draad (European mix for cathodes o.b.v. 49% Copper {RER}| production, primary, 9% Copper {RER}| treatment of scrap by electrolytic refining &amp; 42% Copper {GLO}| market for; 79% primair, 21% secundair)</t>
  </si>
  <si>
    <t>0287-fab&amp;Koper, semis, voor plaat en buis (o.b.v. 33% 0059-fab&amp;koper, kathode, 67% Copper {RER}| treatment of scrap by electrolytic refining; 26% primair, 74% secundair)</t>
  </si>
  <si>
    <t>0035-fab&amp;Kunststeen, polyesterbeton (o.b.v. 2005 bron; o.b.v. Sand-lime brick, at plant/DE U, aangepast)</t>
  </si>
  <si>
    <t>0403-fab&amp;Kunststof, gemengd, gerecycled (= 0-waarden want 'vrij van milieulast')</t>
  </si>
  <si>
    <t>0435-fab&amp;Kurk, geexpandeerd (o.b.v. Cork slab {GLO}| market for | Cut-off, U + 2300 km zeetransport)</t>
  </si>
  <si>
    <t>0488-fab&amp;Koelmiddel, glycol (o.b.v. "Diethylene glycol {RER}| ethylene glycol production | Cut-off, U")</t>
  </si>
  <si>
    <t>0489-fab&amp;Koudemiddel-R134a (o.b.v. "Refrigerant R134a {GLO}| market for | Cut-off, U")</t>
  </si>
  <si>
    <t>0050-fab&amp;Latex, acryl (o.b.v. Latex {RER}| market for latex | Cut-off, U)</t>
  </si>
  <si>
    <t>0305-fab&amp;LED (o.b.v. Light emitting diode {GLO}| market for | Cut-off, U; 93,2% primair, 6,8% secundair)</t>
  </si>
  <si>
    <t>0009-fab&amp;Leem, leemstuc (o.b.v. Clay plaster {GLO}| market for | Cut-off, U)</t>
  </si>
  <si>
    <t>0211-fab&amp;Leem, uit werk (= 0-waarden want 'vrij van milieulast')</t>
  </si>
  <si>
    <t>0064-fab&amp;Lijm, epoxy 2 componenten [VLK]</t>
  </si>
  <si>
    <t>0066-fab&amp;Lijm, tegellijm cement [VLK]</t>
  </si>
  <si>
    <t>0037-fab&amp;Lood (o.b.v. Lead {GLO}| market for | Cut-off, U; 45% primair, 55% secundair)</t>
  </si>
  <si>
    <t>0044-fab&amp;MDF (o.b.v. Medium density fibreboard {GLO}| market for | Cut-off, U en 780 kg/m3; 86% primair, 14% secundair)</t>
  </si>
  <si>
    <t>0061-fab&amp;Melaminehars (o.b.v. Melamine formaldehyde resin {RER}| market for melamine formaldehyde resin | Cut-off, U)</t>
  </si>
  <si>
    <t>0191-fab&amp;Menggranulaat, wegenbouw, 0/31,5 (= 0-waarden want 'vrij van milieulast')</t>
  </si>
  <si>
    <t>0056-fab&amp;Messing (o.b.v. Brass {RoW}| production | Cut-off, U)</t>
  </si>
  <si>
    <t>0213-fab&amp;Metaalconserveringssysteem, 'menie', vlgns ISO 12944 - onderhoud 1 maal per 15 jaar [VVVF]</t>
  </si>
  <si>
    <t>0192-fab&amp;Mijnsteen (= 0-waarden; bewust niet gealloceerd?)</t>
  </si>
  <si>
    <t>0232-fab&amp;Natuursteen, graniet, hardsteen (= Natural stone plate, polished {GLO}| market for | Cut-off, U)</t>
  </si>
  <si>
    <t>0449-fab&amp;Olifantsgras, Miscanthus Giganteus, gesneden (o.b.v. Miscanthus, chopped {GLO}| market for | Cut-off, U)</t>
  </si>
  <si>
    <t>0058-fab&amp;Papier/karton (o.b.v. Core board {GLO}| market for | Cut-off, U; 24% primair, 76% secundair)</t>
  </si>
  <si>
    <t>0382-fab&amp;Plastificeerder, t.b.v beton (o.b.v. Plasticiser, for concrete, based on sulfonated melamine formaldehyde {GLO}| market for | Cut-off, U)</t>
  </si>
  <si>
    <t>0196-fab&amp;PMMA, acryl (o.b.v. Polymethyl methacrylate, sheet {GLO}| market for | Cut-off, U)</t>
  </si>
  <si>
    <t>0036-fab&amp;Poedercoating, poederlak, moffellaag (o.b.v. Powder coat, steel {GLO}| market for | Cut-off, U; 1 m2 = 0,1 kg)</t>
  </si>
  <si>
    <t>0015-fab&amp;Polyamide, PA 6, PA 66 (o.b.v. Nylon 6 {GLO}| market for | Cut-off, U)</t>
  </si>
  <si>
    <t>0060-fab&amp;Polybutadieen, butadieen rubber, BR, polybuteen (o.b.v. Polybutadiene {GLO}| market for | Cut-off, U)</t>
  </si>
  <si>
    <t>0030-fab&amp;Polycarbonaat (o.b.v. Polycarbonate {GLO}| market for | Cut-off, U)</t>
  </si>
  <si>
    <t>0197-fab&amp;Polyester, folie, weefsel (o.b.v. Polyester resin, unsaturated {RER}| market for polyester resin, unsaturated | Cut-off, U + Extrusion, plastic film {GLO}| market for | Cut-off, U)</t>
  </si>
  <si>
    <t>0075-fab&amp;Polyester, glasvezelversterkt (o.b.v. Glass fibre reinforced plastic, polyester resin, hand lay-up {GLO}| market for | Cut-off, U)</t>
  </si>
  <si>
    <t>0217-fab&amp;Polyetheen, HDPE, folie, weefsel (o.b.v. Polyethylene, high density, granulate {GLO}| market for | Cut-off, U + Extrusion, plastic film {GLO}| market for | Cut-off, U)</t>
  </si>
  <si>
    <t>0353-fab&amp;Polyetheen, HDPE, granulaat (o.b.v. Polyethylene, high density, granulate {GLO}| market for | Cut-off, U)</t>
  </si>
  <si>
    <t>0354-fab&amp;Polyetheen, HDPE, granulaat, secundaire afkomst (o.b.v. Polyethylene, high density, granulate, recycled {Europe without Switzerland}| polyethylene production, high density, granulate, recycled | Cut-off, U)</t>
  </si>
  <si>
    <t>0185-fab&amp;Polyetheen, HDPE, geëxtrudeerd (o.b.v. Polyethylene, high density, granulate {GLO}| market for | Cut-off, U &amp; Extrusion, plastic pipes {GLO}| market for | Cut-off, U)</t>
  </si>
  <si>
    <t>0012-fab&amp;Polyetheen, LDPE, folie (o.b.v. Packaging film, low density polyethylene {GLO}| market for | Cut-off, U)</t>
  </si>
  <si>
    <t>0216-fab&amp;Polypropeen, PP, folie, weefsel (o.b.v. Polypropylene, granulate {GLO}| market for | Cut-off, U + Extrusion, plastic film {GLO}| market for | Cut-off, U)</t>
  </si>
  <si>
    <t>0234-fab&amp;Polypropeen, PP, geëxtrudeerd (o.b.v. Polypropylene, granulate {GLO}| market for | Cut-off, U + Extrusion, plastic pipes {GLO}| market for | Cut-off, U)</t>
  </si>
  <si>
    <t>0355-fab&amp;Polypropeen, PP, granulaat (o.b.v. Polypropylene, granulate {GLO}| market for | Cut-off, U)</t>
  </si>
  <si>
    <t>0198-fab&amp;Polypropeen, PP, spuitgegoten (o.b.v. Polypropylene, granulate {GLO}| market for | Cut-off, U + Injection moulding {GLO}| market for | Cut-off, U)</t>
  </si>
  <si>
    <t>0223-fab&amp;Polypropeen, PP, vezels, toepassing in beton (o.b.v. Polypropylene, granulate {GLO}| market for | Cut-off, U + Extrusion, plastic film {GLO}| market for | Cut-off, U)</t>
  </si>
  <si>
    <t>0048-fab&amp;Polystyreen (o.b.v. Polystyrene, general purpose {GLO}| market for | Cut-off, U)</t>
  </si>
  <si>
    <t>0007-fab&amp;Polystyreen, EPS (o.b.v. Polystyrene foam slab {GLO}| market for | Cut-off, U; 87% primair, 13% secundair)</t>
  </si>
  <si>
    <t>0383-fab&amp;Polyurethaan coating, natlak conserveringssysteem (verbruik 0,51 kg/m2, uitgaande van 25% overspray en laagdikte 320 µm; Incl. emissie na aanbrengen)</t>
  </si>
  <si>
    <t>0237-fab&amp;Porselein, keramische isolator (o.b.v. Sanitary ceramics {GLO}| market for | Cut-off, U)</t>
  </si>
  <si>
    <t>0460-fab&amp;PUR, flexibel schuim (o.b.v. Polyurethane, flexible foam {RER}| market for polyurethane, flexible foam | Cut-off, U)</t>
  </si>
  <si>
    <t>0032-fab&amp;PUR, hardschuim (o.b.v. Polyurethane, rigid foam {RER}| market for polyurethane, rigid foam | Cut-off, U)</t>
  </si>
  <si>
    <t>0200-fab&amp;PVC, folie (o.b.v. Polyvinylchloride, suspension polymerised {GLO}| market for | Cut-off, U + Extrusion, plastic film {GLO}| market for | Cut-off, U)</t>
  </si>
  <si>
    <t>0199-fab&amp;PVC, geëxtrudeerd (o.b.v. Polyvinylchloride, suspension polymerised {GLO}| market for | Cut-off, U + Extrusion, plastic pipes {GLO}| market for | Cut-off, U)</t>
  </si>
  <si>
    <t>0356-fab&amp;PVC, granulaat (o.b.v. Polyvinylchloride, suspension polymerised {GLO}| market for | Cut-off, U)</t>
  </si>
  <si>
    <t>0031-fab&amp;PVC, kozijn, raam/deur (o.b.v. Window frame, poly vinyl chloride, U=1.6 W/m2K {GLO}| market for | Cut-off, U en 94,5 kg/m2)</t>
  </si>
  <si>
    <t>0053-fab&amp;Riet (o.b.v. Straw, stand-alone production {GLO}| market for | Cut-off, U)</t>
  </si>
  <si>
    <t>0073-fab&amp;Schapenwol, 80% import Australië, 20% NL (o.b.v. Sheep fleece in the grease {GLO}| market for | Cut-off, U + transport; 78% primair, 22% secundair)</t>
  </si>
  <si>
    <t>0226-fab&amp;Schelpen (o.b.v. Sand {GLO}| market for | Cut-off, U)</t>
  </si>
  <si>
    <t>0002-fab&amp;Schuimbeton (o.b.v. info uit 2002 en 1995), 500 kg/m3</t>
  </si>
  <si>
    <t>0306-fab&amp;Siliconen, gemiddelde o.b.v. 2000 producten (o.b.v. Silicone product {RER}| market for silicone product | Cut-off, U)</t>
  </si>
  <si>
    <t>0456-fab&amp;Smeerolie (o.b.v. Lubricating oil {RER}| market for lubricating oil | Cut-off, U)</t>
  </si>
  <si>
    <t>0054-fab&amp;Staal, gemoffeld (o.b.v. 98,6% Steel, unalloyed {GLO}| market for | Cut-off, U, Sheet rolling, steel {GLO}| market for | Cut-off, U + 1,4% Powder coat, steel {GLO}| market for | Cut-off, U)</t>
  </si>
  <si>
    <t>0425-fab&amp;Staal, geleiderail, ter renovatie - free of burden (leeg proces; 0% primair, 100% secundair)</t>
  </si>
  <si>
    <t>0202-fab&amp;Staal, hooggelegeerd, RVS (o.b.v. Steel, chromium steel 18/8 {GLO}| market for | Cut-off, U; 72% primair, 28% secundair)</t>
  </si>
  <si>
    <t>0238-fab&amp;Staal, laaggelegeerd (o.b.v. Steel, low-alloyed {GLO}| market for | Cut-off, U; 57% primair, 43% secundair)</t>
  </si>
  <si>
    <t>0432-fab&amp;Staal, laaggelegeerd (o.b.v. Steel, low-alloyed {RER}| steel production, converter, low-alloyed | Cut-off, U; 87,5% primair, 12,5% secundair)</t>
  </si>
  <si>
    <t>0416-fab&amp;Staal, laaggelegeerd, verzinkt (o.b.v. 98,6% Steel, low-alloyed {GLO}| market for | Cut-off, U + Wire drawing; 1,4% Zinc {GLO}| market for | Cut-off, U + Zinc coat, coils)</t>
  </si>
  <si>
    <t>0431-fab&amp;Staal, mangaanstaal, legering t.b.v. puntstuk in spoorwissel (o.b.v. 85% Iron scrap, sorted {GLO} &amp; 13,9% Ferromanganese, high-coal, 74,5% Mn {GLO})</t>
  </si>
  <si>
    <t>0417-fab&amp;Staal, ongelegeerd, verzinkt (o.b.v. 98,6% Steel, unalloyed {GLO}| market for | Cut-off, U + Hot rolling, steel; 1,4% Zinc {GLO}| market for | Cut-off, U + Zinc coat, coils)</t>
  </si>
  <si>
    <t>0214-fab&amp;Staal, ongelegeerd (o.b.v. Steel, unalloyed {GLO}| market for | Cut-off, U; 78,7% primair, 21,3% secundair)</t>
  </si>
  <si>
    <t>0458-fab&amp;Staal, Spoorstaven 54E1 R260Mn, met 1,7% Mn (o.b.v. Steel, low-alloyed {RER}| steel production, converter, low-alloyed | Cut-off, U)</t>
  </si>
  <si>
    <t>0233-fab&amp;Staal, staalplaat, verzinkt (o.b.v. 98,6% Steel, unalloyed {GLO}| market for | Cut-off, U + Sheet rolling; 0,06 m2 Zinc coat, coils)</t>
  </si>
  <si>
    <t>0167-fab&amp;Staal, wapening, ongelegeerd (betonstaal, wapeningsnet, vezels, voorspanstaal) (o.b.v. 21,5% Steel, unalloyed, 78,5% Steel, low-alloyed &amp; Hot rolling, steel {GLO}| market for | Cut-off, U; 17,8% primair, 82,2% secundair)</t>
  </si>
  <si>
    <t>0318-fab&amp;Staal, warmgewalst, buis- en kokerprofielen {GLO} (86,6% primair, 13,4% secundair)</t>
  </si>
  <si>
    <t>0316-fab&amp;Staal, warmgewalst, constructieprofielen {GLO} (4,2% primair, 95,8% secundair)</t>
  </si>
  <si>
    <t>0317-fab&amp;Staal, warmgewalst, plaat- en bandstaal {GLO} (82,7% primair, 17,3% secundair)</t>
  </si>
  <si>
    <t>0203-fab&amp;Staalslakken (NVLB: C) (aangehouden = 0-waarden want 'vrij van milieulast', al is waarschijnlijk sprake van co-productie)</t>
  </si>
  <si>
    <t>0448-fab&amp;Stampbeton (o.b.v. CEM III; betonketen.nl), 2030 kg/m3</t>
  </si>
  <si>
    <t>0062-fab&amp;Steen, hergebruikt (= 0-waarden want 'vrij van milieulast')</t>
  </si>
  <si>
    <t>0205-fab&amp;Steenslag, groeve (NVLB: A3) (o.b.v. uitsluitend Diesel, burned in building machine {GLO}| processing | Cut-off, U)</t>
  </si>
  <si>
    <t>0013-fab&amp;Steenwol (o.b.v. Stone wool {GLO}| market for stone wool | Cut-off, U)</t>
  </si>
  <si>
    <t>0207-fab&amp;Thermoplast, markering (o.b.v. bron uit 1993)</t>
  </si>
  <si>
    <t>0400-fab&amp;Titaandioxide, pigment, wit (o.b.v. Titanium dioxide {RER}| market for | Cut-off, U)</t>
  </si>
  <si>
    <t>0371-fab&amp;Veen, per kg (o.b.v. 0,01 m3 Peat moss {GLO}| market for | Cut-off, U)</t>
  </si>
  <si>
    <t>0022-fab&amp;Vlas</t>
  </si>
  <si>
    <t>0406-fab&amp;Vulstof, middelsoort+hydroxide SVC (o.b.v. 65% Limestone, crushed, washed en 35% Lime, hydraulic {RER}| market for lime, hydraulic | Cut-off, U)</t>
  </si>
  <si>
    <t>0043-fab&amp;XPS, geëxtrudeerd polystyreen (o.b.v. Polystyrene, extruded {GLO}| market for | Cut-off, U)</t>
  </si>
  <si>
    <t>0170-fab&amp;Zand; brekerzand (uit puinbreker; = 0-waarden want 'vrij van milieulast')</t>
  </si>
  <si>
    <t>0175-fab&amp;Zand, Flugsand (o.b.v. Sand {GLO}| market for | Cut-off, U + 300 km binnenvaart)</t>
  </si>
  <si>
    <t>0168-fab&amp;Zand, industriezand, ophoogzand, betonzand, drainagezand (o.b.v. Sand {GLO}| market for | Cut-off, U)</t>
  </si>
  <si>
    <t>0229-fab&amp;Zand, uit baggerwerk of graafwerk (werk met werk = 0-waarden want 'vrij van milieulast')</t>
  </si>
  <si>
    <t>0224-fab&amp;Zand-bentoniet polymeer (o.b.v. 88% Sand {GLO}| market for | Cut-off, U; 12% Bentonite {GLO}| market for | Cut-off, U)</t>
  </si>
  <si>
    <t>0047-fab&amp;Zandcement (o.b.v. Cement cast plaster floor {GLO}| market for | Cut-off, U)</t>
  </si>
  <si>
    <t>0028-fab&amp;Zink (o.b.v. Zinc {GLO}| market for | Cut-off, U; 100% primair, 0% secundair)</t>
  </si>
  <si>
    <t>0085-fab&amp;Zonnepaneel, PV (fotovoltaïsch), amorf (dunne film), per kg (8,2 kg/m2) (o.b.v. Photovoltaic panel, a-Si {GLO}| market for | Cut-off, U; 54,1% primair, 45,9% secundair)</t>
  </si>
  <si>
    <t>0086-fab&amp;Zonnepaneel, PV (fotovoltaïsch), CIS, per kg (17,5 kg/m2) (o.b.v. Photovoltaic panel, CIS {GLO}| market for | Cut-off, U; 93,6% primair, 6,4% secundair)</t>
  </si>
  <si>
    <t>0087-fab&amp;Zonnepaneel, PV (fotovoltaïsch), monokristallijn, per kg (25 kg/m2) (o.b.v. Photovoltaic panel, single-Si wafer {GLO}| market for | Cut-off, U)</t>
  </si>
  <si>
    <t>0088-fab&amp;Zonnepaneel, PV (fotovoltaïsch), polykristallijn, per kg (25 kg/m2) (o.b.v. Photovoltaic panel, multi-Si wafer {GLO}| market for | Cut-off, U)</t>
  </si>
  <si>
    <t>0409-pro&amp;Afvaldiensten, transport, diesel, per tkm</t>
  </si>
  <si>
    <t>0410-pro&amp;Afvaldiensten, transport, diesel, emissies, per tkm</t>
  </si>
  <si>
    <t>0481-pro&amp;Afvaldiensten, transport, elektrisch, per tkm</t>
  </si>
  <si>
    <t>0116-pro&amp;Afwerkmachine asfalt (o.b.v. 502 MJ Diesel, burned in building machine {GLO}| market for | Cut-off, U)</t>
  </si>
  <si>
    <t>0091-pro&amp;Aggregaat, diesel 200-400 KVA, per uur (o.b.v. 2140 MJ Diesel, burned in building machine {GLO}| market for | Cut-off, U)</t>
  </si>
  <si>
    <t>0094-pro&amp;Asfaltauto 16-25 ton; 240 kW; PER UUR (o.b.v. 806 MJ Diesel, burned in building machine {GLO}| processing | Cut-off, U)</t>
  </si>
  <si>
    <t>0110-pro&amp;Asfaltauto 34 ton; 270 kW; PER UUR (o.b.v. 906 MJ Diesel, burned in building machine {GLO}| processing | Cut-off, U)</t>
  </si>
  <si>
    <t>0146-pro&amp;Backhoe, per uur (o.b.v. 288 MJ Diesel, burned in building machine {GLO}| market for | Cut-off, U)</t>
  </si>
  <si>
    <t>0419-pro&amp;Beitsen, staal (o.b.v. Pickling, steel {RER} | Cut-off, U)</t>
  </si>
  <si>
    <t>0208-fab&amp;Bekisting, traditioneel, hout (o.b.v. bronnen uit 1991 en 2002; o.b.v. Sawnwood, softwood, raw, dried (u=10%) {RER}| market for | Cut-off, U)</t>
  </si>
  <si>
    <t>0206-fab&amp;Bekisting, tunnelbekisting (alleen propaangebruik; o.b.v. bron 2002), 50 cm per m2</t>
  </si>
  <si>
    <t>0102-pro&amp;Benzine, gebruik, per km (o.b.v. Transport, passenger car, medium size, petrol, EURO 4 {RER} | Alloc Rec, U; AANGEPAST)</t>
  </si>
  <si>
    <t>0364-pro&amp;Benzine, verbranding in generator, 10MW (o.b.v. Diesel, burned in diesel-electric generating set, 10MW {GLO}| diesel, burned in diesel-electric generating set, 10MW | Cut-off, U)</t>
  </si>
  <si>
    <t>0365-pro&amp;Benzine, verbranding in generator, 18,5 kW (o.b.v. Diesel, burned in diesel-electric generating set, 18.5kW {GLO}| diesel, burned in diesel-electric generating set, 18.5kW | Cut-off, U)</t>
  </si>
  <si>
    <t>0099-pro&amp;Betonpomp, incl. voertuig, per m3 (o.b.v. data uit 1995; gemiddelde van giekpomp, leidingpomp en mixerpomp)</t>
  </si>
  <si>
    <t>0093-pro&amp;Bulldozer, 12-35 t, droog/nat, per uur (o.b.v. 705 MJ Diesel, burned in building machine {GLO}| market for | Cut-off, U)</t>
  </si>
  <si>
    <t>0107-pro&amp;Compressor, diesel, 3.5-10.0 m3/min, per uur (o.b.v. 13,5 l Diesel, gasolie, gebruik, liter (o.b.v. 35,8 MJ Diesel, burned in building machine {GLO}| processing | Cut-off, U))</t>
  </si>
  <si>
    <t>0108-pro&amp;Cutterzuiger 350-600 mm zuigbuis, per uur (o.b.v. 178,5 l Diesel, gasolie, gebruik, liter (o.b.v. 35,8 MJ Diesel, burned in building machine {GLO}| processing | Cut-off, U))</t>
  </si>
  <si>
    <t>0366-pro&amp;Diesel, verbranding in generator, 10MW (o.b.v. Diesel, burned in diesel-electric generating set, 10MW {GLO}| diesel, burned in diesel-electric generating set, 10MW | Cut-off, U)</t>
  </si>
  <si>
    <t>0367-pro&amp;Diesel, verbranding in generator, 18,5 kW (o.b.v. Diesel, burned in diesel-electric generating set, 18.5kW {GLO}| diesel, burned in diesel-electric generating set, 18.5kW | Cut-off, U)</t>
  </si>
  <si>
    <t>0147-pro&amp;Draad trekken, koper (o.b.v. Wire drawing, copper {GLO}| market for | Cut-off, U)</t>
  </si>
  <si>
    <t>0105-pro&amp;Dragline, 5-8 m lg, per uur (o.b.v. Kraan hydr.tele. band (gemiddeld))</t>
  </si>
  <si>
    <t>0117-pro&amp;Drukspuit voor aanbrengen verflagen (energieverbruik en emissies, per m2; oude bron &lt;2003)</t>
  </si>
  <si>
    <t>0104-pro&amp;Dumper 20-35 ton laadvermogen (o.b.v. 1 tkm Transport, freight, lorry, unspecified {GLO}| market group for | Cut-off, U)</t>
  </si>
  <si>
    <t>0490-pro&amp;Explosieven, gebruik, Tovex (o.b.v. Blasting {RER}| processing | Cut-off, U)</t>
  </si>
  <si>
    <t>0427-pro&amp;Extruderen, aluminium (o.b.v. Impact extrusion of aluminium, 2 strokes {GLO}| market for | Cut-off, U)</t>
  </si>
  <si>
    <t>0428-pro&amp;Extruderen, aluminium, staven (o.b.v. Section bar extrusion, aluminium {GLO}| market for | Cut-off, U)</t>
  </si>
  <si>
    <t>0357-pro&amp;Extruderen, kunststof, buizen (exclusief kunststof) (o.b.v. Extrusion, plastic pipes {GLO}| market for | Cut-off, U; "1 kg of this process equals 0.996 kg of extruded plastic pipes.")</t>
  </si>
  <si>
    <t>0358-pro&amp;Extruderen, kunststof, folie (exclusief kunststof) (o.b.v. Extrusion, plastic film {GLO}| market for | Cut-off, U; "1 kg of this process equals 0.976 kg of extruded plastic film.")</t>
  </si>
  <si>
    <t>0375-pro&amp;Extruderen, kunststof (exclusief kunststof) (o.b.v. Extrusion, co-extrusion {GLO}| market for | Cut-off, U; "1 kg of this process equals 0.969 kg / kg of raw material input.")</t>
  </si>
  <si>
    <t>0423-pro&amp;Extruderen, staal (o.b.v. Impact extrusion of steel, cold, 3 strokes {GLO}| market for | Cut-off, U)</t>
  </si>
  <si>
    <t>0115-pro&amp;Graafmachine, per uur (o.b.v. 572 MJ Diesel, burned in building machine {GLO}| market for | Cut-off, U)</t>
  </si>
  <si>
    <t>0112-pro&amp;Grader, per uur (o.b.v. 649 MJ Diesel, burned in building machine {GLO}| market for | Cut-off, U)</t>
  </si>
  <si>
    <t>0401-pro&amp;Harden, vlakglas (o.b.v. Tempering, flat glass {GLO}| market for | Cut-off, U)</t>
  </si>
  <si>
    <t>0122-pro&amp;Heiblok, diesel, per uur (o.b.v. 283 kWh Diesel, burned in building machine {GLO}| market for | Cut-off, U)</t>
  </si>
  <si>
    <t>0118-pro&amp;Heistelling, mob.rups. 300-500kN, palentrilset, per uur (o.b.v. 199 kWh Diesel, burned in building machine {GLO}| market for | Cut-off, U)</t>
  </si>
  <si>
    <t>0288-pro&amp;Houtverduurzaming, vacuümmethode zonder chroom (o.b.v. Wood preservation, vacuum pressure method, organic salts, Cr-free, outdoor use, ground contact {GLO}| market for | Cut-off, U)</t>
  </si>
  <si>
    <t>0119-pro&amp;Hulpmachine asfalt (= 0-waarden; zonder bronvermelding)</t>
  </si>
  <si>
    <t>0471-pro&amp;HVO, pre Tier I, totaal A1-D, per kg HVO (o.b.v. TNO Scheepsbrandstoffen, 2021)</t>
  </si>
  <si>
    <t>0472-pro&amp;HVO, pre Tier I, totaal A1-D + SCR (Tier III), per kg HVO (o.b.v. TNO Scheepsbrandstoffen, 2021)</t>
  </si>
  <si>
    <t>0473-pro&amp;HVO, Tier II, totaal A1-D, per kg HVO (o.b.v. TNO Scheepsbrandstoffen, 2021)</t>
  </si>
  <si>
    <t>0144-pro&amp;Hydraulisch transport zand (o.b.v. 52,3 MJ Diesel, burned in building machine {GLO}| market for | Cut-off, U)</t>
  </si>
  <si>
    <t>0125-pro&amp;Hydraulisch trilblok, per vermogen, per uur (o.b.v. 2,2 kWh Diesel, burned in building machine {GLO}| market for | Cut-off, U)</t>
  </si>
  <si>
    <t>0120-pro&amp;Koudfrees, per kg (o.b.v. 0,0357 MJ Diesel, burned in building machine {GLO}| market for | Cut-off, U; bron uit 1993)</t>
  </si>
  <si>
    <t>0121-pro&amp;Kraan hydr.tele. band, per uur (o.b.v. 263 kWh Diesel, burned in building machine {GLO}| market for | Cut-off, U)</t>
  </si>
  <si>
    <t>0140-pro&amp;Lassen, staal, arc, per meter (o.b.v. Welding, arc, steel {GLO}| market for | Cut-off, U)</t>
  </si>
  <si>
    <t>0474-pro&amp;LNG, dual-fuel (80% LNG 20% MGO), totaal A1-D, per 0,8 kg LNG en 0,2 kg MGO (o.b.v. TNO Scheepsbrandstoffen, 2021)</t>
  </si>
  <si>
    <t>0123-pro&amp;Materieel voor aanbrengen thermoplastische markeringen, per uur (o.b.v. bron uit 1993)</t>
  </si>
  <si>
    <t>0436-pro&amp;Metaalbewerking (o.b.v. Energy and auxilliary inputs, metal working machine {RER}| market for energy and auxilliary inputs, metal working machine | Cut-off, U)</t>
  </si>
  <si>
    <t>0126-pro&amp;Methaliseren, thermisch gespoten aluminium, 350 µm</t>
  </si>
  <si>
    <t>0475-pro&amp;MGO, pre Tier I, totaal A1-D, per kg MGO (o.b.v. TNO Scheepsbrandstoffen, 2021)</t>
  </si>
  <si>
    <t>0476-pro&amp;MGO, pre Tier I, totaal A1-D + SCR (Tier III), per kg MGO (o.b.v. TNO Scheepsbrandstoffen, 2021)</t>
  </si>
  <si>
    <t>0477-pro&amp;MGO, Tier II, totaal A1-D, per kg MGO (o.b.v. TNO Scheepsbrandstoffen, 2021)</t>
  </si>
  <si>
    <t>0145-pro&amp;Multicat 520 kW, per uur (o.b.v. 2,38E3 MJ/uur Diesel, burned in building machine {GLO}| market for | Cut-off, U)</t>
  </si>
  <si>
    <t>0127-pro&amp;Persleiding wal (o.b.v. 7,15E-5 Diesel, burned in building machine {GLO}| market for | Cut-off, U)</t>
  </si>
  <si>
    <t>0385-pro&amp;Personen-vervoer, elektrisch (o.b.v. Transport, passenger car, electric {GLO}| market for | Cut-off, U)</t>
  </si>
  <si>
    <t>0386-pro&amp;Personen-vervoer, Klein, EURO4, benzine (o.b.v. Transport, passenger car, small size, petrol, EURO 4 {RER}| transport, passenger car, small size, petrol, EURO 4 | Cut-off, U)</t>
  </si>
  <si>
    <t>0387-pro&amp;Personen-vervoer, Klein, EURO4, diesel (o.b.v. Transport, passenger car, small size, diesel, EURO 4 {RER}| transport, passenger car, small size, diesel, EURO 4 | Cut-off, U)</t>
  </si>
  <si>
    <t>0388-pro&amp;Personen-vervoer, Klein, EURO5, benzine (o.b.v. Transport, passenger car, small size, petrol, EURO 5 {RER}| transport, passenger car, small size, petrol, EURO 5 | Cut-off, U)</t>
  </si>
  <si>
    <t>0389-pro&amp;Personen-vervoer, Klein, EURO5, diesel (o.b.v. Transport, passenger car, small size, diesel, EURO 5 {RER}| transport, passenger car, small size, diesel, EURO 5 | Cut-off, U)</t>
  </si>
  <si>
    <t>0390-pro&amp;Personen-vervoer, Middelgroot, EURO4, benzine (o.b.v. Transport, passenger car, medium size, petrol, EURO 4 {RER}| transport, passenger car, medium size, petrol, EURO 4 | Cut-off, U)</t>
  </si>
  <si>
    <t>0391-pro&amp;Personen-vervoer, Middelgroot, EURO4, diesel (o.b.v. Transport, passenger car, medium size, diesel, EURO 4 {RER}| transport, passenger car, medium size, diesel, EURO 4 | Cut-off, U)</t>
  </si>
  <si>
    <t>0392-pro&amp;Personen-vervoer, Middelgroot, EURO5, benzine (o.b.v. Transport, passenger car, medium size, petrol, EURO 5 {RER}| transport, passenger car, medium size, petrol, EURO 5 | Cut-off, U)</t>
  </si>
  <si>
    <t>0393-pro&amp;Personen-vervoer, Middelgroot, EURO5, diesel (o.b.v. Transport, passenger car, medium size, diesel, EURO 5 {RER}| transport, passenger car, medium size, diesel, EURO 5 | Cut-off, U)</t>
  </si>
  <si>
    <t>0394-pro&amp;Personen-vervoer, Groot / bestelbus, EURO4, benzine (o.b.v. Transport, passenger car, large size, petrol, EURO 4 {RER}| transport, passenger car, large size, petrol, EURO 4 | Cut-off, U)</t>
  </si>
  <si>
    <t>0395-pro&amp;Personen-vervoer, Groot / bestelbus, EURO4, diesel (o.b.v. Transport, passenger car, large size, diesel, EURO 4 {RER}| transport, passenger car, large size, diesel, EURO 4 | Cut-off, U)</t>
  </si>
  <si>
    <t>0396-pro&amp;Personen-vervoer, Groot / bestelbus, EURO5, benzine (o.b.v. Transport, passenger car, large size, petrol, EURO 5 {RER}| transport, passenger car, large size, petrol, EURO 5 | Cut-off, U)</t>
  </si>
  <si>
    <t>0397-pro&amp;Personen-vervoer, Groot / bestelbus, EURO5, diesel (o.b.v. Transport, passenger car, large size, diesel, EURO 5 {RER}| transport, passenger car, large size, diesel, EURO 5 | Cut-off, U)</t>
  </si>
  <si>
    <t>0128-pro&amp;Pomp, centrifugaal, diesel 4-15 kW, per uur (o.b.v. 43,5 MJ Diesel, burned in building machine {GLO}| market for | Cut-off, U)</t>
  </si>
  <si>
    <t>0129-pro&amp;Ponton, per uur (=LEEG PROCES)</t>
  </si>
  <si>
    <t>0434-pro&amp;Propaan, gebruik, per MJ (o.b.v. Propane, burned in building machine {GLO}| market for | Cut-off, U)</t>
  </si>
  <si>
    <t>0101-pro&amp;Sleephopperzuiger, 2000-6000 ton (5000 m3), per uur (o.b.v. 255 l Diesel, gasolie, gebruik, liter (o.b.v. 35,8 MJ Diesel, burned in building machine {GLO}| processing | Cut-off, U))</t>
  </si>
  <si>
    <t>0092-pro&amp;Sleephopperzuiger, 6000-10000 ton (10000 m3), per uur (o.b.v. 675 l Diesel, gasolie, gebruik, liter (o.b.v. 35,8 MJ Diesel, burned in building machine {GLO}| processing | Cut-off, U))</t>
  </si>
  <si>
    <t>0143-pro&amp;Slipform paver, per uur (o.b.v. 1230 MJ Diesel, burned in building machine {GLO}| market for | Cut-off, U)</t>
  </si>
  <si>
    <t>0131-pro&amp;Sloophamer, hydr.aanb., 600-1900 kg, per uur (o.b.v. 1800 MJ Diesel, burned in building machine {GLO}| market for | Cut-off, U)</t>
  </si>
  <si>
    <t>0361-pro&amp;Smeden (o.b.v. Forging, steel {GLO}| market for | Cut-off, U)</t>
  </si>
  <si>
    <t>0096-pro&amp;Sproeiwagen, 4000 l, per uur (o.b.v. 108 MJ Diesel, burned in building machine {GLO}| market for | Cut-off, U)</t>
  </si>
  <si>
    <t>0359-pro&amp;Spuitgieten, kunststof (exclusief kunststof) (o.b.v. Injection moulding {GLO}| market for | Cut-off, U; "1 kg of this process equals 0.994 kg of injection moulded plastics")</t>
  </si>
  <si>
    <t>0132-pro&amp;Tractor verm. 40-110 kW; 4%4, per uur (o.b.v. 343 MJ Diesel, burned in building machine {GLO}| market for | Cut-off, U)</t>
  </si>
  <si>
    <t>0097-pro&amp;Transport, bedrijfswagen, per uur (o.b.v. 75 km Transport, passenger car, medium size, diesel, EURO 5 {GLO}| market for | Cut-off, U)</t>
  </si>
  <si>
    <t>0141-pro&amp;Transport, vrachtwagen+kraan ==&gt;VERWIJST O.B.V. 2002 BRON UITSLUITEND NAAR TRANSPORT (Transport, freight, lorry, unspecified {GLO}| market group for | Cut-off, U)</t>
  </si>
  <si>
    <t>0100-pro&amp;Truckmixer, per uur (o.b.v. Diesel, burned in building machine {GLO}| market for | Cut-off, U; 2009) HOEVEELHEID = ONNAVOLGBAAR</t>
  </si>
  <si>
    <t>0412-pro&amp;Veegwagen, licht (114 kW) (o.b.v. 104 MJ Diesel, burned in building machine {GLO}| market for | Cut-off, U)</t>
  </si>
  <si>
    <t>0413-pro&amp;Veegwagen, licht, elektrisch (o.b.v. 6 kWh Electricity, low voltage {NL}| market for | Cut-off, U &amp; 0,0027 kg Battery, Li-ion, rechargeable)</t>
  </si>
  <si>
    <t>0113-pro&amp;Verdichten beton, trilnaald, per ton (o.b.v. 0,33 kWh/m3 Electricity, low voltage {NL}| market for | Cut-off, U; data uit 1995)</t>
  </si>
  <si>
    <t>0134-pro&amp;Verdichten beton, trilplaat, 250-700 kg, per uur (o.b.v. 6 kWh Diesel, burned in building machine {GLO}| market for | Cut-off, U)</t>
  </si>
  <si>
    <t>0296-pro&amp;Verspanen, hout, elektrisch, per kg (o.b.v. Wood chipping, industrial residual wood, stationary electric chipper {RER}| processing | Cut-off, U)</t>
  </si>
  <si>
    <t>0314-pro&amp;Verzinken, per m2, incl. zink (o.b.v. 1 m2 Zinc coat, coils {GLO}| market for | Cut-off, U) ("zinc coating layer is between 20 to 45 um thick")</t>
  </si>
  <si>
    <t>0445-pro&amp;Verzinken, stuks, per m2, incl. zink (o.b.v. 1 m2 Zinc coat, pieces {GLO}| market for | Cut-off, U) ("zinc coating layer is 65 µm thick")</t>
  </si>
  <si>
    <t>0424-pro&amp;Verzinken, stuks, aanpassing per µm per m2, incl. zink (o.b.v. Zinc coat, pieces, adjustment per micro-m {GLO}| market for | Cut-off, U) ("This module is applicable if the coating layer is thicker than the one given for "zinc coating, pieces")</t>
  </si>
  <si>
    <t>0098-pro&amp;Vrachtwagen 25-28t; 240 kW; PER UUR (o.b.v. 806 MJ Diesel, burned in building machine {GLO}| processing | Cut-off, U)</t>
  </si>
  <si>
    <t>0135-pro&amp;Vrachtwagen, reiniging - veeg/zuig, 6-8 m3, per uur (o.b.v. 806 MJ Diesel, burned in building machine {GLO}| processing | Cut-off, U)</t>
  </si>
  <si>
    <t>0136-pro&amp;Wals, per m2 (o.b.v 0,80 MJ Diesel, burned in building machine {GLO}| market for | Cut-off, U; data uit 2000)</t>
  </si>
  <si>
    <t>0426-pro&amp;Walsen, aluminium (o.b.v. Sheet rolling, aluminium {GLO}| market for | Cut-off, U)</t>
  </si>
  <si>
    <t>0360-pro&amp;Walsen, RVS (chroomstaal) (o.b.v. Sheet rolling, chromium steel {GLO}| market for | Cut-off, U)</t>
  </si>
  <si>
    <t>0433-pro&amp;Walsen, staal, warmwalsen (o.b.v. Hot rolling, steel {RER}| processing | Cut-off, U)</t>
  </si>
  <si>
    <t>0137-pro&amp;Werkvlet  175-280 kW (o.b.v. 21,3 MJ Diesel, burned in building machine {GLO}| market for | Cut-off, U)</t>
  </si>
  <si>
    <t>0138-pro&amp;Werkvlet  360-590 kW (o.b.v. 44,4 MJ Diesel, burned in building machine {GLO}| market for | Cut-off, U)</t>
  </si>
  <si>
    <t>0139-pro&amp;Wiellader, voor grond en zandwerk, per uur (o.b.v. 473 MJ Diesel, burned in building machine {GLO}| market for | Cut-off, U)</t>
  </si>
  <si>
    <t>0362-pro&amp;Zagen, hout, benzinemotor, per uur (o.b.v. Power sawing, with catalytic converter {GLO}| market for | Cut-off, U)</t>
  </si>
  <si>
    <t>0330-pro&amp;MDO-verbruik, Baggerschip, per kg (o.b.v. TNO/RWS Scheepsbrandstoffen, Marine Diesel Oil, 42 MJ/kg, c2)</t>
  </si>
  <si>
    <t>0331-pro&amp;Bio-LNG-verbruik, Baggerschip, per kg (o.b.v. TNO/RWS Scheepsbrandstoffen, Bio-Liquefied Natural Gas, 49 MJ/kg, c2)</t>
  </si>
  <si>
    <t>0332-pro&amp;GTL-verbruik, Baggerschip, per kg (o.b.v. TNO/RWS Scheepsbrandstoffen, Gas-to-Liquid, 43 MJ/kg, c2)</t>
  </si>
  <si>
    <t>0333-pro&amp;Waterstof-verbruik, Baggerschip, per kg (o.b.v. TNO/RWS Scheepsbrandstoffen, Hydrogen, 120 MJ/kg, c2)</t>
  </si>
  <si>
    <t>0334-pro&amp;HFO-verbruik, Baggerschip, per kg (o.b.v. TNO/RWS Scheepsbrandstoffen, Heavy Fuel Oil, 41 MJ/kg, c2)</t>
  </si>
  <si>
    <t>0347-pro&amp;LNG-verbruik, Baggerschip, per kg (o.b.v. TNO/RWS Scheepsbrandstoffen, Liquefied Natural Gas, 49 MJ/kg, c2)</t>
  </si>
  <si>
    <t>0348-pro&amp;HVO-verbruik, Baggerschip, per kg (o.b.v. TNO/RWS Scheepsbrandstoffen, Hydrotreated Vegetable Oil, 44 MJ/kg, c2)</t>
  </si>
  <si>
    <t>0467-pro&amp;Resin Infusion (o.b.v. LCI data uit EUCIA database)</t>
  </si>
  <si>
    <t>0001-tra&amp;Transport, vrachtwagen (o.b.v. Transport, freight, lorry, unspecified {GLO}| market group for transport, freight, lorry, unspecified | Cut-off, U)</t>
  </si>
  <si>
    <t>0133-tra&amp;Transport, vrachttrein (o.b.v. Transport, freight train {Europe without Switzerland}| market for | Cut-off, U)</t>
  </si>
  <si>
    <t>0103-tra&amp;Transport, vrachtschip, binnenvaart (o.b.v. Transport, freight, inland waterways, barge {GLO}| market group for transport, freight, inland waterways, barge | Cut-off, U)</t>
  </si>
  <si>
    <t>0290-tra&amp;Transport, vrachtschip, zee (o.b.v. Transport, freight, sea, transoceanic ship {GLO}| market for | Cut-off, U)</t>
  </si>
  <si>
    <t>0319-tra&amp;Transport, vrachtwagen (&gt;32 ton), euro 4, diesel (o.b.v. Transport, freight, lorry &gt;32 metric ton, EURO4 {RER}| transport, freight, lorry &gt;32 metric ton, EURO4 | Cut-off, U)</t>
  </si>
  <si>
    <t>0320-tra&amp;Transport, vrachtwagen (&gt;32 ton), euro 5, diesel, per tkm (o.b.v. Vrachtwagen (&gt;32 ton), euro 5, diesel, per liter, c2)</t>
  </si>
  <si>
    <t>0321-tra&amp;Transport, vrachtwagen (&gt;32 ton), euro 5, 100% biodiesel, per tkm (o.b.v. Vrachtwagen (&gt;32 ton), euro 5, ongemixte biodiesel, per liter, c2)</t>
  </si>
  <si>
    <t>0322-tra&amp;Transport, vrachtwagen (&gt;32 ton), euro 5, GTL, per tkm (o.b.v. Vrachtwagen (&gt;32 ton), euro 5, GTL, per liter, c2)</t>
  </si>
  <si>
    <t>0323-tra&amp;Transport, vrachtwagen (&gt;32 ton), euro 5, 100% HVO, per tkm (o.b.v. Vrachtwagen (&gt;32 ton), euro 5, ongemixte HVO, per liter, c2)</t>
  </si>
  <si>
    <t>0324-tra&amp;Transport, vrachtwagen (&gt;32 ton), euro 6, diesel, per tkm (o.b.v. Vrachtwagen (&gt;32 ton), euro 6, diesel, per liter, c2)</t>
  </si>
  <si>
    <t>0325-tra&amp;Transport, vrachtwagen (&gt;32 ton), euro 6, 100% biodiesel, per tkm (o.b.v. Vrachtwagen (&gt;32 ton), euro 6, ongemixte biodiesel, per liter, c2)</t>
  </si>
  <si>
    <t>0326-tra&amp;Transport, vrachtwagen (&gt;32 ton), euro 6, GTL, per tkm (o.b.v. Vrachtwagen (&gt;32 ton), euro 6, GTL, per liter, c2)</t>
  </si>
  <si>
    <t>0327-tra&amp;Transport, vrachtwagen (&gt;32 ton), euro 6, 100% HVO, per tkm (o.b.v. Vrachtwagen (&gt;32 ton), euro 6, ongemixte HVO, per liter, c2)</t>
  </si>
  <si>
    <t>0328-tra&amp;Transport, vrachttrein, diesel (o.b.v. Transport, freight train {Europe without Switzerland}| diesel | Cut-off, U)</t>
  </si>
  <si>
    <t>0329-tra&amp;Transport, vrachttrein, elektrisch (o.b.v. Transport, freight train {Europe without Switzerland}| electricity | Cut-off, U)</t>
  </si>
  <si>
    <t>0363-tra&amp;Transport, vrachtwagen, waterstof (o.b.v. Transport, freight, lorry &gt;32 metric ton, EURO5 {RER}| transport, freight, lorry &gt;32 metric ton, EURO5 | Cut-off, U)</t>
  </si>
  <si>
    <t>0404-tra&amp;Transport, vrachtschip, BULK DROOG (IN VOLGENDE VERSIE obv ecoinvent 3.6), zee (o.b.v. Transport, freight, sea, transoceanic ship {GLO}| market for | Cut-off, U)</t>
  </si>
  <si>
    <t>Processen</t>
  </si>
  <si>
    <t>EOL</t>
  </si>
  <si>
    <t>Materialen</t>
  </si>
  <si>
    <t>Emissies</t>
  </si>
  <si>
    <t>0399-emi&amp;IJzer, 100% emissie naar water, per kg</t>
  </si>
  <si>
    <t>0438-emi&amp;IJzer, 100% emissie naar bodem, per kg</t>
  </si>
  <si>
    <t>0437-emi&amp;Koper, 100% emissie naar bodem, per kg</t>
  </si>
  <si>
    <t>0373-emi&amp;Zink, 100% emissie naar water, per kg (o.b.v. effectief verwijderingsrendement 38%)</t>
  </si>
  <si>
    <t>0429-emi&amp;Zink, 100% emissie naar bodem, per kg</t>
  </si>
  <si>
    <t>0430-emi&amp;Zink, 100% emissie naar water, per kg</t>
  </si>
  <si>
    <t>0447-emi&amp;Zink, 100% emissie naar zeewater, per kg</t>
  </si>
  <si>
    <t>0451-emi&amp;OPNAME koolstofdioxide, CO2, uit lucht, 100% opname uit de lucht, per kg (=negatieve emissie)</t>
  </si>
  <si>
    <t>0454-emi&amp;Uitloging menggranulaat (dichtheid 1550 kg/m3), na 100 jaar, 200 mm laagdikte, per kg menggranulaat</t>
  </si>
  <si>
    <t>Energie</t>
  </si>
  <si>
    <t>0124-pro&amp;1 kWh, uit stopcontact (o.b.v. Electricity, low voltage {NL}| market for | Cut-off, U)</t>
  </si>
  <si>
    <t>0368-pro&amp;1 kWh, opgewekt met multi-Si PV-paneel (zonder net) (o.b.v. Electricity, low voltage {NL}| electricity production, photovoltaic, 3kWp slanted-roof installation, multi-Si, panel, mounted | Cut-off, U)</t>
  </si>
  <si>
    <t>0369-pro&amp;1 kWh, opgewekt met single-Si PV-paneel (zonder net) (o.b.v. Electricity, low voltage {NL}| electricity production, photovoltaic, 3kWp slanted-roof installation, single-Si, panel, mounted | Cut-off, U)</t>
  </si>
  <si>
    <t>0109-pro&amp;benzine, gebruik, per liter (o.b.v. 15,3 km Bezine, gebruik, per km (o.b.v. Transport, passenger car, medium size, petrol, EURO 4 | Alloc Rec, U; AANGEPAST)</t>
  </si>
  <si>
    <t>0095-pro&amp;Diesel, gasolie, gebruik, liter (o.b.v. 35,8 MJ Diesel, burned in building machine {GLO}| processing | Cut-off, U)</t>
  </si>
  <si>
    <t>0114-pro&amp;Dieselverbruik, per MJ (1-op-1 verwijzing naar Diesel, burned in building machine {GLO}| market for | Cut-off, U)</t>
  </si>
  <si>
    <t>0130-pro&amp;Propaan, productie, per kg (o.b.v. Liquefied petroleum gas {RoW}| market for | Cut-off, U)</t>
  </si>
  <si>
    <t>0289-fab&amp;Water, drinkwater (o.b.v. Tap water {RER}| market group for | Cut-off, U)</t>
  </si>
  <si>
    <t>0335-pro&amp;Dieselverbruik, graafmachine cat. IIIB, per l (o.b.v. TNO/RWS Graafmachine, categorie IIIB, diesel, per liter, c2) (diesel: 35,9 MJ/liter en 0,832 kg/liter)</t>
  </si>
  <si>
    <t>0336-pro&amp;Biodieselverbruik, graafmachine cat. IIIB, 100% biodiesel, per l (o.b.v. TNO/RWS Graafmachine, categorie IIIB, ongemixte biodiesel, per liter, c2) (biodiesel: 33,1 MJ/liter en 0,890 kg/liter)</t>
  </si>
  <si>
    <t>0337-pro&amp;GTL-verbruik, graafmachine cat. IIIB, per l (o.b.v. TNO/RWS Graafmachine, categorie IIIB, GTL, per liter, c2) (GTL: 34,3 MJ/liter en 0,780 kg/liter)</t>
  </si>
  <si>
    <t>0338-pro&amp;HVO-verbruik, graafmachine cat. IIIB, 100% HVO, per l (o.b.v. TNO/RWS Graafmachine, categorie IIIB, ongemixte HVO, per liter, c2) (HVO: 34,5 MJ/liter en 0,780 kg/liter)</t>
  </si>
  <si>
    <t>0339-pro&amp;Biodieselverbruik, graafmachine cat. IV, 100% biodiesel, per l (o.b.v. TNO/RWS Graafmachine, categorie IV, ongemixte biodiesel, per liter, c2) (biodiesel: 33,1 MJ/liter en 0,890 kg/liter)</t>
  </si>
  <si>
    <t>0340-pro&amp;Dieselverbruik, graafmachine cat. IV, per l (o.b.v. TNO/RWS Graafmachine, categorie IV, diesel, per liter, c2) (diesel: 35,9 MJ/liter en 0,832 kg/liter)</t>
  </si>
  <si>
    <t>0341-pro&amp;GTL-verbruik, graafmachine cat. IV, per l (o.b.v. TNO/RWS Graafmachine, categorie IV, GTL, per liter, c2) (GTL: 34,3 MJ/liter en 0,780 kg/liter)</t>
  </si>
  <si>
    <t>0342-pro&amp;HVO-verbruik, graafmachine cat. IV, 100% HVO, per l (o.b.v. TNO/RWS Graafmachine, categorie IV, ongemixte HVO, per liter, c2) (HVO: 34,5 MJ/liter en 0,780 kg/liter)</t>
  </si>
  <si>
    <t>0343-pro&amp;Biodieselverbruik, graafmachine cat. V, 100% biodiesel, per l (o.b.v. TNO/RWS Graafmachine, categorie V, ongemixte biodiesel, per liter, c2) (biodiesel: 33,1 MJ/liter en 0,890 kg/liter)</t>
  </si>
  <si>
    <t>0344-pro&amp;Dieselverbruik, graafmachine cat. V, per l (o.b.v. TNO/RWS Graafmachine, categorie V, diesel, per liter, c2) (diesel: 35,9 MJ/liter en 0,832 kg/liter)</t>
  </si>
  <si>
    <t>0345-pro&amp;GTL-verbruik, graafmachine cat. V, per l (o.b.v. TNO/RWS Graafmachine, categorie V, GTL, per liter, c2) (GTL: 34,3 MJ/liter en 0,780 kg/liter)</t>
  </si>
  <si>
    <t>0346-pro&amp;HVO-verbruik, graafmachine cat. V, 100% HVO, per l (o.b.v. TNO/RWS Graafmachine, categorie V, ongemixte HVO, per liter, c2) (HVO: 34,5 MJ/liter en 0,780 kg/liter)</t>
  </si>
  <si>
    <t>0081-fab&amp;Materialisatie energieopwekking (centrales o.b.v. NL-mix) en elektriciteitsnet; per kWh aan huis</t>
  </si>
  <si>
    <t>0082-fab&amp;Materialisatie windmolen; per kWh aan huis (o.b.v. &lt;1MW turbine, onshore)</t>
  </si>
  <si>
    <t>0083-fab&amp;Materialisatie vrijstaande pv; per kWh aan huis (o.b.v. 570kWp open ground installation, multi-Si)</t>
  </si>
  <si>
    <t>0084-fab&amp;Materialisatie WKK lokaal; per kWh aan huis (o.b.v. 100MWel gasgestookte WKK)</t>
  </si>
  <si>
    <t>0079-fab&amp;Materialisatie warmteopwekking stad/regio, inclusief distributie tot aan huis; per MJ geleverd</t>
  </si>
  <si>
    <t>0080-fab&amp;Materialisatie blokverwarming lokaal, inclusief distributie tot aan huis; per MJ geleverd</t>
  </si>
  <si>
    <t>0090-fab&amp;Materialisatie gaslevering, distributie tot aan huis; per m3 geleverd</t>
  </si>
  <si>
    <t>Materialisatie</t>
  </si>
  <si>
    <t>Environmental Impact Categories</t>
  </si>
  <si>
    <t>Environmental Costs Indicator [euro]</t>
  </si>
  <si>
    <t>Abiotic depletion potential for non-fossil resources</t>
  </si>
  <si>
    <t>kg Sb-eq</t>
  </si>
  <si>
    <t>Abiotic depletion potential for fossil resources</t>
  </si>
  <si>
    <t>Global warming potential</t>
  </si>
  <si>
    <t>kg CO2-eq</t>
  </si>
  <si>
    <t>Depletion potential of the stratospheric ozone layer</t>
  </si>
  <si>
    <t>kg CFC-11-eq</t>
  </si>
  <si>
    <t>Formation potential of tropospheric ozone photochemical oxidants</t>
  </si>
  <si>
    <t>Acidification potential of land and water</t>
  </si>
  <si>
    <t>kg SO2-eq</t>
  </si>
  <si>
    <t>Eutrophication potential [kg PO4 3-eq]</t>
  </si>
  <si>
    <t>kg PO4- eq</t>
  </si>
  <si>
    <t>Human toxicity potential [kg 1,4-DB-eq]</t>
  </si>
  <si>
    <t>Freshwater aquatic ecotoxicity potential [kg 1,4-DB-eq]</t>
  </si>
  <si>
    <t>Marine aquatic ecotoxicity potential [kg 1,4-DB-eq]</t>
  </si>
  <si>
    <t>Terrestrial ecotoxicity potential [kg 1,4-DB-eq]</t>
  </si>
  <si>
    <t>Total use of renewable primary energy resources [MJ]</t>
  </si>
  <si>
    <t>Total use of non-renewable primary energy resources [MJ]</t>
  </si>
  <si>
    <t>Total Energy [MJ]</t>
  </si>
  <si>
    <t>Use of net fresh water [m3]</t>
  </si>
  <si>
    <t>M</t>
  </si>
  <si>
    <t>Hazardous waste disposed [kg]</t>
  </si>
  <si>
    <t>Non-hazardous waste disposed [kg]</t>
  </si>
  <si>
    <t>Radioactive waste disposed [kg]</t>
  </si>
  <si>
    <t>MKI</t>
  </si>
  <si>
    <t>0247-sto&amp;Stort inert afval (o.b.v. Inert waste, for final disposal {RoW}| treatment of inert waste, inert material landfill | Cut-off, U) fijn-/grofkeramisch, grind, kalkzandsteen, schelpen, zand
0253-sto&amp;Stort staal (o.b.v. Scrap steel {Europe without Switzerland}| treatment of scrap steel, inert material landfill | Cut-off, U)</t>
  </si>
  <si>
    <t>0271-reD&amp;Module D, grind, per kg NETTO geleverd granulaat/grind (vermeden: Gravel, round {RoW}| gravel and sand quarry operation | Cut-off, U)
0282-reD&amp;Module D, staal, per kg NETTO geleverd ongelegeerd schroot (World Steel methode obv Steel, low-alloyed {RER&amp;RoW}| steel production, electric, low-alloyed | Cut-off, U  - Steel, unalloyed {RER&amp;RoW}| steel production, converter, unalloyed | Cut-off, U)</t>
  </si>
  <si>
    <t>Beton = 339,9 * 0,99 &amp; Staal = (4,13 * 0,178) * 0,95</t>
  </si>
  <si>
    <t>Projectresultaat</t>
  </si>
  <si>
    <t>Aandeel Primaire grondstoffen</t>
  </si>
  <si>
    <t>Aandeel Secundaire grondstoffen</t>
  </si>
  <si>
    <t>Totaal Grondstoffen</t>
  </si>
  <si>
    <t>-</t>
  </si>
  <si>
    <t>MKI-Waarde</t>
  </si>
  <si>
    <t>CO2 Emissies</t>
  </si>
  <si>
    <t>Kolom1</t>
  </si>
  <si>
    <t>Kolom2</t>
  </si>
  <si>
    <t>Kolom3</t>
  </si>
  <si>
    <t>Kolom4</t>
  </si>
  <si>
    <t>Kolom5</t>
  </si>
  <si>
    <t>Kolom6</t>
  </si>
  <si>
    <t>Kolom7</t>
  </si>
  <si>
    <t>Kolom8</t>
  </si>
  <si>
    <t>Kolom9</t>
  </si>
  <si>
    <t>Lengte(m)</t>
  </si>
  <si>
    <t>Breedte(m)</t>
  </si>
  <si>
    <t>Hoogte(m)</t>
  </si>
  <si>
    <t>Diameter(m)</t>
  </si>
  <si>
    <t>Wanddikte(m)</t>
  </si>
  <si>
    <t>AC 11 surf DL-A rood*</t>
  </si>
  <si>
    <t>Uitgangspunt Provincie Gelderland: Rood asfalt = AC Surf GM 0% PR * 1,5</t>
  </si>
  <si>
    <t>Opsluitband geopolymeer 100x200</t>
  </si>
  <si>
    <t>Opsluitband geopolymeer 80x200</t>
  </si>
  <si>
    <t>Rethink BKK8ROGRIJ</t>
  </si>
  <si>
    <t>15% Toeslagmateriaal secundair &amp; 100% bindmiddel secundair. 2350 kg / m3. 8 cm hoog. 44 stukls per m2. 4 kg per stuk</t>
  </si>
  <si>
    <t>Soortelijk gewicht * 50 km. Euro 5 Diesel</t>
  </si>
  <si>
    <t>Zelfde aanlegscenario als normale opsluitband</t>
  </si>
  <si>
    <t>Zelfde verwijderscenario als normale opsluitband</t>
  </si>
  <si>
    <t>Dubbelklinker (rood) 210x210x80</t>
  </si>
  <si>
    <t>Betonstraatsteen geopolymeer 210x105x80</t>
  </si>
  <si>
    <t>Betonstraatsteen geopolymeer (rood) 210x105x80</t>
  </si>
  <si>
    <t>Gebakken klinker</t>
  </si>
  <si>
    <t>Rethink 52020ROGRIJ</t>
  </si>
  <si>
    <t>15% Toeslagmateriaal secundair &amp; 100% bindmiddel secundair. 2350 kg / m3. 85 kg per stuk</t>
  </si>
  <si>
    <t>15% Toeslagmateriaal secundair &amp; 100% bindmiddel secundair. 2350 kg / m3. 85 kg per stuk + 10 kg kleurstof per m3 beton = 0,8 kg. https://static.betoninfra.nl/assets/Themas/Betontechnologie/kleurstoffen-in-beton-i.pdf?v=1556890209</t>
  </si>
  <si>
    <t>Aandeel Hernieuwbare energie</t>
  </si>
  <si>
    <t>Aandeel Fossiele energie</t>
  </si>
  <si>
    <t>Emissieloos Materieel</t>
  </si>
  <si>
    <t>Niet Emissieloos Materieel</t>
  </si>
  <si>
    <t>Aandeel Niet Emissieloos Transport</t>
  </si>
  <si>
    <t>Aandeel Emissieloos Transport</t>
  </si>
  <si>
    <t>Totaal Materieel</t>
  </si>
  <si>
    <t>Emissieloos</t>
  </si>
  <si>
    <t>Scope</t>
  </si>
  <si>
    <t>Voorbeeld: AC Surf 11 30% PR</t>
  </si>
  <si>
    <t>Handleiding MKI-inschrijfberekening</t>
  </si>
  <si>
    <t xml:space="preserve">Algemeen </t>
  </si>
  <si>
    <r>
      <t>·</t>
    </r>
    <r>
      <rPr>
        <sz val="7"/>
        <color theme="1"/>
        <rFont val="Times New Roman"/>
        <family val="1"/>
      </rPr>
      <t xml:space="preserve">         </t>
    </r>
    <r>
      <rPr>
        <sz val="11"/>
        <color theme="1"/>
        <rFont val="Times New Roman"/>
        <family val="1"/>
      </rPr>
      <t>Inschrijfberekening</t>
    </r>
  </si>
  <si>
    <r>
      <t>·</t>
    </r>
    <r>
      <rPr>
        <sz val="7"/>
        <color theme="1"/>
        <rFont val="Times New Roman"/>
        <family val="1"/>
      </rPr>
      <t xml:space="preserve">         </t>
    </r>
    <r>
      <rPr>
        <sz val="11"/>
        <color theme="1"/>
        <rFont val="Times New Roman"/>
        <family val="1"/>
      </rPr>
      <t>Inschrijf LCA’s</t>
    </r>
  </si>
  <si>
    <t>Het tabblad “Inschrijfberekening” toont de gebruikte gegevens (scope) van de ‘referentieberekening’ van de opdrachtgever. Dit is voor u als inschrijver het startpunt om vanuit te optimaliseren.</t>
  </si>
  <si>
    <t>Invoer projectgegevens</t>
  </si>
  <si>
    <t>Figuur 1. Tabel voor het invoeren van projectgegevens</t>
  </si>
  <si>
    <t>De volgende invoervelden zijn relevant voor het project:</t>
  </si>
  <si>
    <t>Inschrijfprijs</t>
  </si>
  <si>
    <t>A4 – Transportafstand naar bouwplaats</t>
  </si>
  <si>
    <t>A4 – Transportmiddel naar bouwplaats</t>
  </si>
  <si>
    <t xml:space="preserve">Door middel van drop-down menu’s kunt u kiezen tussen verschillende type vrachtwagens en brandstoffen. </t>
  </si>
  <si>
    <t>A5- Asfalt Aanleg-set</t>
  </si>
  <si>
    <t>A5 – Overige Materieel tbv Aanleg</t>
  </si>
  <si>
    <t xml:space="preserve">Voor werkzaamheden met grond en funderingsmateriaal maakt u gebruik van dit invoerveld om een keuze te maken tussen verschillende machines en brandstoffen. </t>
  </si>
  <si>
    <t>Analysemodel</t>
  </si>
  <si>
    <t>Figuur 2. Het totale analysemodel van het rekeninstrument</t>
  </si>
  <si>
    <t>Voor u als inschrijver zijn het gunningsmodel &amp; de analyse op MKI-waarde relevant.</t>
  </si>
  <si>
    <t>Gunningsmodel</t>
  </si>
  <si>
    <t xml:space="preserve"> </t>
  </si>
  <si>
    <t>Figuur 3. Het gunningsmodel</t>
  </si>
  <si>
    <t>Analyse op MKI-Waarde</t>
  </si>
  <si>
    <t>Figuur 4. Analyse op MKI-waarde per levensfase &amp; bestekpost</t>
  </si>
  <si>
    <t>Invoer Categorie 1 LCA’s</t>
  </si>
  <si>
    <t>Om te kunnen rekenen met eigen Categorie 1 LCA’s begint u bij het tweede tabblad van het rekeninstrument: ‘Inschrijf LCA’s’</t>
  </si>
  <si>
    <t>Figuur 5. Invoer van Categorie 1 LCA's</t>
  </si>
  <si>
    <t>Na het invoeren van de gegevens gaat u terug naar het tabblad ‘Inschrijfberekening’. Het rekeninstrument kan nu gebruik maken van de ingevoerde gegevens om de berekeningen te maken.</t>
  </si>
  <si>
    <t>U kunt nu bij het selecteren van de Productgroep kiezen voor Categorie 1 LCA Producten. Vervolgens kiest u onder Product het product dat u heeft ingevoerd en wilt gebruiken voor de bestekpost.</t>
  </si>
  <si>
    <t xml:space="preserve">Het rekeninstrument maakt het mogelijk om als inschrijver op eenvoudige en eenduidige wijze een MKI-berekening te maken voor het betreffende project. </t>
  </si>
  <si>
    <t xml:space="preserve">Als inschrijver wilt u niet alleen weten wat het effect is op de MKI-waarde, maar vooral wat het effect is op uw inschrijfprijs. Dit is immers bepalend voor het aanbieden van een winnende inschrijving. </t>
  </si>
  <si>
    <t xml:space="preserve">Het gunningsmodel geeft dit inzicht in de hoeveelheid fictieve korting die u ontvangt op basis van de referentiewaarde, streefwaarde en het gunningsvoordeel. </t>
  </si>
  <si>
    <t>Zo kunt u eenvoudig een afweging maken of het aanbieden van een duurzaam alternatief u ook daadwerkelijk helpt om een meer competitieve, duurzame inschrijving te doen.</t>
  </si>
  <si>
    <t xml:space="preserve">Op basis van de ingevoerde projectgegevens houdt het rekeninstrument real-time de informatie bij, welke u kunt gebruiken als analysemodel. </t>
  </si>
  <si>
    <t xml:space="preserve">Als een bestekpost betrekking heeft op asfalt maakt u gebruik van dit invoerveld om aan te geven hoe het asfalt wordt aangelegd. </t>
  </si>
  <si>
    <t xml:space="preserve">Er zijn aanlegsets beschikbaar met verschillende aanlegvolumes en brandstoffen in overeenkomst met de PCR Asfalt. De sets bestaan altijd uit een asfaltspreidmachine en wals. </t>
  </si>
  <si>
    <t xml:space="preserve">In de tabel voor het invoeren van projectgegevens wordt duidelijk wat de ‘scope’ is van werkzaamheden waarvoor de MKI berekening is gemaakt. </t>
  </si>
  <si>
    <t>Vervolgens selecteert u onder "Productgroep": Categorie_1_LCA_Producten, waarna onder "Product" de door u ingevoerde Inschrijf LCA's geselecteerd kunnen worden.</t>
  </si>
  <si>
    <t>% Secundair materiaal</t>
  </si>
  <si>
    <t>Asfalt_Producttype</t>
  </si>
  <si>
    <t>[A1]:[D2]</t>
  </si>
  <si>
    <t>[A1]:[A3]</t>
  </si>
  <si>
    <t>[A1]:[A5]</t>
  </si>
  <si>
    <t>[A1]:[C4]</t>
  </si>
  <si>
    <t>[A1]:[B4]</t>
  </si>
  <si>
    <t>Bron (LCA Dossier)</t>
  </si>
  <si>
    <t>Project_ID</t>
  </si>
  <si>
    <t>Project_lifespan</t>
  </si>
  <si>
    <t>Project_date</t>
  </si>
  <si>
    <t>RAW_ID</t>
  </si>
  <si>
    <t>2L-ZOAB onderlaag - PCR 1.0</t>
  </si>
  <si>
    <t>2L-ZOAB onderlaag 30% PR - PCR 1.0</t>
  </si>
  <si>
    <t>2L-ZOAB toplaag G.M. - PCR 1.0</t>
  </si>
  <si>
    <t>AC bin/base 50% PR - PCR 1.0</t>
  </si>
  <si>
    <t>AC bin/base 50% PR G.M. - PCR 1.0</t>
  </si>
  <si>
    <t>AC Surf 0% PR - PCR 1.0</t>
  </si>
  <si>
    <t>AC surf 30% PR - PCR 1.0</t>
  </si>
  <si>
    <t>AC Surf G.M. 0% PR - PCR 1.0</t>
  </si>
  <si>
    <t>DZOAB - PCR 1.0</t>
  </si>
  <si>
    <t>DZOAB 30% PR - PCR 1.0</t>
  </si>
  <si>
    <t>Open steenasfalt - PCR 1.0</t>
  </si>
  <si>
    <t>SMA 5 - PCR 1.0</t>
  </si>
  <si>
    <t>SMA 8-11 - PCR 1.0</t>
  </si>
  <si>
    <t>SMA G.R. (obv 8G+) - PCR 1.0</t>
  </si>
  <si>
    <t>WB asfaltbeton - PCR 1.0</t>
  </si>
  <si>
    <t>WB asfaltmastiek - PCR 1.0</t>
  </si>
  <si>
    <t>WB gietasfalt  - PCR 1.0</t>
  </si>
  <si>
    <t>ZOAB Regulier - PCR 1.0</t>
  </si>
  <si>
    <t>AC Surf G.M. 30% PR - PCR 1.0</t>
  </si>
  <si>
    <t>AC Surf 0% PR - PCR 2.0</t>
  </si>
  <si>
    <t>AC Surf 30% PR - PCR 2.0</t>
  </si>
  <si>
    <t>B5</t>
  </si>
  <si>
    <t>AC Surf G.M. 0% PR - PCR 2.0</t>
  </si>
  <si>
    <t>AC Surf G.M. 30% PR - PCR 2.0</t>
  </si>
  <si>
    <t>AC surf rood, met penbitumen - PCR 2.0</t>
  </si>
  <si>
    <t>AC surf rood, met blank bindmiddel - PCR 2.0</t>
  </si>
  <si>
    <t>2L-ZOAB onderlaag - PCR 2.0</t>
  </si>
  <si>
    <t>2L-ZOAB onderlaag 30% PR - PCR 2.0</t>
  </si>
  <si>
    <t>2L-ZOAB toplaag G.M. - PCR 2.0</t>
  </si>
  <si>
    <t>AC bin/base 50% PR - PCR 2.0</t>
  </si>
  <si>
    <t>DZOAB - PCR 2.0</t>
  </si>
  <si>
    <t>DZOAB 30% PR - PCR 2.0</t>
  </si>
  <si>
    <t>Open steenasfalt - PCR 2.0</t>
  </si>
  <si>
    <t>SMA 5 - PCR 2.0</t>
  </si>
  <si>
    <t>SMA G.R. (obv 8G+) - PCR 2.0</t>
  </si>
  <si>
    <t>WB asfaltbeton - PCR 2.0</t>
  </si>
  <si>
    <t>WB asfaltmastiek - PCR 2.0</t>
  </si>
  <si>
    <t>WB gietasfalt  - PCR 2.0</t>
  </si>
  <si>
    <t>ZOAB Regulier - PCR 2.0</t>
  </si>
  <si>
    <t>SMA 8-11 - PCR 2.0</t>
  </si>
  <si>
    <t>AC bin/base 50% PR G.M. - PCR 2.0</t>
  </si>
  <si>
    <t>SMA 8-11 G.M. - PCR 2.0</t>
  </si>
  <si>
    <t>A1 - Klimaatverandering /
Global warming (GWP) - kg CO2-eq</t>
  </si>
  <si>
    <t>A2 - Klimaatverandering /
Global warming (GWP) - kg CO2-eq</t>
  </si>
  <si>
    <t>A3 - Klimaatverandering /
Global warming (GWP) - kg CO2-eq</t>
  </si>
  <si>
    <t>B1 - Klimaatverandering /
Global warming (GWP) - kg CO2-eq</t>
  </si>
  <si>
    <t>D1 - Klimaatverandering /
Global warming (GWP) - kg CO2-eq</t>
  </si>
  <si>
    <t>D2 - Klimaatverandering /
Global warming (GWP) - kg CO2-eq</t>
  </si>
  <si>
    <t>A1 - Milieu Kosten Indicator (MKI) - euro</t>
  </si>
  <si>
    <t>A2 - Milieu Kosten Indicator (MKI) - euro</t>
  </si>
  <si>
    <t>A3 - Milieu Kosten Indicator (MKI) - euro</t>
  </si>
  <si>
    <t>B1 - Milieu Kosten Indicator (MKI) - euro2</t>
  </si>
  <si>
    <t>D1 - Milieu Kosten Indicator (MKI) - euro</t>
  </si>
  <si>
    <t>D2 - Milieu Kosten Indicator (MKI) - euro</t>
  </si>
  <si>
    <t>A1 - Totaal gebruik van hernieuwbare primaire energie / 
Energy, primary, renewable (MJ)</t>
  </si>
  <si>
    <t>A2 - Totaal gebruik van hernieuwbare primaire energie / 
Energy, primary, renewable (MJ)</t>
  </si>
  <si>
    <t>A3 - Totaal gebruik van hernieuwbare primaire energie / 
Energy, primary, renewable (MJ)</t>
  </si>
  <si>
    <t>B1 - Totaal gebruik van hernieuwbare primaire energie / 
Energy, primary, renewable (MJ)</t>
  </si>
  <si>
    <t>D1 - Totaal gebruik van hernieuwbare primaire energie / 
Energy, primary, renewable (MJ)</t>
  </si>
  <si>
    <t>D2 - Totaal gebruik van hernieuwbare primaire energie / 
Energy, primary, renewable (MJ)</t>
  </si>
  <si>
    <t>A1 - Totaal gebruik van niet hernieuwbare primaire  energie / 
Energy, primary, non-renewable (MJ)</t>
  </si>
  <si>
    <t>A2 - Totaal gebruik van niet hernieuwbare primaire  energie / 
Energy, primary, non-renewable (MJ)</t>
  </si>
  <si>
    <t>A3 - Totaal gebruik van niet hernieuwbare primaire  energie / 
Energy, primary, non-renewable (MJ)</t>
  </si>
  <si>
    <t>B1 - Totaal gebruik van niet hernieuwbare primaire  energie / 
Energy, primary, non-renewable (MJ)</t>
  </si>
  <si>
    <t>D1 - Totaal gebruik van niet hernieuwbare primaire  energie / 
Energy, primary, non-renewable (MJ)</t>
  </si>
  <si>
    <t>D2 - Totaal gebruik van niet hernieuwbare primaire  energie / 
Energy, primary, non-renewable (MJ)</t>
  </si>
  <si>
    <t>Brondocument X</t>
  </si>
  <si>
    <t>Brondocument Y</t>
  </si>
  <si>
    <t>Voorbeeld: AC Bin Base 80% PR</t>
  </si>
  <si>
    <r>
      <t xml:space="preserve">Als inschrijver gaat u aan de slag om de </t>
    </r>
    <r>
      <rPr>
        <b/>
        <u/>
        <sz val="11"/>
        <color theme="1"/>
        <rFont val="Times New Roman"/>
        <family val="1"/>
      </rPr>
      <t>geel gearceerde vlakken</t>
    </r>
    <r>
      <rPr>
        <sz val="11"/>
        <color theme="1"/>
        <rFont val="Times New Roman"/>
        <family val="1"/>
      </rPr>
      <t xml:space="preserve"> in te vullen in overeenstemming met wat u aanbiedt voor het uitvoeren van het project. </t>
    </r>
  </si>
  <si>
    <t>AC surf</t>
  </si>
  <si>
    <t xml:space="preserve">Voor u ligt Milieu Kosten Indicator (MKI)-inschrijfberekening. Deze handleiding beschrijft het gebruik van dit document.  </t>
  </si>
  <si>
    <t>Met behulp van drop-down menu’s kunt u alternatieve materialen &amp; machines selecteren, waarvan direct het effect inzichtelijk wordt gemaakt.</t>
  </si>
  <si>
    <t>Onderaan het  document ziet u twee tabbladen:</t>
  </si>
  <si>
    <t>Daarnaast is te zien welke materialen en machines zijn gebruikt om tot de referentieberekening te komen.</t>
  </si>
  <si>
    <t xml:space="preserve">Maak gebruik van het drop-down menu om een keuze te maken tussen Bitumineuze_verhardingen of Categorie_1_LCA_Producten. </t>
  </si>
  <si>
    <t xml:space="preserve">Op basis van de keuze voor een productgroep past het drop-down menu onder product zich aan. Bijvoorbeeld na de keuze voor ‘Bitumineuze_verhardingen’ als productgroep wordt in de kolom Product alle Branchegemiddelde asfaltmengsels getoond om uit te kiezen. </t>
  </si>
  <si>
    <t>Het analysemodel biedt inzicht in het gunningsmodel, MKI-waarde per levensfase &amp; bestekspost en de milieu impact van het project uitgedrukt in beleidsdoelstellingen.</t>
  </si>
  <si>
    <t xml:space="preserve">Het rekeninstrument toont direct hoeveel fictieve korting er gemoeid is met de keuze voor alternatieve materialen, brandstoffen of machines. </t>
  </si>
  <si>
    <t>Geef daarnaast aan wat de bron is: Naam van het LCA dossier &amp; voeg deze toe als bewijsmiddel.</t>
  </si>
  <si>
    <t xml:space="preserve">Het tabblad “Inschrijf LCA’s” geeft u de mogelijkheid om categorie 1 data in te laden, waarover later meer. </t>
  </si>
  <si>
    <r>
      <t xml:space="preserve">Voor inschrijvers bestaat de mogelijkheid om de overeenkomende MKI-waarde uit de referentieberekening te hanteren en geen onderscheid op MKI te maken. Wanneer inschrijver hiervoor kiest, </t>
    </r>
    <r>
      <rPr>
        <u/>
        <sz val="11"/>
        <color theme="1"/>
        <rFont val="Times New Roman"/>
        <family val="1"/>
      </rPr>
      <t>dient de gehele regel leeggelaten te worden</t>
    </r>
    <r>
      <rPr>
        <sz val="11"/>
        <color theme="1"/>
        <rFont val="Times New Roman"/>
        <family val="1"/>
      </rPr>
      <t xml:space="preserve"> van de desbetreffende bestekspost. Het is niet toegestaan om gedeeltelijk (1 of meerdere modules) in te vullen. Wanneer inschrijver dit wel doet, zal opdrachtgever de ingevoerde waardes voor de desbetreffende bestekspost/regel terugzetten naar de hoogte van de referentieberekening.</t>
    </r>
  </si>
  <si>
    <t>Het is mogelijk om gebruik te maken van eigen Categorie 1 LCA gegevens. Zie hiervoor: Invoer Categorie 1 LCA’s.</t>
  </si>
  <si>
    <t>Vul in hoeveel km de transportafstand is, conform 'Protocol berekenen en aantonen MKI-waarde'</t>
  </si>
  <si>
    <t xml:space="preserve">Note: De overige invoervelden zijn voor dit project niet aanpasbaar, omdat u hier als inschrijver geen invloed op heeft en/of buiten de scope van de MKI-berekening vallen. </t>
  </si>
  <si>
    <t>De analyse op MKI-waarde maakt inzichtelijk welke bestekpost en welke levensfase de milieu impact veroorzaken. Zo kunt u afgewogen keuzes maken waarvoor u alternatieve gaat aanbieden.</t>
  </si>
  <si>
    <r>
      <t>In dit tabblad vult u benodigde informatie in over MKI-waardes, CO</t>
    </r>
    <r>
      <rPr>
        <sz val="6"/>
        <color theme="1"/>
        <rFont val="Times New Roman"/>
        <family val="1"/>
      </rPr>
      <t>2</t>
    </r>
    <r>
      <rPr>
        <sz val="11"/>
        <color theme="1"/>
        <rFont val="Times New Roman"/>
        <family val="1"/>
      </rPr>
      <t>, materiaalgebruik &amp; energie. De informatie is te vinden in de LCA Dossiers of samenvatting daarvan (EPD).</t>
    </r>
  </si>
  <si>
    <t>Met emissies</t>
  </si>
  <si>
    <t>Transport [tkm]</t>
  </si>
  <si>
    <t>Bouwmaterieel [uur]</t>
  </si>
  <si>
    <t>ZOAB enkellaags</t>
  </si>
  <si>
    <t>2L-ZOAB toplaag</t>
  </si>
  <si>
    <t>De aangeboden materialen &amp; machines om tot de MKI berekening te komen dienen te voldoen aan ‘Protocol berekenen en aantonen MKI-waarde’.</t>
  </si>
  <si>
    <t>Geef aan wat de inschrijfprijs is van de betreffende bestekpost. (Deze waarde is contractueel niet leidend)</t>
  </si>
  <si>
    <t>5051 SMA-NL 11B 40/60</t>
  </si>
  <si>
    <t>840K020 AC 11 Surf 1% rood mexphalt C LT</t>
  </si>
  <si>
    <t>156K012 AC 16 bin/base 30/45 (60%) HKG</t>
  </si>
  <si>
    <t>166K008 AC 22 bin/base 30/45 (60%) HKG</t>
  </si>
  <si>
    <t>20060-TB - AC 22 Bin/Base 35/50 60% PR Bestone</t>
  </si>
  <si>
    <t>20460-TB - AC 16 Bin/Base 35/50 60% PR Bestone</t>
  </si>
  <si>
    <t>88405-TB - SMA-NL 11B 40/60 Bestone</t>
  </si>
  <si>
    <t>422410</t>
  </si>
  <si>
    <t>422510</t>
  </si>
  <si>
    <t>422520</t>
  </si>
  <si>
    <t>601230</t>
  </si>
  <si>
    <t>601240</t>
  </si>
  <si>
    <t>601250</t>
  </si>
  <si>
    <t>601260</t>
  </si>
  <si>
    <t>601270</t>
  </si>
  <si>
    <t>Provincie Gelderland</t>
  </si>
  <si>
    <t>60750408</t>
  </si>
  <si>
    <t>Hier komen uitgangspunten in tekst</t>
  </si>
  <si>
    <t>Specific_weight[ton/m3]</t>
  </si>
  <si>
    <t>ECI_total.A1</t>
  </si>
  <si>
    <t>ECI_total.A2</t>
  </si>
  <si>
    <t>ECI_total.A3</t>
  </si>
  <si>
    <t>ECI_total.A4</t>
  </si>
  <si>
    <t>ECI_total.A5</t>
  </si>
  <si>
    <t>ECI_total.B1</t>
  </si>
  <si>
    <t>ECI_total.B4</t>
  </si>
  <si>
    <t>ECI_total.C1</t>
  </si>
  <si>
    <t>ECI_total.C2</t>
  </si>
  <si>
    <t>ECI_total.C3</t>
  </si>
  <si>
    <t>ECI_total.C4</t>
  </si>
  <si>
    <t>ECI_total.D1</t>
  </si>
  <si>
    <t>ECI_total.D2</t>
  </si>
  <si>
    <t>ECI_total.total</t>
  </si>
  <si>
    <t>CO2_total.A1</t>
  </si>
  <si>
    <t>CO2_total.A2</t>
  </si>
  <si>
    <t>CO2_total.A3</t>
  </si>
  <si>
    <t>CO2_total.A4</t>
  </si>
  <si>
    <t>CO2_total.A5</t>
  </si>
  <si>
    <t>CO2_total.B1</t>
  </si>
  <si>
    <t>CO2_total.B4</t>
  </si>
  <si>
    <t>CO2_total.C1</t>
  </si>
  <si>
    <t>CO2_total.C2</t>
  </si>
  <si>
    <t>CO2_total.C3</t>
  </si>
  <si>
    <t>CO2_total.C4</t>
  </si>
  <si>
    <t>CO2_total.D1</t>
  </si>
  <si>
    <t>CO2_total.D2</t>
  </si>
  <si>
    <t>CO2_total.total</t>
  </si>
  <si>
    <t>Material_total.amount[ton]</t>
  </si>
  <si>
    <t>Material_total.%secundary</t>
  </si>
  <si>
    <t>Material_total.primary[ton]</t>
  </si>
  <si>
    <t>Material_total.secundary[ton]</t>
  </si>
  <si>
    <t>Material_total.amount_replacements[ton]</t>
  </si>
  <si>
    <t>Material_total.primary_replacements[ton]</t>
  </si>
  <si>
    <t>Material_total.secundary_replacements[ton]</t>
  </si>
  <si>
    <t>Material_total.total_primary[ton]</t>
  </si>
  <si>
    <t>Material_total.total_secundary[ton]</t>
  </si>
  <si>
    <t>Material_total.total[ton]</t>
  </si>
  <si>
    <t>Renewable_energy_total.A1</t>
  </si>
  <si>
    <t>Renewable_energy_total.A2</t>
  </si>
  <si>
    <t>Renewable_energy_total.A3</t>
  </si>
  <si>
    <t>Renewable_energy_total.A4</t>
  </si>
  <si>
    <t>Renewable_energy_total.A5</t>
  </si>
  <si>
    <t>Renewable_energy_total.B1</t>
  </si>
  <si>
    <t>Renewable_energy_total.B4</t>
  </si>
  <si>
    <t>Renewable_energy_total.C1</t>
  </si>
  <si>
    <t>Renewable_energy_total.C2</t>
  </si>
  <si>
    <t>Renewable_energy_total.C3</t>
  </si>
  <si>
    <t>Renewable_energy_total.C4</t>
  </si>
  <si>
    <t>Renewable_energy_total.D1</t>
  </si>
  <si>
    <t>Renewable_energy_total.D2</t>
  </si>
  <si>
    <t>Renewable_energy_total.total</t>
  </si>
  <si>
    <t>Fossil_energy_total.A1</t>
  </si>
  <si>
    <t>Fossil_energy_total.A2</t>
  </si>
  <si>
    <t>Fossil_energy_total.A3</t>
  </si>
  <si>
    <t>Fossil_energy_total.A4</t>
  </si>
  <si>
    <t>Fossil_energy_total.A5</t>
  </si>
  <si>
    <t>Fossil_energy_total.B1</t>
  </si>
  <si>
    <t>Fossil_energy_total.B4</t>
  </si>
  <si>
    <t>Fossil_energy_total.C1</t>
  </si>
  <si>
    <t>Fossil_energy_total.C2</t>
  </si>
  <si>
    <t>Fossil_energy_total.C3</t>
  </si>
  <si>
    <t>Fossil_energy_total.C4</t>
  </si>
  <si>
    <t>Fossil_energy_total.D1</t>
  </si>
  <si>
    <t>Fossil_energy_total.D2</t>
  </si>
  <si>
    <t>Fossil_energy_total.total</t>
  </si>
  <si>
    <t>Transport_total.transport_to_construction_site[tkm]</t>
  </si>
  <si>
    <t>Transport_total.transport_to_processor[tkm]</t>
  </si>
  <si>
    <t>Transport_total.emission_free_transport_to_construction_site</t>
  </si>
  <si>
    <t>Transport_total.emission_free_transport_to_processor</t>
  </si>
  <si>
    <t>Transport_total.emission_free_transport</t>
  </si>
  <si>
    <t>Transport_total.transport_to_construction_site_replacements[tkm]</t>
  </si>
  <si>
    <t>Transport_total.transport_to_processor_replacements[tkm]</t>
  </si>
  <si>
    <t>Transport_total.emission_free_transport_replacements[tkm]</t>
  </si>
  <si>
    <t>Transport_total.total_emission_free_transport</t>
  </si>
  <si>
    <t>Transport_total.total_non_emission_free_transport</t>
  </si>
  <si>
    <t>Transport_total.total_transport</t>
  </si>
  <si>
    <t>Construction_site_total.operation_hour_construction</t>
  </si>
  <si>
    <t>Construction_site_total.operation_hour_removal</t>
  </si>
  <si>
    <t>Construction_site_total.emission_free_construction</t>
  </si>
  <si>
    <t>Construction_site_total.emission_free_removal</t>
  </si>
  <si>
    <t>Construction_site_total.emission_free_construction_site</t>
  </si>
  <si>
    <t>Construction_site_total.emission_free_construction_site_replacement</t>
  </si>
  <si>
    <t>Construction_site_total.total_emission_free_construction_site</t>
  </si>
  <si>
    <t>Construction_site_total.total_non_emission_free_construction_site</t>
  </si>
  <si>
    <t>Construction_site_total.total_construction_site</t>
  </si>
  <si>
    <t>MKI_total_ton_A1_A3</t>
  </si>
  <si>
    <t>MKI_total_m3_A1_A3</t>
  </si>
  <si>
    <t>CO2_total_ton_A1_A3</t>
  </si>
  <si>
    <t>CO2_total_m3_A1_A3</t>
  </si>
  <si>
    <t>A4_transport_distance_to_construction_site[km]</t>
  </si>
  <si>
    <t>A4_transportmode_to_construction_site</t>
  </si>
  <si>
    <t>A5_asphalt_construction_set</t>
  </si>
  <si>
    <t>A5_other_construction_equipment</t>
  </si>
  <si>
    <t>C1_asphalt_removal_set</t>
  </si>
  <si>
    <t>C1_other_removal_equipment</t>
  </si>
  <si>
    <t>C2_transportdistance_to_processor[km]</t>
  </si>
  <si>
    <t>C2_transportmode_to_processor</t>
  </si>
  <si>
    <t>C3_processingset</t>
  </si>
  <si>
    <t>Version</t>
  </si>
  <si>
    <t>Opdrachtnemer</t>
  </si>
  <si>
    <t>Contractor</t>
  </si>
  <si>
    <t>MKI_total_A1_A3</t>
  </si>
  <si>
    <t>CO2_total_A1_A3</t>
  </si>
  <si>
    <t>Inschrijver 5</t>
  </si>
  <si>
    <t>Baseline</t>
  </si>
  <si>
    <t>Variant 1</t>
  </si>
  <si>
    <t>Gemeente Amersfoort</t>
  </si>
  <si>
    <t xml:space="preserve"> Opbreken betonstraatstenen. </t>
  </si>
  <si>
    <t>Aanbrengen band 280x300x260 mm, betonrug.</t>
  </si>
  <si>
    <t>Omschrijving</t>
  </si>
  <si>
    <t>Aanbrengen opsluitband 100x200mm.</t>
  </si>
  <si>
    <t>Aanbrengen straatlaag van straatzand dik 50 mm.</t>
  </si>
  <si>
    <t>Aanbrengen betontegels 300x300x45 mm.</t>
  </si>
  <si>
    <t xml:space="preserve"> Opbreken asfaltverharding, dik 120 mm. </t>
  </si>
  <si>
    <t xml:space="preserve"> Frezen asfalt dik 30 mm - fietspad. </t>
  </si>
  <si>
    <t>Aanbrengen menggranulaat, dik 300 mm - rijweg.</t>
  </si>
  <si>
    <t>Aanbrengen onderlaag AC 22 base, dik 70 mm.</t>
  </si>
  <si>
    <t>Aanbrengen tussenlaag AC16 bind, dik 50 mm</t>
  </si>
  <si>
    <t>Aanbrengen deklaag van SMA-NL 8, dik 30 mm.</t>
  </si>
  <si>
    <t>Aanbrengen menggranulaat, dik 200 mm - fietspad.</t>
  </si>
  <si>
    <t>Aanbrengen onderlaag AC 16 base, dik 50 mm 275 m2.</t>
  </si>
  <si>
    <t>Aanbrengen deklaag SMA-NL 8, dik 30 mm - 275 m2 (rood)</t>
  </si>
  <si>
    <t>Aanbrengen deklaag SMA-NL 8, dik 30 mm - 890 m2 (rood)</t>
  </si>
  <si>
    <t>Aanbrengen betonbuis rond profiel, ø300 mm - HWA.</t>
  </si>
  <si>
    <t>Aanbrengen betonbuis rond profiel, ø500 mm - HWA.</t>
  </si>
  <si>
    <t>Aanbrengen betonbuis rond profiel, ø700 mm - HWA.</t>
  </si>
  <si>
    <t>Aanbrengen betonbuis rond profiel, ø1000 mm - HWA.</t>
  </si>
  <si>
    <t>Aanbrengen drainage rioolsleuf PP ø 125 mm.</t>
  </si>
  <si>
    <t>Aanbrengen betonbuis rond profiel, ø300 mm - DWA.</t>
  </si>
  <si>
    <t>Aanbrengen  PVC 160 mm, incl. grondwerk - HWA.</t>
  </si>
  <si>
    <t>Aanbrengen  PVC 160 mm, incl. grondwerk - DWA.</t>
  </si>
  <si>
    <t xml:space="preserve"> Grond ontgraven uit cunet, hoogte 1,0 m - rijweg/ fietspad </t>
  </si>
  <si>
    <t xml:space="preserve"> Grond ontgraven uit cunet, hoogte 0,90 m - voetpad. </t>
  </si>
  <si>
    <t xml:space="preserve"> Grond ontgraven uit cunet, hoogte 0,90 m - overige verharding. </t>
  </si>
  <si>
    <t>Grond ontgraven t.b.v. sleuf hoofdriool.</t>
  </si>
  <si>
    <t xml:space="preserve"> Zand leveren en verwerken in cunet, hoogte 0,70 m - rijweg. </t>
  </si>
  <si>
    <t xml:space="preserve"> Zand verwerken in cunet, hoogte 1,00 m - voetpad (vrijgekomen). </t>
  </si>
  <si>
    <t xml:space="preserve"> Zand verwerken in cunet, hoogte 1,00 m - overige verharding (vrijgekomen). </t>
  </si>
  <si>
    <t xml:space="preserve"> Aanvullen sleuf ten behoeve van hoofdriolering. </t>
  </si>
  <si>
    <t>Trottoirband</t>
  </si>
  <si>
    <t>Trottoirband 280x300</t>
  </si>
  <si>
    <t>NMD 100x200 * 2,8 * 3,0</t>
  </si>
  <si>
    <t>NMD Beontegels 300x300x45 mm grijs</t>
  </si>
  <si>
    <t>Betontegel 300x300x45</t>
  </si>
  <si>
    <t>Betontegel 300x300x60</t>
  </si>
  <si>
    <t>Gewicht 9,5 kg. per stuk, 11 stuks per m2</t>
  </si>
  <si>
    <t>Gewicht 12,7 kg. per stuk, 11 stuks per m2</t>
  </si>
  <si>
    <t>NMD Beontegels 300x300x60 mm grijs</t>
  </si>
  <si>
    <t>Drainbuis</t>
  </si>
  <si>
    <t>PP Drainbuis 125 mm</t>
  </si>
  <si>
    <t>Betonbuis 300 mm</t>
  </si>
  <si>
    <t>Betonbuis 500 mm</t>
  </si>
  <si>
    <t>NMD Drainbuis, PP450 vezels</t>
  </si>
  <si>
    <t>NMD Rioolbuis beton 300mm</t>
  </si>
  <si>
    <t>NMD Rioolbuis beton 500mm</t>
  </si>
  <si>
    <t>Betonbuis 800 mm</t>
  </si>
  <si>
    <t>Betonbuis 1000 mm</t>
  </si>
  <si>
    <t>NMD Rioolbuis beton 800mm</t>
  </si>
  <si>
    <t>NMD Betonbuis ongewapend</t>
  </si>
  <si>
    <t>NMD Straatwerk elementen, baksteen</t>
  </si>
  <si>
    <t>Betonnen riolering</t>
  </si>
  <si>
    <t>PVC riolering</t>
  </si>
  <si>
    <t>PVC 200 mm</t>
  </si>
  <si>
    <t>NMD PVC rioleringsbuis, groot</t>
  </si>
  <si>
    <t>Straatzand</t>
  </si>
  <si>
    <t>Zand (hergebruik)</t>
  </si>
  <si>
    <t xml:space="preserve">Totaal Grondstoffen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</si>
</sst>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quot;€&quot;\ * #,##0.00_ ;_ &quot;€&quot;\ * \-#,##0.00_ ;_ &quot;€&quot;\ * &quot;-&quot;??_ ;_ @_ "/>
    <numFmt numFmtId="164" formatCode="_(&quot;$&quot;* #,##0.00_);_(&quot;$&quot;* \(#,##0.00\);_(&quot;$&quot;* &quot;-&quot;??_);_(@_)"/>
    <numFmt numFmtId="165" formatCode="_(* #,##0.00_);_(* \(#,##0.00\);_(* &quot;-&quot;??_);_(@_)"/>
    <numFmt numFmtId="166" formatCode="_ [$€-413]\ * #,##0.00_ ;_ [$€-413]\ * \-#,##0.00_ ;_ [$€-413]\ * &quot;-&quot;??_ ;_ @_ "/>
    <numFmt numFmtId="167" formatCode="_([$€-2]\ * #,##0.00_);_([$€-2]\ * \(#,##0.00\);_([$€-2]\ * &quot;-&quot;??_);_(@_)"/>
    <numFmt numFmtId="168" formatCode="0.0"/>
    <numFmt numFmtId="169" formatCode="_(* #,##0_);_(* \(#,##0\);_(* &quot;-&quot;??_);_(@_)"/>
    <numFmt numFmtId="170" formatCode="_(* #,##0.00000000_);_(* \(#,##0.00000000\);_(* &quot;-&quot;??_);_(@_)"/>
    <numFmt numFmtId="171" formatCode="_ [$€-413]\ * #,##0_ ;_ [$€-413]\ * \-#,##0_ ;_ [$€-413]\ * &quot;-&quot;??_ ;_ @_ "/>
    <numFmt numFmtId="172" formatCode="&quot;€&quot;\ #,##0.00"/>
    <numFmt numFmtId="173" formatCode="_ [$€-413]\ * #,##0.000000_ ;_ [$€-413]\ * \-#,##0.000000_ ;_ [$€-413]\ * &quot;-&quot;??_ ;_ @_ "/>
    <numFmt numFmtId="174" formatCode="[$€-413]\ #,##0"/>
    <numFmt numFmtId="175" formatCode="[$€-413]\ #,##0;[$€-413]\ \-#,##0"/>
    <numFmt numFmtId="176" formatCode="_([$€-2]\ * #,##0_);_([$€-2]\ * \(#,##0\);_([$€-2]\ * &quot;-&quot;??_);_(@_)"/>
    <numFmt numFmtId="177" formatCode="[$€-413]\ #,##0.00;[$€-413]\ \-#,##0.00"/>
    <numFmt numFmtId="178" formatCode="0.0%"/>
    <numFmt numFmtId="179" formatCode="_(* #,##0.0_);_(* \(#,##0.0\);_(* &quot;-&quot;??_);_(@_)"/>
    <numFmt numFmtId="180" formatCode="_ [$€-413]\ * #,##0.0000_ ;_ [$€-413]\ * \-#,##0.0000_ ;_ [$€-413]\ * &quot;-&quot;??_ ;_ @_ "/>
  </numFmts>
  <fonts count="58" x14ac:knownFonts="1">
    <font>
      <sz val="11"/>
      <color theme="1"/>
      <name val="Calibri"/>
      <family val="2"/>
      <scheme val="minor"/>
    </font>
    <font>
      <sz val="11"/>
      <color theme="1"/>
      <name val="Calibri"/>
      <family val="2"/>
      <scheme val="minor"/>
    </font>
    <font>
      <b/>
      <sz val="10"/>
      <color theme="0"/>
      <name val="Open Sans"/>
      <family val="2"/>
    </font>
    <font>
      <sz val="10"/>
      <color theme="1"/>
      <name val="Open Sans"/>
      <family val="2"/>
    </font>
    <font>
      <b/>
      <sz val="14"/>
      <name val="Open Sans"/>
      <family val="2"/>
    </font>
    <font>
      <b/>
      <sz val="11"/>
      <color theme="0"/>
      <name val="Calibri"/>
      <family val="2"/>
      <scheme val="minor"/>
    </font>
    <font>
      <sz val="11"/>
      <color theme="1"/>
      <name val="Open Sans"/>
      <family val="2"/>
    </font>
    <font>
      <b/>
      <sz val="11"/>
      <color theme="1"/>
      <name val="Open Sans"/>
      <family val="2"/>
    </font>
    <font>
      <sz val="9"/>
      <color theme="1"/>
      <name val="Open Sans"/>
      <family val="2"/>
    </font>
    <font>
      <sz val="11"/>
      <color rgb="FF000000"/>
      <name val="Calibri"/>
      <family val="2"/>
    </font>
    <font>
      <b/>
      <sz val="11"/>
      <color rgb="FFFF0000"/>
      <name val="Calibri"/>
      <family val="2"/>
      <scheme val="minor"/>
    </font>
    <font>
      <sz val="8"/>
      <name val="Calibri"/>
      <family val="2"/>
      <scheme val="minor"/>
    </font>
    <font>
      <sz val="11"/>
      <color rgb="FFFF0000"/>
      <name val="Calibri"/>
      <family val="2"/>
      <scheme val="minor"/>
    </font>
    <font>
      <sz val="11"/>
      <color rgb="FF212121"/>
      <name val="Arial"/>
      <family val="2"/>
    </font>
    <font>
      <b/>
      <sz val="11"/>
      <color theme="1"/>
      <name val="Calibri"/>
      <family val="2"/>
      <scheme val="minor"/>
    </font>
    <font>
      <sz val="11"/>
      <color rgb="FF9C0006"/>
      <name val="Calibri"/>
      <family val="2"/>
      <scheme val="minor"/>
    </font>
    <font>
      <b/>
      <sz val="11"/>
      <color theme="0"/>
      <name val="Open Sans"/>
      <family val="2"/>
    </font>
    <font>
      <sz val="9"/>
      <color rgb="FF000000"/>
      <name val="Open Sans"/>
      <family val="2"/>
    </font>
    <font>
      <sz val="11"/>
      <color rgb="FF000000"/>
      <name val="Calibri"/>
      <family val="2"/>
      <scheme val="minor"/>
    </font>
    <font>
      <b/>
      <sz val="14"/>
      <color rgb="FF000000"/>
      <name val="Open Sans"/>
      <family val="2"/>
    </font>
    <font>
      <sz val="11"/>
      <color rgb="FF232323"/>
      <name val="Calibri"/>
      <family val="2"/>
    </font>
    <font>
      <b/>
      <sz val="11"/>
      <color theme="1"/>
      <name val="Open Sans Regular"/>
    </font>
    <font>
      <b/>
      <sz val="16"/>
      <color theme="1"/>
      <name val="Calibri"/>
      <family val="2"/>
      <scheme val="minor"/>
    </font>
    <font>
      <b/>
      <sz val="16"/>
      <color theme="1"/>
      <name val="Open Sans Regular"/>
    </font>
    <font>
      <b/>
      <sz val="14"/>
      <color theme="1"/>
      <name val="Open Sans Regular"/>
    </font>
    <font>
      <b/>
      <sz val="11"/>
      <color rgb="FF000000"/>
      <name val="Open Sans"/>
      <family val="2"/>
      <charset val="1"/>
    </font>
    <font>
      <b/>
      <sz val="11"/>
      <color rgb="FF000000"/>
      <name val="Open Sans Regular"/>
      <charset val="1"/>
    </font>
    <font>
      <b/>
      <sz val="11"/>
      <color rgb="FF000000"/>
      <name val="Calibri"/>
      <family val="2"/>
    </font>
    <font>
      <sz val="11"/>
      <name val="Open Sans"/>
      <family val="2"/>
    </font>
    <font>
      <sz val="11"/>
      <name val="Calibri"/>
      <family val="2"/>
      <scheme val="minor"/>
    </font>
    <font>
      <b/>
      <sz val="11"/>
      <name val="Calibri"/>
      <family val="2"/>
      <scheme val="minor"/>
    </font>
    <font>
      <sz val="11"/>
      <color theme="0"/>
      <name val="Open Sans"/>
      <family val="2"/>
    </font>
    <font>
      <sz val="11"/>
      <color rgb="FF9C5700"/>
      <name val="Calibri"/>
      <family val="2"/>
      <scheme val="minor"/>
    </font>
    <font>
      <sz val="12"/>
      <color rgb="FF000000"/>
      <name val="Calibri"/>
      <family val="2"/>
      <scheme val="minor"/>
    </font>
    <font>
      <b/>
      <sz val="12"/>
      <color rgb="FF000000"/>
      <name val="Calibri"/>
      <family val="2"/>
      <scheme val="minor"/>
    </font>
    <font>
      <sz val="12"/>
      <color rgb="FF000000"/>
      <name val="Calibri"/>
      <family val="2"/>
    </font>
    <font>
      <sz val="12"/>
      <color theme="1"/>
      <name val="Calibri"/>
      <family val="2"/>
      <scheme val="minor"/>
    </font>
    <font>
      <sz val="11"/>
      <color rgb="FF000000"/>
      <name val="Open Sans"/>
      <family val="2"/>
    </font>
    <font>
      <b/>
      <sz val="14"/>
      <color theme="0" tint="-0.499984740745262"/>
      <name val="Calibri"/>
      <family val="2"/>
      <scheme val="minor"/>
    </font>
    <font>
      <sz val="14"/>
      <color theme="1"/>
      <name val="Calibri"/>
      <family val="2"/>
      <scheme val="minor"/>
    </font>
    <font>
      <b/>
      <u/>
      <sz val="14"/>
      <color theme="0" tint="-0.499984740745262"/>
      <name val="Calibri"/>
      <family val="2"/>
      <scheme val="minor"/>
    </font>
    <font>
      <u/>
      <sz val="11"/>
      <color theme="1"/>
      <name val="Calibri"/>
      <family val="2"/>
      <scheme val="minor"/>
    </font>
    <font>
      <sz val="10"/>
      <color rgb="FF000000"/>
      <name val="Open Sans"/>
      <family val="2"/>
    </font>
    <font>
      <b/>
      <sz val="12"/>
      <color rgb="FF8CC63F"/>
      <name val="Times New Roman"/>
      <family val="1"/>
    </font>
    <font>
      <b/>
      <sz val="11"/>
      <color rgb="FF92D050"/>
      <name val="Times New Roman"/>
      <family val="1"/>
    </font>
    <font>
      <sz val="11"/>
      <color theme="1"/>
      <name val="Times New Roman"/>
      <family val="1"/>
    </font>
    <font>
      <sz val="11"/>
      <color theme="1"/>
      <name val="Symbol"/>
      <family val="1"/>
      <charset val="2"/>
    </font>
    <font>
      <sz val="7"/>
      <color theme="1"/>
      <name val="Times New Roman"/>
      <family val="1"/>
    </font>
    <font>
      <i/>
      <sz val="9"/>
      <color rgb="FF44546A"/>
      <name val="Calibri"/>
      <family val="2"/>
      <scheme val="minor"/>
    </font>
    <font>
      <i/>
      <sz val="11"/>
      <color theme="1"/>
      <name val="Times New Roman"/>
      <family val="1"/>
    </font>
    <font>
      <b/>
      <sz val="10"/>
      <color rgb="FF1F3763"/>
      <name val="Times New Roman"/>
      <family val="1"/>
    </font>
    <font>
      <b/>
      <u/>
      <sz val="11"/>
      <color rgb="FF92D050"/>
      <name val="Times New Roman"/>
      <family val="1"/>
    </font>
    <font>
      <b/>
      <u/>
      <sz val="11"/>
      <color theme="1"/>
      <name val="Times New Roman"/>
      <family val="1"/>
    </font>
    <font>
      <b/>
      <sz val="10"/>
      <color theme="9"/>
      <name val="Times New Roman"/>
      <family val="1"/>
    </font>
    <font>
      <i/>
      <sz val="9"/>
      <color theme="9"/>
      <name val="Calibri"/>
      <family val="2"/>
      <scheme val="minor"/>
    </font>
    <font>
      <u/>
      <sz val="11"/>
      <color theme="1"/>
      <name val="Times New Roman"/>
      <family val="1"/>
    </font>
    <font>
      <sz val="6"/>
      <color theme="1"/>
      <name val="Times New Roman"/>
      <family val="1"/>
    </font>
    <font>
      <b/>
      <sz val="14"/>
      <color theme="9" tint="-0.249977111117893"/>
      <name val="Open Sans"/>
      <family val="2"/>
    </font>
  </fonts>
  <fills count="31">
    <fill>
      <patternFill patternType="none"/>
    </fill>
    <fill>
      <patternFill patternType="gray125"/>
    </fill>
    <fill>
      <patternFill patternType="solid">
        <fgColor rgb="FF0070C0"/>
        <bgColor indexed="64"/>
      </patternFill>
    </fill>
    <fill>
      <patternFill patternType="solid">
        <fgColor theme="1" tint="0.249977111117893"/>
        <bgColor indexed="64"/>
      </patternFill>
    </fill>
    <fill>
      <patternFill patternType="solid">
        <fgColor rgb="FF002060"/>
        <bgColor indexed="64"/>
      </patternFill>
    </fill>
    <fill>
      <patternFill patternType="solid">
        <fgColor rgb="FF00B0F0"/>
        <bgColor indexed="64"/>
      </patternFill>
    </fill>
    <fill>
      <patternFill patternType="solid">
        <fgColor theme="5"/>
        <bgColor indexed="64"/>
      </patternFill>
    </fill>
    <fill>
      <patternFill patternType="solid">
        <fgColor theme="9"/>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7C80"/>
        <bgColor indexed="64"/>
      </patternFill>
    </fill>
    <fill>
      <patternFill patternType="solid">
        <fgColor theme="0"/>
        <bgColor indexed="64"/>
      </patternFill>
    </fill>
    <fill>
      <patternFill patternType="solid">
        <fgColor theme="4"/>
        <bgColor theme="4"/>
      </patternFill>
    </fill>
    <fill>
      <patternFill patternType="solid">
        <fgColor theme="6"/>
        <bgColor indexed="64"/>
      </patternFill>
    </fill>
    <fill>
      <patternFill patternType="solid">
        <fgColor rgb="FFFFC7CE"/>
      </patternFill>
    </fill>
    <fill>
      <patternFill patternType="solid">
        <fgColor theme="6"/>
        <bgColor theme="6"/>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DBDBDB"/>
        <bgColor rgb="FFDBDBDB"/>
      </patternFill>
    </fill>
    <fill>
      <patternFill patternType="solid">
        <fgColor rgb="FFEDEDED"/>
        <bgColor rgb="FFEDEDED"/>
      </patternFill>
    </fill>
    <fill>
      <patternFill patternType="solid">
        <fgColor rgb="FFFFFFFF"/>
        <bgColor rgb="FF000000"/>
      </patternFill>
    </fill>
    <fill>
      <patternFill patternType="solid">
        <fgColor theme="0" tint="-0.34998626667073579"/>
        <bgColor indexed="64"/>
      </patternFill>
    </fill>
    <fill>
      <patternFill patternType="solid">
        <fgColor theme="1"/>
        <bgColor indexed="64"/>
      </patternFill>
    </fill>
    <fill>
      <patternFill patternType="solid">
        <fgColor rgb="FFFFEB9C"/>
      </patternFill>
    </fill>
    <fill>
      <patternFill patternType="solid">
        <fgColor theme="0"/>
        <bgColor theme="6" tint="0.79998168889431442"/>
      </patternFill>
    </fill>
    <fill>
      <patternFill patternType="solid">
        <fgColor theme="4" tint="0.79998168889431442"/>
        <bgColor theme="4" tint="0.79998168889431442"/>
      </patternFill>
    </fill>
    <fill>
      <patternFill patternType="solid">
        <fgColor theme="7" tint="0.59999389629810485"/>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right/>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style="medium">
        <color indexed="64"/>
      </left>
      <right style="medium">
        <color indexed="64"/>
      </right>
      <top style="medium">
        <color indexed="64"/>
      </top>
      <bottom style="medium">
        <color indexed="64"/>
      </bottom>
      <diagonal/>
    </border>
    <border>
      <left style="thin">
        <color rgb="FFED7D31"/>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bottom style="thick">
        <color theme="0"/>
      </bottom>
      <diagonal/>
    </border>
    <border>
      <left/>
      <right/>
      <top style="thin">
        <color theme="0"/>
      </top>
      <bottom/>
      <diagonal/>
    </border>
    <border>
      <left/>
      <right/>
      <top/>
      <bottom style="medium">
        <color indexed="64"/>
      </bottom>
      <diagonal/>
    </border>
    <border>
      <left style="thin">
        <color theme="1"/>
      </left>
      <right/>
      <top/>
      <bottom/>
      <diagonal/>
    </border>
    <border>
      <left/>
      <right style="thin">
        <color theme="1"/>
      </right>
      <top/>
      <bottom/>
      <diagonal/>
    </border>
    <border>
      <left/>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style="thin">
        <color theme="0"/>
      </bottom>
      <diagonal/>
    </border>
    <border>
      <left style="thin">
        <color indexed="64"/>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style="thin">
        <color indexed="64"/>
      </left>
      <right/>
      <top/>
      <bottom style="thin">
        <color indexed="64"/>
      </bottom>
      <diagonal/>
    </border>
    <border>
      <left/>
      <right/>
      <top style="thin">
        <color theme="5"/>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rgb="FF000000"/>
      </left>
      <right style="thin">
        <color rgb="FF000000"/>
      </right>
      <top style="thin">
        <color theme="4" tint="0.39997558519241921"/>
      </top>
      <bottom style="thin">
        <color theme="4" tint="0.39997558519241921"/>
      </bottom>
      <diagonal/>
    </border>
    <border>
      <left style="thin">
        <color rgb="FF000000"/>
      </left>
      <right style="thin">
        <color rgb="FF000000"/>
      </right>
      <top style="thin">
        <color theme="4" tint="0.39997558519241921"/>
      </top>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9" fillId="0" borderId="0"/>
    <xf numFmtId="9" fontId="1" fillId="0" borderId="0" applyFont="0" applyFill="0" applyBorder="0" applyAlignment="0" applyProtection="0"/>
    <xf numFmtId="0" fontId="15" fillId="18" borderId="0" applyNumberFormat="0" applyBorder="0" applyAlignment="0" applyProtection="0"/>
    <xf numFmtId="0" fontId="32" fillId="27" borderId="0" applyNumberFormat="0" applyBorder="0" applyAlignment="0" applyProtection="0"/>
    <xf numFmtId="0" fontId="36" fillId="0" borderId="0"/>
  </cellStyleXfs>
  <cellXfs count="420">
    <xf numFmtId="0" fontId="0" fillId="0" borderId="0" xfId="0"/>
    <xf numFmtId="0" fontId="6" fillId="0" borderId="0" xfId="0" applyFont="1"/>
    <xf numFmtId="0" fontId="6" fillId="0" borderId="0" xfId="0" applyFont="1" applyAlignment="1">
      <alignment textRotation="45"/>
    </xf>
    <xf numFmtId="2" fontId="6" fillId="0" borderId="0" xfId="1" applyNumberFormat="1" applyFont="1"/>
    <xf numFmtId="0" fontId="5" fillId="16" borderId="4" xfId="0" applyFont="1" applyFill="1" applyBorder="1"/>
    <xf numFmtId="168" fontId="6" fillId="0" borderId="0" xfId="1" applyNumberFormat="1" applyFont="1"/>
    <xf numFmtId="165" fontId="6" fillId="0" borderId="0" xfId="1" applyFont="1"/>
    <xf numFmtId="0" fontId="3" fillId="0" borderId="0" xfId="0" applyFont="1" applyAlignment="1">
      <alignment textRotation="45"/>
    </xf>
    <xf numFmtId="11" fontId="8" fillId="0" borderId="0" xfId="0" applyNumberFormat="1" applyFont="1"/>
    <xf numFmtId="0" fontId="5" fillId="16" borderId="5" xfId="0" applyFont="1" applyFill="1" applyBorder="1"/>
    <xf numFmtId="0" fontId="3" fillId="15" borderId="0" xfId="0" applyFont="1" applyFill="1"/>
    <xf numFmtId="167" fontId="3" fillId="15" borderId="0" xfId="0" applyNumberFormat="1" applyFont="1" applyFill="1" applyBorder="1"/>
    <xf numFmtId="0" fontId="0" fillId="0" borderId="6" xfId="0" applyBorder="1"/>
    <xf numFmtId="0" fontId="0" fillId="0" borderId="0" xfId="0" applyFill="1"/>
    <xf numFmtId="165" fontId="0" fillId="0" borderId="0" xfId="0" applyNumberFormat="1"/>
    <xf numFmtId="0" fontId="0" fillId="0" borderId="0" xfId="0" applyBorder="1"/>
    <xf numFmtId="0" fontId="6" fillId="0" borderId="0" xfId="0" applyFont="1" applyAlignment="1">
      <alignment textRotation="45" wrapText="1"/>
    </xf>
    <xf numFmtId="0" fontId="6" fillId="15" borderId="0" xfId="0" applyFont="1" applyFill="1"/>
    <xf numFmtId="0" fontId="0" fillId="15" borderId="0" xfId="0" applyFill="1"/>
    <xf numFmtId="0" fontId="10" fillId="15" borderId="0" xfId="0" applyFont="1" applyFill="1"/>
    <xf numFmtId="0" fontId="2" fillId="17" borderId="0" xfId="0" applyFont="1" applyFill="1" applyBorder="1" applyAlignment="1">
      <alignment textRotation="45"/>
    </xf>
    <xf numFmtId="0" fontId="2" fillId="17" borderId="0" xfId="0" applyFont="1" applyFill="1" applyBorder="1" applyAlignment="1">
      <alignment textRotation="45" wrapText="1"/>
    </xf>
    <xf numFmtId="0" fontId="0" fillId="17" borderId="0" xfId="0" applyFill="1" applyAlignment="1">
      <alignment textRotation="45"/>
    </xf>
    <xf numFmtId="0" fontId="6" fillId="0" borderId="0" xfId="0" applyFont="1" applyBorder="1"/>
    <xf numFmtId="0" fontId="2" fillId="4" borderId="0" xfId="0" applyFont="1" applyFill="1" applyBorder="1" applyAlignment="1">
      <alignment horizontal="center"/>
    </xf>
    <xf numFmtId="0" fontId="2" fillId="2" borderId="0" xfId="0" applyFont="1" applyFill="1" applyBorder="1" applyAlignment="1">
      <alignment horizontal="center"/>
    </xf>
    <xf numFmtId="0" fontId="2" fillId="5" borderId="0" xfId="0" applyFont="1" applyFill="1" applyBorder="1" applyAlignment="1">
      <alignment horizontal="center"/>
    </xf>
    <xf numFmtId="0" fontId="2" fillId="6" borderId="0" xfId="0" applyFont="1" applyFill="1" applyBorder="1" applyAlignment="1">
      <alignment horizontal="center"/>
    </xf>
    <xf numFmtId="0" fontId="2" fillId="7" borderId="0" xfId="0" applyFont="1" applyFill="1" applyBorder="1" applyAlignment="1">
      <alignment horizontal="center"/>
    </xf>
    <xf numFmtId="0" fontId="2" fillId="8" borderId="0" xfId="0" applyFont="1" applyFill="1" applyBorder="1" applyAlignment="1">
      <alignment horizontal="center"/>
    </xf>
    <xf numFmtId="0" fontId="2" fillId="3" borderId="0" xfId="0" applyFont="1" applyFill="1" applyBorder="1" applyAlignment="1">
      <alignment horizontal="center"/>
    </xf>
    <xf numFmtId="0" fontId="2" fillId="9" borderId="0" xfId="0" applyFont="1" applyFill="1" applyBorder="1" applyAlignment="1">
      <alignment horizontal="center"/>
    </xf>
    <xf numFmtId="0" fontId="2" fillId="10" borderId="0" xfId="0" applyFont="1" applyFill="1" applyBorder="1" applyAlignment="1">
      <alignment horizontal="center"/>
    </xf>
    <xf numFmtId="0" fontId="2" fillId="11" borderId="0" xfId="0" applyFont="1" applyFill="1" applyBorder="1" applyAlignment="1">
      <alignment horizontal="center"/>
    </xf>
    <xf numFmtId="0" fontId="2" fillId="12" borderId="0" xfId="0" applyFont="1" applyFill="1" applyBorder="1" applyAlignment="1">
      <alignment horizontal="center"/>
    </xf>
    <xf numFmtId="0" fontId="2" fillId="13" borderId="0" xfId="0" applyFont="1" applyFill="1" applyBorder="1" applyAlignment="1">
      <alignment horizontal="center"/>
    </xf>
    <xf numFmtId="0" fontId="2" fillId="14" borderId="0" xfId="0" applyFont="1" applyFill="1" applyBorder="1" applyAlignment="1">
      <alignment horizontal="center"/>
    </xf>
    <xf numFmtId="2" fontId="6" fillId="0" borderId="0" xfId="0" applyNumberFormat="1" applyFont="1" applyBorder="1"/>
    <xf numFmtId="167" fontId="6" fillId="15" borderId="0" xfId="0" applyNumberFormat="1" applyFont="1" applyFill="1" applyBorder="1"/>
    <xf numFmtId="0" fontId="6" fillId="0" borderId="0" xfId="0" applyNumberFormat="1" applyFont="1" applyBorder="1"/>
    <xf numFmtId="165" fontId="6" fillId="0" borderId="0" xfId="0" applyNumberFormat="1" applyFont="1" applyBorder="1"/>
    <xf numFmtId="0" fontId="9" fillId="0" borderId="0" xfId="3"/>
    <xf numFmtId="0" fontId="12" fillId="15" borderId="0" xfId="0" applyFont="1" applyFill="1"/>
    <xf numFmtId="0" fontId="14" fillId="15" borderId="0" xfId="0" applyFont="1" applyFill="1"/>
    <xf numFmtId="0" fontId="0" fillId="15" borderId="0" xfId="0" applyFont="1" applyFill="1"/>
    <xf numFmtId="0" fontId="9" fillId="0" borderId="0" xfId="3" applyFill="1"/>
    <xf numFmtId="165" fontId="8" fillId="0" borderId="0" xfId="1" applyFont="1"/>
    <xf numFmtId="170" fontId="8" fillId="0" borderId="0" xfId="1" applyNumberFormat="1" applyFont="1"/>
    <xf numFmtId="165" fontId="9" fillId="0" borderId="0" xfId="3" applyNumberFormat="1" applyFill="1"/>
    <xf numFmtId="165" fontId="9" fillId="0" borderId="0" xfId="3" applyNumberFormat="1"/>
    <xf numFmtId="0" fontId="17" fillId="0" borderId="0" xfId="3" applyFont="1"/>
    <xf numFmtId="0" fontId="17" fillId="0" borderId="0" xfId="3" applyFont="1" applyFill="1"/>
    <xf numFmtId="11" fontId="9" fillId="0" borderId="0" xfId="3" applyNumberFormat="1"/>
    <xf numFmtId="166" fontId="9" fillId="0" borderId="0" xfId="3" applyNumberFormat="1"/>
    <xf numFmtId="166" fontId="9" fillId="0" borderId="0" xfId="3" applyNumberFormat="1" applyFill="1"/>
    <xf numFmtId="11" fontId="9" fillId="0" borderId="0" xfId="3" applyNumberFormat="1" applyFill="1"/>
    <xf numFmtId="167" fontId="9" fillId="0" borderId="0" xfId="3" applyNumberFormat="1"/>
    <xf numFmtId="167" fontId="9" fillId="0" borderId="0" xfId="3" applyNumberFormat="1" applyFill="1"/>
    <xf numFmtId="166" fontId="0" fillId="0" borderId="0" xfId="0" applyNumberFormat="1"/>
    <xf numFmtId="165" fontId="8" fillId="0" borderId="0" xfId="1" applyFont="1" applyFill="1"/>
    <xf numFmtId="2" fontId="9" fillId="0" borderId="0" xfId="3" applyNumberFormat="1" applyFill="1"/>
    <xf numFmtId="11" fontId="17" fillId="0" borderId="0" xfId="3" applyNumberFormat="1" applyFont="1" applyFill="1"/>
    <xf numFmtId="11" fontId="8" fillId="0" borderId="0" xfId="3" applyNumberFormat="1" applyFont="1" applyFill="1"/>
    <xf numFmtId="11" fontId="17" fillId="0" borderId="0" xfId="3" applyNumberFormat="1" applyFont="1"/>
    <xf numFmtId="0" fontId="8" fillId="0" borderId="0" xfId="0" applyFont="1"/>
    <xf numFmtId="0" fontId="16" fillId="19" borderId="7" xfId="0" applyFont="1" applyFill="1" applyBorder="1"/>
    <xf numFmtId="0" fontId="16" fillId="19" borderId="8" xfId="0" applyFont="1" applyFill="1" applyBorder="1"/>
    <xf numFmtId="2" fontId="6" fillId="20" borderId="10" xfId="0" applyNumberFormat="1" applyFont="1" applyFill="1" applyBorder="1"/>
    <xf numFmtId="0" fontId="16" fillId="19" borderId="12" xfId="0" applyFont="1" applyFill="1" applyBorder="1"/>
    <xf numFmtId="0" fontId="16" fillId="19" borderId="13" xfId="0" applyFont="1" applyFill="1" applyBorder="1"/>
    <xf numFmtId="2" fontId="6" fillId="20" borderId="10" xfId="1" applyNumberFormat="1" applyFont="1" applyFill="1" applyBorder="1"/>
    <xf numFmtId="0" fontId="7" fillId="15" borderId="0" xfId="0" applyFont="1" applyFill="1"/>
    <xf numFmtId="3" fontId="3" fillId="15" borderId="0" xfId="1" applyNumberFormat="1" applyFont="1" applyFill="1" applyBorder="1"/>
    <xf numFmtId="3" fontId="6" fillId="15" borderId="0" xfId="1" applyNumberFormat="1" applyFont="1" applyFill="1" applyBorder="1"/>
    <xf numFmtId="0" fontId="2" fillId="17" borderId="8" xfId="0" applyFont="1" applyFill="1" applyBorder="1" applyAlignment="1"/>
    <xf numFmtId="0" fontId="2" fillId="17" borderId="9" xfId="0" applyFont="1" applyFill="1" applyBorder="1" applyAlignment="1"/>
    <xf numFmtId="9" fontId="6" fillId="20" borderId="14" xfId="4" applyFont="1" applyFill="1" applyBorder="1"/>
    <xf numFmtId="3" fontId="6" fillId="0" borderId="0" xfId="0" applyNumberFormat="1" applyFont="1" applyBorder="1"/>
    <xf numFmtId="9" fontId="9" fillId="0" borderId="0" xfId="4" applyFont="1"/>
    <xf numFmtId="0" fontId="2" fillId="4" borderId="8" xfId="0" applyFont="1" applyFill="1" applyBorder="1" applyAlignment="1">
      <alignment horizontal="center"/>
    </xf>
    <xf numFmtId="0" fontId="2" fillId="2" borderId="8" xfId="0" applyFont="1" applyFill="1" applyBorder="1" applyAlignment="1">
      <alignment horizontal="center"/>
    </xf>
    <xf numFmtId="0" fontId="2" fillId="5" borderId="8" xfId="0" applyFont="1" applyFill="1" applyBorder="1" applyAlignment="1">
      <alignment horizontal="center"/>
    </xf>
    <xf numFmtId="0" fontId="2" fillId="6" borderId="8" xfId="0" applyFont="1" applyFill="1" applyBorder="1" applyAlignment="1">
      <alignment horizontal="center"/>
    </xf>
    <xf numFmtId="0" fontId="2" fillId="7" borderId="8" xfId="0" applyFont="1" applyFill="1" applyBorder="1" applyAlignment="1">
      <alignment horizontal="center"/>
    </xf>
    <xf numFmtId="0" fontId="2" fillId="8" borderId="8" xfId="0" applyFont="1" applyFill="1" applyBorder="1" applyAlignment="1">
      <alignment horizontal="center"/>
    </xf>
    <xf numFmtId="0" fontId="2" fillId="3" borderId="8" xfId="0" applyFont="1" applyFill="1" applyBorder="1" applyAlignment="1">
      <alignment horizontal="center"/>
    </xf>
    <xf numFmtId="0" fontId="2" fillId="9" borderId="8" xfId="0" applyFont="1" applyFill="1" applyBorder="1" applyAlignment="1">
      <alignment horizontal="center"/>
    </xf>
    <xf numFmtId="0" fontId="2" fillId="10" borderId="8" xfId="0" applyFont="1" applyFill="1" applyBorder="1" applyAlignment="1">
      <alignment horizontal="center"/>
    </xf>
    <xf numFmtId="0" fontId="2" fillId="11" borderId="8" xfId="0" applyFont="1" applyFill="1" applyBorder="1" applyAlignment="1">
      <alignment horizontal="center"/>
    </xf>
    <xf numFmtId="0" fontId="2" fillId="12" borderId="8" xfId="0" applyFont="1" applyFill="1" applyBorder="1" applyAlignment="1">
      <alignment horizontal="center"/>
    </xf>
    <xf numFmtId="0" fontId="2" fillId="13" borderId="8" xfId="0" applyFont="1" applyFill="1" applyBorder="1" applyAlignment="1">
      <alignment horizontal="center"/>
    </xf>
    <xf numFmtId="0" fontId="2" fillId="14" borderId="9" xfId="0" applyFont="1" applyFill="1" applyBorder="1" applyAlignment="1">
      <alignment horizontal="center"/>
    </xf>
    <xf numFmtId="0" fontId="6" fillId="20" borderId="16" xfId="0" applyFont="1" applyFill="1" applyBorder="1"/>
    <xf numFmtId="3" fontId="3" fillId="15" borderId="16" xfId="1" applyNumberFormat="1" applyFont="1" applyFill="1" applyBorder="1"/>
    <xf numFmtId="3" fontId="6" fillId="15" borderId="17" xfId="1" applyNumberFormat="1" applyFont="1" applyFill="1" applyBorder="1"/>
    <xf numFmtId="3" fontId="3" fillId="15" borderId="17" xfId="1" applyNumberFormat="1" applyFont="1" applyFill="1" applyBorder="1"/>
    <xf numFmtId="0" fontId="6" fillId="20" borderId="16" xfId="0" applyNumberFormat="1" applyFont="1" applyFill="1" applyBorder="1"/>
    <xf numFmtId="169" fontId="16" fillId="19" borderId="13" xfId="0" applyNumberFormat="1" applyFont="1" applyFill="1" applyBorder="1"/>
    <xf numFmtId="9" fontId="4" fillId="15" borderId="19" xfId="4" applyFont="1" applyFill="1" applyBorder="1" applyAlignment="1">
      <alignment horizontal="center" vertical="center"/>
    </xf>
    <xf numFmtId="171" fontId="4" fillId="15" borderId="19" xfId="0" applyNumberFormat="1" applyFont="1" applyFill="1" applyBorder="1" applyAlignment="1">
      <alignment vertical="center"/>
    </xf>
    <xf numFmtId="0" fontId="18" fillId="22" borderId="20" xfId="0" applyFont="1" applyFill="1" applyBorder="1"/>
    <xf numFmtId="0" fontId="18" fillId="22" borderId="21" xfId="0" applyFont="1" applyFill="1" applyBorder="1"/>
    <xf numFmtId="0" fontId="18" fillId="0" borderId="0" xfId="0" applyFont="1"/>
    <xf numFmtId="166" fontId="18" fillId="22" borderId="21" xfId="0" applyNumberFormat="1" applyFont="1" applyFill="1" applyBorder="1"/>
    <xf numFmtId="0" fontId="18" fillId="22" borderId="22" xfId="0" applyFont="1" applyFill="1" applyBorder="1"/>
    <xf numFmtId="166" fontId="0" fillId="15" borderId="0" xfId="0" applyNumberFormat="1" applyFill="1"/>
    <xf numFmtId="173" fontId="9" fillId="0" borderId="0" xfId="3" applyNumberFormat="1"/>
    <xf numFmtId="2" fontId="9" fillId="0" borderId="0" xfId="3" applyNumberFormat="1"/>
    <xf numFmtId="2" fontId="8" fillId="0" borderId="0" xfId="1" applyNumberFormat="1" applyFont="1"/>
    <xf numFmtId="176" fontId="6" fillId="0" borderId="0" xfId="0" applyNumberFormat="1" applyFont="1" applyBorder="1"/>
    <xf numFmtId="167" fontId="9" fillId="15" borderId="0" xfId="3" applyNumberFormat="1" applyFill="1"/>
    <xf numFmtId="169" fontId="3" fillId="15" borderId="0" xfId="1" applyNumberFormat="1" applyFont="1" applyFill="1" applyBorder="1"/>
    <xf numFmtId="169" fontId="0" fillId="15" borderId="0" xfId="1" applyNumberFormat="1" applyFont="1" applyFill="1"/>
    <xf numFmtId="169" fontId="9" fillId="15" borderId="0" xfId="1" applyNumberFormat="1" applyFont="1" applyFill="1"/>
    <xf numFmtId="169" fontId="6" fillId="15" borderId="0" xfId="1" applyNumberFormat="1" applyFont="1" applyFill="1" applyBorder="1"/>
    <xf numFmtId="166" fontId="6" fillId="20" borderId="10" xfId="1" applyNumberFormat="1" applyFont="1" applyFill="1" applyBorder="1"/>
    <xf numFmtId="171" fontId="6" fillId="0" borderId="0" xfId="1" applyNumberFormat="1" applyFont="1"/>
    <xf numFmtId="169" fontId="6" fillId="20" borderId="10" xfId="1" applyNumberFormat="1" applyFont="1" applyFill="1" applyBorder="1"/>
    <xf numFmtId="169" fontId="6" fillId="20" borderId="15" xfId="1" applyNumberFormat="1" applyFont="1" applyFill="1" applyBorder="1"/>
    <xf numFmtId="0" fontId="16" fillId="19" borderId="7" xfId="0" applyFont="1" applyFill="1" applyBorder="1" applyAlignment="1">
      <alignment horizontal="center" textRotation="90"/>
    </xf>
    <xf numFmtId="0" fontId="16" fillId="19" borderId="23" xfId="0" applyFont="1" applyFill="1" applyBorder="1" applyAlignment="1">
      <alignment horizontal="center" textRotation="90"/>
    </xf>
    <xf numFmtId="176" fontId="6" fillId="20" borderId="10" xfId="1" applyNumberFormat="1" applyFont="1" applyFill="1" applyBorder="1"/>
    <xf numFmtId="169" fontId="6" fillId="20" borderId="14" xfId="1" applyNumberFormat="1" applyFont="1" applyFill="1" applyBorder="1"/>
    <xf numFmtId="3" fontId="4" fillId="15" borderId="0" xfId="1" applyNumberFormat="1" applyFont="1" applyFill="1" applyBorder="1" applyAlignment="1">
      <alignment horizontal="center" vertical="center"/>
    </xf>
    <xf numFmtId="2" fontId="6" fillId="15" borderId="0" xfId="1" applyNumberFormat="1" applyFont="1" applyFill="1"/>
    <xf numFmtId="171" fontId="6" fillId="15" borderId="0" xfId="1" applyNumberFormat="1" applyFont="1" applyFill="1"/>
    <xf numFmtId="168" fontId="6" fillId="15" borderId="0" xfId="1" applyNumberFormat="1" applyFont="1" applyFill="1"/>
    <xf numFmtId="3" fontId="6" fillId="20" borderId="10" xfId="1" applyNumberFormat="1" applyFont="1" applyFill="1" applyBorder="1"/>
    <xf numFmtId="0" fontId="4" fillId="15" borderId="0" xfId="0" applyFont="1" applyFill="1" applyAlignment="1">
      <alignment horizontal="center"/>
    </xf>
    <xf numFmtId="172" fontId="4" fillId="15" borderId="1" xfId="0" applyNumberFormat="1" applyFont="1" applyFill="1" applyBorder="1" applyAlignment="1">
      <alignment horizontal="center" vertical="center"/>
    </xf>
    <xf numFmtId="2" fontId="18" fillId="23" borderId="21" xfId="0" applyNumberFormat="1" applyFont="1" applyFill="1" applyBorder="1"/>
    <xf numFmtId="2" fontId="18" fillId="22" borderId="21" xfId="0" applyNumberFormat="1" applyFont="1" applyFill="1" applyBorder="1"/>
    <xf numFmtId="0" fontId="15" fillId="18" borderId="0" xfId="5"/>
    <xf numFmtId="0" fontId="20" fillId="0" borderId="0" xfId="0" applyFont="1"/>
    <xf numFmtId="0" fontId="4" fillId="15" borderId="0" xfId="0" applyFont="1" applyFill="1" applyAlignment="1"/>
    <xf numFmtId="0" fontId="21" fillId="15" borderId="0" xfId="0" applyFont="1" applyFill="1"/>
    <xf numFmtId="3" fontId="22" fillId="15" borderId="1" xfId="0" applyNumberFormat="1" applyFont="1" applyFill="1" applyBorder="1" applyAlignment="1">
      <alignment horizontal="center"/>
    </xf>
    <xf numFmtId="3" fontId="22" fillId="15" borderId="3" xfId="0" applyNumberFormat="1" applyFont="1" applyFill="1" applyBorder="1" applyAlignment="1">
      <alignment horizontal="center"/>
    </xf>
    <xf numFmtId="3" fontId="22" fillId="15" borderId="19" xfId="0" applyNumberFormat="1" applyFont="1" applyFill="1" applyBorder="1" applyAlignment="1">
      <alignment horizontal="center"/>
    </xf>
    <xf numFmtId="3" fontId="23" fillId="15" borderId="19" xfId="0" applyNumberFormat="1" applyFont="1" applyFill="1" applyBorder="1" applyAlignment="1">
      <alignment horizontal="center"/>
    </xf>
    <xf numFmtId="3" fontId="23" fillId="15" borderId="1" xfId="0" applyNumberFormat="1" applyFont="1" applyFill="1" applyBorder="1" applyAlignment="1">
      <alignment horizontal="center"/>
    </xf>
    <xf numFmtId="3" fontId="24" fillId="15" borderId="19" xfId="0" applyNumberFormat="1" applyFont="1" applyFill="1" applyBorder="1" applyAlignment="1">
      <alignment horizontal="center" vertical="center"/>
    </xf>
    <xf numFmtId="0" fontId="25" fillId="24" borderId="0" xfId="0" applyFont="1" applyFill="1"/>
    <xf numFmtId="0" fontId="26" fillId="24" borderId="0" xfId="0" applyFont="1" applyFill="1"/>
    <xf numFmtId="0" fontId="2" fillId="25" borderId="26" xfId="0" applyFont="1" applyFill="1" applyBorder="1" applyAlignment="1">
      <alignment textRotation="45"/>
    </xf>
    <xf numFmtId="0" fontId="2" fillId="25" borderId="0" xfId="0" applyFont="1" applyFill="1" applyBorder="1" applyAlignment="1">
      <alignment textRotation="45"/>
    </xf>
    <xf numFmtId="0" fontId="2" fillId="25" borderId="27" xfId="0" applyFont="1" applyFill="1" applyBorder="1" applyAlignment="1">
      <alignment textRotation="45"/>
    </xf>
    <xf numFmtId="0" fontId="4" fillId="15" borderId="0" xfId="0" applyFont="1" applyFill="1" applyAlignment="1">
      <alignment horizontal="center"/>
    </xf>
    <xf numFmtId="0" fontId="27" fillId="19" borderId="8" xfId="3" applyNumberFormat="1" applyFont="1" applyFill="1" applyBorder="1" applyAlignment="1"/>
    <xf numFmtId="0" fontId="9" fillId="21" borderId="17" xfId="3" applyNumberFormat="1" applyFont="1" applyFill="1" applyBorder="1" applyAlignment="1"/>
    <xf numFmtId="0" fontId="9" fillId="20" borderId="17" xfId="3" applyNumberFormat="1" applyFont="1" applyFill="1" applyBorder="1" applyAlignment="1"/>
    <xf numFmtId="169" fontId="6" fillId="20" borderId="0" xfId="1" applyNumberFormat="1" applyFont="1" applyFill="1" applyBorder="1"/>
    <xf numFmtId="166" fontId="4" fillId="15" borderId="19" xfId="0" applyNumberFormat="1" applyFont="1" applyFill="1" applyBorder="1" applyAlignment="1">
      <alignment vertical="center"/>
    </xf>
    <xf numFmtId="178" fontId="4" fillId="15" borderId="19" xfId="4" applyNumberFormat="1" applyFont="1" applyFill="1" applyBorder="1" applyAlignment="1">
      <alignment vertical="center"/>
    </xf>
    <xf numFmtId="1" fontId="6" fillId="20" borderId="10" xfId="1" applyNumberFormat="1" applyFont="1" applyFill="1" applyBorder="1"/>
    <xf numFmtId="1" fontId="6" fillId="21" borderId="10" xfId="1" applyNumberFormat="1" applyFont="1" applyFill="1" applyBorder="1"/>
    <xf numFmtId="1" fontId="6" fillId="20" borderId="11" xfId="1" applyNumberFormat="1" applyFont="1" applyFill="1" applyBorder="1"/>
    <xf numFmtId="3" fontId="6" fillId="20" borderId="14" xfId="1" applyNumberFormat="1" applyFont="1" applyFill="1" applyBorder="1"/>
    <xf numFmtId="3" fontId="6" fillId="21" borderId="14" xfId="1" applyNumberFormat="1" applyFont="1" applyFill="1" applyBorder="1"/>
    <xf numFmtId="3" fontId="6" fillId="20" borderId="24" xfId="1" applyNumberFormat="1" applyFont="1" applyFill="1" applyBorder="1"/>
    <xf numFmtId="165" fontId="6" fillId="20" borderId="0" xfId="1" applyFont="1" applyFill="1"/>
    <xf numFmtId="10" fontId="4" fillId="15" borderId="19" xfId="4" applyNumberFormat="1" applyFont="1" applyFill="1" applyBorder="1" applyAlignment="1">
      <alignment horizontal="center" vertical="center"/>
    </xf>
    <xf numFmtId="10" fontId="4" fillId="15" borderId="19" xfId="0" applyNumberFormat="1" applyFont="1" applyFill="1" applyBorder="1" applyAlignment="1">
      <alignment horizontal="center" vertical="center"/>
    </xf>
    <xf numFmtId="166" fontId="15" fillId="18" borderId="0" xfId="5" applyNumberFormat="1"/>
    <xf numFmtId="0" fontId="6" fillId="15" borderId="0" xfId="0" applyFont="1" applyFill="1" applyBorder="1"/>
    <xf numFmtId="176" fontId="6" fillId="15" borderId="0" xfId="0" applyNumberFormat="1" applyFont="1" applyFill="1" applyBorder="1"/>
    <xf numFmtId="0" fontId="0" fillId="15" borderId="0" xfId="0" applyFill="1" applyBorder="1"/>
    <xf numFmtId="0" fontId="29" fillId="15" borderId="0" xfId="0" applyFont="1" applyFill="1"/>
    <xf numFmtId="0" fontId="28" fillId="15" borderId="0" xfId="3" applyFont="1" applyFill="1"/>
    <xf numFmtId="0" fontId="0" fillId="0" borderId="0" xfId="0" applyBorder="1" applyAlignment="1">
      <alignment wrapText="1"/>
    </xf>
    <xf numFmtId="49" fontId="6" fillId="0" borderId="0" xfId="1" applyNumberFormat="1" applyFont="1"/>
    <xf numFmtId="0" fontId="0" fillId="0" borderId="0" xfId="0" applyNumberFormat="1"/>
    <xf numFmtId="0" fontId="1" fillId="0" borderId="0" xfId="3" applyNumberFormat="1" applyFont="1" applyFill="1"/>
    <xf numFmtId="169" fontId="29" fillId="15" borderId="0" xfId="5" applyNumberFormat="1" applyFont="1" applyFill="1" applyBorder="1"/>
    <xf numFmtId="169" fontId="29" fillId="15" borderId="0" xfId="5" applyNumberFormat="1" applyFont="1" applyFill="1" applyBorder="1" applyAlignment="1"/>
    <xf numFmtId="169" fontId="6" fillId="20" borderId="16" xfId="1" applyNumberFormat="1" applyFont="1" applyFill="1" applyBorder="1"/>
    <xf numFmtId="169" fontId="6" fillId="20" borderId="31" xfId="1" applyNumberFormat="1" applyFont="1" applyFill="1" applyBorder="1"/>
    <xf numFmtId="169" fontId="6" fillId="20" borderId="29" xfId="1" applyNumberFormat="1" applyFont="1" applyFill="1" applyBorder="1"/>
    <xf numFmtId="0" fontId="2" fillId="17" borderId="23" xfId="0" applyFont="1" applyFill="1" applyBorder="1" applyAlignment="1"/>
    <xf numFmtId="169" fontId="0" fillId="0" borderId="0" xfId="0" applyNumberFormat="1"/>
    <xf numFmtId="169" fontId="6" fillId="0" borderId="0" xfId="0" applyNumberFormat="1" applyFont="1"/>
    <xf numFmtId="179" fontId="6" fillId="20" borderId="0" xfId="1" applyNumberFormat="1" applyFont="1" applyFill="1"/>
    <xf numFmtId="169" fontId="6" fillId="20" borderId="0" xfId="1" applyNumberFormat="1" applyFont="1" applyFill="1"/>
    <xf numFmtId="179" fontId="6" fillId="20" borderId="10" xfId="1" applyNumberFormat="1" applyFont="1" applyFill="1" applyBorder="1"/>
    <xf numFmtId="179" fontId="6" fillId="20" borderId="14" xfId="1" applyNumberFormat="1" applyFont="1" applyFill="1" applyBorder="1"/>
    <xf numFmtId="179" fontId="16" fillId="19" borderId="13" xfId="0" applyNumberFormat="1" applyFont="1" applyFill="1" applyBorder="1"/>
    <xf numFmtId="179" fontId="0" fillId="0" borderId="0" xfId="0" applyNumberFormat="1"/>
    <xf numFmtId="179" fontId="6" fillId="20" borderId="28" xfId="1" applyNumberFormat="1" applyFont="1" applyFill="1" applyBorder="1"/>
    <xf numFmtId="179" fontId="6" fillId="20" borderId="30" xfId="1" applyNumberFormat="1" applyFont="1" applyFill="1" applyBorder="1"/>
    <xf numFmtId="0" fontId="0" fillId="0" borderId="0" xfId="0" pivotButton="1"/>
    <xf numFmtId="169" fontId="6" fillId="0" borderId="32" xfId="0" applyNumberFormat="1" applyFont="1" applyBorder="1"/>
    <xf numFmtId="176" fontId="3" fillId="15" borderId="0" xfId="0" applyNumberFormat="1" applyFont="1" applyFill="1" applyBorder="1"/>
    <xf numFmtId="0" fontId="2" fillId="26" borderId="0" xfId="0" applyFont="1" applyFill="1" applyBorder="1" applyAlignment="1">
      <alignment horizontal="center"/>
    </xf>
    <xf numFmtId="169" fontId="6" fillId="0" borderId="0" xfId="1" applyNumberFormat="1" applyFont="1"/>
    <xf numFmtId="179" fontId="6" fillId="0" borderId="0" xfId="0" applyNumberFormat="1" applyFont="1"/>
    <xf numFmtId="0" fontId="2" fillId="26" borderId="23" xfId="0" applyFont="1" applyFill="1" applyBorder="1" applyAlignment="1"/>
    <xf numFmtId="176" fontId="6" fillId="0" borderId="32" xfId="0" applyNumberFormat="1" applyFont="1" applyBorder="1"/>
    <xf numFmtId="0" fontId="14" fillId="0" borderId="0" xfId="0" applyFont="1"/>
    <xf numFmtId="0" fontId="30" fillId="15" borderId="0" xfId="0" applyFont="1" applyFill="1"/>
    <xf numFmtId="0" fontId="5" fillId="16" borderId="33" xfId="0" applyFont="1" applyFill="1" applyBorder="1"/>
    <xf numFmtId="174" fontId="4" fillId="15" borderId="0" xfId="0" applyNumberFormat="1" applyFont="1" applyFill="1" applyBorder="1" applyAlignment="1">
      <alignment horizontal="center" vertical="center"/>
    </xf>
    <xf numFmtId="0" fontId="0" fillId="0" borderId="0" xfId="0" applyAlignment="1">
      <alignment horizontal="left"/>
    </xf>
    <xf numFmtId="3" fontId="4" fillId="15" borderId="1" xfId="1" applyNumberFormat="1" applyFont="1" applyFill="1" applyBorder="1" applyAlignment="1">
      <alignment vertical="center"/>
    </xf>
    <xf numFmtId="3" fontId="4" fillId="15" borderId="2" xfId="1" applyNumberFormat="1" applyFont="1" applyFill="1" applyBorder="1" applyAlignment="1">
      <alignment vertical="center"/>
    </xf>
    <xf numFmtId="3" fontId="4" fillId="15" borderId="3" xfId="1" applyNumberFormat="1" applyFont="1" applyFill="1" applyBorder="1" applyAlignment="1">
      <alignment vertical="center"/>
    </xf>
    <xf numFmtId="3" fontId="4" fillId="15" borderId="1" xfId="0" applyNumberFormat="1" applyFont="1" applyFill="1" applyBorder="1" applyAlignment="1">
      <alignment vertical="center"/>
    </xf>
    <xf numFmtId="3" fontId="4" fillId="15" borderId="1" xfId="1" applyNumberFormat="1" applyFont="1" applyFill="1" applyBorder="1" applyAlignment="1"/>
    <xf numFmtId="3" fontId="4" fillId="15" borderId="2" xfId="1" applyNumberFormat="1" applyFont="1" applyFill="1" applyBorder="1" applyAlignment="1"/>
    <xf numFmtId="3" fontId="4" fillId="15" borderId="3" xfId="1" applyNumberFormat="1" applyFont="1" applyFill="1" applyBorder="1" applyAlignment="1"/>
    <xf numFmtId="3" fontId="9" fillId="0" borderId="0" xfId="3" applyNumberFormat="1" applyFill="1"/>
    <xf numFmtId="0" fontId="13" fillId="0" borderId="0" xfId="0" applyFont="1" applyAlignment="1">
      <alignment horizontal="left" vertical="center" wrapText="1" indent="2"/>
    </xf>
    <xf numFmtId="3" fontId="13" fillId="0" borderId="0" xfId="0" applyNumberFormat="1" applyFont="1" applyAlignment="1">
      <alignment horizontal="left" vertical="center" wrapText="1" indent="2"/>
    </xf>
    <xf numFmtId="0" fontId="32" fillId="27" borderId="0" xfId="6"/>
    <xf numFmtId="3" fontId="16" fillId="19" borderId="13" xfId="0" applyNumberFormat="1" applyFont="1" applyFill="1" applyBorder="1"/>
    <xf numFmtId="3" fontId="16" fillId="19" borderId="18" xfId="0" applyNumberFormat="1" applyFont="1" applyFill="1" applyBorder="1"/>
    <xf numFmtId="169" fontId="31" fillId="19" borderId="32" xfId="0" applyNumberFormat="1" applyFont="1" applyFill="1" applyBorder="1"/>
    <xf numFmtId="11" fontId="13" fillId="0" borderId="0" xfId="0" applyNumberFormat="1" applyFont="1" applyAlignment="1">
      <alignment horizontal="left" vertical="center" wrapText="1" indent="2"/>
    </xf>
    <xf numFmtId="11" fontId="0" fillId="0" borderId="0" xfId="0" applyNumberFormat="1"/>
    <xf numFmtId="0" fontId="0" fillId="0" borderId="0" xfId="0" applyAlignment="1">
      <alignment vertical="top"/>
    </xf>
    <xf numFmtId="9" fontId="9" fillId="0" borderId="0" xfId="3" applyNumberFormat="1" applyFill="1"/>
    <xf numFmtId="11" fontId="33" fillId="0" borderId="0" xfId="0" applyNumberFormat="1" applyFont="1"/>
    <xf numFmtId="0" fontId="33" fillId="0" borderId="0" xfId="0" applyFont="1"/>
    <xf numFmtId="3" fontId="4" fillId="15" borderId="0" xfId="1" applyNumberFormat="1" applyFont="1" applyFill="1" applyBorder="1" applyAlignment="1">
      <alignment vertical="center"/>
    </xf>
    <xf numFmtId="0" fontId="7" fillId="15" borderId="0" xfId="0" applyFont="1" applyFill="1" applyBorder="1"/>
    <xf numFmtId="0" fontId="4" fillId="15" borderId="0" xfId="0" applyFont="1" applyFill="1" applyBorder="1" applyAlignment="1"/>
    <xf numFmtId="0" fontId="4" fillId="15" borderId="0" xfId="0" applyFont="1" applyFill="1" applyBorder="1" applyAlignment="1">
      <alignment horizontal="center"/>
    </xf>
    <xf numFmtId="174" fontId="4" fillId="15" borderId="0" xfId="0" applyNumberFormat="1" applyFont="1" applyFill="1" applyBorder="1" applyAlignment="1">
      <alignment vertical="center"/>
    </xf>
    <xf numFmtId="3" fontId="4" fillId="15" borderId="0" xfId="0" applyNumberFormat="1" applyFont="1" applyFill="1" applyBorder="1" applyAlignment="1">
      <alignment vertical="center"/>
    </xf>
    <xf numFmtId="0" fontId="0" fillId="17" borderId="0" xfId="0" applyFill="1" applyAlignment="1">
      <alignment textRotation="45" wrapText="1"/>
    </xf>
    <xf numFmtId="0" fontId="9" fillId="21" borderId="16" xfId="3" applyNumberFormat="1" applyFont="1" applyFill="1" applyBorder="1" applyAlignment="1"/>
    <xf numFmtId="0" fontId="9" fillId="20" borderId="16" xfId="3" applyNumberFormat="1" applyFont="1" applyFill="1" applyBorder="1" applyAlignment="1"/>
    <xf numFmtId="165" fontId="0" fillId="0" borderId="0" xfId="0" applyNumberFormat="1" applyFont="1"/>
    <xf numFmtId="9" fontId="6" fillId="20" borderId="14" xfId="4" applyNumberFormat="1" applyFont="1" applyFill="1" applyBorder="1"/>
    <xf numFmtId="0" fontId="0" fillId="0" borderId="0" xfId="0" applyAlignment="1"/>
    <xf numFmtId="11" fontId="34" fillId="0" borderId="0" xfId="0" applyNumberFormat="1" applyFont="1"/>
    <xf numFmtId="11" fontId="34" fillId="0" borderId="34" xfId="0" applyNumberFormat="1" applyFont="1" applyBorder="1"/>
    <xf numFmtId="0" fontId="34" fillId="0" borderId="34" xfId="0" applyFont="1" applyBorder="1"/>
    <xf numFmtId="0" fontId="34" fillId="0" borderId="35" xfId="0" applyFont="1" applyBorder="1"/>
    <xf numFmtId="166" fontId="6" fillId="15" borderId="0" xfId="0" applyNumberFormat="1" applyFont="1" applyFill="1"/>
    <xf numFmtId="166" fontId="9" fillId="28" borderId="16" xfId="3" applyNumberFormat="1" applyFont="1" applyFill="1" applyBorder="1" applyAlignment="1"/>
    <xf numFmtId="0" fontId="35" fillId="0" borderId="0" xfId="3" applyFont="1"/>
    <xf numFmtId="9" fontId="0" fillId="0" borderId="0" xfId="4" applyFont="1"/>
    <xf numFmtId="2" fontId="0" fillId="0" borderId="0" xfId="4" applyNumberFormat="1" applyFont="1"/>
    <xf numFmtId="0" fontId="16" fillId="0" borderId="0" xfId="3" applyFont="1"/>
    <xf numFmtId="0" fontId="31" fillId="0" borderId="36" xfId="3" applyFont="1" applyBorder="1"/>
    <xf numFmtId="0" fontId="37" fillId="0" borderId="36" xfId="3" applyFont="1" applyBorder="1"/>
    <xf numFmtId="0" fontId="37" fillId="0" borderId="0" xfId="3" applyFont="1"/>
    <xf numFmtId="166" fontId="37" fillId="0" borderId="36" xfId="3" applyNumberFormat="1" applyFont="1" applyBorder="1"/>
    <xf numFmtId="180" fontId="37" fillId="0" borderId="36" xfId="3" applyNumberFormat="1" applyFont="1" applyBorder="1"/>
    <xf numFmtId="44" fontId="0" fillId="0" borderId="0" xfId="0" applyNumberFormat="1"/>
    <xf numFmtId="0" fontId="9" fillId="0" borderId="0" xfId="3" applyFill="1" applyAlignment="1"/>
    <xf numFmtId="0" fontId="9" fillId="0" borderId="0" xfId="3" applyAlignment="1"/>
    <xf numFmtId="1" fontId="6" fillId="0" borderId="0" xfId="1" applyNumberFormat="1" applyFont="1"/>
    <xf numFmtId="0" fontId="4" fillId="15" borderId="0" xfId="0" applyFont="1" applyFill="1" applyAlignment="1">
      <alignment horizontal="center"/>
    </xf>
    <xf numFmtId="171" fontId="4" fillId="15" borderId="3" xfId="0" applyNumberFormat="1" applyFont="1" applyFill="1" applyBorder="1" applyAlignment="1">
      <alignment horizontal="center" vertical="center"/>
    </xf>
    <xf numFmtId="10" fontId="38" fillId="15" borderId="0" xfId="4" applyNumberFormat="1" applyFont="1" applyFill="1" applyAlignment="1">
      <alignment horizontal="left"/>
    </xf>
    <xf numFmtId="10" fontId="38" fillId="15" borderId="0" xfId="4" applyNumberFormat="1" applyFont="1" applyFill="1" applyAlignment="1">
      <alignment horizontal="center"/>
    </xf>
    <xf numFmtId="0" fontId="39" fillId="15" borderId="0" xfId="0" applyFont="1" applyFill="1"/>
    <xf numFmtId="0" fontId="4" fillId="15" borderId="0" xfId="0" applyFont="1" applyFill="1"/>
    <xf numFmtId="14" fontId="0" fillId="0" borderId="0" xfId="0" applyNumberFormat="1"/>
    <xf numFmtId="169" fontId="6" fillId="20" borderId="30" xfId="1" applyNumberFormat="1" applyFont="1" applyFill="1" applyBorder="1"/>
    <xf numFmtId="2" fontId="6" fillId="20" borderId="11" xfId="0" applyNumberFormat="1" applyFont="1" applyFill="1" applyBorder="1"/>
    <xf numFmtId="2" fontId="6" fillId="20" borderId="11" xfId="1" applyNumberFormat="1" applyFont="1" applyFill="1" applyBorder="1"/>
    <xf numFmtId="169" fontId="6" fillId="20" borderId="37" xfId="1" applyNumberFormat="1" applyFont="1" applyFill="1" applyBorder="1"/>
    <xf numFmtId="10" fontId="40" fillId="15" borderId="0" xfId="4" applyNumberFormat="1" applyFont="1" applyFill="1" applyAlignment="1">
      <alignment horizontal="center"/>
    </xf>
    <xf numFmtId="10" fontId="40" fillId="15" borderId="0" xfId="4" applyNumberFormat="1" applyFont="1" applyFill="1" applyAlignment="1">
      <alignment horizontal="left"/>
    </xf>
    <xf numFmtId="0" fontId="41" fillId="15" borderId="0" xfId="0" applyFont="1" applyFill="1"/>
    <xf numFmtId="0" fontId="0" fillId="29" borderId="33" xfId="0" applyFont="1" applyFill="1" applyBorder="1"/>
    <xf numFmtId="0" fontId="0" fillId="0" borderId="33" xfId="0" applyFont="1" applyBorder="1"/>
    <xf numFmtId="2" fontId="6" fillId="20" borderId="14" xfId="0" applyNumberFormat="1" applyFont="1" applyFill="1" applyBorder="1"/>
    <xf numFmtId="9" fontId="6" fillId="20" borderId="17" xfId="4" applyNumberFormat="1" applyFont="1" applyFill="1" applyBorder="1"/>
    <xf numFmtId="169" fontId="6" fillId="20" borderId="17" xfId="1" applyNumberFormat="1" applyFont="1" applyFill="1" applyBorder="1"/>
    <xf numFmtId="169" fontId="3" fillId="15" borderId="0" xfId="1" applyNumberFormat="1" applyFont="1" applyFill="1"/>
    <xf numFmtId="169" fontId="42" fillId="15" borderId="0" xfId="1" applyNumberFormat="1" applyFont="1" applyFill="1"/>
    <xf numFmtId="169" fontId="6" fillId="20" borderId="28" xfId="1" applyNumberFormat="1" applyFont="1" applyFill="1" applyBorder="1"/>
    <xf numFmtId="179" fontId="6" fillId="20" borderId="15" xfId="1" applyNumberFormat="1" applyFont="1" applyFill="1" applyBorder="1"/>
    <xf numFmtId="0" fontId="9" fillId="0" borderId="33" xfId="3" applyNumberFormat="1" applyFont="1" applyBorder="1" applyAlignment="1"/>
    <xf numFmtId="0" fontId="9" fillId="29" borderId="33" xfId="3" applyNumberFormat="1" applyFont="1" applyFill="1" applyBorder="1" applyAlignment="1"/>
    <xf numFmtId="0" fontId="0" fillId="0" borderId="33" xfId="0" applyFont="1" applyBorder="1" applyAlignment="1">
      <alignment wrapText="1"/>
    </xf>
    <xf numFmtId="49" fontId="6" fillId="20" borderId="10" xfId="1" applyNumberFormat="1" applyFont="1" applyFill="1" applyBorder="1"/>
    <xf numFmtId="176" fontId="6" fillId="20" borderId="16" xfId="1" applyNumberFormat="1" applyFont="1" applyFill="1" applyBorder="1"/>
    <xf numFmtId="166" fontId="6" fillId="20" borderId="17" xfId="1" applyNumberFormat="1" applyFont="1" applyFill="1" applyBorder="1"/>
    <xf numFmtId="1" fontId="6" fillId="20" borderId="17" xfId="1" applyNumberFormat="1" applyFont="1" applyFill="1" applyBorder="1"/>
    <xf numFmtId="3" fontId="6" fillId="20" borderId="17" xfId="1" applyNumberFormat="1" applyFont="1" applyFill="1" applyBorder="1"/>
    <xf numFmtId="165" fontId="6" fillId="20" borderId="0" xfId="1" applyNumberFormat="1" applyFont="1" applyFill="1" applyBorder="1"/>
    <xf numFmtId="49" fontId="6" fillId="0" borderId="0" xfId="0" applyNumberFormat="1" applyFont="1" applyBorder="1"/>
    <xf numFmtId="49" fontId="6" fillId="20" borderId="10" xfId="0" applyNumberFormat="1" applyFont="1" applyFill="1" applyBorder="1"/>
    <xf numFmtId="0" fontId="9" fillId="0" borderId="0" xfId="3" applyAlignment="1">
      <alignment textRotation="45"/>
    </xf>
    <xf numFmtId="165" fontId="6" fillId="0" borderId="0" xfId="1" applyFont="1" applyFill="1"/>
    <xf numFmtId="0" fontId="0" fillId="0" borderId="0" xfId="0"/>
    <xf numFmtId="11" fontId="0" fillId="0" borderId="0" xfId="0" applyNumberFormat="1"/>
    <xf numFmtId="2" fontId="0" fillId="0" borderId="0" xfId="0" applyNumberFormat="1"/>
    <xf numFmtId="44" fontId="9" fillId="0" borderId="0" xfId="3" applyNumberFormat="1" applyFill="1"/>
    <xf numFmtId="0" fontId="29" fillId="0" borderId="0" xfId="0" applyFont="1" applyAlignment="1">
      <alignment textRotation="45" wrapText="1"/>
    </xf>
    <xf numFmtId="0" fontId="9" fillId="0" borderId="0" xfId="3" applyAlignment="1">
      <alignment textRotation="45" wrapText="1"/>
    </xf>
    <xf numFmtId="0" fontId="27" fillId="0" borderId="0" xfId="3" applyFont="1" applyAlignment="1">
      <alignment textRotation="45" wrapText="1"/>
    </xf>
    <xf numFmtId="0" fontId="43" fillId="15" borderId="0" xfId="0" applyFont="1" applyFill="1" applyAlignment="1" applyProtection="1">
      <alignment horizontal="center" vertical="center" wrapText="1"/>
    </xf>
    <xf numFmtId="0" fontId="0" fillId="15" borderId="0" xfId="0" applyFill="1" applyProtection="1"/>
    <xf numFmtId="0" fontId="44" fillId="15" borderId="0" xfId="0" applyFont="1" applyFill="1" applyAlignment="1" applyProtection="1">
      <alignment vertical="center" wrapText="1"/>
    </xf>
    <xf numFmtId="0" fontId="44" fillId="15" borderId="0" xfId="0" applyFont="1" applyFill="1" applyAlignment="1" applyProtection="1">
      <alignment horizontal="center" vertical="center" wrapText="1"/>
    </xf>
    <xf numFmtId="0" fontId="45" fillId="15" borderId="0" xfId="0" applyFont="1" applyFill="1" applyAlignment="1" applyProtection="1">
      <alignment vertical="center" wrapText="1"/>
    </xf>
    <xf numFmtId="0" fontId="46" fillId="15" borderId="0" xfId="0" applyFont="1" applyFill="1" applyAlignment="1" applyProtection="1">
      <alignment horizontal="left" vertical="center" wrapText="1"/>
    </xf>
    <xf numFmtId="0" fontId="48" fillId="15" borderId="0" xfId="0" applyFont="1" applyFill="1" applyAlignment="1" applyProtection="1">
      <alignment vertical="center" wrapText="1"/>
    </xf>
    <xf numFmtId="0" fontId="45" fillId="30" borderId="0" xfId="0" applyFont="1" applyFill="1" applyAlignment="1" applyProtection="1">
      <alignment vertical="center" wrapText="1"/>
    </xf>
    <xf numFmtId="0" fontId="50" fillId="15" borderId="0" xfId="0" applyFont="1" applyFill="1" applyAlignment="1" applyProtection="1">
      <alignment vertical="center" wrapText="1"/>
    </xf>
    <xf numFmtId="0" fontId="49" fillId="15" borderId="0" xfId="0" applyFont="1" applyFill="1" applyAlignment="1" applyProtection="1">
      <alignment vertical="center" wrapText="1"/>
    </xf>
    <xf numFmtId="0" fontId="51" fillId="15" borderId="0" xfId="0" applyFont="1" applyFill="1" applyAlignment="1" applyProtection="1">
      <alignment horizontal="center" vertical="center" wrapText="1"/>
    </xf>
    <xf numFmtId="0" fontId="0" fillId="15" borderId="0" xfId="0" applyFill="1" applyAlignment="1" applyProtection="1">
      <alignment vertical="center" wrapText="1"/>
    </xf>
    <xf numFmtId="0" fontId="0" fillId="15" borderId="0" xfId="0" applyFill="1" applyAlignment="1" applyProtection="1">
      <alignment wrapText="1"/>
    </xf>
    <xf numFmtId="0" fontId="0" fillId="15" borderId="0" xfId="0" applyFill="1" applyProtection="1">
      <protection hidden="1"/>
    </xf>
    <xf numFmtId="0" fontId="0" fillId="0" borderId="0" xfId="0" applyProtection="1">
      <protection hidden="1"/>
    </xf>
    <xf numFmtId="0" fontId="10" fillId="15" borderId="0" xfId="0" applyFont="1" applyFill="1" applyProtection="1">
      <protection hidden="1"/>
    </xf>
    <xf numFmtId="0" fontId="28" fillId="15" borderId="0" xfId="3" applyFont="1" applyFill="1" applyProtection="1">
      <protection hidden="1"/>
    </xf>
    <xf numFmtId="0" fontId="29" fillId="15" borderId="0" xfId="0" applyFont="1" applyFill="1" applyBorder="1" applyProtection="1">
      <protection hidden="1"/>
    </xf>
    <xf numFmtId="14" fontId="29" fillId="15" borderId="0" xfId="0" applyNumberFormat="1" applyFont="1" applyFill="1" applyProtection="1">
      <protection hidden="1"/>
    </xf>
    <xf numFmtId="0" fontId="29" fillId="15" borderId="0" xfId="0" applyFont="1" applyFill="1" applyProtection="1">
      <protection hidden="1"/>
    </xf>
    <xf numFmtId="0" fontId="3" fillId="15" borderId="0" xfId="0" applyFont="1" applyFill="1" applyProtection="1">
      <protection hidden="1"/>
    </xf>
    <xf numFmtId="0" fontId="6" fillId="0" borderId="0" xfId="0" applyFont="1" applyAlignment="1" applyProtection="1">
      <alignment textRotation="45"/>
      <protection hidden="1"/>
    </xf>
    <xf numFmtId="0" fontId="6" fillId="0" borderId="0" xfId="0" applyFont="1" applyAlignment="1" applyProtection="1">
      <alignment textRotation="45" wrapText="1"/>
      <protection hidden="1"/>
    </xf>
    <xf numFmtId="0" fontId="2" fillId="17" borderId="0" xfId="0" applyFont="1" applyFill="1" applyBorder="1" applyAlignment="1" applyProtection="1">
      <alignment textRotation="45"/>
      <protection hidden="1"/>
    </xf>
    <xf numFmtId="0" fontId="3" fillId="0" borderId="0" xfId="0" applyFont="1" applyAlignment="1" applyProtection="1">
      <alignment textRotation="45"/>
      <protection hidden="1"/>
    </xf>
    <xf numFmtId="0" fontId="2" fillId="17" borderId="0" xfId="0" applyFont="1" applyFill="1" applyBorder="1" applyAlignment="1" applyProtection="1">
      <alignment textRotation="45" wrapText="1"/>
      <protection hidden="1"/>
    </xf>
    <xf numFmtId="1" fontId="6" fillId="0" borderId="0" xfId="1" applyNumberFormat="1" applyFont="1" applyProtection="1">
      <protection hidden="1"/>
    </xf>
    <xf numFmtId="2" fontId="6" fillId="0" borderId="0" xfId="1" applyNumberFormat="1" applyFont="1" applyProtection="1">
      <protection hidden="1"/>
    </xf>
    <xf numFmtId="49" fontId="6" fillId="0" borderId="0" xfId="1" applyNumberFormat="1" applyFont="1" applyProtection="1">
      <protection hidden="1"/>
    </xf>
    <xf numFmtId="165" fontId="6" fillId="0" borderId="0" xfId="1" applyFont="1" applyProtection="1">
      <protection hidden="1"/>
    </xf>
    <xf numFmtId="169" fontId="6" fillId="0" borderId="0" xfId="1" applyNumberFormat="1" applyFont="1" applyProtection="1">
      <protection hidden="1"/>
    </xf>
    <xf numFmtId="168" fontId="6" fillId="0" borderId="0" xfId="1" applyNumberFormat="1" applyFont="1" applyProtection="1">
      <protection hidden="1"/>
    </xf>
    <xf numFmtId="166" fontId="4" fillId="15" borderId="0" xfId="0" applyNumberFormat="1" applyFont="1" applyFill="1" applyAlignment="1" applyProtection="1">
      <alignment vertical="center"/>
      <protection hidden="1"/>
    </xf>
    <xf numFmtId="11" fontId="19" fillId="15" borderId="0" xfId="0" applyNumberFormat="1" applyFont="1" applyFill="1" applyProtection="1">
      <protection hidden="1"/>
    </xf>
    <xf numFmtId="0" fontId="13" fillId="15" borderId="0" xfId="0" applyFont="1" applyFill="1" applyAlignment="1" applyProtection="1">
      <alignment horizontal="left" vertical="center" wrapText="1" indent="2"/>
      <protection hidden="1"/>
    </xf>
    <xf numFmtId="0" fontId="0" fillId="15" borderId="0" xfId="0" applyFill="1" applyAlignment="1" applyProtection="1">
      <protection hidden="1"/>
    </xf>
    <xf numFmtId="3" fontId="4" fillId="15" borderId="0" xfId="0" applyNumberFormat="1" applyFont="1" applyFill="1" applyBorder="1" applyAlignment="1" applyProtection="1">
      <alignment horizontal="center" vertical="center"/>
      <protection hidden="1"/>
    </xf>
    <xf numFmtId="0" fontId="6" fillId="15" borderId="0" xfId="0" applyFont="1" applyFill="1" applyProtection="1">
      <protection hidden="1"/>
    </xf>
    <xf numFmtId="3" fontId="13" fillId="15" borderId="0" xfId="0" applyNumberFormat="1" applyFont="1" applyFill="1" applyAlignment="1" applyProtection="1">
      <alignment horizontal="left" vertical="center" wrapText="1" indent="2"/>
      <protection hidden="1"/>
    </xf>
    <xf numFmtId="0" fontId="7" fillId="15" borderId="0" xfId="0" applyFont="1" applyFill="1" applyProtection="1">
      <protection hidden="1"/>
    </xf>
    <xf numFmtId="3" fontId="4" fillId="15" borderId="0" xfId="1" applyNumberFormat="1" applyFont="1" applyFill="1" applyBorder="1" applyAlignment="1" applyProtection="1">
      <alignment horizontal="center" vertical="center"/>
      <protection hidden="1"/>
    </xf>
    <xf numFmtId="3" fontId="4" fillId="15" borderId="40" xfId="1" applyNumberFormat="1" applyFont="1" applyFill="1" applyBorder="1" applyAlignment="1" applyProtection="1">
      <alignment vertical="center"/>
      <protection hidden="1"/>
    </xf>
    <xf numFmtId="3" fontId="4" fillId="15" borderId="0" xfId="1" applyNumberFormat="1" applyFont="1" applyFill="1" applyBorder="1" applyAlignment="1" applyProtection="1">
      <alignment vertical="center"/>
      <protection hidden="1"/>
    </xf>
    <xf numFmtId="0" fontId="6" fillId="30" borderId="0" xfId="0" applyFont="1" applyFill="1" applyProtection="1">
      <protection locked="0" hidden="1"/>
    </xf>
    <xf numFmtId="168" fontId="6" fillId="30" borderId="0" xfId="1" applyNumberFormat="1" applyFont="1" applyFill="1" applyProtection="1">
      <protection locked="0" hidden="1"/>
    </xf>
    <xf numFmtId="165" fontId="6" fillId="30" borderId="0" xfId="1" applyFont="1" applyFill="1" applyProtection="1">
      <protection locked="0" hidden="1"/>
    </xf>
    <xf numFmtId="0" fontId="29" fillId="30" borderId="0" xfId="0" applyFont="1" applyFill="1" applyProtection="1">
      <protection locked="0" hidden="1"/>
    </xf>
    <xf numFmtId="0" fontId="9" fillId="30" borderId="0" xfId="3" applyFill="1" applyProtection="1">
      <protection locked="0"/>
    </xf>
    <xf numFmtId="0" fontId="9" fillId="0" borderId="0" xfId="3" applyFill="1" applyProtection="1">
      <protection locked="0"/>
    </xf>
    <xf numFmtId="0" fontId="53" fillId="15" borderId="0" xfId="0" applyFont="1" applyFill="1" applyAlignment="1" applyProtection="1">
      <alignment vertical="center" wrapText="1"/>
    </xf>
    <xf numFmtId="0" fontId="54" fillId="15" borderId="0" xfId="0" applyFont="1" applyFill="1" applyAlignment="1" applyProtection="1">
      <alignment vertical="center" wrapText="1"/>
    </xf>
    <xf numFmtId="0" fontId="4" fillId="15" borderId="0" xfId="0" applyFont="1" applyFill="1" applyAlignment="1" applyProtection="1">
      <protection hidden="1"/>
    </xf>
    <xf numFmtId="0" fontId="9" fillId="0" borderId="0" xfId="3" applyFill="1" applyProtection="1"/>
    <xf numFmtId="49" fontId="9" fillId="0" borderId="0" xfId="3" applyNumberFormat="1" applyFont="1" applyFill="1" applyProtection="1"/>
    <xf numFmtId="9" fontId="9" fillId="0" borderId="0" xfId="4" applyFont="1" applyFill="1" applyProtection="1"/>
    <xf numFmtId="172" fontId="9" fillId="0" borderId="0" xfId="3" applyNumberFormat="1" applyFill="1" applyProtection="1"/>
    <xf numFmtId="11" fontId="0" fillId="0" borderId="0" xfId="0" applyNumberFormat="1" applyFill="1" applyProtection="1"/>
    <xf numFmtId="11" fontId="9" fillId="0" borderId="0" xfId="3" applyNumberFormat="1" applyFill="1" applyProtection="1"/>
    <xf numFmtId="49" fontId="9" fillId="0" borderId="0" xfId="3" applyNumberFormat="1" applyFill="1" applyProtection="1"/>
    <xf numFmtId="171" fontId="6" fillId="0" borderId="0" xfId="1" applyNumberFormat="1" applyFont="1" applyFill="1" applyProtection="1">
      <protection hidden="1"/>
    </xf>
    <xf numFmtId="0" fontId="6" fillId="30" borderId="0" xfId="0" applyFont="1" applyFill="1" applyProtection="1">
      <protection locked="0"/>
    </xf>
    <xf numFmtId="0" fontId="0" fillId="29" borderId="44" xfId="0" applyFont="1" applyFill="1" applyBorder="1"/>
    <xf numFmtId="0" fontId="0" fillId="0" borderId="44" xfId="0" applyFont="1" applyBorder="1"/>
    <xf numFmtId="0" fontId="9" fillId="29" borderId="44" xfId="3" applyNumberFormat="1" applyFont="1" applyFill="1" applyBorder="1" applyAlignment="1"/>
    <xf numFmtId="0" fontId="9" fillId="0" borderId="44" xfId="3" applyNumberFormat="1" applyFont="1" applyBorder="1" applyAlignment="1"/>
    <xf numFmtId="0" fontId="9" fillId="29" borderId="45" xfId="3" applyNumberFormat="1" applyFont="1" applyFill="1" applyBorder="1" applyAlignment="1"/>
    <xf numFmtId="9" fontId="9" fillId="0" borderId="0" xfId="4" applyFont="1" applyFill="1"/>
    <xf numFmtId="9" fontId="0" fillId="0" borderId="0" xfId="0" applyNumberFormat="1"/>
    <xf numFmtId="0" fontId="6" fillId="0" borderId="0" xfId="1" applyNumberFormat="1" applyFont="1" applyProtection="1">
      <protection hidden="1"/>
    </xf>
    <xf numFmtId="0" fontId="30" fillId="15" borderId="0" xfId="0" applyFont="1" applyFill="1" applyBorder="1" applyProtection="1">
      <protection hidden="1"/>
    </xf>
    <xf numFmtId="0" fontId="30" fillId="15" borderId="0" xfId="0" applyFont="1" applyFill="1" applyProtection="1">
      <protection hidden="1"/>
    </xf>
    <xf numFmtId="168" fontId="6" fillId="0" borderId="0" xfId="1" applyNumberFormat="1" applyFont="1" applyFill="1"/>
    <xf numFmtId="0" fontId="6" fillId="0" borderId="0" xfId="0" applyFont="1" applyFill="1"/>
    <xf numFmtId="0" fontId="37" fillId="0" borderId="0" xfId="0" applyFont="1"/>
    <xf numFmtId="165" fontId="6" fillId="0" borderId="0" xfId="1" applyFont="1" applyFill="1" applyProtection="1">
      <protection locked="0" hidden="1"/>
    </xf>
    <xf numFmtId="168" fontId="0" fillId="0" borderId="0" xfId="0" applyNumberFormat="1"/>
    <xf numFmtId="0" fontId="6" fillId="0" borderId="0" xfId="1" applyNumberFormat="1" applyFont="1"/>
    <xf numFmtId="14" fontId="29" fillId="15" borderId="0" xfId="0" applyNumberFormat="1" applyFont="1" applyFill="1"/>
    <xf numFmtId="0" fontId="4" fillId="15" borderId="0" xfId="0" applyFont="1" applyFill="1" applyBorder="1" applyAlignment="1">
      <alignment horizontal="center"/>
    </xf>
    <xf numFmtId="0" fontId="4" fillId="15" borderId="0" xfId="0" applyFont="1" applyFill="1" applyAlignment="1">
      <alignment horizontal="center"/>
    </xf>
    <xf numFmtId="3" fontId="4" fillId="15" borderId="1" xfId="1" applyNumberFormat="1" applyFont="1" applyFill="1" applyBorder="1" applyAlignment="1">
      <alignment horizontal="center"/>
    </xf>
    <xf numFmtId="3" fontId="4" fillId="15" borderId="2" xfId="1" applyNumberFormat="1" applyFont="1" applyFill="1" applyBorder="1" applyAlignment="1">
      <alignment horizontal="center"/>
    </xf>
    <xf numFmtId="3" fontId="4" fillId="15" borderId="3" xfId="1" applyNumberFormat="1" applyFont="1" applyFill="1" applyBorder="1" applyAlignment="1">
      <alignment horizontal="center"/>
    </xf>
    <xf numFmtId="3" fontId="4" fillId="15" borderId="1" xfId="1" applyNumberFormat="1" applyFont="1" applyFill="1" applyBorder="1" applyAlignment="1">
      <alignment horizontal="center" vertical="center"/>
    </xf>
    <xf numFmtId="3" fontId="4" fillId="15" borderId="2" xfId="1" applyNumberFormat="1" applyFont="1" applyFill="1" applyBorder="1" applyAlignment="1">
      <alignment horizontal="center" vertical="center"/>
    </xf>
    <xf numFmtId="3" fontId="4" fillId="15" borderId="3" xfId="1" applyNumberFormat="1" applyFont="1" applyFill="1" applyBorder="1" applyAlignment="1">
      <alignment horizontal="center" vertical="center"/>
    </xf>
    <xf numFmtId="3" fontId="4" fillId="15" borderId="1" xfId="0" applyNumberFormat="1" applyFont="1" applyFill="1" applyBorder="1" applyAlignment="1">
      <alignment horizontal="center" vertical="center"/>
    </xf>
    <xf numFmtId="3" fontId="4" fillId="15" borderId="2" xfId="0" applyNumberFormat="1" applyFont="1" applyFill="1" applyBorder="1" applyAlignment="1">
      <alignment horizontal="center" vertical="center"/>
    </xf>
    <xf numFmtId="3" fontId="4" fillId="15" borderId="3" xfId="0" applyNumberFormat="1" applyFont="1" applyFill="1" applyBorder="1" applyAlignment="1">
      <alignment horizontal="center" vertical="center"/>
    </xf>
    <xf numFmtId="174" fontId="4" fillId="15" borderId="1" xfId="0" applyNumberFormat="1" applyFont="1" applyFill="1" applyBorder="1" applyAlignment="1">
      <alignment horizontal="center" vertical="center"/>
    </xf>
    <xf numFmtId="174" fontId="4" fillId="15" borderId="2" xfId="0" applyNumberFormat="1" applyFont="1" applyFill="1" applyBorder="1" applyAlignment="1">
      <alignment horizontal="center" vertical="center"/>
    </xf>
    <xf numFmtId="174" fontId="4" fillId="15" borderId="3" xfId="0" applyNumberFormat="1" applyFont="1" applyFill="1" applyBorder="1" applyAlignment="1">
      <alignment horizontal="center" vertical="center"/>
    </xf>
    <xf numFmtId="3" fontId="4" fillId="15" borderId="1" xfId="1" applyNumberFormat="1" applyFont="1" applyFill="1" applyBorder="1" applyAlignment="1" applyProtection="1">
      <alignment horizontal="center" vertical="center"/>
      <protection hidden="1"/>
    </xf>
    <xf numFmtId="3" fontId="4" fillId="15" borderId="2" xfId="1" applyNumberFormat="1" applyFont="1" applyFill="1" applyBorder="1" applyAlignment="1" applyProtection="1">
      <alignment horizontal="center" vertical="center"/>
      <protection hidden="1"/>
    </xf>
    <xf numFmtId="3" fontId="4" fillId="15" borderId="3" xfId="1" applyNumberFormat="1" applyFont="1" applyFill="1" applyBorder="1" applyAlignment="1" applyProtection="1">
      <alignment horizontal="center" vertical="center"/>
      <protection hidden="1"/>
    </xf>
    <xf numFmtId="0" fontId="4" fillId="15" borderId="0" xfId="0" applyFont="1" applyFill="1" applyAlignment="1" applyProtection="1">
      <alignment horizontal="center"/>
      <protection hidden="1"/>
    </xf>
    <xf numFmtId="3" fontId="4" fillId="15" borderId="1" xfId="0" applyNumberFormat="1" applyFont="1" applyFill="1" applyBorder="1" applyAlignment="1" applyProtection="1">
      <alignment horizontal="center" vertical="center"/>
      <protection hidden="1"/>
    </xf>
    <xf numFmtId="3" fontId="4" fillId="15" borderId="2" xfId="0" applyNumberFormat="1" applyFont="1" applyFill="1" applyBorder="1" applyAlignment="1" applyProtection="1">
      <alignment horizontal="center" vertical="center"/>
      <protection hidden="1"/>
    </xf>
    <xf numFmtId="3" fontId="4" fillId="15" borderId="3" xfId="0" applyNumberFormat="1" applyFont="1" applyFill="1" applyBorder="1" applyAlignment="1" applyProtection="1">
      <alignment horizontal="center" vertical="center"/>
      <protection hidden="1"/>
    </xf>
    <xf numFmtId="0" fontId="4" fillId="15" borderId="0" xfId="0" applyFont="1" applyFill="1" applyBorder="1" applyAlignment="1" applyProtection="1">
      <alignment horizontal="center"/>
      <protection hidden="1"/>
    </xf>
    <xf numFmtId="174" fontId="4" fillId="15" borderId="41" xfId="0" applyNumberFormat="1" applyFont="1" applyFill="1" applyBorder="1" applyAlignment="1" applyProtection="1">
      <alignment horizontal="center" vertical="center"/>
      <protection hidden="1"/>
    </xf>
    <xf numFmtId="174" fontId="4" fillId="15" borderId="42" xfId="0" applyNumberFormat="1" applyFont="1" applyFill="1" applyBorder="1" applyAlignment="1" applyProtection="1">
      <alignment horizontal="center" vertical="center"/>
      <protection hidden="1"/>
    </xf>
    <xf numFmtId="174" fontId="4" fillId="15" borderId="43" xfId="0" applyNumberFormat="1" applyFont="1" applyFill="1" applyBorder="1" applyAlignment="1" applyProtection="1">
      <alignment horizontal="center" vertical="center"/>
      <protection hidden="1"/>
    </xf>
    <xf numFmtId="175" fontId="19" fillId="15" borderId="1" xfId="2" applyNumberFormat="1" applyFont="1" applyFill="1" applyBorder="1" applyAlignment="1" applyProtection="1">
      <alignment horizontal="center"/>
      <protection hidden="1"/>
    </xf>
    <xf numFmtId="175" fontId="19" fillId="15" borderId="2" xfId="2" applyNumberFormat="1" applyFont="1" applyFill="1" applyBorder="1" applyAlignment="1" applyProtection="1">
      <alignment horizontal="center"/>
      <protection hidden="1"/>
    </xf>
    <xf numFmtId="175" fontId="19" fillId="15" borderId="3" xfId="2" applyNumberFormat="1" applyFont="1" applyFill="1" applyBorder="1" applyAlignment="1" applyProtection="1">
      <alignment horizontal="center"/>
      <protection hidden="1"/>
    </xf>
    <xf numFmtId="177" fontId="19" fillId="15" borderId="38" xfId="2" applyNumberFormat="1" applyFont="1" applyFill="1" applyBorder="1" applyAlignment="1" applyProtection="1">
      <alignment horizontal="center"/>
      <protection hidden="1"/>
    </xf>
    <xf numFmtId="177" fontId="19" fillId="15" borderId="40" xfId="2" applyNumberFormat="1" applyFont="1" applyFill="1" applyBorder="1" applyAlignment="1" applyProtection="1">
      <alignment horizontal="center"/>
      <protection hidden="1"/>
    </xf>
    <xf numFmtId="177" fontId="19" fillId="15" borderId="39" xfId="2" applyNumberFormat="1" applyFont="1" applyFill="1" applyBorder="1" applyAlignment="1" applyProtection="1">
      <alignment horizontal="center"/>
      <protection hidden="1"/>
    </xf>
    <xf numFmtId="174" fontId="57" fillId="15" borderId="41" xfId="2" applyNumberFormat="1" applyFont="1" applyFill="1" applyBorder="1" applyAlignment="1" applyProtection="1">
      <alignment horizontal="center"/>
      <protection hidden="1"/>
    </xf>
    <xf numFmtId="174" fontId="57" fillId="15" borderId="42" xfId="2" applyNumberFormat="1" applyFont="1" applyFill="1" applyBorder="1" applyAlignment="1" applyProtection="1">
      <alignment horizontal="center"/>
      <protection hidden="1"/>
    </xf>
    <xf numFmtId="174" fontId="57" fillId="15" borderId="43" xfId="2" applyNumberFormat="1" applyFont="1" applyFill="1" applyBorder="1" applyAlignment="1" applyProtection="1">
      <alignment horizontal="center"/>
      <protection hidden="1"/>
    </xf>
    <xf numFmtId="175" fontId="57" fillId="15" borderId="41" xfId="2" applyNumberFormat="1" applyFont="1" applyFill="1" applyBorder="1" applyAlignment="1" applyProtection="1">
      <alignment horizontal="center"/>
      <protection hidden="1"/>
    </xf>
    <xf numFmtId="175" fontId="57" fillId="15" borderId="42" xfId="2" applyNumberFormat="1" applyFont="1" applyFill="1" applyBorder="1" applyAlignment="1" applyProtection="1">
      <alignment horizontal="center"/>
      <protection hidden="1"/>
    </xf>
    <xf numFmtId="175" fontId="57" fillId="15" borderId="43" xfId="2" applyNumberFormat="1" applyFont="1" applyFill="1" applyBorder="1" applyAlignment="1" applyProtection="1">
      <alignment horizontal="center"/>
      <protection hidden="1"/>
    </xf>
    <xf numFmtId="3" fontId="24" fillId="15" borderId="38" xfId="0" applyNumberFormat="1" applyFont="1" applyFill="1" applyBorder="1" applyAlignment="1">
      <alignment horizontal="center" vertical="center"/>
    </xf>
    <xf numFmtId="3" fontId="24" fillId="15" borderId="39" xfId="0" applyNumberFormat="1" applyFont="1" applyFill="1" applyBorder="1" applyAlignment="1">
      <alignment horizontal="center" vertical="center"/>
    </xf>
    <xf numFmtId="0" fontId="0" fillId="15" borderId="25" xfId="0" applyFill="1" applyBorder="1" applyAlignment="1">
      <alignment horizontal="center"/>
    </xf>
    <xf numFmtId="172" fontId="4" fillId="15" borderId="1" xfId="0" applyNumberFormat="1" applyFont="1" applyFill="1" applyBorder="1" applyAlignment="1">
      <alignment horizontal="center" vertical="center"/>
    </xf>
    <xf numFmtId="172" fontId="4" fillId="15" borderId="3" xfId="0" applyNumberFormat="1" applyFont="1" applyFill="1" applyBorder="1" applyAlignment="1">
      <alignment horizontal="center" vertical="center"/>
    </xf>
    <xf numFmtId="171" fontId="4" fillId="15" borderId="1" xfId="0" applyNumberFormat="1" applyFont="1" applyFill="1" applyBorder="1" applyAlignment="1">
      <alignment horizontal="center" vertical="center"/>
    </xf>
    <xf numFmtId="171" fontId="4" fillId="15" borderId="3" xfId="0" applyNumberFormat="1" applyFont="1" applyFill="1" applyBorder="1" applyAlignment="1">
      <alignment horizontal="center" vertical="center"/>
    </xf>
    <xf numFmtId="166" fontId="4" fillId="15" borderId="1" xfId="0" applyNumberFormat="1" applyFont="1" applyFill="1" applyBorder="1" applyAlignment="1">
      <alignment horizontal="center" vertical="center"/>
    </xf>
    <xf numFmtId="166" fontId="4" fillId="15" borderId="3" xfId="0" applyNumberFormat="1" applyFont="1" applyFill="1" applyBorder="1" applyAlignment="1">
      <alignment horizontal="center" vertical="center"/>
    </xf>
  </cellXfs>
  <cellStyles count="8">
    <cellStyle name="Komma" xfId="1" builtinId="3"/>
    <cellStyle name="Neutraal" xfId="6" builtinId="28"/>
    <cellStyle name="Ongeldig" xfId="5" builtinId="27"/>
    <cellStyle name="Procent" xfId="4" builtinId="5"/>
    <cellStyle name="Standaard" xfId="0" builtinId="0"/>
    <cellStyle name="Standaard 2" xfId="3" xr:uid="{5F38791B-5E04-4B68-BBD1-CC6A7E882B45}"/>
    <cellStyle name="Standaard 3" xfId="7" xr:uid="{CCDD9B00-2983-45F4-B42A-D40C7724991F}"/>
    <cellStyle name="Valuta" xfId="2" builtinId="4"/>
  </cellStyles>
  <dxfs count="1351">
    <dxf>
      <numFmt numFmtId="0" formatCode="General"/>
    </dxf>
    <dxf>
      <numFmt numFmtId="0" formatCode="General"/>
    </dxf>
    <dxf>
      <numFmt numFmtId="0" formatCode="General"/>
    </dxf>
    <dxf>
      <numFmt numFmtId="0" formatCode="General"/>
    </dxf>
    <dxf>
      <numFmt numFmtId="181"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81" formatCode="dd/mm/yyyy"/>
    </dxf>
    <dxf>
      <numFmt numFmtId="0" formatCode="General"/>
    </dxf>
    <dxf>
      <numFmt numFmtId="0" formatCode="General"/>
    </dxf>
    <dxf>
      <numFmt numFmtId="0" formatCode="Genera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border outline="0">
        <top style="thin">
          <color rgb="FF8EA9DB"/>
        </top>
      </border>
    </dxf>
    <dxf>
      <fill>
        <patternFill patternType="none">
          <fgColor rgb="FF000000"/>
          <bgColor rgb="FFFFFFFF"/>
        </patternFill>
      </fill>
    </dxf>
    <dxf>
      <border outline="0">
        <bottom style="thin">
          <color rgb="FF8EA9DB"/>
        </bottom>
      </border>
    </dxf>
    <dxf>
      <font>
        <b val="0"/>
        <i val="0"/>
        <strike val="0"/>
        <condense val="0"/>
        <extend val="0"/>
        <outline val="0"/>
        <shadow val="0"/>
        <u val="none"/>
        <vertAlign val="baseline"/>
        <sz val="9"/>
        <color theme="1"/>
        <name val="Open Sans"/>
        <family val="2"/>
        <scheme val="none"/>
      </font>
      <numFmt numFmtId="15" formatCode="0.00E+00"/>
    </dxf>
    <dxf>
      <border outline="0">
        <top style="thin">
          <color rgb="FF8EA9DB"/>
        </top>
      </border>
    </dxf>
    <dxf>
      <font>
        <b val="0"/>
        <i val="0"/>
        <strike val="0"/>
        <condense val="0"/>
        <extend val="0"/>
        <outline val="0"/>
        <shadow val="0"/>
        <u val="none"/>
        <vertAlign val="baseline"/>
        <sz val="9"/>
        <color rgb="FF000000"/>
        <name val="Open Sans"/>
        <family val="2"/>
        <scheme val="none"/>
      </font>
    </dxf>
    <dxf>
      <border outline="0">
        <bottom style="thin">
          <color rgb="FF8EA9DB"/>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9"/>
        <color theme="1"/>
        <name val="Open Sans"/>
        <family val="2"/>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rgb="FF8EA9DB"/>
        </bottom>
      </border>
    </dxf>
    <dxf>
      <font>
        <b val="0"/>
        <i val="0"/>
        <strike val="0"/>
        <condense val="0"/>
        <extend val="0"/>
        <outline val="0"/>
        <shadow val="0"/>
        <u val="none"/>
        <vertAlign val="baseline"/>
        <sz val="9"/>
        <color rgb="FF000000"/>
        <name val="Open Sans"/>
        <family val="2"/>
        <scheme val="none"/>
      </font>
      <fill>
        <patternFill patternType="none">
          <fgColor rgb="FF000000"/>
          <bgColor rgb="FFFFFFFF"/>
        </patternFill>
      </fill>
    </dxf>
    <dxf>
      <border outline="0">
        <top style="thin">
          <color rgb="FF000000"/>
        </top>
      </border>
    </dxf>
    <dxf>
      <border outline="0">
        <bottom style="thin">
          <color rgb="FF8EA9DB"/>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rgb="FF000000"/>
        <name val="Open Sans"/>
        <family val="2"/>
        <scheme val="none"/>
      </font>
      <numFmt numFmtId="166" formatCode="_ [$€-413]\ * #,##0.00_ ;_ [$€-413]\ * \-#,##0.00_ ;_ [$€-413]\ * &quot;-&quot;??_ ;_ @_ "/>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border outline="0">
        <top style="thin">
          <color theme="5"/>
        </top>
      </border>
    </dxf>
    <dxf>
      <font>
        <b val="0"/>
        <i val="0"/>
        <strike val="0"/>
        <condense val="0"/>
        <extend val="0"/>
        <outline val="0"/>
        <shadow val="0"/>
        <u val="none"/>
        <vertAlign val="baseline"/>
        <sz val="11"/>
        <color rgb="FF000000"/>
        <name val="Open Sans"/>
        <family val="2"/>
        <scheme val="none"/>
      </font>
      <numFmt numFmtId="0" formatCode="General"/>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1"/>
        <color theme="0"/>
        <name val="Open Sans"/>
        <family val="2"/>
        <scheme val="none"/>
      </font>
      <numFmt numFmtId="0" formatCode="General"/>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val="0"/>
        <i val="0"/>
        <strike val="0"/>
        <condense val="0"/>
        <extend val="0"/>
        <outline val="0"/>
        <shadow val="0"/>
        <u val="none"/>
        <vertAlign val="baseline"/>
        <sz val="9"/>
        <color theme="1"/>
        <name val="Open Sans"/>
        <family val="2"/>
        <scheme val="none"/>
      </font>
      <numFmt numFmtId="15" formatCode="0.00E+00"/>
    </dxf>
    <dxf>
      <border outline="0">
        <top style="thin">
          <color theme="4" tint="0.39997558519241921"/>
        </top>
      </border>
    </dxf>
    <dxf>
      <font>
        <b val="0"/>
        <i val="0"/>
        <strike val="0"/>
        <condense val="0"/>
        <extend val="0"/>
        <outline val="0"/>
        <shadow val="0"/>
        <u val="none"/>
        <vertAlign val="baseline"/>
        <sz val="9"/>
        <color theme="1"/>
        <name val="Open Sans"/>
        <family val="2"/>
        <scheme val="none"/>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9"/>
        <color theme="1"/>
        <name val="Open Sans"/>
        <family val="2"/>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9"/>
        <color theme="1"/>
        <name val="Open Sans"/>
        <family val="2"/>
        <scheme val="none"/>
      </font>
      <fill>
        <patternFill patternType="none">
          <fgColor indexed="64"/>
          <bgColor indexed="65"/>
        </patternFill>
      </fill>
    </dxf>
    <dxf>
      <border outline="0">
        <top style="thin">
          <color rgb="FF000000"/>
        </top>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strike val="0"/>
        <outline val="0"/>
        <shadow val="0"/>
        <u val="none"/>
        <vertAlign val="baseline"/>
        <sz val="9"/>
        <name val="Open Sans"/>
        <family val="2"/>
        <scheme val="none"/>
      </font>
      <numFmt numFmtId="15" formatCode="0.00E+00"/>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strike val="0"/>
        <outline val="0"/>
        <shadow val="0"/>
        <u val="none"/>
        <vertAlign val="baseline"/>
        <sz val="9"/>
        <name val="Open Sans"/>
        <family val="2"/>
        <scheme val="none"/>
      </font>
      <numFmt numFmtId="15" formatCode="0.00E+00"/>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family val="2"/>
        <scheme val="none"/>
      </font>
      <numFmt numFmtId="15" formatCode="0.00E+00"/>
      <fill>
        <patternFill patternType="none">
          <fgColor indexed="64"/>
          <bgColor indexed="65"/>
        </patternFill>
      </fill>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numFmt numFmtId="15" formatCode="0.00E+00"/>
    </dxf>
    <dxf>
      <font>
        <strike val="0"/>
        <outline val="0"/>
        <shadow val="0"/>
        <u val="none"/>
        <vertAlign val="baseline"/>
        <sz val="9"/>
        <name val="Open Sans"/>
        <family val="2"/>
        <scheme val="none"/>
      </font>
      <fill>
        <patternFill patternType="none">
          <fgColor indexed="64"/>
          <bgColor indexed="65"/>
        </patternFill>
      </fill>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ont>
        <b val="0"/>
        <i val="0"/>
        <strike val="0"/>
        <condense val="0"/>
        <extend val="0"/>
        <outline val="0"/>
        <shadow val="0"/>
        <u val="none"/>
        <vertAlign val="baseline"/>
        <sz val="9"/>
        <color rgb="FF000000"/>
        <name val="Open Sans"/>
        <family val="2"/>
        <scheme val="none"/>
      </font>
    </dxf>
    <dxf>
      <font>
        <b val="0"/>
        <i val="0"/>
        <strike val="0"/>
        <condense val="0"/>
        <extend val="0"/>
        <outline val="0"/>
        <shadow val="0"/>
        <u val="none"/>
        <vertAlign val="baseline"/>
        <sz val="9"/>
        <color rgb="FF000000"/>
        <name val="Open Sans"/>
        <family val="2"/>
        <scheme val="none"/>
      </font>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ont>
        <strike val="0"/>
        <outline val="0"/>
        <shadow val="0"/>
        <u val="none"/>
        <vertAlign val="baseline"/>
        <sz val="9"/>
        <name val="Open Sans"/>
        <family val="2"/>
        <scheme val="none"/>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5" formatCode="0.00E+00"/>
    </dxf>
    <dxf>
      <fill>
        <patternFill patternType="none">
          <fgColor indexed="64"/>
          <bgColor indexed="65"/>
        </patternFill>
      </fill>
    </dxf>
    <dxf>
      <numFmt numFmtId="166" formatCode="_ [$€-413]\ * #,##0.00_ ;_ [$€-413]\ * \-#,##0.00_ ;_ [$€-413]\ * &quot;-&quot;??_ ;_ @_ "/>
    </dxf>
    <dxf>
      <fill>
        <patternFill patternType="none">
          <fgColor indexed="64"/>
          <bgColor indexed="65"/>
        </patternFill>
      </fill>
    </dxf>
    <dxf>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font>
        <b val="0"/>
        <i val="0"/>
        <strike val="0"/>
        <condense val="0"/>
        <extend val="0"/>
        <outline val="0"/>
        <shadow val="0"/>
        <u val="none"/>
        <vertAlign val="baseline"/>
        <sz val="9"/>
        <color theme="1"/>
        <name val="Open Sans"/>
        <family val="2"/>
        <scheme val="none"/>
      </font>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family val="2"/>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family val="2"/>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2" formatCode="0.00"/>
      <fill>
        <patternFill patternType="none">
          <fgColor indexed="64"/>
          <bgColor indexed="65"/>
        </patternFill>
      </fill>
    </dxf>
    <dxf>
      <numFmt numFmtId="166" formatCode="_ [$€-413]\ * #,##0.00_ ;_ [$€-413]\ * \-#,##0.00_ ;_ [$€-413]\ * &quot;-&quot;??_ ;_ @_ "/>
    </dxf>
    <dxf>
      <border outline="0">
        <left style="thin">
          <color theme="5"/>
        </left>
        <top style="thin">
          <color theme="5"/>
        </top>
      </border>
    </dxf>
    <dxf>
      <numFmt numFmtId="166" formatCode="_ [$€-413]\ * #,##0.00_ ;_ [$€-413]\ * \-#,##0.00_ ;_ [$€-413]\ * &quot;-&quot;??_ ;_ @_ "/>
    </dxf>
    <dxf>
      <border outline="0">
        <left style="thin">
          <color rgb="FF000000"/>
        </left>
        <right style="thin">
          <color rgb="FF000000"/>
        </right>
        <top style="thin">
          <color rgb="FF000000"/>
        </top>
        <bottom style="thin">
          <color rgb="FF000000"/>
        </bottom>
      </border>
    </dxf>
    <dxf>
      <border outline="0">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b val="0"/>
        <i val="0"/>
        <strike val="0"/>
        <condense val="0"/>
        <extend val="0"/>
        <outline val="0"/>
        <shadow val="0"/>
        <u val="none"/>
        <vertAlign val="baseline"/>
        <sz val="11"/>
        <color theme="1"/>
        <name val="Open Sans"/>
        <family val="2"/>
        <scheme val="none"/>
      </font>
      <numFmt numFmtId="165" formatCode="_(* #,##0.00_);_(* \(#,##0.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 formatCode="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3" formatCode="#,##0"/>
      <fill>
        <patternFill patternType="solid">
          <fgColor theme="6" tint="0.59999389629810485"/>
          <bgColor theme="6" tint="0.59999389629810485"/>
        </patternFill>
      </fill>
      <border diagonalUp="0" diagonalDown="0" outline="0">
        <left/>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family val="2"/>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6" formatCode="_ [$€-413]\ * #,##0.00_ ;_ [$€-413]\ * \-#,##0.00_ ;_ [$€-413]\ * &quot;-&quot;??_ ;_ @_ "/>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76" formatCode="_([$€-2]\ * #,##0_);_([$€-2]\ * \(#,##0\);_([$€-2]\ *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top style="thin">
          <color theme="0"/>
        </top>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alignment horizontal="center" vertical="bottom" textRotation="90" wrapText="0" indent="0" justifyLastLine="0" shrinkToFit="0" readingOrder="0"/>
    </dxf>
    <dxf>
      <fill>
        <patternFill>
          <bgColor rgb="FFFF9F9F"/>
        </patternFill>
      </fill>
    </dxf>
    <dxf>
      <fill>
        <patternFill>
          <bgColor theme="9" tint="0.79998168889431442"/>
        </patternFill>
      </fill>
    </dxf>
    <dxf>
      <fill>
        <patternFill>
          <bgColor rgb="FFFF0000"/>
        </patternFill>
      </fill>
    </dxf>
    <dxf>
      <fill>
        <patternFill>
          <bgColor theme="9"/>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strike val="0"/>
        <outline val="0"/>
        <shadow val="0"/>
        <u val="none"/>
        <vertAlign val="baseline"/>
        <name val="Open Sans"/>
        <family val="2"/>
        <scheme val="none"/>
      </font>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65" formatCode="_(* #,##0.00_);_(* \(#,##0.00\);_(* &quot;-&quot;??_);_(@_)"/>
    </dxf>
    <dxf>
      <font>
        <b val="0"/>
        <i val="0"/>
        <strike val="0"/>
        <condense val="0"/>
        <extend val="0"/>
        <outline val="0"/>
        <shadow val="0"/>
        <u val="none"/>
        <vertAlign val="baseline"/>
        <sz val="11"/>
        <color theme="1"/>
        <name val="Open Sans"/>
        <family val="2"/>
        <scheme val="none"/>
      </font>
      <numFmt numFmtId="30" formatCode="@"/>
    </dxf>
    <dxf>
      <font>
        <b val="0"/>
        <i val="0"/>
        <strike val="0"/>
        <condense val="0"/>
        <extend val="0"/>
        <outline val="0"/>
        <shadow val="0"/>
        <u val="none"/>
        <vertAlign val="baseline"/>
        <sz val="11"/>
        <color theme="1"/>
        <name val="Open Sans"/>
        <family val="2"/>
        <scheme val="none"/>
      </font>
    </dxf>
    <dxf>
      <font>
        <b/>
        <i val="0"/>
        <strike val="0"/>
        <condense val="0"/>
        <extend val="0"/>
        <outline val="0"/>
        <shadow val="0"/>
        <u val="none"/>
        <vertAlign val="baseline"/>
        <sz val="10"/>
        <color theme="0"/>
        <name val="Open Sans"/>
        <family val="2"/>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outline="0">
        <left/>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outline="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outline="0">
        <left/>
        <right/>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1"/>
        <color auto="1"/>
        <name val="Calibri"/>
        <family val="2"/>
        <scheme val="minor"/>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30" formatCode="@"/>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name val="Open Sans"/>
        <family val="2"/>
        <scheme val="none"/>
      </font>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1"/>
        <color auto="1"/>
        <name val="Calibri"/>
        <family val="2"/>
        <scheme val="minor"/>
      </font>
      <numFmt numFmtId="169" formatCode="_(* #,##0_);_(* \(#,##0\);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30" formatCode="@"/>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name val="Open Sans"/>
        <family val="2"/>
        <scheme val="none"/>
      </font>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30" formatCode="@"/>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name val="Open Sans"/>
        <family val="2"/>
        <scheme val="none"/>
      </font>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76" formatCode="_([$€-2]\ * #,##0_);_([$€-2]\ * \(#,##0\);_([$€-2]\ * &quot;-&quot;??_);_(@_)"/>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66" formatCode="_ [$€-413]\ * #,##0.00_ ;_ [$€-413]\ * \-#,##0.00_ ;_ [$€-413]\ * &quot;-&quot;??_ ;_ @_ "/>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165" formatCode="_(* #,##0.00_);_(* \(#,##0.00\);_(* &quot;-&quot;??_);_(@_)"/>
    </dxf>
    <dxf>
      <font>
        <strike val="0"/>
        <outline val="0"/>
        <shadow val="0"/>
        <u val="none"/>
        <vertAlign val="baseline"/>
        <name val="Open Sans"/>
        <family val="2"/>
        <scheme val="none"/>
      </font>
    </dxf>
    <dxf>
      <font>
        <strike val="0"/>
        <outline val="0"/>
        <shadow val="0"/>
        <u val="none"/>
        <vertAlign val="baseline"/>
        <name val="Open Sans"/>
        <family val="2"/>
        <scheme val="none"/>
      </font>
    </dxf>
    <dxf>
      <font>
        <strike val="0"/>
        <outline val="0"/>
        <shadow val="0"/>
        <u val="none"/>
        <vertAlign val="baseline"/>
        <name val="Open Sans"/>
        <family val="2"/>
        <scheme val="none"/>
      </font>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none">
          <fgColor indexed="64"/>
          <bgColor auto="1"/>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30" formatCode="@"/>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alignment horizontal="general" vertical="bottom" textRotation="45" wrapText="0" indent="0" justifyLastLine="0" shrinkToFit="0" readingOrder="0"/>
    </dxf>
    <dxf>
      <font>
        <b val="0"/>
        <strike val="0"/>
        <outline val="0"/>
        <shadow val="0"/>
        <u val="none"/>
        <vertAlign val="baseline"/>
        <sz val="11"/>
        <color auto="1"/>
        <family val="2"/>
      </font>
      <fill>
        <patternFill patternType="solid">
          <fgColor indexed="64"/>
          <bgColor theme="0"/>
        </patternFill>
      </fill>
      <protection locked="1" hidden="1"/>
    </dxf>
    <dxf>
      <font>
        <b val="0"/>
        <strike val="0"/>
        <outline val="0"/>
        <shadow val="0"/>
        <u val="none"/>
        <vertAlign val="baseline"/>
        <sz val="11"/>
        <color auto="1"/>
        <family val="2"/>
      </font>
      <fill>
        <patternFill patternType="solid">
          <fgColor indexed="64"/>
          <bgColor theme="0"/>
        </patternFill>
      </fill>
      <protection locked="1" hidden="1"/>
    </dxf>
    <dxf>
      <font>
        <b val="0"/>
        <strike val="0"/>
        <outline val="0"/>
        <shadow val="0"/>
        <u val="none"/>
        <vertAlign val="baseline"/>
        <sz val="11"/>
        <color auto="1"/>
        <family val="2"/>
      </font>
      <numFmt numFmtId="181" formatCode="dd/mm/yyyy"/>
      <fill>
        <patternFill patternType="solid">
          <fgColor indexed="64"/>
          <bgColor theme="0"/>
        </patternFill>
      </fill>
      <protection locked="1" hidden="1"/>
    </dxf>
    <dxf>
      <font>
        <b val="0"/>
        <strike val="0"/>
        <outline val="0"/>
        <shadow val="0"/>
        <u val="none"/>
        <vertAlign val="baseline"/>
        <sz val="11"/>
        <color auto="1"/>
        <family val="2"/>
      </font>
      <fill>
        <patternFill patternType="solid">
          <fgColor indexed="64"/>
          <bgColor theme="7" tint="0.59999389629810485"/>
        </patternFill>
      </fill>
      <protection locked="0" hidden="1"/>
    </dxf>
    <dxf>
      <font>
        <b val="0"/>
        <strike val="0"/>
        <outline val="0"/>
        <shadow val="0"/>
        <u val="none"/>
        <vertAlign val="baseline"/>
        <sz val="11"/>
        <color auto="1"/>
        <family val="2"/>
      </font>
      <fill>
        <patternFill patternType="solid">
          <fgColor indexed="64"/>
          <bgColor theme="0"/>
        </patternFill>
      </fill>
      <protection locked="1" hidden="1"/>
    </dxf>
    <dxf>
      <font>
        <b val="0"/>
        <strike val="0"/>
        <outline val="0"/>
        <shadow val="0"/>
        <u val="none"/>
        <vertAlign val="baseline"/>
        <sz val="11"/>
        <color auto="1"/>
        <name val="Open Sans"/>
        <family val="2"/>
        <scheme val="none"/>
      </font>
      <fill>
        <patternFill patternType="solid">
          <fgColor indexed="64"/>
          <bgColor theme="0"/>
        </patternFill>
      </fill>
      <protection locked="1" hidden="1"/>
    </dxf>
    <dxf>
      <font>
        <b val="0"/>
        <strike val="0"/>
        <outline val="0"/>
        <shadow val="0"/>
        <u val="none"/>
        <vertAlign val="baseline"/>
        <sz val="11"/>
        <color auto="1"/>
        <family val="2"/>
      </font>
      <fill>
        <patternFill patternType="solid">
          <fgColor indexed="64"/>
          <bgColor theme="0"/>
        </patternFill>
      </fill>
      <protection locked="1" hidden="1"/>
    </dxf>
    <dxf>
      <font>
        <b val="0"/>
        <strike val="0"/>
        <outline val="0"/>
        <shadow val="0"/>
        <u val="none"/>
        <vertAlign val="baseline"/>
        <sz val="11"/>
        <color auto="1"/>
        <family val="2"/>
      </font>
      <fill>
        <patternFill patternType="solid">
          <fgColor indexed="64"/>
          <bgColor theme="0"/>
        </patternFill>
      </fill>
      <protection locked="1" hidden="1"/>
    </dxf>
    <dxf>
      <font>
        <b/>
        <i val="0"/>
        <strike val="0"/>
        <condense val="0"/>
        <extend val="0"/>
        <outline val="0"/>
        <shadow val="0"/>
        <u val="none"/>
        <vertAlign val="baseline"/>
        <sz val="11"/>
        <color auto="1"/>
        <name val="Open Sans"/>
        <family val="2"/>
        <scheme val="none"/>
      </font>
      <fill>
        <patternFill patternType="solid">
          <fgColor indexed="64"/>
          <bgColor theme="0"/>
        </patternFill>
      </fill>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family val="2"/>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family val="2"/>
        <scheme val="none"/>
      </font>
      <numFmt numFmtId="168" formatCode="0.0"/>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family val="2"/>
        <scheme val="none"/>
      </font>
      <numFmt numFmtId="168" formatCode="0.0"/>
      <protection locked="1" hidden="1"/>
    </dxf>
    <dxf>
      <font>
        <b val="0"/>
        <i val="0"/>
        <strike val="0"/>
        <condense val="0"/>
        <extend val="0"/>
        <outline val="0"/>
        <shadow val="0"/>
        <u val="none"/>
        <vertAlign val="baseline"/>
        <sz val="11"/>
        <color theme="1"/>
        <name val="Open Sans"/>
        <family val="2"/>
        <scheme val="none"/>
      </font>
      <numFmt numFmtId="169" formatCode="_(* #,##0_);_(* \(#,##0\);_(* &quot;-&quot;??_);_(@_)"/>
      <protection locked="1" hidden="1"/>
    </dxf>
    <dxf>
      <font>
        <b val="0"/>
        <i val="0"/>
        <strike val="0"/>
        <condense val="0"/>
        <extend val="0"/>
        <outline val="0"/>
        <shadow val="0"/>
        <u val="none"/>
        <vertAlign val="baseline"/>
        <sz val="11"/>
        <color theme="1"/>
        <name val="Open Sans"/>
        <family val="2"/>
        <scheme val="none"/>
      </font>
      <numFmt numFmtId="2" formatCode="0.00"/>
      <protection locked="1" hidden="1"/>
    </dxf>
    <dxf>
      <font>
        <b val="0"/>
        <i val="0"/>
        <strike val="0"/>
        <condense val="0"/>
        <extend val="0"/>
        <outline val="0"/>
        <shadow val="0"/>
        <u val="none"/>
        <vertAlign val="baseline"/>
        <sz val="11"/>
        <color theme="1"/>
        <name val="Open Sans"/>
        <family val="2"/>
        <scheme val="none"/>
      </font>
      <numFmt numFmtId="165" formatCode="_(* #,##0.00_);_(* \(#,##0.00\);_(* &quot;-&quot;??_);_(@_)"/>
      <protection locked="1" hidden="1"/>
    </dxf>
    <dxf>
      <font>
        <b val="0"/>
        <i val="0"/>
        <strike val="0"/>
        <condense val="0"/>
        <extend val="0"/>
        <outline val="0"/>
        <shadow val="0"/>
        <u val="none"/>
        <vertAlign val="baseline"/>
        <sz val="11"/>
        <color theme="1"/>
        <name val="Open Sans"/>
        <family val="2"/>
        <scheme val="none"/>
      </font>
      <protection locked="1" hidden="1"/>
    </dxf>
    <dxf>
      <font>
        <b val="0"/>
        <i val="0"/>
        <strike val="0"/>
        <condense val="0"/>
        <extend val="0"/>
        <outline val="0"/>
        <shadow val="0"/>
        <u val="none"/>
        <vertAlign val="baseline"/>
        <sz val="11"/>
        <color theme="1"/>
        <name val="Open Sans"/>
        <family val="2"/>
        <scheme val="none"/>
      </font>
      <numFmt numFmtId="2" formatCode="0.00"/>
      <protection locked="1" hidden="1"/>
    </dxf>
    <dxf>
      <font>
        <b val="0"/>
        <i val="0"/>
        <strike val="0"/>
        <condense val="0"/>
        <extend val="0"/>
        <outline val="0"/>
        <shadow val="0"/>
        <u val="none"/>
        <vertAlign val="baseline"/>
        <sz val="11"/>
        <color theme="1"/>
        <name val="Open Sans"/>
        <family val="2"/>
        <scheme val="none"/>
      </font>
      <numFmt numFmtId="30" formatCode="@"/>
      <protection locked="1" hidden="1"/>
    </dxf>
    <dxf>
      <font>
        <strike val="0"/>
        <outline val="0"/>
        <shadow val="0"/>
        <u val="none"/>
        <vertAlign val="baseline"/>
        <name val="Open Sans"/>
        <family val="2"/>
        <scheme val="none"/>
      </font>
      <fill>
        <patternFill patternType="solid">
          <fgColor indexed="64"/>
          <bgColor theme="7" tint="0.59999389629810485"/>
        </patternFill>
      </fill>
      <protection locked="0" hidden="1"/>
    </dxf>
    <dxf>
      <font>
        <strike val="0"/>
        <outline val="0"/>
        <shadow val="0"/>
        <u val="none"/>
        <vertAlign val="baseline"/>
        <name val="Open Sans"/>
        <family val="2"/>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family val="2"/>
        <scheme val="none"/>
      </font>
      <numFmt numFmtId="171" formatCode="_ [$€-413]\ * #,##0_ ;_ [$€-413]\ * \-#,##0_ ;_ [$€-413]\ * &quot;-&quot;??_ ;_ @_ "/>
      <fill>
        <patternFill patternType="none">
          <fgColor indexed="64"/>
          <bgColor auto="1"/>
        </patternFill>
      </fill>
      <protection locked="1" hidden="1"/>
    </dxf>
    <dxf>
      <font>
        <b val="0"/>
        <i val="0"/>
        <strike val="0"/>
        <condense val="0"/>
        <extend val="0"/>
        <outline val="0"/>
        <shadow val="0"/>
        <u val="none"/>
        <vertAlign val="baseline"/>
        <sz val="11"/>
        <color theme="1"/>
        <name val="Open Sans"/>
        <family val="2"/>
        <scheme val="none"/>
      </font>
      <numFmt numFmtId="2" formatCode="0.00"/>
      <protection locked="1" hidden="1"/>
    </dxf>
    <dxf>
      <font>
        <b val="0"/>
        <i val="0"/>
        <strike val="0"/>
        <condense val="0"/>
        <extend val="0"/>
        <outline val="0"/>
        <shadow val="0"/>
        <u val="none"/>
        <vertAlign val="baseline"/>
        <sz val="11"/>
        <color theme="1"/>
        <name val="Open Sans"/>
        <family val="2"/>
        <scheme val="none"/>
      </font>
      <numFmt numFmtId="1" formatCode="0"/>
      <protection locked="1" hidden="1"/>
    </dxf>
    <dxf>
      <font>
        <b val="0"/>
        <i val="0"/>
        <strike val="0"/>
        <condense val="0"/>
        <extend val="0"/>
        <outline val="0"/>
        <shadow val="0"/>
        <u val="none"/>
        <vertAlign val="baseline"/>
        <sz val="11"/>
        <color theme="1"/>
        <name val="Open Sans"/>
        <family val="2"/>
        <scheme val="none"/>
      </font>
      <protection locked="1" hidden="1"/>
    </dxf>
    <dxf>
      <font>
        <b/>
        <i val="0"/>
        <strike val="0"/>
        <condense val="0"/>
        <extend val="0"/>
        <outline val="0"/>
        <shadow val="0"/>
        <u val="none"/>
        <vertAlign val="baseline"/>
        <sz val="10"/>
        <color theme="0"/>
        <name val="Open Sans"/>
        <family val="2"/>
        <scheme val="none"/>
      </font>
      <fill>
        <patternFill patternType="solid">
          <fgColor indexed="64"/>
          <bgColor theme="1"/>
        </patternFill>
      </fill>
      <alignment horizontal="general" vertical="bottom" textRotation="45" wrapText="0" indent="0" justifyLastLine="0" shrinkToFit="0" readingOrder="0"/>
      <border diagonalUp="0" diagonalDown="0">
        <left style="thin">
          <color theme="1"/>
        </left>
        <right style="thin">
          <color theme="1"/>
        </right>
        <top/>
        <bottom/>
      </border>
      <protection locked="1"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79" formatCode="_(* #,##0.0_);_(* \(#,##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family val="2"/>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b val="0"/>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family val="2"/>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theme="0"/>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30" formatCode="@"/>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176" formatCode="_([$€-2]\ * #,##0_);_([$€-2]\ * \(#,##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30" formatCode="@"/>
    </dxf>
    <dxf>
      <font>
        <b val="0"/>
        <strike val="0"/>
        <outline val="0"/>
        <shadow val="0"/>
        <u val="none"/>
        <vertAlign val="baseline"/>
        <name val="Open Sans"/>
        <family val="2"/>
        <scheme val="none"/>
      </font>
      <border diagonalUp="0" diagonalDown="0" outline="0">
        <left style="thin">
          <color indexed="64"/>
        </left>
        <right style="thin">
          <color indexed="64"/>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b val="0"/>
        <i val="0"/>
        <strike val="0"/>
        <condense val="0"/>
        <extend val="0"/>
        <outline val="0"/>
        <shadow val="0"/>
        <u val="none"/>
        <vertAlign val="baseline"/>
        <sz val="11"/>
        <color auto="1"/>
        <name val="Open Sans"/>
        <family val="2"/>
        <scheme val="none"/>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fill>
        <patternFill patternType="none">
          <fgColor indexed="64"/>
          <bgColor indexed="65"/>
        </patternFill>
      </fill>
      <protection locked="0" hidden="1"/>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fill>
        <patternFill patternType="none">
          <fgColor indexed="64"/>
          <bgColor indexed="65"/>
        </patternFill>
      </fill>
    </dxf>
    <dxf>
      <font>
        <b val="0"/>
        <i val="0"/>
        <strike val="0"/>
        <condense val="0"/>
        <extend val="0"/>
        <outline val="0"/>
        <shadow val="0"/>
        <u val="none"/>
        <vertAlign val="baseline"/>
        <sz val="11"/>
        <color theme="1"/>
        <name val="Open Sans"/>
        <family val="2"/>
        <scheme val="none"/>
      </font>
      <numFmt numFmtId="168" formatCode="0.0"/>
      <fill>
        <patternFill patternType="none">
          <fgColor indexed="64"/>
          <bgColor indexed="65"/>
        </patternFill>
      </fill>
      <protection locked="0" hidden="1"/>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0" formatCode="General"/>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numFmt numFmtId="171" formatCode="_ [$€-413]\ * #,##0_ ;_ [$€-413]\ * \-#,##0_ ;_ [$€-413]\ * &quot;-&quot;??_ ;_ @_ "/>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1" formatCode="0"/>
    </dxf>
    <dxf>
      <font>
        <b val="0"/>
        <i val="0"/>
        <strike val="0"/>
        <condense val="0"/>
        <extend val="0"/>
        <outline val="0"/>
        <shadow val="0"/>
        <u val="none"/>
        <vertAlign val="baseline"/>
        <sz val="11"/>
        <color theme="1"/>
        <name val="Open Sans"/>
        <family val="2"/>
        <scheme val="none"/>
      </font>
    </dxf>
    <dxf>
      <font>
        <b/>
        <i val="0"/>
        <strike val="0"/>
        <condense val="0"/>
        <extend val="0"/>
        <outline val="0"/>
        <shadow val="0"/>
        <u val="none"/>
        <vertAlign val="baseline"/>
        <sz val="10"/>
        <color theme="0"/>
        <name val="Open Sans"/>
        <family val="2"/>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rgb="FFFFFFFF"/>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family val="2"/>
        <scheme val="none"/>
      </font>
      <numFmt numFmtId="165" formatCode="_(* #,##0.00_);_(* \(#,##0.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family val="2"/>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family val="2"/>
        <scheme val="none"/>
      </font>
      <border diagonalUp="0" diagonalDown="0" outline="0">
        <left style="thin">
          <color rgb="FF000000"/>
        </left>
        <right style="thin">
          <color rgb="FF000000"/>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b val="0"/>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family val="2"/>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family val="2"/>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family val="2"/>
        <scheme val="none"/>
      </font>
      <border diagonalUp="0" diagonalDown="0" outline="0">
        <left style="thin">
          <color rgb="FF000000"/>
        </left>
        <right style="thin">
          <color rgb="FF000000"/>
        </right>
        <top/>
        <bottom/>
      </border>
    </dxf>
    <dxf>
      <font>
        <strike val="0"/>
        <outline val="0"/>
        <shadow val="0"/>
        <u val="none"/>
        <vertAlign val="baseline"/>
        <sz val="10"/>
        <name val="Open Sans"/>
        <family val="2"/>
        <scheme val="none"/>
      </font>
      <fill>
        <patternFill patternType="solid">
          <fgColor indexed="64"/>
          <bgColor theme="0"/>
        </patternFill>
      </fill>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family val="2"/>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family val="2"/>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2" formatCode="0.00"/>
    </dxf>
    <dxf>
      <font>
        <b val="0"/>
        <strike val="0"/>
        <outline val="0"/>
        <shadow val="0"/>
        <u val="none"/>
        <vertAlign val="baseline"/>
        <name val="Open Sans"/>
        <family val="2"/>
        <scheme val="none"/>
      </font>
      <border diagonalUp="0" diagonalDown="0" outline="0">
        <left style="thin">
          <color rgb="FF000000"/>
        </left>
        <right style="thin">
          <color rgb="FF000000"/>
        </right>
        <top/>
        <bottom/>
      </border>
    </dxf>
    <dxf>
      <font>
        <strike val="0"/>
        <outline val="0"/>
        <shadow val="0"/>
        <u val="none"/>
        <vertAlign val="baseline"/>
        <name val="Open Sans"/>
        <family val="2"/>
        <scheme val="none"/>
      </font>
    </dxf>
    <dxf>
      <font>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family val="2"/>
        <scheme val="none"/>
      </font>
      <numFmt numFmtId="2" formatCode="0.00"/>
    </dxf>
    <dxf>
      <font>
        <b val="0"/>
        <strike val="0"/>
        <outline val="0"/>
        <shadow val="0"/>
        <u val="none"/>
        <vertAlign val="baseline"/>
        <name val="Open Sans"/>
        <family val="2"/>
        <scheme val="none"/>
      </font>
      <border diagonalUp="0" diagonalDown="0" outline="0">
        <left style="thin">
          <color rgb="FF000000"/>
        </left>
        <right style="thin">
          <color rgb="FF000000"/>
        </right>
        <top/>
        <bottom/>
      </border>
    </dxf>
    <dxf>
      <font>
        <strike val="0"/>
        <outline val="0"/>
        <shadow val="0"/>
        <u val="none"/>
        <vertAlign val="baseline"/>
        <name val="Open Sans"/>
        <family val="2"/>
        <scheme val="none"/>
      </font>
    </dxf>
    <dxf>
      <font>
        <strike val="0"/>
        <outline val="0"/>
        <shadow val="0"/>
        <u val="none"/>
        <vertAlign val="baseline"/>
        <name val="Open Sans"/>
        <family val="2"/>
        <scheme val="none"/>
      </font>
    </dxf>
    <dxf>
      <numFmt numFmtId="166" formatCode="_ [$€-413]\ * #,##0.00_ ;_ [$€-413]\ * \-#,##0.00_ ;_ [$€-413]\ * &quot;-&quot;??_ ;_ @_ "/>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30" formatCode="@"/>
    </dxf>
    <dxf>
      <font>
        <b val="0"/>
        <i val="0"/>
        <strike val="0"/>
        <condense val="0"/>
        <extend val="0"/>
        <outline val="0"/>
        <shadow val="0"/>
        <u val="none"/>
        <vertAlign val="baseline"/>
        <sz val="11"/>
        <color theme="1"/>
        <name val="Open Sans"/>
        <family val="2"/>
        <scheme val="none"/>
      </font>
      <numFmt numFmtId="30" formatCode="@"/>
    </dxf>
    <dxf>
      <font>
        <b val="0"/>
        <i val="0"/>
        <strike val="0"/>
        <condense val="0"/>
        <extend val="0"/>
        <outline val="0"/>
        <shadow val="0"/>
        <u val="none"/>
        <vertAlign val="baseline"/>
        <sz val="11"/>
        <color theme="1"/>
        <name val="Open Sans"/>
        <family val="2"/>
        <scheme val="none"/>
      </font>
      <numFmt numFmtId="30" formatCode="@"/>
    </dxf>
    <dxf>
      <font>
        <b val="0"/>
        <i val="0"/>
        <strike val="0"/>
        <condense val="0"/>
        <extend val="0"/>
        <outline val="0"/>
        <shadow val="0"/>
        <u val="none"/>
        <vertAlign val="baseline"/>
        <sz val="11"/>
        <color theme="1"/>
        <name val="Open Sans"/>
        <family val="2"/>
        <scheme val="none"/>
      </font>
      <numFmt numFmtId="168" formatCode="0.0"/>
    </dxf>
    <dxf>
      <font>
        <b val="0"/>
        <i val="0"/>
        <strike val="0"/>
        <condense val="0"/>
        <extend val="0"/>
        <outline val="0"/>
        <shadow val="0"/>
        <u val="none"/>
        <vertAlign val="baseline"/>
        <sz val="11"/>
        <color theme="1"/>
        <name val="Open Sans"/>
        <family val="2"/>
        <scheme val="none"/>
      </font>
      <numFmt numFmtId="0" formatCode="General"/>
    </dxf>
    <dxf>
      <font>
        <b val="0"/>
        <strike val="0"/>
        <outline val="0"/>
        <shadow val="0"/>
        <u val="none"/>
        <vertAlign val="baseline"/>
        <name val="Open Sans"/>
        <family val="2"/>
        <scheme val="none"/>
      </font>
    </dxf>
    <dxf>
      <font>
        <b val="0"/>
        <i val="0"/>
        <strike val="0"/>
        <condense val="0"/>
        <extend val="0"/>
        <outline val="0"/>
        <shadow val="0"/>
        <u val="none"/>
        <vertAlign val="baseline"/>
        <sz val="11"/>
        <color theme="1"/>
        <name val="Open Sans"/>
        <family val="2"/>
        <scheme val="none"/>
      </font>
    </dxf>
    <dxf>
      <font>
        <b val="0"/>
        <i val="0"/>
        <strike val="0"/>
        <condense val="0"/>
        <extend val="0"/>
        <outline val="0"/>
        <shadow val="0"/>
        <u val="none"/>
        <vertAlign val="baseline"/>
        <sz val="11"/>
        <color theme="1"/>
        <name val="Open Sans"/>
        <family val="2"/>
        <scheme val="none"/>
      </font>
      <numFmt numFmtId="171" formatCode="_ [$€-413]\ * #,##0_ ;_ [$€-413]\ * \-#,##0_ ;_ [$€-413]\ * &quot;-&quot;??_ ;_ @_ "/>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theme="1"/>
        <name val="Open Sans"/>
        <family val="2"/>
        <scheme val="none"/>
      </font>
      <numFmt numFmtId="2" formatCode="0.00"/>
    </dxf>
    <dxf>
      <font>
        <b val="0"/>
        <i val="0"/>
        <strike val="0"/>
        <condense val="0"/>
        <extend val="0"/>
        <outline val="0"/>
        <shadow val="0"/>
        <u val="none"/>
        <vertAlign val="baseline"/>
        <sz val="11"/>
        <color rgb="FF000000"/>
        <name val="Open Sans"/>
        <family val="2"/>
        <scheme val="none"/>
      </font>
    </dxf>
    <dxf>
      <font>
        <b/>
        <i val="0"/>
        <strike val="0"/>
        <condense val="0"/>
        <extend val="0"/>
        <outline val="0"/>
        <shadow val="0"/>
        <u val="none"/>
        <vertAlign val="baseline"/>
        <sz val="10"/>
        <color theme="0"/>
        <name val="Open Sans"/>
        <family val="2"/>
        <scheme val="none"/>
      </font>
      <fill>
        <patternFill patternType="solid">
          <fgColor indexed="64"/>
          <bgColor theme="1"/>
        </patternFill>
      </fill>
      <alignment horizontal="general" vertical="bottom" textRotation="45" wrapText="1"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F9F"/>
      <color rgb="FFFC8784"/>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openxmlformats.org/officeDocument/2006/relationships/sharedStrings" Target="sharedStrings.xml"/><Relationship Id="rId30"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[MKI referentieberekening.xlsx]Ontwerp_Backlog!Draaitabel1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t>MKI waarde per levensfase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bg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2">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4">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3">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rgbClr val="FC878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bg2">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Ontwerp_Backlog!$U$3</c:f>
              <c:strCache>
                <c:ptCount val="1"/>
                <c:pt idx="0">
                  <c:v>A1 - Grondstoffen</c:v>
                </c:pt>
              </c:strCache>
            </c:strRef>
          </c:tx>
          <c:spPr>
            <a:solidFill>
              <a:srgbClr val="002060"/>
            </a:solidFill>
            <a:ln>
              <a:noFill/>
            </a:ln>
            <a:effectLst/>
          </c:spPr>
          <c:invertIfNegative val="0"/>
          <c:cat>
            <c:strRef>
              <c:f>Ontwerp_Backlog!$T$4:$T$7</c:f>
              <c:strCache>
                <c:ptCount val="3"/>
                <c:pt idx="0">
                  <c:v>0</c:v>
                </c:pt>
                <c:pt idx="1">
                  <c:v>Baseline</c:v>
                </c:pt>
                <c:pt idx="2">
                  <c:v>Variant 1</c:v>
                </c:pt>
              </c:strCache>
            </c:strRef>
          </c:cat>
          <c:val>
            <c:numRef>
              <c:f>Ontwerp_Backlog!$U$4:$U$7</c:f>
              <c:numCache>
                <c:formatCode>_ [$€-413]\ * #,##0.00_ ;_ [$€-413]\ * \-#,##0.00_ ;_ [$€-413]\ * "-"??_ ;_ @_ </c:formatCode>
                <c:ptCount val="3"/>
                <c:pt idx="0">
                  <c:v>0</c:v>
                </c:pt>
                <c:pt idx="1">
                  <c:v>279.80215296513353</c:v>
                </c:pt>
                <c:pt idx="2">
                  <c:v>276.89085145126671</c:v>
                </c:pt>
              </c:numCache>
            </c:numRef>
          </c:val>
          <c:extLst>
            <c:ext xmlns:c16="http://schemas.microsoft.com/office/drawing/2014/chart" uri="{C3380CC4-5D6E-409C-BE32-E72D297353CC}">
              <c16:uniqueId val="{00000000-11CD-466D-9029-F33C9F47D0EC}"/>
            </c:ext>
          </c:extLst>
        </c:ser>
        <c:ser>
          <c:idx val="1"/>
          <c:order val="1"/>
          <c:tx>
            <c:strRef>
              <c:f>Ontwerp_Backlog!$V$3</c:f>
              <c:strCache>
                <c:ptCount val="1"/>
                <c:pt idx="0">
                  <c:v>A2 - Transport</c:v>
                </c:pt>
              </c:strCache>
            </c:strRef>
          </c:tx>
          <c:spPr>
            <a:solidFill>
              <a:srgbClr val="0070C0"/>
            </a:solidFill>
            <a:ln>
              <a:noFill/>
            </a:ln>
            <a:effectLst/>
          </c:spPr>
          <c:invertIfNegative val="0"/>
          <c:cat>
            <c:strRef>
              <c:f>Ontwerp_Backlog!$T$4:$T$7</c:f>
              <c:strCache>
                <c:ptCount val="3"/>
                <c:pt idx="0">
                  <c:v>0</c:v>
                </c:pt>
                <c:pt idx="1">
                  <c:v>Baseline</c:v>
                </c:pt>
                <c:pt idx="2">
                  <c:v>Variant 1</c:v>
                </c:pt>
              </c:strCache>
            </c:strRef>
          </c:cat>
          <c:val>
            <c:numRef>
              <c:f>Ontwerp_Backlog!$V$4:$V$7</c:f>
              <c:numCache>
                <c:formatCode>_ [$€-413]\ * #,##0.00_ ;_ [$€-413]\ * \-#,##0.00_ ;_ [$€-413]\ * "-"??_ ;_ @_ </c:formatCode>
                <c:ptCount val="3"/>
                <c:pt idx="0">
                  <c:v>0</c:v>
                </c:pt>
                <c:pt idx="1">
                  <c:v>135.9284246476503</c:v>
                </c:pt>
                <c:pt idx="2">
                  <c:v>137.98242464765028</c:v>
                </c:pt>
              </c:numCache>
            </c:numRef>
          </c:val>
          <c:extLst>
            <c:ext xmlns:c16="http://schemas.microsoft.com/office/drawing/2014/chart" uri="{C3380CC4-5D6E-409C-BE32-E72D297353CC}">
              <c16:uniqueId val="{00000001-11CD-466D-9029-F33C9F47D0EC}"/>
            </c:ext>
          </c:extLst>
        </c:ser>
        <c:ser>
          <c:idx val="2"/>
          <c:order val="2"/>
          <c:tx>
            <c:strRef>
              <c:f>Ontwerp_Backlog!$W$3</c:f>
              <c:strCache>
                <c:ptCount val="1"/>
                <c:pt idx="0">
                  <c:v>A3 - Productie</c:v>
                </c:pt>
              </c:strCache>
            </c:strRef>
          </c:tx>
          <c:spPr>
            <a:solidFill>
              <a:srgbClr val="00B0F0"/>
            </a:solidFill>
            <a:ln>
              <a:noFill/>
            </a:ln>
            <a:effectLst/>
          </c:spPr>
          <c:invertIfNegative val="0"/>
          <c:cat>
            <c:strRef>
              <c:f>Ontwerp_Backlog!$T$4:$T$7</c:f>
              <c:strCache>
                <c:ptCount val="3"/>
                <c:pt idx="0">
                  <c:v>0</c:v>
                </c:pt>
                <c:pt idx="1">
                  <c:v>Baseline</c:v>
                </c:pt>
                <c:pt idx="2">
                  <c:v>Variant 1</c:v>
                </c:pt>
              </c:strCache>
            </c:strRef>
          </c:cat>
          <c:val>
            <c:numRef>
              <c:f>Ontwerp_Backlog!$W$4:$W$7</c:f>
              <c:numCache>
                <c:formatCode>_ [$€-413]\ * #,##0.00_ ;_ [$€-413]\ * \-#,##0.00_ ;_ [$€-413]\ * "-"??_ ;_ @_ </c:formatCode>
                <c:ptCount val="3"/>
                <c:pt idx="0">
                  <c:v>0</c:v>
                </c:pt>
                <c:pt idx="1">
                  <c:v>69.340225078969908</c:v>
                </c:pt>
                <c:pt idx="2">
                  <c:v>70.074225078969903</c:v>
                </c:pt>
              </c:numCache>
            </c:numRef>
          </c:val>
          <c:extLst>
            <c:ext xmlns:c16="http://schemas.microsoft.com/office/drawing/2014/chart" uri="{C3380CC4-5D6E-409C-BE32-E72D297353CC}">
              <c16:uniqueId val="{00000002-11CD-466D-9029-F33C9F47D0EC}"/>
            </c:ext>
          </c:extLst>
        </c:ser>
        <c:ser>
          <c:idx val="3"/>
          <c:order val="3"/>
          <c:tx>
            <c:strRef>
              <c:f>Ontwerp_Backlog!$X$3</c:f>
              <c:strCache>
                <c:ptCount val="1"/>
                <c:pt idx="0">
                  <c:v>A4 - Transport</c:v>
                </c:pt>
              </c:strCache>
            </c:strRef>
          </c:tx>
          <c:spPr>
            <a:solidFill>
              <a:schemeClr val="accent2"/>
            </a:solidFill>
            <a:ln>
              <a:noFill/>
            </a:ln>
            <a:effectLst/>
          </c:spPr>
          <c:invertIfNegative val="0"/>
          <c:cat>
            <c:strRef>
              <c:f>Ontwerp_Backlog!$T$4:$T$7</c:f>
              <c:strCache>
                <c:ptCount val="3"/>
                <c:pt idx="0">
                  <c:v>0</c:v>
                </c:pt>
                <c:pt idx="1">
                  <c:v>Baseline</c:v>
                </c:pt>
                <c:pt idx="2">
                  <c:v>Variant 1</c:v>
                </c:pt>
              </c:strCache>
            </c:strRef>
          </c:cat>
          <c:val>
            <c:numRef>
              <c:f>Ontwerp_Backlog!$X$4:$X$7</c:f>
              <c:numCache>
                <c:formatCode>_ [$€-413]\ * #,##0.00_ ;_ [$€-413]\ * \-#,##0.00_ ;_ [$€-413]\ * "-"??_ ;_ @_ </c:formatCode>
                <c:ptCount val="3"/>
                <c:pt idx="0">
                  <c:v>0</c:v>
                </c:pt>
                <c:pt idx="1">
                  <c:v>18.218190569347918</c:v>
                </c:pt>
                <c:pt idx="2">
                  <c:v>#N/A</c:v>
                </c:pt>
              </c:numCache>
            </c:numRef>
          </c:val>
          <c:extLst>
            <c:ext xmlns:c16="http://schemas.microsoft.com/office/drawing/2014/chart" uri="{C3380CC4-5D6E-409C-BE32-E72D297353CC}">
              <c16:uniqueId val="{00000003-11CD-466D-9029-F33C9F47D0EC}"/>
            </c:ext>
          </c:extLst>
        </c:ser>
        <c:ser>
          <c:idx val="4"/>
          <c:order val="4"/>
          <c:tx>
            <c:strRef>
              <c:f>Ontwerp_Backlog!$Y$3</c:f>
              <c:strCache>
                <c:ptCount val="1"/>
                <c:pt idx="0">
                  <c:v>A5 - Bouw &amp; Aanleg</c:v>
                </c:pt>
              </c:strCache>
            </c:strRef>
          </c:tx>
          <c:spPr>
            <a:solidFill>
              <a:schemeClr val="accent6"/>
            </a:solidFill>
            <a:ln>
              <a:noFill/>
            </a:ln>
            <a:effectLst/>
          </c:spPr>
          <c:invertIfNegative val="0"/>
          <c:cat>
            <c:strRef>
              <c:f>Ontwerp_Backlog!$T$4:$T$7</c:f>
              <c:strCache>
                <c:ptCount val="3"/>
                <c:pt idx="0">
                  <c:v>0</c:v>
                </c:pt>
                <c:pt idx="1">
                  <c:v>Baseline</c:v>
                </c:pt>
                <c:pt idx="2">
                  <c:v>Variant 1</c:v>
                </c:pt>
              </c:strCache>
            </c:strRef>
          </c:cat>
          <c:val>
            <c:numRef>
              <c:f>Ontwerp_Backlog!$Y$4:$Y$7</c:f>
              <c:numCache>
                <c:formatCode>_ [$€-413]\ * #,##0.00_ ;_ [$€-413]\ * \-#,##0.00_ ;_ [$€-413]\ * "-"??_ ;_ @_ </c:formatCode>
                <c:ptCount val="3"/>
                <c:pt idx="0">
                  <c:v>0</c:v>
                </c:pt>
                <c:pt idx="1">
                  <c:v>10.122937388062638</c:v>
                </c:pt>
                <c:pt idx="2">
                  <c:v>10.281576631129226</c:v>
                </c:pt>
              </c:numCache>
            </c:numRef>
          </c:val>
          <c:extLst>
            <c:ext xmlns:c16="http://schemas.microsoft.com/office/drawing/2014/chart" uri="{C3380CC4-5D6E-409C-BE32-E72D297353CC}">
              <c16:uniqueId val="{00000004-11CD-466D-9029-F33C9F47D0EC}"/>
            </c:ext>
          </c:extLst>
        </c:ser>
        <c:ser>
          <c:idx val="5"/>
          <c:order val="5"/>
          <c:tx>
            <c:strRef>
              <c:f>Ontwerp_Backlog!$Z$3</c:f>
              <c:strCache>
                <c:ptCount val="1"/>
                <c:pt idx="0">
                  <c:v>B1 - Gebruik</c:v>
                </c:pt>
              </c:strCache>
            </c:strRef>
          </c:tx>
          <c:spPr>
            <a:solidFill>
              <a:schemeClr val="bg2"/>
            </a:solidFill>
            <a:ln>
              <a:noFill/>
            </a:ln>
            <a:effectLst/>
          </c:spPr>
          <c:invertIfNegative val="0"/>
          <c:cat>
            <c:strRef>
              <c:f>Ontwerp_Backlog!$T$4:$T$7</c:f>
              <c:strCache>
                <c:ptCount val="3"/>
                <c:pt idx="0">
                  <c:v>0</c:v>
                </c:pt>
                <c:pt idx="1">
                  <c:v>Baseline</c:v>
                </c:pt>
                <c:pt idx="2">
                  <c:v>Variant 1</c:v>
                </c:pt>
              </c:strCache>
            </c:strRef>
          </c:cat>
          <c:val>
            <c:numRef>
              <c:f>Ontwerp_Backlog!$Z$4:$Z$7</c:f>
              <c:numCache>
                <c:formatCode>_ [$€-413]\ * #,##0.00_ ;_ [$€-413]\ * \-#,##0.00_ ;_ [$€-413]\ * "-"??_ ;_ @_ </c:formatCode>
                <c:ptCount val="3"/>
                <c:pt idx="0">
                  <c:v>0</c:v>
                </c:pt>
                <c:pt idx="1">
                  <c:v>2.7746889622316413</c:v>
                </c:pt>
                <c:pt idx="2">
                  <c:v>2.8738889622316415</c:v>
                </c:pt>
              </c:numCache>
            </c:numRef>
          </c:val>
          <c:extLst>
            <c:ext xmlns:c16="http://schemas.microsoft.com/office/drawing/2014/chart" uri="{C3380CC4-5D6E-409C-BE32-E72D297353CC}">
              <c16:uniqueId val="{00000005-11CD-466D-9029-F33C9F47D0EC}"/>
            </c:ext>
          </c:extLst>
        </c:ser>
        <c:ser>
          <c:idx val="6"/>
          <c:order val="6"/>
          <c:tx>
            <c:strRef>
              <c:f>Ontwerp_Backlog!$AA$3</c:f>
              <c:strCache>
                <c:ptCount val="1"/>
                <c:pt idx="0">
                  <c:v>B3 - Onderhoud</c:v>
                </c:pt>
              </c:strCache>
            </c:strRef>
          </c:tx>
          <c:spPr>
            <a:solidFill>
              <a:schemeClr val="accent1">
                <a:lumMod val="60000"/>
              </a:schemeClr>
            </a:solidFill>
            <a:ln>
              <a:noFill/>
            </a:ln>
            <a:effectLst/>
          </c:spPr>
          <c:invertIfNegative val="0"/>
          <c:cat>
            <c:strRef>
              <c:f>Ontwerp_Backlog!$T$4:$T$7</c:f>
              <c:strCache>
                <c:ptCount val="3"/>
                <c:pt idx="0">
                  <c:v>0</c:v>
                </c:pt>
                <c:pt idx="1">
                  <c:v>Baseline</c:v>
                </c:pt>
                <c:pt idx="2">
                  <c:v>Variant 1</c:v>
                </c:pt>
              </c:strCache>
            </c:strRef>
          </c:cat>
          <c:val>
            <c:numRef>
              <c:f>Ontwerp_Backlog!$AA$4:$AA$7</c:f>
              <c:numCache>
                <c:formatCode>_ [$€-413]\ * #,##0.00_ ;_ [$€-413]\ * \-#,##0.00_ ;_ [$€-413]\ * "-"??_ ;_ @_ </c:formatCode>
                <c:ptCount val="3"/>
                <c:pt idx="0">
                  <c:v>0</c:v>
                </c:pt>
                <c:pt idx="1">
                  <c:v>0.93324400000000007</c:v>
                </c:pt>
                <c:pt idx="2">
                  <c:v>0</c:v>
                </c:pt>
              </c:numCache>
            </c:numRef>
          </c:val>
          <c:extLst>
            <c:ext xmlns:c16="http://schemas.microsoft.com/office/drawing/2014/chart" uri="{C3380CC4-5D6E-409C-BE32-E72D297353CC}">
              <c16:uniqueId val="{00000001-767B-4685-A44F-52B92D01D7BE}"/>
            </c:ext>
          </c:extLst>
        </c:ser>
        <c:ser>
          <c:idx val="7"/>
          <c:order val="7"/>
          <c:tx>
            <c:strRef>
              <c:f>Ontwerp_Backlog!$AB$3</c:f>
              <c:strCache>
                <c:ptCount val="1"/>
                <c:pt idx="0">
                  <c:v>B4 - Vervangingen</c:v>
                </c:pt>
              </c:strCache>
            </c:strRef>
          </c:tx>
          <c:spPr>
            <a:solidFill>
              <a:schemeClr val="bg2">
                <a:lumMod val="50000"/>
              </a:schemeClr>
            </a:solidFill>
            <a:ln>
              <a:noFill/>
            </a:ln>
            <a:effectLst/>
          </c:spPr>
          <c:invertIfNegative val="0"/>
          <c:cat>
            <c:strRef>
              <c:f>Ontwerp_Backlog!$T$4:$T$7</c:f>
              <c:strCache>
                <c:ptCount val="3"/>
                <c:pt idx="0">
                  <c:v>0</c:v>
                </c:pt>
                <c:pt idx="1">
                  <c:v>Baseline</c:v>
                </c:pt>
                <c:pt idx="2">
                  <c:v>Variant 1</c:v>
                </c:pt>
              </c:strCache>
            </c:strRef>
          </c:cat>
          <c:val>
            <c:numRef>
              <c:f>Ontwerp_Backlog!$AB$4:$AB$7</c:f>
              <c:numCache>
                <c:formatCode>_ [$€-413]\ * #,##0.00_ ;_ [$€-413]\ * \-#,##0.00_ ;_ [$€-413]\ * "-"??_ ;_ @_ </c:formatCode>
                <c:ptCount val="3"/>
                <c:pt idx="0">
                  <c:v>0</c:v>
                </c:pt>
                <c:pt idx="1">
                  <c:v>0</c:v>
                </c:pt>
                <c:pt idx="2">
                  <c:v>#N/A</c:v>
                </c:pt>
              </c:numCache>
            </c:numRef>
          </c:val>
          <c:extLst>
            <c:ext xmlns:c16="http://schemas.microsoft.com/office/drawing/2014/chart" uri="{C3380CC4-5D6E-409C-BE32-E72D297353CC}">
              <c16:uniqueId val="{00000002-767B-4685-A44F-52B92D01D7BE}"/>
            </c:ext>
          </c:extLst>
        </c:ser>
        <c:ser>
          <c:idx val="8"/>
          <c:order val="8"/>
          <c:tx>
            <c:strRef>
              <c:f>Ontwerp_Backlog!$AC$3</c:f>
              <c:strCache>
                <c:ptCount val="1"/>
                <c:pt idx="0">
                  <c:v>C1 - Sloop</c:v>
                </c:pt>
              </c:strCache>
            </c:strRef>
          </c:tx>
          <c:spPr>
            <a:solidFill>
              <a:schemeClr val="accent6">
                <a:lumMod val="50000"/>
              </a:schemeClr>
            </a:solidFill>
            <a:ln>
              <a:noFill/>
            </a:ln>
            <a:effectLst/>
          </c:spPr>
          <c:invertIfNegative val="0"/>
          <c:cat>
            <c:strRef>
              <c:f>Ontwerp_Backlog!$T$4:$T$7</c:f>
              <c:strCache>
                <c:ptCount val="3"/>
                <c:pt idx="0">
                  <c:v>0</c:v>
                </c:pt>
                <c:pt idx="1">
                  <c:v>Baseline</c:v>
                </c:pt>
                <c:pt idx="2">
                  <c:v>Variant 1</c:v>
                </c:pt>
              </c:strCache>
            </c:strRef>
          </c:cat>
          <c:val>
            <c:numRef>
              <c:f>Ontwerp_Backlog!$AC$4:$AC$7</c:f>
              <c:numCache>
                <c:formatCode>_ [$€-413]\ * #,##0.00_ ;_ [$€-413]\ * \-#,##0.00_ ;_ [$€-413]\ * "-"??_ ;_ @_ </c:formatCode>
                <c:ptCount val="3"/>
                <c:pt idx="0">
                  <c:v>0</c:v>
                </c:pt>
                <c:pt idx="1">
                  <c:v>13.09096155494696</c:v>
                </c:pt>
                <c:pt idx="2">
                  <c:v>13.09096155634456</c:v>
                </c:pt>
              </c:numCache>
            </c:numRef>
          </c:val>
          <c:extLst>
            <c:ext xmlns:c16="http://schemas.microsoft.com/office/drawing/2014/chart" uri="{C3380CC4-5D6E-409C-BE32-E72D297353CC}">
              <c16:uniqueId val="{00000003-767B-4685-A44F-52B92D01D7BE}"/>
            </c:ext>
          </c:extLst>
        </c:ser>
        <c:ser>
          <c:idx val="9"/>
          <c:order val="9"/>
          <c:tx>
            <c:strRef>
              <c:f>Ontwerp_Backlog!$AD$3</c:f>
              <c:strCache>
                <c:ptCount val="1"/>
                <c:pt idx="0">
                  <c:v>C2 - Transport</c:v>
                </c:pt>
              </c:strCache>
            </c:strRef>
          </c:tx>
          <c:spPr>
            <a:solidFill>
              <a:schemeClr val="accent2">
                <a:lumMod val="50000"/>
              </a:schemeClr>
            </a:solidFill>
            <a:ln>
              <a:noFill/>
            </a:ln>
            <a:effectLst/>
          </c:spPr>
          <c:invertIfNegative val="0"/>
          <c:cat>
            <c:strRef>
              <c:f>Ontwerp_Backlog!$T$4:$T$7</c:f>
              <c:strCache>
                <c:ptCount val="3"/>
                <c:pt idx="0">
                  <c:v>0</c:v>
                </c:pt>
                <c:pt idx="1">
                  <c:v>Baseline</c:v>
                </c:pt>
                <c:pt idx="2">
                  <c:v>Variant 1</c:v>
                </c:pt>
              </c:strCache>
            </c:strRef>
          </c:cat>
          <c:val>
            <c:numRef>
              <c:f>Ontwerp_Backlog!$AD$4:$AD$7</c:f>
              <c:numCache>
                <c:formatCode>_ [$€-413]\ * #,##0.00_ ;_ [$€-413]\ * \-#,##0.00_ ;_ [$€-413]\ * "-"??_ ;_ @_ </c:formatCode>
                <c:ptCount val="3"/>
                <c:pt idx="0">
                  <c:v>0</c:v>
                </c:pt>
                <c:pt idx="1">
                  <c:v>28.157086363741353</c:v>
                </c:pt>
                <c:pt idx="2">
                  <c:v>#N/A</c:v>
                </c:pt>
              </c:numCache>
            </c:numRef>
          </c:val>
          <c:extLst>
            <c:ext xmlns:c16="http://schemas.microsoft.com/office/drawing/2014/chart" uri="{C3380CC4-5D6E-409C-BE32-E72D297353CC}">
              <c16:uniqueId val="{00000004-767B-4685-A44F-52B92D01D7BE}"/>
            </c:ext>
          </c:extLst>
        </c:ser>
        <c:ser>
          <c:idx val="10"/>
          <c:order val="10"/>
          <c:tx>
            <c:strRef>
              <c:f>Ontwerp_Backlog!$AE$3</c:f>
              <c:strCache>
                <c:ptCount val="1"/>
                <c:pt idx="0">
                  <c:v>C3 - Afvalbewerking</c:v>
                </c:pt>
              </c:strCache>
            </c:strRef>
          </c:tx>
          <c:spPr>
            <a:solidFill>
              <a:schemeClr val="accent4">
                <a:lumMod val="50000"/>
              </a:schemeClr>
            </a:solidFill>
            <a:ln>
              <a:noFill/>
            </a:ln>
            <a:effectLst/>
          </c:spPr>
          <c:invertIfNegative val="0"/>
          <c:cat>
            <c:strRef>
              <c:f>Ontwerp_Backlog!$T$4:$T$7</c:f>
              <c:strCache>
                <c:ptCount val="3"/>
                <c:pt idx="0">
                  <c:v>0</c:v>
                </c:pt>
                <c:pt idx="1">
                  <c:v>Baseline</c:v>
                </c:pt>
                <c:pt idx="2">
                  <c:v>Variant 1</c:v>
                </c:pt>
              </c:strCache>
            </c:strRef>
          </c:cat>
          <c:val>
            <c:numRef>
              <c:f>Ontwerp_Backlog!$AE$4:$AE$7</c:f>
              <c:numCache>
                <c:formatCode>_ [$€-413]\ * #,##0.00_ ;_ [$€-413]\ * \-#,##0.00_ ;_ [$€-413]\ * "-"??_ ;_ @_ </c:formatCode>
                <c:ptCount val="3"/>
                <c:pt idx="0">
                  <c:v>0</c:v>
                </c:pt>
                <c:pt idx="1">
                  <c:v>13.556735529363674</c:v>
                </c:pt>
                <c:pt idx="2">
                  <c:v>13.281602754318051</c:v>
                </c:pt>
              </c:numCache>
            </c:numRef>
          </c:val>
          <c:extLst>
            <c:ext xmlns:c16="http://schemas.microsoft.com/office/drawing/2014/chart" uri="{C3380CC4-5D6E-409C-BE32-E72D297353CC}">
              <c16:uniqueId val="{00000005-767B-4685-A44F-52B92D01D7BE}"/>
            </c:ext>
          </c:extLst>
        </c:ser>
        <c:ser>
          <c:idx val="11"/>
          <c:order val="11"/>
          <c:tx>
            <c:strRef>
              <c:f>Ontwerp_Backlog!$AF$3</c:f>
              <c:strCache>
                <c:ptCount val="1"/>
                <c:pt idx="0">
                  <c:v>C4 - Finale Afvalverwerking</c:v>
                </c:pt>
              </c:strCache>
            </c:strRef>
          </c:tx>
          <c:spPr>
            <a:solidFill>
              <a:schemeClr val="accent3">
                <a:lumMod val="50000"/>
              </a:schemeClr>
            </a:solidFill>
            <a:ln>
              <a:noFill/>
            </a:ln>
            <a:effectLst/>
          </c:spPr>
          <c:invertIfNegative val="0"/>
          <c:cat>
            <c:strRef>
              <c:f>Ontwerp_Backlog!$T$4:$T$7</c:f>
              <c:strCache>
                <c:ptCount val="3"/>
                <c:pt idx="0">
                  <c:v>0</c:v>
                </c:pt>
                <c:pt idx="1">
                  <c:v>Baseline</c:v>
                </c:pt>
                <c:pt idx="2">
                  <c:v>Variant 1</c:v>
                </c:pt>
              </c:strCache>
            </c:strRef>
          </c:cat>
          <c:val>
            <c:numRef>
              <c:f>Ontwerp_Backlog!$AF$4:$AF$7</c:f>
              <c:numCache>
                <c:formatCode>_ [$€-413]\ * #,##0.00_ ;_ [$€-413]\ * \-#,##0.00_ ;_ [$€-413]\ * "-"??_ ;_ @_ </c:formatCode>
                <c:ptCount val="3"/>
                <c:pt idx="0">
                  <c:v>0</c:v>
                </c:pt>
                <c:pt idx="1">
                  <c:v>0.27437238738159997</c:v>
                </c:pt>
                <c:pt idx="2">
                  <c:v>0.13334765738160001</c:v>
                </c:pt>
              </c:numCache>
            </c:numRef>
          </c:val>
          <c:extLst>
            <c:ext xmlns:c16="http://schemas.microsoft.com/office/drawing/2014/chart" uri="{C3380CC4-5D6E-409C-BE32-E72D297353CC}">
              <c16:uniqueId val="{00000006-767B-4685-A44F-52B92D01D7BE}"/>
            </c:ext>
          </c:extLst>
        </c:ser>
        <c:ser>
          <c:idx val="12"/>
          <c:order val="12"/>
          <c:tx>
            <c:strRef>
              <c:f>Ontwerp_Backlog!$AG$3</c:f>
              <c:strCache>
                <c:ptCount val="1"/>
                <c:pt idx="0">
                  <c:v>D1 - Uitsparing grondstoffen</c:v>
                </c:pt>
              </c:strCache>
            </c:strRef>
          </c:tx>
          <c:spPr>
            <a:solidFill>
              <a:srgbClr val="FF0000"/>
            </a:solidFill>
            <a:ln>
              <a:noFill/>
            </a:ln>
            <a:effectLst/>
          </c:spPr>
          <c:invertIfNegative val="0"/>
          <c:cat>
            <c:strRef>
              <c:f>Ontwerp_Backlog!$T$4:$T$7</c:f>
              <c:strCache>
                <c:ptCount val="3"/>
                <c:pt idx="0">
                  <c:v>0</c:v>
                </c:pt>
                <c:pt idx="1">
                  <c:v>Baseline</c:v>
                </c:pt>
                <c:pt idx="2">
                  <c:v>Variant 1</c:v>
                </c:pt>
              </c:strCache>
            </c:strRef>
          </c:cat>
          <c:val>
            <c:numRef>
              <c:f>Ontwerp_Backlog!$AG$4:$AG$7</c:f>
              <c:numCache>
                <c:formatCode>_ [$€-413]\ * #,##0.00_ ;_ [$€-413]\ * \-#,##0.00_ ;_ [$€-413]\ * "-"??_ ;_ @_ </c:formatCode>
                <c:ptCount val="3"/>
                <c:pt idx="0">
                  <c:v>0</c:v>
                </c:pt>
                <c:pt idx="1">
                  <c:v>-163.79100810694803</c:v>
                </c:pt>
                <c:pt idx="2">
                  <c:v>-163.82534810694801</c:v>
                </c:pt>
              </c:numCache>
            </c:numRef>
          </c:val>
          <c:extLst>
            <c:ext xmlns:c16="http://schemas.microsoft.com/office/drawing/2014/chart" uri="{C3380CC4-5D6E-409C-BE32-E72D297353CC}">
              <c16:uniqueId val="{00000007-767B-4685-A44F-52B92D01D7BE}"/>
            </c:ext>
          </c:extLst>
        </c:ser>
        <c:ser>
          <c:idx val="13"/>
          <c:order val="13"/>
          <c:tx>
            <c:strRef>
              <c:f>Ontwerp_Backlog!$AH$3</c:f>
              <c:strCache>
                <c:ptCount val="1"/>
                <c:pt idx="0">
                  <c:v>D2 - Uitsparing transport</c:v>
                </c:pt>
              </c:strCache>
            </c:strRef>
          </c:tx>
          <c:spPr>
            <a:solidFill>
              <a:srgbClr val="FC8784"/>
            </a:solidFill>
            <a:ln>
              <a:noFill/>
            </a:ln>
            <a:effectLst/>
          </c:spPr>
          <c:invertIfNegative val="0"/>
          <c:cat>
            <c:strRef>
              <c:f>Ontwerp_Backlog!$T$4:$T$7</c:f>
              <c:strCache>
                <c:ptCount val="3"/>
                <c:pt idx="0">
                  <c:v>0</c:v>
                </c:pt>
                <c:pt idx="1">
                  <c:v>Baseline</c:v>
                </c:pt>
                <c:pt idx="2">
                  <c:v>Variant 1</c:v>
                </c:pt>
              </c:strCache>
            </c:strRef>
          </c:cat>
          <c:val>
            <c:numRef>
              <c:f>Ontwerp_Backlog!$AH$4:$AH$7</c:f>
              <c:numCache>
                <c:formatCode>_ [$€-413]\ * #,##0.00_ ;_ [$€-413]\ * \-#,##0.00_ ;_ [$€-413]\ * "-"??_ ;_ @_ </c:formatCode>
                <c:ptCount val="3"/>
                <c:pt idx="0">
                  <c:v>0</c:v>
                </c:pt>
                <c:pt idx="1">
                  <c:v>-0.2457</c:v>
                </c:pt>
                <c:pt idx="2">
                  <c:v>-0.192</c:v>
                </c:pt>
              </c:numCache>
            </c:numRef>
          </c:val>
          <c:extLst>
            <c:ext xmlns:c16="http://schemas.microsoft.com/office/drawing/2014/chart" uri="{C3380CC4-5D6E-409C-BE32-E72D297353CC}">
              <c16:uniqueId val="{00000008-767B-4685-A44F-52B92D01D7BE}"/>
            </c:ext>
          </c:extLst>
        </c:ser>
        <c:dLbls>
          <c:showLegendKey val="0"/>
          <c:showVal val="0"/>
          <c:showCatName val="0"/>
          <c:showSerName val="0"/>
          <c:showPercent val="0"/>
          <c:showBubbleSize val="0"/>
        </c:dLbls>
        <c:gapWidth val="219"/>
        <c:overlap val="100"/>
        <c:axId val="1466579888"/>
        <c:axId val="1466578248"/>
      </c:barChart>
      <c:catAx>
        <c:axId val="14665798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1466578248"/>
        <c:crosses val="autoZero"/>
        <c:auto val="1"/>
        <c:lblAlgn val="ctr"/>
        <c:lblOffset val="100"/>
        <c:noMultiLvlLbl val="0"/>
      </c:catAx>
      <c:valAx>
        <c:axId val="1466578248"/>
        <c:scaling>
          <c:orientation val="minMax"/>
        </c:scaling>
        <c:delete val="0"/>
        <c:axPos val="l"/>
        <c:majorGridlines>
          <c:spPr>
            <a:ln w="9525" cap="flat" cmpd="sng" algn="ctr">
              <a:solidFill>
                <a:schemeClr val="tx1">
                  <a:lumMod val="15000"/>
                  <a:lumOff val="85000"/>
                </a:schemeClr>
              </a:solidFill>
              <a:round/>
            </a:ln>
            <a:effectLst/>
          </c:spPr>
        </c:majorGridlines>
        <c:numFmt formatCode="_ [$€-413]\ * #,##0.00_ ;_ [$€-413]\ * \-#,##0.0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6657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Materiaalgebruik</a:t>
            </a:r>
            <a:r>
              <a:rPr lang="nl-NL" baseline="0"/>
              <a:t>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0"/>
          <c:order val="0"/>
          <c:tx>
            <c:v>Primaire Grondstoffen</c:v>
          </c:tx>
          <c:spPr>
            <a:solidFill>
              <a:schemeClr val="accent1">
                <a:lumMod val="5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Dashboard'!$C$31:$D$31</c:f>
              <c:numCache>
                <c:formatCode>#,##0</c:formatCode>
                <c:ptCount val="2"/>
                <c:pt idx="0">
                  <c:v>11649.979499999999</c:v>
                </c:pt>
                <c:pt idx="1">
                  <c:v>2048.8000000000002</c:v>
                </c:pt>
              </c:numCache>
            </c:numRef>
          </c:val>
          <c:extLst>
            <c:ext xmlns:c16="http://schemas.microsoft.com/office/drawing/2014/chart" uri="{C3380CC4-5D6E-409C-BE32-E72D297353CC}">
              <c16:uniqueId val="{00000000-DEE8-4B60-8EDC-C5DA0A8856CE}"/>
            </c:ext>
          </c:extLst>
        </c:ser>
        <c:ser>
          <c:idx val="1"/>
          <c:order val="1"/>
          <c:tx>
            <c:v>Secundaire Grondstoffen</c:v>
          </c:tx>
          <c:spPr>
            <a:solidFill>
              <a:schemeClr val="accent1">
                <a:lumMod val="60000"/>
                <a:lumOff val="4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Dashboard'!$C$32:$D$32</c:f>
              <c:numCache>
                <c:formatCode>#,##0</c:formatCode>
                <c:ptCount val="2"/>
                <c:pt idx="0">
                  <c:v>33234.281999999999</c:v>
                </c:pt>
                <c:pt idx="1">
                  <c:v>0</c:v>
                </c:pt>
              </c:numCache>
            </c:numRef>
          </c:val>
          <c:extLst>
            <c:ext xmlns:c16="http://schemas.microsoft.com/office/drawing/2014/chart" uri="{C3380CC4-5D6E-409C-BE32-E72D297353CC}">
              <c16:uniqueId val="{00000001-677C-4CCF-88AB-6F7FE36DEF25}"/>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Energiegebruik</a:t>
            </a:r>
            <a:r>
              <a:rPr lang="nl-NL" baseline="0"/>
              <a:t> [GJ]</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Fossiele Energie</c:v>
          </c:tx>
          <c:spPr>
            <a:solidFill>
              <a:schemeClr val="accent4">
                <a:lumMod val="75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Dashboard'!$C$38:$D$38</c:f>
              <c:numCache>
                <c:formatCode>#,##0</c:formatCode>
                <c:ptCount val="2"/>
                <c:pt idx="0">
                  <c:v>8440.2166287997443</c:v>
                </c:pt>
                <c:pt idx="1">
                  <c:v>39.89366062224849</c:v>
                </c:pt>
              </c:numCache>
            </c:numRef>
          </c:val>
          <c:extLst>
            <c:ext xmlns:c16="http://schemas.microsoft.com/office/drawing/2014/chart" uri="{C3380CC4-5D6E-409C-BE32-E72D297353CC}">
              <c16:uniqueId val="{00000001-677C-4CCF-88AB-6F7FE36DEF25}"/>
            </c:ext>
          </c:extLst>
        </c:ser>
        <c:ser>
          <c:idx val="0"/>
          <c:order val="1"/>
          <c:tx>
            <c:v>Hernieuwbare Energie</c:v>
          </c:tx>
          <c:spPr>
            <a:solidFill>
              <a:schemeClr val="accent4">
                <a:lumMod val="60000"/>
                <a:lumOff val="40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Dashboard'!$C$37:$D$37</c:f>
              <c:numCache>
                <c:formatCode>#,##0</c:formatCode>
                <c:ptCount val="2"/>
                <c:pt idx="0">
                  <c:v>110.83316985100723</c:v>
                </c:pt>
                <c:pt idx="1">
                  <c:v>0.51476339803897109</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Prijs</a:t>
            </a:r>
            <a:r>
              <a:rPr lang="nl-NL" baseline="0"/>
              <a:t> </a:t>
            </a:r>
            <a:r>
              <a:rPr lang="nl-NL"/>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tx1"/>
            </a:solidFill>
            <a:ln>
              <a:noFill/>
            </a:ln>
            <a:effectLst/>
          </c:spPr>
          <c:invertIfNegative val="0"/>
          <c:cat>
            <c:strRef>
              <c:f>'Monitorings Dashboard'!$C$56:$D$56</c:f>
              <c:strCache>
                <c:ptCount val="2"/>
                <c:pt idx="0">
                  <c:v>Referentieberekening</c:v>
                </c:pt>
                <c:pt idx="1">
                  <c:v>Inschrijfberekening</c:v>
                </c:pt>
              </c:strCache>
            </c:strRef>
          </c:cat>
          <c:val>
            <c:numRef>
              <c:f>'Monitorings Dashboard'!$C$57:$D$57</c:f>
              <c:numCache>
                <c:formatCode>_ [$€-413]\ * #,##0_ ;_ [$€-413]\ * \-#,##0_ ;_ [$€-413]\ * "-"??_ ;_ @_ </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_ [$€-413]\ * #,##0_ ;_ [$€-413]\ * \-#,##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Transport [tkm]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Niet Emissieloos</c:v>
          </c:tx>
          <c:spPr>
            <a:solidFill>
              <a:schemeClr val="accent2"/>
            </a:solidFill>
            <a:ln>
              <a:noFill/>
            </a:ln>
            <a:effectLst/>
          </c:spPr>
          <c:invertIfNegative val="0"/>
          <c:cat>
            <c:strRef>
              <c:f>'Monitorings Dashboard'!$C$44:$D$44</c:f>
              <c:strCache>
                <c:ptCount val="2"/>
                <c:pt idx="0">
                  <c:v>Referentieberekening</c:v>
                </c:pt>
                <c:pt idx="1">
                  <c:v>Inschrijfberekening</c:v>
                </c:pt>
              </c:strCache>
            </c:strRef>
          </c:cat>
          <c:val>
            <c:numRef>
              <c:f>'Monitorings Dashboard'!$C$46:$D$46</c:f>
              <c:numCache>
                <c:formatCode>#,##0</c:formatCode>
                <c:ptCount val="2"/>
                <c:pt idx="0">
                  <c:v>3568267.5750000002</c:v>
                </c:pt>
                <c:pt idx="1">
                  <c:v>204880</c:v>
                </c:pt>
              </c:numCache>
            </c:numRef>
          </c:val>
          <c:extLst>
            <c:ext xmlns:c16="http://schemas.microsoft.com/office/drawing/2014/chart" uri="{C3380CC4-5D6E-409C-BE32-E72D297353CC}">
              <c16:uniqueId val="{00000001-EFC8-40B0-BF8C-C52A251CFC53}"/>
            </c:ext>
          </c:extLst>
        </c:ser>
        <c:ser>
          <c:idx val="0"/>
          <c:order val="1"/>
          <c:tx>
            <c:v>Emissieloos</c:v>
          </c:tx>
          <c:spPr>
            <a:solidFill>
              <a:schemeClr val="accent2">
                <a:lumMod val="40000"/>
                <a:lumOff val="60000"/>
              </a:schemeClr>
            </a:solidFill>
            <a:ln>
              <a:noFill/>
            </a:ln>
            <a:effectLst/>
          </c:spPr>
          <c:invertIfNegative val="0"/>
          <c:cat>
            <c:strRef>
              <c:f>'Monitorings Dashboard'!$C$44:$D$44</c:f>
              <c:strCache>
                <c:ptCount val="2"/>
                <c:pt idx="0">
                  <c:v>Referentieberekening</c:v>
                </c:pt>
                <c:pt idx="1">
                  <c:v>Inschrijfberekening</c:v>
                </c:pt>
              </c:strCache>
            </c:strRef>
          </c:cat>
          <c:val>
            <c:numRef>
              <c:f>'Monitorings Dashboard'!$C$45:$D$45</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Bouwplaats</a:t>
            </a:r>
            <a:r>
              <a:rPr lang="nl-NL" baseline="0"/>
              <a:t> [uur]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Niet Emissieloos</c:v>
          </c:tx>
          <c:spPr>
            <a:solidFill>
              <a:schemeClr val="accent6">
                <a:lumMod val="5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Dashboard'!$C$53:$D$53</c:f>
              <c:numCache>
                <c:formatCode>#,##0</c:formatCode>
                <c:ptCount val="2"/>
                <c:pt idx="0">
                  <c:v>636.36237200000005</c:v>
                </c:pt>
                <c:pt idx="1">
                  <c:v>0.26</c:v>
                </c:pt>
              </c:numCache>
            </c:numRef>
          </c:val>
          <c:extLst>
            <c:ext xmlns:c16="http://schemas.microsoft.com/office/drawing/2014/chart" uri="{C3380CC4-5D6E-409C-BE32-E72D297353CC}">
              <c16:uniqueId val="{00000001-677C-4CCF-88AB-6F7FE36DEF25}"/>
            </c:ext>
          </c:extLst>
        </c:ser>
        <c:ser>
          <c:idx val="0"/>
          <c:order val="1"/>
          <c:tx>
            <c:v>Emissieloos</c:v>
          </c:tx>
          <c:spPr>
            <a:solidFill>
              <a:schemeClr val="accent6">
                <a:lumMod val="60000"/>
                <a:lumOff val="4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Dashboard'!$C$52:$D$52</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[MKI referentieberekening.xlsx]Ontwerp_Backlog!Draaitabel30</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CO2 uitstoot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Ontwerp_Backlog!$U$45</c:f>
              <c:strCache>
                <c:ptCount val="1"/>
                <c:pt idx="0">
                  <c:v>Totaal</c:v>
                </c:pt>
              </c:strCache>
            </c:strRef>
          </c:tx>
          <c:spPr>
            <a:solidFill>
              <a:schemeClr val="accent3"/>
            </a:solidFill>
            <a:ln>
              <a:noFill/>
            </a:ln>
            <a:effectLst/>
          </c:spPr>
          <c:invertIfNegative val="0"/>
          <c:cat>
            <c:strRef>
              <c:f>Ontwerp_Backlog!$T$46:$T$49</c:f>
              <c:strCache>
                <c:ptCount val="3"/>
                <c:pt idx="0">
                  <c:v>0</c:v>
                </c:pt>
                <c:pt idx="1">
                  <c:v>Baseline</c:v>
                </c:pt>
                <c:pt idx="2">
                  <c:v>Variant 1</c:v>
                </c:pt>
              </c:strCache>
            </c:strRef>
          </c:cat>
          <c:val>
            <c:numRef>
              <c:f>Ontwerp_Backlog!$U$46:$U$49</c:f>
              <c:numCache>
                <c:formatCode>General</c:formatCode>
                <c:ptCount val="3"/>
                <c:pt idx="0">
                  <c:v>0</c:v>
                </c:pt>
                <c:pt idx="1">
                  <c:v>3999.4746929064795</c:v>
                </c:pt>
                <c:pt idx="2">
                  <c:v>#N/A</c:v>
                </c:pt>
              </c:numCache>
            </c:numRef>
          </c:val>
          <c:extLst>
            <c:ext xmlns:c16="http://schemas.microsoft.com/office/drawing/2014/chart" uri="{C3380CC4-5D6E-409C-BE32-E72D297353CC}">
              <c16:uniqueId val="{00000000-CD8A-4756-9556-7F3307F7246D}"/>
            </c:ext>
          </c:extLst>
        </c:ser>
        <c:dLbls>
          <c:showLegendKey val="0"/>
          <c:showVal val="0"/>
          <c:showCatName val="0"/>
          <c:showSerName val="0"/>
          <c:showPercent val="0"/>
          <c:showBubbleSize val="0"/>
        </c:dLbls>
        <c:gapWidth val="219"/>
        <c:overlap val="100"/>
        <c:axId val="172638615"/>
        <c:axId val="172640583"/>
      </c:barChart>
      <c:catAx>
        <c:axId val="172638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172640583"/>
        <c:crosses val="autoZero"/>
        <c:auto val="1"/>
        <c:lblAlgn val="ctr"/>
        <c:lblOffset val="100"/>
        <c:noMultiLvlLbl val="0"/>
      </c:catAx>
      <c:valAx>
        <c:axId val="172640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2638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[MKI referentieberekening.xlsx]Ontwerp_Backlog!Draaitabel2</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Materiaalverbruik [ton]</a:t>
            </a:r>
            <a:r>
              <a:rPr lang="en-NL" sz="1400" b="1" i="0" u="none" strike="noStrike" baseline="0">
                <a:effectLst/>
              </a:rPr>
              <a:t> </a:t>
            </a:r>
            <a:r>
              <a:rPr lang="en-NL" sz="1400" b="1" i="0" u="none" strike="noStrike" baseline="0"/>
              <a:t> </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lumMod val="50000"/>
            </a:schemeClr>
          </a:solidFill>
          <a:ln>
            <a:noFill/>
          </a:ln>
          <a:effectLst/>
        </c:spPr>
        <c:marker>
          <c:symbol val="none"/>
        </c:marker>
      </c:pivotFmt>
      <c:pivotFmt>
        <c:idx val="1"/>
        <c:spPr>
          <a:solidFill>
            <a:schemeClr val="accent1">
              <a:lumMod val="60000"/>
              <a:lumOff val="40000"/>
            </a:schemeClr>
          </a:solidFill>
          <a:ln>
            <a:noFill/>
          </a:ln>
          <a:effectLst/>
        </c:spPr>
        <c:marker>
          <c:symbol val="none"/>
        </c:marker>
      </c:pivotFmt>
      <c:pivotFmt>
        <c:idx val="2"/>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
        <c:dLbl>
          <c:idx val="0"/>
          <c:tx>
            <c:strRef>
              <c:f>Ontwerp_Backlog!$Y$91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{3709B9FB-D913-4F0C-8FFE-9DFCB8EA62F1}</c15:txfldGUID>
                  <c15:f>Ontwerp_Backlog!$Y$91</c15:f>
                  <c15:dlblFieldTableCache>
                    <c:ptCount val="1"/>
                    <c:pt idx="0">
                      <c:v>#VERW!</c:v>
                    </c:pt>
                  </c15:dlblFieldTableCache>
                </c15:dlblFTEntry>
              </c15:dlblFieldTable>
              <c15:showDataLabelsRange val="0"/>
            </c:ext>
          </c:extLst>
        </c:dLbl>
      </c:pivotFmt>
      <c:pivotFmt>
        <c:idx val="52"/>
        <c:dLbl>
          <c:idx val="0"/>
          <c:tx>
            <c:strRef>
              <c:f>Ontwerp_Backlog!$Y$92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{B39DB2B4-D82A-4F3C-8CCA-6E3AD420D442}</c15:txfldGUID>
                  <c15:f>Ontwerp_Backlog!$Y$92</c15:f>
                  <c15:dlblFieldTableCache>
                    <c:ptCount val="1"/>
                    <c:pt idx="0">
                      <c:v>#VERW!</c:v>
                    </c:pt>
                  </c15:dlblFieldTableCache>
                </c15:dlblFTEntry>
              </c15:dlblFieldTable>
              <c15:showDataLabelsRange val="0"/>
            </c:ext>
          </c:extLst>
        </c:dLbl>
      </c:pivotFmt>
      <c:pivotFmt>
        <c:idx val="53"/>
        <c:dLbl>
          <c:idx val="0"/>
          <c:tx>
            <c:strRef>
              <c:f>Ontwerp_Backlog!$Y$93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{7FBCFD54-8F5E-4184-805D-5DED0FE2D9EE}</c15:txfldGUID>
                  <c15:f>Ontwerp_Backlog!$Y$93</c15:f>
                  <c15:dlblFieldTableCache>
                    <c:ptCount val="1"/>
                    <c:pt idx="0">
                      <c:v>#VERW!</c:v>
                    </c:pt>
                  </c15:dlblFieldTableCache>
                </c15:dlblFTEntry>
              </c15:dlblFieldTable>
              <c15:showDataLabelsRange val="0"/>
            </c:ext>
          </c:extLst>
        </c:dLbl>
      </c:pivotFmt>
      <c:pivotFmt>
        <c:idx val="54"/>
        <c:dLbl>
          <c:idx val="0"/>
          <c:tx>
            <c:strRef>
              <c:f>Ontwerp_Backlog!$Y$94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{4E9F7F88-C8C0-47EE-BAB5-5DFB24FC745A}</c15:txfldGUID>
                  <c15:f>Ontwerp_Backlog!$Y$94</c15:f>
                  <c15:dlblFieldTableCache>
                    <c:ptCount val="1"/>
                    <c:pt idx="0">
                      <c:v>#VERW!</c:v>
                    </c:pt>
                  </c15:dlblFieldTableCache>
                </c15:dlblFTEntry>
              </c15:dlblFieldTable>
              <c15:showDataLabelsRange val="0"/>
            </c:ext>
          </c:extLst>
        </c:dLbl>
      </c:pivotFmt>
      <c:pivotFmt>
        <c:idx val="55"/>
        <c:dLbl>
          <c:idx val="0"/>
          <c:tx>
            <c:strRef>
              <c:f>Ontwerp_Backlog!$Y$95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{AE1ED070-8EC1-45A1-B436-E05909E6F57B}</c15:txfldGUID>
                  <c15:f>Ontwerp_Backlog!$Y$95</c15:f>
                  <c15:dlblFieldTableCache>
                    <c:ptCount val="1"/>
                    <c:pt idx="0">
                      <c:v>#VERW!</c:v>
                    </c:pt>
                  </c15:dlblFieldTableCache>
                </c15:dlblFTEntry>
              </c15:dlblFieldTable>
              <c15:showDataLabelsRange val="0"/>
            </c:ext>
          </c:extLst>
        </c:dLbl>
      </c:pivotFmt>
      <c:pivotFmt>
        <c:idx val="56"/>
        <c:dLbl>
          <c:idx val="0"/>
          <c:tx>
            <c:strRef>
              <c:f>Ontwerp_Backlog!$Y$96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{388E8923-C831-4A9A-A600-57C3E2888784}</c15:txfldGUID>
                  <c15:f>Ontwerp_Backlog!$Y$96</c15:f>
                  <c15:dlblFieldTableCache>
                    <c:ptCount val="1"/>
                    <c:pt idx="0">
                      <c:v>#VERW!</c:v>
                    </c:pt>
                  </c15:dlblFieldTableCache>
                </c15:dlblFTEntry>
              </c15:dlblFieldTable>
              <c15:showDataLabelsRange val="0"/>
            </c:ext>
          </c:extLst>
        </c:dLbl>
      </c:pivotFmt>
      <c:pivotFmt>
        <c:idx val="57"/>
        <c:dLbl>
          <c:idx val="0"/>
          <c:tx>
            <c:strRef>
              <c:f>Ontwerp_Backlog!$Z$91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{6868E53E-BF2E-487A-A4CC-9C92B801F15E}</c15:txfldGUID>
                  <c15:f>Ontwerp_Backlog!$Z$91</c15:f>
                  <c15:dlblFieldTableCache>
                    <c:ptCount val="1"/>
                    <c:pt idx="0">
                      <c:v>#VERW!</c:v>
                    </c:pt>
                  </c15:dlblFieldTableCache>
                </c15:dlblFTEntry>
              </c15:dlblFieldTable>
              <c15:showDataLabelsRange val="0"/>
            </c:ext>
          </c:extLst>
        </c:dLbl>
      </c:pivotFmt>
      <c:pivotFmt>
        <c:idx val="58"/>
        <c:dLbl>
          <c:idx val="0"/>
          <c:tx>
            <c:strRef>
              <c:f>Ontwerp_Backlog!$Z$92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{476E796A-7C1A-4480-8FE8-E5917BFA2858}</c15:txfldGUID>
                  <c15:f>Ontwerp_Backlog!$Z$92</c15:f>
                  <c15:dlblFieldTableCache>
                    <c:ptCount val="1"/>
                    <c:pt idx="0">
                      <c:v>#VERW!</c:v>
                    </c:pt>
                  </c15:dlblFieldTableCache>
                </c15:dlblFTEntry>
              </c15:dlblFieldTable>
              <c15:showDataLabelsRange val="0"/>
            </c:ext>
          </c:extLst>
        </c:dLbl>
      </c:pivotFmt>
      <c:pivotFmt>
        <c:idx val="59"/>
        <c:dLbl>
          <c:idx val="0"/>
          <c:tx>
            <c:strRef>
              <c:f>Ontwerp_Backlog!$Z$93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{C71AB05D-3B83-4F8E-9C83-5D7A068F6973}</c15:txfldGUID>
                  <c15:f>Ontwerp_Backlog!$Z$93</c15:f>
                  <c15:dlblFieldTableCache>
                    <c:ptCount val="1"/>
                    <c:pt idx="0">
                      <c:v>#VERW!</c:v>
                    </c:pt>
                  </c15:dlblFieldTableCache>
                </c15:dlblFTEntry>
              </c15:dlblFieldTable>
              <c15:showDataLabelsRange val="0"/>
            </c:ext>
          </c:extLst>
        </c:dLbl>
      </c:pivotFmt>
      <c:pivotFmt>
        <c:idx val="60"/>
        <c:dLbl>
          <c:idx val="0"/>
          <c:tx>
            <c:strRef>
              <c:f>Ontwerp_Backlog!$Z$94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{31948F5E-1233-4E20-8839-23EC10585E3C}</c15:txfldGUID>
                  <c15:f>Ontwerp_Backlog!$Z$94</c15:f>
                  <c15:dlblFieldTableCache>
                    <c:ptCount val="1"/>
                    <c:pt idx="0">
                      <c:v>#VERW!</c:v>
                    </c:pt>
                  </c15:dlblFieldTableCache>
                </c15:dlblFTEntry>
              </c15:dlblFieldTable>
              <c15:showDataLabelsRange val="0"/>
            </c:ext>
          </c:extLst>
        </c:dLbl>
      </c:pivotFmt>
      <c:pivotFmt>
        <c:idx val="61"/>
        <c:dLbl>
          <c:idx val="0"/>
          <c:tx>
            <c:strRef>
              <c:f>Ontwerp_Backlog!$Z$95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{1ACC531B-0113-4153-8BC1-759CCE1EA504}</c15:txfldGUID>
                  <c15:f>Ontwerp_Backlog!$Z$95</c15:f>
                  <c15:dlblFieldTableCache>
                    <c:ptCount val="1"/>
                    <c:pt idx="0">
                      <c:v>#VERW!</c:v>
                    </c:pt>
                  </c15:dlblFieldTableCache>
                </c15:dlblFTEntry>
              </c15:dlblFieldTable>
              <c15:showDataLabelsRange val="0"/>
            </c:ext>
          </c:extLst>
        </c:dLbl>
      </c:pivotFmt>
      <c:pivotFmt>
        <c:idx val="62"/>
        <c:dLbl>
          <c:idx val="0"/>
          <c:tx>
            <c:strRef>
              <c:f>Ontwerp_Backlog!$Z$96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{995A036A-7B63-4400-965C-D0C38126D05E}</c15:txfldGUID>
                  <c15:f>Ontwerp_Backlog!$Z$96</c15:f>
                  <c15:dlblFieldTableCache>
                    <c:ptCount val="1"/>
                    <c:pt idx="0">
                      <c:v>#VERW!</c:v>
                    </c:pt>
                  </c15:dlblFieldTableCache>
                </c15:dlblFTEntry>
              </c15:dlblFieldTable>
              <c15:showDataLabelsRange val="0"/>
            </c:ext>
          </c:extLst>
        </c:dLbl>
      </c:pivotFmt>
      <c:pivotFmt>
        <c:idx val="63"/>
        <c:spPr>
          <a:solidFill>
            <a:schemeClr val="accent1">
              <a:lumMod val="60000"/>
              <a:lumOff val="40000"/>
            </a:schemeClr>
          </a:solidFill>
          <a:ln>
            <a:noFill/>
          </a:ln>
          <a:effectLst/>
        </c:spPr>
        <c:dLbl>
          <c:idx val="0"/>
          <c:tx>
            <c:strRef>
              <c:f>Ontwerp_Backlog!$Z$91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{A93A7072-F0E1-4263-B96C-E9F6BFF12996}</c15:txfldGUID>
                  <c15:f>Ontwerp_Backlog!$Z$91</c15:f>
                  <c15:dlblFieldTableCache>
                    <c:ptCount val="1"/>
                    <c:pt idx="0">
                      <c:v>#VERW!</c:v>
                    </c:pt>
                  </c15:dlblFieldTableCache>
                </c15:dlblFTEntry>
              </c15:dlblFieldTable>
              <c15:showDataLabelsRange val="0"/>
            </c:ext>
          </c:extLst>
        </c:dLbl>
      </c:pivotFmt>
      <c:pivotFmt>
        <c:idx val="64"/>
        <c:spPr>
          <a:solidFill>
            <a:schemeClr val="accent1">
              <a:lumMod val="60000"/>
              <a:lumOff val="40000"/>
            </a:schemeClr>
          </a:solidFill>
          <a:ln>
            <a:noFill/>
          </a:ln>
          <a:effectLst/>
        </c:spPr>
        <c:dLbl>
          <c:idx val="0"/>
          <c:tx>
            <c:strRef>
              <c:f>Ontwerp_Backlog!$Z$92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{F28AEB9A-E021-4318-B0E2-98BD8F355D35}</c15:txfldGUID>
                  <c15:f>Ontwerp_Backlog!$Z$92</c15:f>
                  <c15:dlblFieldTableCache>
                    <c:ptCount val="1"/>
                    <c:pt idx="0">
                      <c:v>#VERW!</c:v>
                    </c:pt>
                  </c15:dlblFieldTableCache>
                </c15:dlblFTEntry>
              </c15:dlblFieldTable>
              <c15:showDataLabelsRange val="0"/>
            </c:ext>
          </c:extLst>
        </c:dLbl>
      </c:pivotFmt>
      <c:pivotFmt>
        <c:idx val="65"/>
        <c:spPr>
          <a:solidFill>
            <a:schemeClr val="accent1">
              <a:lumMod val="60000"/>
              <a:lumOff val="40000"/>
            </a:schemeClr>
          </a:solidFill>
          <a:ln>
            <a:noFill/>
          </a:ln>
          <a:effectLst/>
        </c:spPr>
        <c:dLbl>
          <c:idx val="0"/>
          <c:tx>
            <c:strRef>
              <c:f>Ontwerp_Backlog!$Z$93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{3BFE18DD-8353-4247-88E4-8E0E2A355E72}</c15:txfldGUID>
                  <c15:f>Ontwerp_Backlog!$Z$93</c15:f>
                  <c15:dlblFieldTableCache>
                    <c:ptCount val="1"/>
                    <c:pt idx="0">
                      <c:v>#VERW!</c:v>
                    </c:pt>
                  </c15:dlblFieldTableCache>
                </c15:dlblFTEntry>
              </c15:dlblFieldTable>
              <c15:showDataLabelsRange val="0"/>
            </c:ext>
          </c:extLst>
        </c:dLbl>
      </c:pivotFmt>
      <c:pivotFmt>
        <c:idx val="66"/>
        <c:spPr>
          <a:solidFill>
            <a:schemeClr val="accent1">
              <a:lumMod val="60000"/>
              <a:lumOff val="40000"/>
            </a:schemeClr>
          </a:solidFill>
          <a:ln>
            <a:noFill/>
          </a:ln>
          <a:effectLst/>
        </c:spPr>
        <c:dLbl>
          <c:idx val="0"/>
          <c:tx>
            <c:strRef>
              <c:f>Ontwerp_Backlog!$Z$94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{7D79F6F8-AD2A-46D4-9A0A-29ECF5A48E39}</c15:txfldGUID>
                  <c15:f>Ontwerp_Backlog!$Z$94</c15:f>
                  <c15:dlblFieldTableCache>
                    <c:ptCount val="1"/>
                    <c:pt idx="0">
                      <c:v>#VERW!</c:v>
                    </c:pt>
                  </c15:dlblFieldTableCache>
                </c15:dlblFTEntry>
              </c15:dlblFieldTable>
              <c15:showDataLabelsRange val="0"/>
            </c:ext>
          </c:extLst>
        </c:dLbl>
      </c:pivotFmt>
      <c:pivotFmt>
        <c:idx val="67"/>
        <c:spPr>
          <a:solidFill>
            <a:schemeClr val="accent1">
              <a:lumMod val="60000"/>
              <a:lumOff val="40000"/>
            </a:schemeClr>
          </a:solidFill>
          <a:ln>
            <a:noFill/>
          </a:ln>
          <a:effectLst/>
        </c:spPr>
        <c:dLbl>
          <c:idx val="0"/>
          <c:tx>
            <c:strRef>
              <c:f>Ontwerp_Backlog!$Z$95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{BE2D7CEB-A66A-4FB8-93BF-E54A7148FF18}</c15:txfldGUID>
                  <c15:f>Ontwerp_Backlog!$Z$95</c15:f>
                  <c15:dlblFieldTableCache>
                    <c:ptCount val="1"/>
                    <c:pt idx="0">
                      <c:v>#VERW!</c:v>
                    </c:pt>
                  </c15:dlblFieldTableCache>
                </c15:dlblFTEntry>
              </c15:dlblFieldTable>
              <c15:showDataLabelsRange val="0"/>
            </c:ext>
          </c:extLst>
        </c:dLbl>
      </c:pivotFmt>
      <c:pivotFmt>
        <c:idx val="68"/>
        <c:spPr>
          <a:solidFill>
            <a:schemeClr val="accent1">
              <a:lumMod val="60000"/>
              <a:lumOff val="40000"/>
            </a:schemeClr>
          </a:solidFill>
          <a:ln>
            <a:noFill/>
          </a:ln>
          <a:effectLst/>
        </c:spPr>
        <c:dLbl>
          <c:idx val="0"/>
          <c:tx>
            <c:strRef>
              <c:f>Ontwerp_Backlog!$Z$96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{741A388F-EE45-468A-8051-9C566CEDE8E7}</c15:txfldGUID>
                  <c15:f>Ontwerp_Backlog!$Z$96</c15:f>
                  <c15:dlblFieldTableCache>
                    <c:ptCount val="1"/>
                    <c:pt idx="0">
                      <c:v>#VERW!</c:v>
                    </c:pt>
                  </c15:dlblFieldTableCache>
                </c15:dlblFTEntry>
              </c15:dlblFieldTable>
              <c15:showDataLabelsRange val="0"/>
            </c:ext>
          </c:extLst>
        </c:dLbl>
      </c:pivotFmt>
      <c:pivotFmt>
        <c:idx val="69"/>
        <c:spPr>
          <a:solidFill>
            <a:schemeClr val="accent1">
              <a:lumMod val="50000"/>
            </a:schemeClr>
          </a:solidFill>
          <a:ln>
            <a:noFill/>
          </a:ln>
          <a:effectLst/>
        </c:spPr>
        <c:dLbl>
          <c:idx val="0"/>
          <c:tx>
            <c:strRef>
              <c:f>Ontwerp_Backlog!$Y$91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{1742BF0E-7A4C-4952-A6F5-DEBCAF911045}</c15:txfldGUID>
                  <c15:f>Ontwerp_Backlog!$Y$91</c15:f>
                  <c15:dlblFieldTableCache>
                    <c:ptCount val="1"/>
                    <c:pt idx="0">
                      <c:v>#VERW!</c:v>
                    </c:pt>
                  </c15:dlblFieldTableCache>
                </c15:dlblFTEntry>
              </c15:dlblFieldTable>
              <c15:showDataLabelsRange val="0"/>
            </c:ext>
          </c:extLst>
        </c:dLbl>
      </c:pivotFmt>
      <c:pivotFmt>
        <c:idx val="70"/>
        <c:spPr>
          <a:solidFill>
            <a:schemeClr val="accent1">
              <a:lumMod val="50000"/>
            </a:schemeClr>
          </a:solidFill>
          <a:ln>
            <a:noFill/>
          </a:ln>
          <a:effectLst/>
        </c:spPr>
        <c:dLbl>
          <c:idx val="0"/>
          <c:tx>
            <c:strRef>
              <c:f>Ontwerp_Backlog!$Y$92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{E95D6E36-1B09-4DBF-B5E0-B656C49E9746}</c15:txfldGUID>
                  <c15:f>Ontwerp_Backlog!$Y$92</c15:f>
                  <c15:dlblFieldTableCache>
                    <c:ptCount val="1"/>
                    <c:pt idx="0">
                      <c:v>#VERW!</c:v>
                    </c:pt>
                  </c15:dlblFieldTableCache>
                </c15:dlblFTEntry>
              </c15:dlblFieldTable>
              <c15:showDataLabelsRange val="0"/>
            </c:ext>
          </c:extLst>
        </c:dLbl>
      </c:pivotFmt>
      <c:pivotFmt>
        <c:idx val="71"/>
        <c:spPr>
          <a:solidFill>
            <a:schemeClr val="accent1">
              <a:lumMod val="50000"/>
            </a:schemeClr>
          </a:solidFill>
          <a:ln>
            <a:noFill/>
          </a:ln>
          <a:effectLst/>
        </c:spPr>
        <c:dLbl>
          <c:idx val="0"/>
          <c:tx>
            <c:strRef>
              <c:f>Ontwerp_Backlog!$Y$93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{38A508E6-EA6F-4C5F-B251-8E60BDEB1306}</c15:txfldGUID>
                  <c15:f>Ontwerp_Backlog!$Y$93</c15:f>
                  <c15:dlblFieldTableCache>
                    <c:ptCount val="1"/>
                    <c:pt idx="0">
                      <c:v>#VERW!</c:v>
                    </c:pt>
                  </c15:dlblFieldTableCache>
                </c15:dlblFTEntry>
              </c15:dlblFieldTable>
              <c15:showDataLabelsRange val="0"/>
            </c:ext>
          </c:extLst>
        </c:dLbl>
      </c:pivotFmt>
      <c:pivotFmt>
        <c:idx val="72"/>
        <c:spPr>
          <a:solidFill>
            <a:schemeClr val="accent1">
              <a:lumMod val="50000"/>
            </a:schemeClr>
          </a:solidFill>
          <a:ln>
            <a:noFill/>
          </a:ln>
          <a:effectLst/>
        </c:spPr>
        <c:dLbl>
          <c:idx val="0"/>
          <c:tx>
            <c:strRef>
              <c:f>Ontwerp_Backlog!$Y$94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{E00E4E1F-0397-4F84-A211-A22AFFBE8BDE}</c15:txfldGUID>
                  <c15:f>Ontwerp_Backlog!$Y$94</c15:f>
                  <c15:dlblFieldTableCache>
                    <c:ptCount val="1"/>
                    <c:pt idx="0">
                      <c:v>#VERW!</c:v>
                    </c:pt>
                  </c15:dlblFieldTableCache>
                </c15:dlblFTEntry>
              </c15:dlblFieldTable>
              <c15:showDataLabelsRange val="0"/>
            </c:ext>
          </c:extLst>
        </c:dLbl>
      </c:pivotFmt>
      <c:pivotFmt>
        <c:idx val="73"/>
        <c:spPr>
          <a:solidFill>
            <a:schemeClr val="accent1">
              <a:lumMod val="50000"/>
            </a:schemeClr>
          </a:solidFill>
          <a:ln>
            <a:noFill/>
          </a:ln>
          <a:effectLst/>
        </c:spPr>
        <c:dLbl>
          <c:idx val="0"/>
          <c:tx>
            <c:strRef>
              <c:f>Ontwerp_Backlog!$Y$95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{B4370FB4-4088-41A8-B7E7-9CA16933FC19}</c15:txfldGUID>
                  <c15:f>Ontwerp_Backlog!$Y$95</c15:f>
                  <c15:dlblFieldTableCache>
                    <c:ptCount val="1"/>
                    <c:pt idx="0">
                      <c:v>#VERW!</c:v>
                    </c:pt>
                  </c15:dlblFieldTableCache>
                </c15:dlblFTEntry>
              </c15:dlblFieldTable>
              <c15:showDataLabelsRange val="0"/>
            </c:ext>
          </c:extLst>
        </c:dLbl>
      </c:pivotFmt>
      <c:pivotFmt>
        <c:idx val="74"/>
        <c:spPr>
          <a:solidFill>
            <a:schemeClr val="accent1">
              <a:lumMod val="50000"/>
            </a:schemeClr>
          </a:solidFill>
          <a:ln>
            <a:noFill/>
          </a:ln>
          <a:effectLst/>
        </c:spPr>
        <c:dLbl>
          <c:idx val="0"/>
          <c:tx>
            <c:strRef>
              <c:f>Ontwerp_Backlog!$Y$96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{6732B765-7AC5-423D-8E51-C1B704A0C023}</c15:txfldGUID>
                  <c15:f>Ontwerp_Backlog!$Y$96</c15:f>
                  <c15:dlblFieldTableCache>
                    <c:ptCount val="1"/>
                    <c:pt idx="0">
                      <c:v>#VERW!</c:v>
                    </c:pt>
                  </c15:dlblFieldTableCache>
                </c15:dlblFTEntry>
              </c15:dlblFieldTable>
              <c15:showDataLabelsRange val="0"/>
            </c:ext>
          </c:extLst>
        </c:dLbl>
      </c:pivotFmt>
      <c:pivotFmt>
        <c:idx val="75"/>
        <c:spPr>
          <a:solidFill>
            <a:schemeClr val="accent1">
              <a:lumMod val="60000"/>
              <a:lumOff val="40000"/>
            </a:schemeClr>
          </a:solidFill>
          <a:ln>
            <a:noFill/>
          </a:ln>
          <a:effectLst/>
        </c:spPr>
        <c:dLbl>
          <c:idx val="0"/>
          <c:tx>
            <c:strRef>
              <c:f>Ontwerp_Backlog!$Z$97</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{B09BFB36-3CB9-442B-8973-769995D8305D}</c15:txfldGUID>
                  <c15:f>Ontwerp_Backlog!$Z$97</c15:f>
                  <c15:dlblFieldTableCache>
                    <c:ptCount val="1"/>
                    <c:pt idx="0">
                      <c:v>#VERW!</c:v>
                    </c:pt>
                  </c15:dlblFieldTableCache>
                </c15:dlblFTEntry>
              </c15:dlblFieldTable>
              <c15:showDataLabelsRange val="0"/>
            </c:ext>
          </c:extLst>
        </c:dLbl>
      </c:pivotFmt>
      <c:pivotFmt>
        <c:idx val="76"/>
        <c:spPr>
          <a:solidFill>
            <a:schemeClr val="accent1">
              <a:lumMod val="60000"/>
              <a:lumOff val="40000"/>
            </a:schemeClr>
          </a:solidFill>
          <a:ln>
            <a:noFill/>
          </a:ln>
          <a:effectLst/>
        </c:spPr>
        <c:dLbl>
          <c:idx val="0"/>
          <c:tx>
            <c:strRef>
              <c:f>Ontwerp_Backlog!$Z$98</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{6CA359B5-80F7-405D-B295-B8A7E9A595AE}</c15:txfldGUID>
                  <c15:f>Ontwerp_Backlog!$Z$98</c15:f>
                  <c15:dlblFieldTableCache>
                    <c:ptCount val="1"/>
                    <c:pt idx="0">
                      <c:v>#VERW!</c:v>
                    </c:pt>
                  </c15:dlblFieldTableCache>
                </c15:dlblFTEntry>
              </c15:dlblFieldTable>
              <c15:showDataLabelsRange val="0"/>
            </c:ext>
          </c:extLst>
        </c:dLbl>
      </c:pivotFmt>
      <c:pivotFmt>
        <c:idx val="77"/>
        <c:spPr>
          <a:solidFill>
            <a:schemeClr val="accent1">
              <a:lumMod val="50000"/>
            </a:schemeClr>
          </a:solidFill>
          <a:ln>
            <a:noFill/>
          </a:ln>
          <a:effectLst/>
        </c:spPr>
        <c:dLbl>
          <c:idx val="0"/>
          <c:tx>
            <c:strRef>
              <c:f>Ontwerp_Backlog!$Y$97</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{C99718DB-EE4E-439D-8859-15C0FA8B2CB5}</c15:txfldGUID>
                  <c15:f>Ontwerp_Backlog!$Y$97</c15:f>
                  <c15:dlblFieldTableCache>
                    <c:ptCount val="1"/>
                    <c:pt idx="0">
                      <c:v>#VERW!</c:v>
                    </c:pt>
                  </c15:dlblFieldTableCache>
                </c15:dlblFTEntry>
              </c15:dlblFieldTable>
              <c15:showDataLabelsRange val="0"/>
            </c:ext>
          </c:extLst>
        </c:dLbl>
      </c:pivotFmt>
      <c:pivotFmt>
        <c:idx val="78"/>
        <c:spPr>
          <a:solidFill>
            <a:schemeClr val="accent1">
              <a:lumMod val="50000"/>
            </a:schemeClr>
          </a:solidFill>
          <a:ln>
            <a:noFill/>
          </a:ln>
          <a:effectLst/>
        </c:spPr>
        <c:dLbl>
          <c:idx val="0"/>
          <c:tx>
            <c:strRef>
              <c:f>Ontwerp_Backlog!$Y$98</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{1814E62C-78C2-4076-B912-B3C45E0B77B5}</c15:txfldGUID>
                  <c15:f>Ontwerp_Backlog!$Y$98</c15:f>
                  <c15:dlblFieldTableCache>
                    <c:ptCount val="1"/>
                    <c:pt idx="0">
                      <c:v>#VERW!</c:v>
                    </c:pt>
                  </c15:dlblFieldTableCache>
                </c15:dlblFTEntry>
              </c15:dlblFieldTable>
              <c15:showDataLabelsRange val="0"/>
            </c:ext>
          </c:extLst>
        </c:dLbl>
      </c:pivotFmt>
    </c:pivotFmts>
    <c:plotArea>
      <c:layout/>
      <c:barChart>
        <c:barDir val="col"/>
        <c:grouping val="stacked"/>
        <c:varyColors val="0"/>
        <c:ser>
          <c:idx val="0"/>
          <c:order val="0"/>
          <c:tx>
            <c:strRef>
              <c:f>Ontwerp_Backlog!$Y$91</c:f>
              <c:strCache>
                <c:ptCount val="1"/>
                <c:pt idx="0">
                  <c:v>Primair materiaalverbruik</c:v>
                </c:pt>
              </c:strCache>
            </c:strRef>
          </c:tx>
          <c:spPr>
            <a:solidFill>
              <a:schemeClr val="accent1">
                <a:lumMod val="50000"/>
              </a:schemeClr>
            </a:solidFill>
            <a:ln>
              <a:noFill/>
            </a:ln>
            <a:effectLst/>
          </c:spPr>
          <c:invertIfNegative val="0"/>
          <c:dPt>
            <c:idx val="0"/>
            <c:invertIfNegative val="0"/>
            <c:bubble3D val="0"/>
            <c:extLst>
              <c:ext xmlns:c16="http://schemas.microsoft.com/office/drawing/2014/chart" uri="{C3380CC4-5D6E-409C-BE32-E72D297353CC}">
                <c16:uniqueId val="{00000007-414C-4505-B0C9-C0468DC11E02}"/>
              </c:ext>
            </c:extLst>
          </c:dPt>
          <c:dPt>
            <c:idx val="1"/>
            <c:invertIfNegative val="0"/>
            <c:bubble3D val="0"/>
            <c:extLst>
              <c:ext xmlns:c16="http://schemas.microsoft.com/office/drawing/2014/chart" uri="{C3380CC4-5D6E-409C-BE32-E72D297353CC}">
                <c16:uniqueId val="{0000000B-414C-4505-B0C9-C0468DC11E02}"/>
              </c:ext>
            </c:extLst>
          </c:dPt>
          <c:dPt>
            <c:idx val="2"/>
            <c:invertIfNegative val="0"/>
            <c:bubble3D val="0"/>
            <c:extLst>
              <c:ext xmlns:c16="http://schemas.microsoft.com/office/drawing/2014/chart" uri="{C3380CC4-5D6E-409C-BE32-E72D297353CC}">
                <c16:uniqueId val="{0000000C-414C-4505-B0C9-C0468DC11E02}"/>
              </c:ext>
            </c:extLst>
          </c:dPt>
          <c:dPt>
            <c:idx val="3"/>
            <c:invertIfNegative val="0"/>
            <c:bubble3D val="0"/>
            <c:extLst>
              <c:ext xmlns:c16="http://schemas.microsoft.com/office/drawing/2014/chart" uri="{C3380CC4-5D6E-409C-BE32-E72D297353CC}">
                <c16:uniqueId val="{0000000D-414C-4505-B0C9-C0468DC11E02}"/>
              </c:ext>
            </c:extLst>
          </c:dPt>
          <c:dPt>
            <c:idx val="4"/>
            <c:invertIfNegative val="0"/>
            <c:bubble3D val="0"/>
            <c:extLst>
              <c:ext xmlns:c16="http://schemas.microsoft.com/office/drawing/2014/chart" uri="{C3380CC4-5D6E-409C-BE32-E72D297353CC}">
                <c16:uniqueId val="{0000000E-414C-4505-B0C9-C0468DC11E02}"/>
              </c:ext>
            </c:extLst>
          </c:dPt>
          <c:dPt>
            <c:idx val="5"/>
            <c:invertIfNegative val="0"/>
            <c:bubble3D val="0"/>
            <c:extLst>
              <c:ext xmlns:c16="http://schemas.microsoft.com/office/drawing/2014/chart" uri="{C3380CC4-5D6E-409C-BE32-E72D297353CC}">
                <c16:uniqueId val="{0000000F-414C-4505-B0C9-C0468DC11E02}"/>
              </c:ext>
            </c:extLst>
          </c:dPt>
          <c:dPt>
            <c:idx val="6"/>
            <c:invertIfNegative val="0"/>
            <c:bubble3D val="0"/>
            <c:extLst>
              <c:ext xmlns:c16="http://schemas.microsoft.com/office/drawing/2014/chart" uri="{C3380CC4-5D6E-409C-BE32-E72D297353CC}">
                <c16:uniqueId val="{0000000E-5A25-41AA-B773-07A5EDC7205B}"/>
              </c:ext>
            </c:extLst>
          </c:dPt>
          <c:dPt>
            <c:idx val="7"/>
            <c:invertIfNegative val="0"/>
            <c:bubble3D val="0"/>
            <c:extLst>
              <c:ext xmlns:c16="http://schemas.microsoft.com/office/drawing/2014/chart" uri="{C3380CC4-5D6E-409C-BE32-E72D297353CC}">
                <c16:uniqueId val="{0000000F-5A25-41AA-B773-07A5EDC7205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3"/>
                <c:pt idx="0">
                  <c:v>0</c:v>
                </c:pt>
                <c:pt idx="1">
                  <c:v>Baseline</c:v>
                </c:pt>
                <c:pt idx="2">
                  <c:v>Variant 1</c:v>
                </c:pt>
              </c:strCache>
            </c:strRef>
          </c:cat>
          <c:val>
            <c:numRef>
              <c:f>Ontwerp_Backlog!$Y$91</c:f>
              <c:numCache>
                <c:formatCode>General</c:formatCode>
                <c:ptCount val="3"/>
                <c:pt idx="0">
                  <c:v>0</c:v>
                </c:pt>
                <c:pt idx="1">
                  <c:v>#N/A</c:v>
                </c:pt>
                <c:pt idx="2">
                  <c:v>#N/A</c:v>
                </c:pt>
              </c:numCache>
            </c:numRef>
          </c:val>
          <c:extLst>
            <c:ext xmlns:c16="http://schemas.microsoft.com/office/drawing/2014/chart" uri="{C3380CC4-5D6E-409C-BE32-E72D297353CC}">
              <c16:uniqueId val="{00000000-2C02-48F3-9E38-B90895DE55C0}"/>
            </c:ext>
          </c:extLst>
        </c:ser>
        <c:ser>
          <c:idx val="1"/>
          <c:order val="1"/>
          <c:tx>
            <c:strRef>
              <c:f>Ontwerp_Backlog!$Y$91</c:f>
              <c:strCache>
                <c:ptCount val="1"/>
                <c:pt idx="0">
                  <c:v>Secundair materiaalverbruik</c:v>
                </c:pt>
              </c:strCache>
            </c:strRef>
          </c:tx>
          <c:spPr>
            <a:solidFill>
              <a:schemeClr val="accent1">
                <a:lumMod val="60000"/>
                <a:lumOff val="40000"/>
              </a:schemeClr>
            </a:solidFill>
            <a:ln>
              <a:noFill/>
            </a:ln>
            <a:effectLst/>
          </c:spPr>
          <c:invertIfNegative val="0"/>
          <c:dPt>
            <c:idx val="0"/>
            <c:invertIfNegative val="0"/>
            <c:bubble3D val="0"/>
            <c:extLst>
              <c:ext xmlns:c16="http://schemas.microsoft.com/office/drawing/2014/chart" uri="{C3380CC4-5D6E-409C-BE32-E72D297353CC}">
                <c16:uniqueId val="{00000010-414C-4505-B0C9-C0468DC11E02}"/>
              </c:ext>
            </c:extLst>
          </c:dPt>
          <c:dPt>
            <c:idx val="1"/>
            <c:invertIfNegative val="0"/>
            <c:bubble3D val="0"/>
            <c:extLst>
              <c:ext xmlns:c16="http://schemas.microsoft.com/office/drawing/2014/chart" uri="{C3380CC4-5D6E-409C-BE32-E72D297353CC}">
                <c16:uniqueId val="{00000011-414C-4505-B0C9-C0468DC11E02}"/>
              </c:ext>
            </c:extLst>
          </c:dPt>
          <c:dPt>
            <c:idx val="2"/>
            <c:invertIfNegative val="0"/>
            <c:bubble3D val="0"/>
            <c:extLst>
              <c:ext xmlns:c16="http://schemas.microsoft.com/office/drawing/2014/chart" uri="{C3380CC4-5D6E-409C-BE32-E72D297353CC}">
                <c16:uniqueId val="{00000012-414C-4505-B0C9-C0468DC11E02}"/>
              </c:ext>
            </c:extLst>
          </c:dPt>
          <c:dPt>
            <c:idx val="3"/>
            <c:invertIfNegative val="0"/>
            <c:bubble3D val="0"/>
            <c:extLst>
              <c:ext xmlns:c16="http://schemas.microsoft.com/office/drawing/2014/chart" uri="{C3380CC4-5D6E-409C-BE32-E72D297353CC}">
                <c16:uniqueId val="{00000013-414C-4505-B0C9-C0468DC11E02}"/>
              </c:ext>
            </c:extLst>
          </c:dPt>
          <c:dPt>
            <c:idx val="4"/>
            <c:invertIfNegative val="0"/>
            <c:bubble3D val="0"/>
            <c:extLst>
              <c:ext xmlns:c16="http://schemas.microsoft.com/office/drawing/2014/chart" uri="{C3380CC4-5D6E-409C-BE32-E72D297353CC}">
                <c16:uniqueId val="{00000014-414C-4505-B0C9-C0468DC11E02}"/>
              </c:ext>
            </c:extLst>
          </c:dPt>
          <c:dPt>
            <c:idx val="5"/>
            <c:invertIfNegative val="0"/>
            <c:bubble3D val="0"/>
            <c:extLst>
              <c:ext xmlns:c16="http://schemas.microsoft.com/office/drawing/2014/chart" uri="{C3380CC4-5D6E-409C-BE32-E72D297353CC}">
                <c16:uniqueId val="{00000015-414C-4505-B0C9-C0468DC11E02}"/>
              </c:ext>
            </c:extLst>
          </c:dPt>
          <c:dPt>
            <c:idx val="6"/>
            <c:invertIfNegative val="0"/>
            <c:bubble3D val="0"/>
            <c:extLst>
              <c:ext xmlns:c16="http://schemas.microsoft.com/office/drawing/2014/chart" uri="{C3380CC4-5D6E-409C-BE32-E72D297353CC}">
                <c16:uniqueId val="{0000000C-5A25-41AA-B773-07A5EDC7205B}"/>
              </c:ext>
            </c:extLst>
          </c:dPt>
          <c:dPt>
            <c:idx val="7"/>
            <c:invertIfNegative val="0"/>
            <c:bubble3D val="0"/>
            <c:extLst>
              <c:ext xmlns:c16="http://schemas.microsoft.com/office/drawing/2014/chart" uri="{C3380CC4-5D6E-409C-BE32-E72D297353CC}">
                <c16:uniqueId val="{0000000D-5A25-41AA-B773-07A5EDC7205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3"/>
                <c:pt idx="0">
                  <c:v>0</c:v>
                </c:pt>
                <c:pt idx="1">
                  <c:v>Baseline</c:v>
                </c:pt>
                <c:pt idx="2">
                  <c:v>Variant 1</c:v>
                </c:pt>
              </c:strCache>
            </c:strRef>
          </c:cat>
          <c:val>
            <c:numRef>
              <c:f>Ontwerp_Backlog!$Y$91</c:f>
              <c:numCache>
                <c:formatCode>General</c:formatCode>
                <c:ptCount val="3"/>
                <c:pt idx="0">
                  <c:v>0</c:v>
                </c:pt>
                <c:pt idx="1">
                  <c:v>#N/A</c:v>
                </c:pt>
                <c:pt idx="2">
                  <c:v>#N/A</c:v>
                </c:pt>
              </c:numCache>
            </c:numRef>
          </c:val>
          <c:extLst>
            <c:ext xmlns:c16="http://schemas.microsoft.com/office/drawing/2014/chart" uri="{C3380CC4-5D6E-409C-BE32-E72D297353CC}">
              <c16:uniqueId val="{00000001-2C02-48F3-9E38-B90895DE55C0}"/>
            </c:ext>
          </c:extLst>
        </c:ser>
        <c:dLbls>
          <c:showLegendKey val="0"/>
          <c:showVal val="0"/>
          <c:showCatName val="0"/>
          <c:showSerName val="0"/>
          <c:showPercent val="0"/>
          <c:showBubbleSize val="0"/>
        </c:dLbls>
        <c:gapWidth val="150"/>
        <c:overlap val="100"/>
        <c:axId val="373257344"/>
        <c:axId val="373248192"/>
      </c:barChart>
      <c:catAx>
        <c:axId val="373257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373248192"/>
        <c:crosses val="autoZero"/>
        <c:auto val="1"/>
        <c:lblAlgn val="ctr"/>
        <c:lblOffset val="100"/>
        <c:noMultiLvlLbl val="0"/>
      </c:catAx>
      <c:valAx>
        <c:axId val="37324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7325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9"/>
          <c:order val="9"/>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D-1DDA-4E2A-AC27-38D9675B3CFA}"/>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E-1DDA-4E2A-AC27-38D9675B3CFA}"/>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F-1DDA-4E2A-AC27-38D9675B3CFA}"/>
              </c:ext>
            </c:extLst>
          </c:dPt>
          <c:dPt>
            <c:idx val="3"/>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BF-B78D-441E-B33B-FDACB93BA912}"/>
              </c:ext>
            </c:extLst>
          </c:dPt>
          <c:dPt>
            <c:idx val="4"/>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1-B78D-441E-B33B-FDACB93BA912}"/>
              </c:ext>
            </c:extLst>
          </c:dPt>
          <c:dPt>
            <c:idx val="5"/>
            <c:bubble3D val="0"/>
            <c:spPr>
              <a:solidFill>
                <a:schemeClr val="bg2">
                  <a:lumMod val="5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3-B78D-441E-B33B-FDACB93BA912}"/>
              </c:ext>
            </c:extLst>
          </c:dPt>
          <c:dPt>
            <c:idx val="6"/>
            <c:bubble3D val="0"/>
            <c:spPr>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5-B78D-441E-B33B-FDACB93BA912}"/>
              </c:ext>
            </c:extLst>
          </c:dPt>
          <c:dPt>
            <c:idx val="7"/>
            <c:bubble3D val="0"/>
            <c:spPr>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7-B78D-441E-B33B-FDACB93BA912}"/>
              </c:ext>
            </c:extLst>
          </c:dPt>
          <c:dPt>
            <c:idx val="8"/>
            <c:bubble3D val="0"/>
            <c:spPr>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9-B78D-441E-B33B-FDACB93BA912}"/>
              </c:ext>
            </c:extLst>
          </c:dPt>
          <c:dPt>
            <c:idx val="9"/>
            <c:bubble3D val="0"/>
            <c:spPr>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B-B78D-441E-B33B-FDACB93BA91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Referentie_Backlog!$D$3:$N$3</c:f>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f>Referentie_Backlog!$D$35:$M$35</c:f>
              <c:numCache>
                <c:formatCode>_([$€-2]\ * #,##0_);_([$€-2]\ * \(#,##0\);_([$€-2]\ * "-"??_);_(@_)</c:formatCode>
                <c:ptCount val="10"/>
                <c:pt idx="0">
                  <c:v>21907.197845339273</c:v>
                </c:pt>
                <c:pt idx="1">
                  <c:v>4906.3998521825424</c:v>
                </c:pt>
                <c:pt idx="2">
                  <c:v>4763.5256593392796</c:v>
                </c:pt>
                <c:pt idx="3">
                  <c:v>9602.5074215983677</c:v>
                </c:pt>
                <c:pt idx="4">
                  <c:v>2709.9334741400157</c:v>
                </c:pt>
                <c:pt idx="5">
                  <c:v>67.405273846157641</c:v>
                </c:pt>
                <c:pt idx="6">
                  <c:v>0</c:v>
                </c:pt>
                <c:pt idx="7">
                  <c:v>810.68489344875979</c:v>
                </c:pt>
                <c:pt idx="8">
                  <c:v>8716.3168091587486</c:v>
                </c:pt>
                <c:pt idx="9">
                  <c:v>96.355854743725004</c:v>
                </c:pt>
              </c:numCache>
            </c:numRef>
          </c:val>
          <c:extLst xmlns:c15="http://schemas.microsoft.com/office/drawing/2012/chart">
            <c:ext xmlns:c16="http://schemas.microsoft.com/office/drawing/2014/chart" uri="{C3380CC4-5D6E-409C-BE32-E72D297353CC}">
              <c16:uniqueId val="{00000003-1DDA-4E2A-AC27-38D9675B3CFA}"/>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1"/>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B-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D-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F-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4F-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1-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3-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5-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7-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9-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B-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3F-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c:ext uri="{02D57815-91ED-43cb-92C2-25804820EDAC}">
                        <c15:formulaRef>
                          <c15:sqref>Referentie_Backlog!$D$4:$N$4</c15:sqref>
                        </c15:formulaRef>
                      </c:ext>
                    </c:extLst>
                    <c:numCache>
                      <c:formatCode>_([$€-2]\ * #,##0.00_);_([$€-2]\ * \(#,##0.00\);_([$€-2]\ * "-"??_);_(@_)</c:formatCode>
                      <c:ptCount val="11"/>
                      <c:pt idx="0">
                        <c:v>0</c:v>
                      </c:pt>
                      <c:pt idx="1">
                        <c:v>0</c:v>
                      </c:pt>
                      <c:pt idx="2">
                        <c:v>0</c:v>
                      </c:pt>
                      <c:pt idx="3">
                        <c:v>0</c:v>
                      </c:pt>
                      <c:pt idx="4">
                        <c:v>0</c:v>
                      </c:pt>
                      <c:pt idx="5">
                        <c:v>0</c:v>
                      </c:pt>
                      <c:pt idx="6">
                        <c:v>0</c:v>
                      </c:pt>
                      <c:pt idx="7">
                        <c:v>0</c:v>
                      </c:pt>
                      <c:pt idx="8">
                        <c:v>39.25</c:v>
                      </c:pt>
                      <c:pt idx="9">
                        <c:v>88.1875</c:v>
                      </c:pt>
                      <c:pt idx="10">
                        <c:v>31.9375</c:v>
                      </c:pt>
                    </c:numCache>
                  </c:numRef>
                </c:val>
                <c:extLst>
                  <c:ext xmlns:c16="http://schemas.microsoft.com/office/drawing/2014/chart" uri="{C3380CC4-5D6E-409C-BE32-E72D297353CC}">
                    <c16:uniqueId val="{00000044-1DDA-4E2A-AC27-38D9675B3CFA}"/>
                  </c:ext>
                </c:extLst>
              </c15:ser>
            </c15:filteredPieSeries>
            <c15:filteredPieSeries>
              <c15:ser>
                <c:idx val="2"/>
                <c:order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6-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8-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A-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D-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F-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1-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7-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9-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A-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Referentie_Backlog!$D$5:$N$5</c15:sqref>
                        </c15:formulaRef>
                      </c:ext>
                    </c:extLst>
                    <c:numCache>
                      <c:formatCode>_([$€-2]\ * #,##0.00_);_([$€-2]\ * \(#,##0.00\);_([$€-2]\ * "-"??_);_(@_)</c:formatCode>
                      <c:ptCount val="11"/>
                      <c:pt idx="0">
                        <c:v>2832.9084000000003</c:v>
                      </c:pt>
                      <c:pt idx="1">
                        <c:v>0</c:v>
                      </c:pt>
                      <c:pt idx="2">
                        <c:v>0</c:v>
                      </c:pt>
                      <c:pt idx="3">
                        <c:v>695.45280000000002</c:v>
                      </c:pt>
                      <c:pt idx="4">
                        <c:v>24.49</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5F-1DDA-4E2A-AC27-38D9675B3CFA}"/>
                  </c:ext>
                </c:extLst>
              </c15:ser>
            </c15:filteredPieSeries>
            <c15:filteredPieSeries>
              <c15:ser>
                <c:idx val="3"/>
                <c:order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1-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B-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D-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F-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3-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5-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7-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5-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Referentie_Backlog!$D$6:$N$6</c15:sqref>
                        </c15:formulaRef>
                      </c:ext>
                    </c:extLst>
                    <c:numCache>
                      <c:formatCode>_([$€-2]\ * #,##0.00_);_([$€-2]\ * \(#,##0.00\);_([$€-2]\ * "-"??_);_(@_)</c:formatCode>
                      <c:ptCount val="11"/>
                      <c:pt idx="0">
                        <c:v>426.9</c:v>
                      </c:pt>
                      <c:pt idx="1">
                        <c:v>0</c:v>
                      </c:pt>
                      <c:pt idx="2">
                        <c:v>0</c:v>
                      </c:pt>
                      <c:pt idx="3">
                        <c:v>104.80000000000001</c:v>
                      </c:pt>
                      <c:pt idx="4">
                        <c:v>15.5</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7A-1DDA-4E2A-AC27-38D9675B3CFA}"/>
                  </c:ext>
                </c:extLst>
              </c15:ser>
            </c15:filteredPieSeries>
            <c15:filteredPieSeries>
              <c15:ser>
                <c:idx val="4"/>
                <c:order val="3"/>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C-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E-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0-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9-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B-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D-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F-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1-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3-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5-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0-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Referentie_Backlog!$D$7:$N$7</c15:sqref>
                        </c15:formulaRef>
                      </c:ext>
                    </c:extLst>
                    <c:numCache>
                      <c:formatCode>_([$€-2]\ * #,##0.00_);_([$€-2]\ * \(#,##0.00\);_([$€-2]\ * "-"??_);_(@_)</c:formatCode>
                      <c:ptCount val="11"/>
                      <c:pt idx="0">
                        <c:v>118.93679999999999</c:v>
                      </c:pt>
                      <c:pt idx="1">
                        <c:v>0</c:v>
                      </c:pt>
                      <c:pt idx="2">
                        <c:v>0</c:v>
                      </c:pt>
                      <c:pt idx="3">
                        <c:v>27.300625736462205</c:v>
                      </c:pt>
                      <c:pt idx="4">
                        <c:v>2.5202755706354361</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95-1DDA-4E2A-AC27-38D9675B3CFA}"/>
                  </c:ext>
                </c:extLst>
              </c15:ser>
            </c15:filteredPieSeries>
            <c15:filteredPieSeries>
              <c15:ser>
                <c:idx val="5"/>
                <c:order val="4"/>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D-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F-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7-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9-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B-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D-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F-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1-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3-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1-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Referentie_Backlog!$D$8:$N$8</c15:sqref>
                        </c15:formulaRef>
                      </c:ext>
                    </c:extLst>
                    <c:numCache>
                      <c:formatCode>_([$€-2]\ * #,##0.00_);_([$€-2]\ * \(#,##0.00\);_([$€-2]\ * "-"??_);_(@_)</c:formatCode>
                      <c:ptCount val="11"/>
                      <c:pt idx="0">
                        <c:v>693.43200000000002</c:v>
                      </c:pt>
                      <c:pt idx="1">
                        <c:v>0</c:v>
                      </c:pt>
                      <c:pt idx="2">
                        <c:v>0</c:v>
                      </c:pt>
                      <c:pt idx="3">
                        <c:v>169.84800000000001</c:v>
                      </c:pt>
                      <c:pt idx="4">
                        <c:v>81.864000000000004</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B0-1DDA-4E2A-AC27-38D9675B3CFA}"/>
                  </c:ext>
                </c:extLst>
              </c15:ser>
            </c15:filteredPieSeries>
            <c15:filteredPieSeries>
              <c15:ser>
                <c:idx val="0"/>
                <c:order val="5"/>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3-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5-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7-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5-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7-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9-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B-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D-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F-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1-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7-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Referentie_Backlog!$D$9:$N$9</c15:sqref>
                        </c15:formulaRef>
                      </c:ext>
                    </c:extLst>
                    <c:numCache>
                      <c:formatCode>_([$€-2]\ * #,##0.00_);_([$€-2]\ * \(#,##0.00\);_([$€-2]\ * "-"??_);_(@_)</c:formatCode>
                      <c:ptCount val="11"/>
                      <c:pt idx="0">
                        <c:v>0</c:v>
                      </c:pt>
                      <c:pt idx="1">
                        <c:v>0</c:v>
                      </c:pt>
                      <c:pt idx="2">
                        <c:v>0</c:v>
                      </c:pt>
                      <c:pt idx="3">
                        <c:v>0</c:v>
                      </c:pt>
                      <c:pt idx="4">
                        <c:v>0</c:v>
                      </c:pt>
                      <c:pt idx="5">
                        <c:v>0</c:v>
                      </c:pt>
                      <c:pt idx="6">
                        <c:v>0</c:v>
                      </c:pt>
                      <c:pt idx="7">
                        <c:v>9.9532273420799999</c:v>
                      </c:pt>
                      <c:pt idx="8">
                        <c:v>19.675342882799999</c:v>
                      </c:pt>
                      <c:pt idx="9">
                        <c:v>5.0430480605999994</c:v>
                      </c:pt>
                      <c:pt idx="10">
                        <c:v>0</c:v>
                      </c:pt>
                    </c:numCache>
                  </c:numRef>
                </c:val>
                <c:extLst xmlns:c15="http://schemas.microsoft.com/office/drawing/2012/chart">
                  <c:ext xmlns:c16="http://schemas.microsoft.com/office/drawing/2014/chart" uri="{C3380CC4-5D6E-409C-BE32-E72D297353CC}">
                    <c16:uniqueId val="{000000CB-1DDA-4E2A-AC27-38D9675B3CFA}"/>
                  </c:ext>
                </c:extLst>
              </c15:ser>
            </c15:filteredPieSeries>
            <c15:filteredPieSeries>
              <c15:ser>
                <c:idx val="6"/>
                <c:order val="6"/>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9-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B-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D-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3-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5-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7-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9-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B-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D-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F-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D-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Referentie_Backlog!$D$10:$N$10</c15:sqref>
                        </c15:formulaRef>
                      </c:ext>
                    </c:extLst>
                    <c:numCache>
                      <c:formatCode>_([$€-2]\ * #,##0.00_);_([$€-2]\ * \(#,##0.00\);_([$€-2]\ * "-"??_);_(@_)</c:formatCode>
                      <c:ptCount val="11"/>
                      <c:pt idx="0">
                        <c:v>0</c:v>
                      </c:pt>
                      <c:pt idx="1">
                        <c:v>0</c:v>
                      </c:pt>
                      <c:pt idx="2">
                        <c:v>0</c:v>
                      </c:pt>
                      <c:pt idx="3">
                        <c:v>0</c:v>
                      </c:pt>
                      <c:pt idx="4">
                        <c:v>0</c:v>
                      </c:pt>
                      <c:pt idx="5">
                        <c:v>0</c:v>
                      </c:pt>
                      <c:pt idx="6">
                        <c:v>0</c:v>
                      </c:pt>
                      <c:pt idx="7">
                        <c:v>2.6444020721249997</c:v>
                      </c:pt>
                      <c:pt idx="8">
                        <c:v>12.193316396249999</c:v>
                      </c:pt>
                      <c:pt idx="9">
                        <c:v>3.1253066831249998</c:v>
                      </c:pt>
                      <c:pt idx="10">
                        <c:v>0</c:v>
                      </c:pt>
                    </c:numCache>
                  </c:numRef>
                </c:val>
                <c:extLst xmlns:c15="http://schemas.microsoft.com/office/drawing/2012/chart">
                  <c:ext xmlns:c16="http://schemas.microsoft.com/office/drawing/2014/chart" uri="{C3380CC4-5D6E-409C-BE32-E72D297353CC}">
                    <c16:uniqueId val="{00000000-1DDA-4E2A-AC27-38D9675B3CFA}"/>
                  </c:ext>
                </c:extLst>
              </c15:ser>
            </c15:filteredPieSeries>
            <c15:filteredPieSeries>
              <c15:ser>
                <c:idx val="7"/>
                <c:order val="7"/>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F-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1-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3-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1-B78D-441E-B33B-FDACB93BA91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3-B78D-441E-B33B-FDACB93BA91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5-B78D-441E-B33B-FDACB93BA91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7-B78D-441E-B33B-FDACB93BA91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9-B78D-441E-B33B-FDACB93BA91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B-B78D-441E-B33B-FDACB93BA91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D-B78D-441E-B33B-FDACB93BA912}"/>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3-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Referentie_Backlog!$D$11:$N$11</c15:sqref>
                        </c15:formulaRef>
                      </c:ext>
                    </c:extLst>
                    <c:numCache>
                      <c:formatCode>_([$€-2]\ * #,##0.00_);_([$€-2]\ * \(#,##0.00\);_([$€-2]\ * "-"??_);_(@_)</c:formatCode>
                      <c:ptCount val="11"/>
                      <c:pt idx="0">
                        <c:v>0</c:v>
                      </c:pt>
                      <c:pt idx="1">
                        <c:v>0</c:v>
                      </c:pt>
                      <c:pt idx="2">
                        <c:v>0</c:v>
                      </c:pt>
                      <c:pt idx="3">
                        <c:v>1836.3936530542155</c:v>
                      </c:pt>
                      <c:pt idx="4">
                        <c:v>150.69147682757716</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01-1DDA-4E2A-AC27-38D9675B3CFA}"/>
                  </c:ext>
                </c:extLst>
              </c15:ser>
            </c15:filteredPieSeries>
            <c15:filteredPieSeries>
              <c15:ser>
                <c:idx val="8"/>
                <c:order val="8"/>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01-C8AF-474E-B065-B148358172E2}"/>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03-C8AF-474E-B065-B148358172E2}"/>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05-C8AF-474E-B065-B148358172E2}"/>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B-26B5-4541-AE25-70A4F6C3F9B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D-26B5-4541-AE25-70A4F6C3F9B7}"/>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F-26B5-4541-AE25-70A4F6C3F9B7}"/>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D1-26B5-4541-AE25-70A4F6C3F9B7}"/>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D3-26B5-4541-AE25-70A4F6C3F9B7}"/>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D5-26B5-4541-AE25-70A4F6C3F9B7}"/>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D7-26B5-4541-AE25-70A4F6C3F9B7}"/>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07-C8AF-474E-B065-B148358172E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Referentie_Backlog!$D$3:$N$3</c15:sqref>
                        </c15:formulaRef>
                      </c:ext>
                    </c:extLst>
                    <c:strCache>
                      <c:ptCount val="11"/>
                      <c:pt idx="0">
                        <c:v>A1</c:v>
                      </c:pt>
                      <c:pt idx="1">
                        <c:v>A2</c:v>
                      </c:pt>
                      <c:pt idx="2">
                        <c:v>A3</c:v>
                      </c:pt>
                      <c:pt idx="3">
                        <c:v>A4</c:v>
                      </c:pt>
                      <c:pt idx="4">
                        <c:v>A5</c:v>
                      </c:pt>
                      <c:pt idx="5">
                        <c:v>B1</c:v>
                      </c:pt>
                      <c:pt idx="6">
                        <c:v>B4</c:v>
                      </c:pt>
                      <c:pt idx="7">
                        <c:v>C1</c:v>
                      </c:pt>
                      <c:pt idx="8">
                        <c:v>C2</c:v>
                      </c:pt>
                      <c:pt idx="9">
                        <c:v>C3</c:v>
                      </c:pt>
                      <c:pt idx="10">
                        <c:v>C4</c:v>
                      </c:pt>
                    </c:strCache>
                  </c:strRef>
                </c:cat>
                <c:val>
                  <c:numRef>
                    <c:extLst xmlns:c15="http://schemas.microsoft.com/office/drawing/2012/chart">
                      <c:ext xmlns:c15="http://schemas.microsoft.com/office/drawing/2012/chart" uri="{02D57815-91ED-43cb-92C2-25804820EDAC}">
                        <c15:formulaRef>
                          <c15:sqref>Referentie_Backlog!$D$12:$N$12</c15:sqref>
                        </c15:formulaRef>
                      </c:ext>
                    </c:extLst>
                    <c:numCache>
                      <c:formatCode>_([$€-2]\ * #,##0.00_);_([$€-2]\ * \(#,##0.00\);_([$€-2]\ * "-"??_);_(@_)</c:formatCode>
                      <c:ptCount val="11"/>
                      <c:pt idx="0">
                        <c:v>3109.7606626435895</c:v>
                      </c:pt>
                      <c:pt idx="1">
                        <c:v>1642.7024755353477</c:v>
                      </c:pt>
                      <c:pt idx="2">
                        <c:v>1871.153841351862</c:v>
                      </c:pt>
                      <c:pt idx="3">
                        <c:v>420.89119909948221</c:v>
                      </c:pt>
                      <c:pt idx="4">
                        <c:v>158.93014636060826</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02-1DDA-4E2A-AC27-38D9675B3CFA}"/>
                  </c:ext>
                </c:extLst>
              </c15:ser>
            </c15:filteredPieSeries>
          </c:ext>
        </c:extLst>
      </c:pieChart>
      <c:spPr>
        <a:noFill/>
        <a:ln>
          <a:noFill/>
        </a:ln>
        <a:effectLst/>
      </c:spPr>
    </c:plotArea>
    <c:legend>
      <c:legendPos val="r"/>
      <c:legendEntry>
        <c:idx val="0"/>
        <c:txPr>
          <a:bodyPr rot="0" spcFirstLastPara="1" vertOverflow="ellipsis" vert="horz" wrap="square" anchor="ctr" anchorCtr="1"/>
          <a:lstStyle/>
          <a:p>
            <a:pPr>
              <a:defRPr sz="1200" b="0" i="0" u="none" strike="noStrike" kern="1200" baseline="0">
                <a:solidFill>
                  <a:srgbClr val="002060"/>
                </a:solidFill>
                <a:latin typeface="+mn-lt"/>
                <a:ea typeface="+mn-ea"/>
                <a:cs typeface="+mn-cs"/>
              </a:defRPr>
            </a:pPr>
            <a:endParaRPr lang="nl-NL"/>
          </a:p>
        </c:txPr>
      </c:legendEntry>
      <c:layout>
        <c:manualLayout>
          <c:xMode val="edge"/>
          <c:yMode val="edge"/>
          <c:x val="0.76348926859863142"/>
          <c:y val="0.20818517576161114"/>
          <c:w val="0.2228598322134355"/>
          <c:h val="0.7234401840044254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nl-NL"/>
        </a:p>
      </c:txPr>
    </c:title>
    <c:autoTitleDeleted val="0"/>
    <c:plotArea>
      <c:layout>
        <c:manualLayout>
          <c:layoutTarget val="inner"/>
          <c:xMode val="edge"/>
          <c:yMode val="edge"/>
          <c:x val="6.7135160150650353E-2"/>
          <c:y val="7.228078708379225E-2"/>
          <c:w val="0.92200490766321286"/>
          <c:h val="0.82430251734953264"/>
        </c:manualLayout>
      </c:layout>
      <c:barChart>
        <c:barDir val="bar"/>
        <c:grouping val="stacked"/>
        <c:varyColors val="0"/>
        <c:ser>
          <c:idx val="5"/>
          <c:order val="1"/>
          <c:tx>
            <c:strRef>
              <c:f>Referentie_Backlog!$D$3</c:f>
              <c:strCache>
                <c:ptCount val="1"/>
                <c:pt idx="0">
                  <c:v>A1</c:v>
                </c:pt>
              </c:strCache>
            </c:strRef>
          </c:tx>
          <c:spPr>
            <a:solidFill>
              <a:srgbClr val="002060"/>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Referentie_Backlog!$D$4:$D$35</c:f>
              <c:numCache>
                <c:formatCode>_([$€-2]\ * #,##0.00_);_([$€-2]\ * \(#,##0.00\);_([$€-2]\ * "-"??_);_(@_)</c:formatCode>
                <c:ptCount val="31"/>
                <c:pt idx="0">
                  <c:v>0</c:v>
                </c:pt>
                <c:pt idx="1">
                  <c:v>2832.9084000000003</c:v>
                </c:pt>
                <c:pt idx="2">
                  <c:v>426.9</c:v>
                </c:pt>
                <c:pt idx="3">
                  <c:v>118.93679999999999</c:v>
                </c:pt>
                <c:pt idx="4">
                  <c:v>693.43200000000002</c:v>
                </c:pt>
                <c:pt idx="5">
                  <c:v>0</c:v>
                </c:pt>
                <c:pt idx="6">
                  <c:v>0</c:v>
                </c:pt>
                <c:pt idx="7">
                  <c:v>0</c:v>
                </c:pt>
                <c:pt idx="8">
                  <c:v>3109.7606626435895</c:v>
                </c:pt>
                <c:pt idx="9">
                  <c:v>2222.0502147881493</c:v>
                </c:pt>
                <c:pt idx="10">
                  <c:v>4115.6568385062901</c:v>
                </c:pt>
                <c:pt idx="11">
                  <c:v>0</c:v>
                </c:pt>
                <c:pt idx="12">
                  <c:v>97.093330234188784</c:v>
                </c:pt>
                <c:pt idx="13">
                  <c:v>849.54499530908026</c:v>
                </c:pt>
                <c:pt idx="14">
                  <c:v>2750.9076038579742</c:v>
                </c:pt>
                <c:pt idx="15">
                  <c:v>149.85</c:v>
                </c:pt>
                <c:pt idx="16">
                  <c:v>1350</c:v>
                </c:pt>
                <c:pt idx="17">
                  <c:v>321.82499999999999</c:v>
                </c:pt>
                <c:pt idx="18">
                  <c:v>565.37699999999995</c:v>
                </c:pt>
                <c:pt idx="19">
                  <c:v>83.775999999999996</c:v>
                </c:pt>
                <c:pt idx="20">
                  <c:v>974.02499999999998</c:v>
                </c:pt>
                <c:pt idx="21">
                  <c:v>244.22499999999999</c:v>
                </c:pt>
                <c:pt idx="22">
                  <c:v>244.22499999999999</c:v>
                </c:pt>
                <c:pt idx="23">
                  <c:v>0</c:v>
                </c:pt>
                <c:pt idx="24">
                  <c:v>0</c:v>
                </c:pt>
                <c:pt idx="25">
                  <c:v>0</c:v>
                </c:pt>
                <c:pt idx="26">
                  <c:v>0</c:v>
                </c:pt>
                <c:pt idx="27">
                  <c:v>756.70399999999995</c:v>
                </c:pt>
                <c:pt idx="28">
                  <c:v>0</c:v>
                </c:pt>
                <c:pt idx="29">
                  <c:v>0</c:v>
                </c:pt>
                <c:pt idx="30">
                  <c:v>0</c:v>
                </c:pt>
              </c:numCache>
            </c:numRef>
          </c:val>
          <c:extLst>
            <c:ext xmlns:c16="http://schemas.microsoft.com/office/drawing/2014/chart" uri="{C3380CC4-5D6E-409C-BE32-E72D297353CC}">
              <c16:uniqueId val="{00000000-8263-4AF6-BD2C-DC0EAFC73866}"/>
            </c:ext>
          </c:extLst>
        </c:ser>
        <c:ser>
          <c:idx val="4"/>
          <c:order val="2"/>
          <c:tx>
            <c:strRef>
              <c:f>Referentie_Backlog!$E$3</c:f>
              <c:strCache>
                <c:ptCount val="1"/>
                <c:pt idx="0">
                  <c:v>A2</c:v>
                </c:pt>
              </c:strCache>
            </c:strRef>
          </c:tx>
          <c:spPr>
            <a:solidFill>
              <a:srgbClr val="0070C0"/>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Referentie_Backlog!$E$4:$E$35</c:f>
              <c:numCache>
                <c:formatCode>_([$€-2]\ * #,##0.00_);_([$€-2]\ * \(#,##0.00\);_([$€-2]\ * "-"??_);_(@_)</c:formatCode>
                <c:ptCount val="31"/>
                <c:pt idx="0">
                  <c:v>0</c:v>
                </c:pt>
                <c:pt idx="1">
                  <c:v>0</c:v>
                </c:pt>
                <c:pt idx="2">
                  <c:v>0</c:v>
                </c:pt>
                <c:pt idx="3">
                  <c:v>0</c:v>
                </c:pt>
                <c:pt idx="4">
                  <c:v>0</c:v>
                </c:pt>
                <c:pt idx="5">
                  <c:v>0</c:v>
                </c:pt>
                <c:pt idx="6">
                  <c:v>0</c:v>
                </c:pt>
                <c:pt idx="7">
                  <c:v>0</c:v>
                </c:pt>
                <c:pt idx="8">
                  <c:v>1642.7024755353477</c:v>
                </c:pt>
                <c:pt idx="9">
                  <c:v>1173.7775940265954</c:v>
                </c:pt>
                <c:pt idx="10">
                  <c:v>1743.4491455016762</c:v>
                </c:pt>
                <c:pt idx="11">
                  <c:v>0</c:v>
                </c:pt>
                <c:pt idx="12">
                  <c:v>51.288658915019774</c:v>
                </c:pt>
                <c:pt idx="13">
                  <c:v>68.874970194179511</c:v>
                </c:pt>
                <c:pt idx="14">
                  <c:v>223.02371300972416</c:v>
                </c:pt>
                <c:pt idx="15">
                  <c:v>0</c:v>
                </c:pt>
                <c:pt idx="16">
                  <c:v>0</c:v>
                </c:pt>
                <c:pt idx="17">
                  <c:v>0</c:v>
                </c:pt>
                <c:pt idx="18">
                  <c:v>0</c:v>
                </c:pt>
                <c:pt idx="19">
                  <c:v>0</c:v>
                </c:pt>
                <c:pt idx="20">
                  <c:v>0</c:v>
                </c:pt>
                <c:pt idx="21">
                  <c:v>0</c:v>
                </c:pt>
                <c:pt idx="22">
                  <c:v>0</c:v>
                </c:pt>
                <c:pt idx="23">
                  <c:v>0</c:v>
                </c:pt>
                <c:pt idx="24">
                  <c:v>0</c:v>
                </c:pt>
                <c:pt idx="25">
                  <c:v>0</c:v>
                </c:pt>
                <c:pt idx="26">
                  <c:v>0</c:v>
                </c:pt>
                <c:pt idx="27">
                  <c:v>3.2832949999999999</c:v>
                </c:pt>
                <c:pt idx="28">
                  <c:v>0</c:v>
                </c:pt>
                <c:pt idx="29">
                  <c:v>0</c:v>
                </c:pt>
                <c:pt idx="30">
                  <c:v>0</c:v>
                </c:pt>
              </c:numCache>
            </c:numRef>
          </c:val>
          <c:extLst>
            <c:ext xmlns:c16="http://schemas.microsoft.com/office/drawing/2014/chart" uri="{C3380CC4-5D6E-409C-BE32-E72D297353CC}">
              <c16:uniqueId val="{00000001-8263-4AF6-BD2C-DC0EAFC73866}"/>
            </c:ext>
          </c:extLst>
        </c:ser>
        <c:ser>
          <c:idx val="1"/>
          <c:order val="3"/>
          <c:tx>
            <c:strRef>
              <c:f>Referentie_Backlog!$F$3</c:f>
              <c:strCache>
                <c:ptCount val="1"/>
                <c:pt idx="0">
                  <c:v>A3</c:v>
                </c:pt>
              </c:strCache>
            </c:strRef>
          </c:tx>
          <c:spPr>
            <a:solidFill>
              <a:srgbClr val="00B0F0"/>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Referentie_Backlog!$F$4:$F$35</c:f>
              <c:numCache>
                <c:formatCode>_([$€-2]\ * #,##0.00_);_([$€-2]\ * \(#,##0.00\);_([$€-2]\ * "-"??_);_(@_)</c:formatCode>
                <c:ptCount val="31"/>
                <c:pt idx="0">
                  <c:v>0</c:v>
                </c:pt>
                <c:pt idx="1">
                  <c:v>0</c:v>
                </c:pt>
                <c:pt idx="2">
                  <c:v>0</c:v>
                </c:pt>
                <c:pt idx="3">
                  <c:v>0</c:v>
                </c:pt>
                <c:pt idx="4">
                  <c:v>0</c:v>
                </c:pt>
                <c:pt idx="5">
                  <c:v>0</c:v>
                </c:pt>
                <c:pt idx="6">
                  <c:v>0</c:v>
                </c:pt>
                <c:pt idx="7">
                  <c:v>0</c:v>
                </c:pt>
                <c:pt idx="8">
                  <c:v>1871.153841351862</c:v>
                </c:pt>
                <c:pt idx="9">
                  <c:v>1337.0153674601618</c:v>
                </c:pt>
                <c:pt idx="10">
                  <c:v>785.86079964619682</c:v>
                </c:pt>
                <c:pt idx="11">
                  <c:v>0</c:v>
                </c:pt>
                <c:pt idx="12">
                  <c:v>58.421395581904697</c:v>
                </c:pt>
                <c:pt idx="13">
                  <c:v>35.587273722272315</c:v>
                </c:pt>
                <c:pt idx="14">
                  <c:v>115.23498157688176</c:v>
                </c:pt>
                <c:pt idx="15">
                  <c:v>0</c:v>
                </c:pt>
                <c:pt idx="16">
                  <c:v>0</c:v>
                </c:pt>
                <c:pt idx="17">
                  <c:v>0</c:v>
                </c:pt>
                <c:pt idx="18">
                  <c:v>0</c:v>
                </c:pt>
                <c:pt idx="19">
                  <c:v>0</c:v>
                </c:pt>
                <c:pt idx="20">
                  <c:v>0</c:v>
                </c:pt>
                <c:pt idx="21">
                  <c:v>0</c:v>
                </c:pt>
                <c:pt idx="22">
                  <c:v>0</c:v>
                </c:pt>
                <c:pt idx="23">
                  <c:v>0</c:v>
                </c:pt>
                <c:pt idx="24">
                  <c:v>0</c:v>
                </c:pt>
                <c:pt idx="25">
                  <c:v>0</c:v>
                </c:pt>
                <c:pt idx="26">
                  <c:v>0</c:v>
                </c:pt>
                <c:pt idx="27">
                  <c:v>560.25200000000007</c:v>
                </c:pt>
                <c:pt idx="28">
                  <c:v>0</c:v>
                </c:pt>
                <c:pt idx="29">
                  <c:v>0</c:v>
                </c:pt>
                <c:pt idx="30">
                  <c:v>0</c:v>
                </c:pt>
              </c:numCache>
            </c:numRef>
          </c:val>
          <c:extLst xmlns:c15="http://schemas.microsoft.com/office/drawing/2012/chart">
            <c:ext xmlns:c16="http://schemas.microsoft.com/office/drawing/2014/chart" uri="{C3380CC4-5D6E-409C-BE32-E72D297353CC}">
              <c16:uniqueId val="{00000002-8263-4AF6-BD2C-DC0EAFC73866}"/>
            </c:ext>
          </c:extLst>
        </c:ser>
        <c:ser>
          <c:idx val="2"/>
          <c:order val="4"/>
          <c:tx>
            <c:strRef>
              <c:f>Referentie_Backlog!$G$3</c:f>
              <c:strCache>
                <c:ptCount val="1"/>
                <c:pt idx="0">
                  <c:v>A4</c:v>
                </c:pt>
              </c:strCache>
            </c:strRef>
          </c:tx>
          <c:spPr>
            <a:solidFill>
              <a:schemeClr val="accent2"/>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Referentie_Backlog!$G$4:$G$35</c:f>
              <c:numCache>
                <c:formatCode>_([$€-2]\ * #,##0.00_);_([$€-2]\ * \(#,##0.00\);_([$€-2]\ * "-"??_);_(@_)</c:formatCode>
                <c:ptCount val="31"/>
                <c:pt idx="0">
                  <c:v>0</c:v>
                </c:pt>
                <c:pt idx="1">
                  <c:v>695.45280000000002</c:v>
                </c:pt>
                <c:pt idx="2">
                  <c:v>104.80000000000001</c:v>
                </c:pt>
                <c:pt idx="3">
                  <c:v>27.300625736462205</c:v>
                </c:pt>
                <c:pt idx="4">
                  <c:v>169.84800000000001</c:v>
                </c:pt>
                <c:pt idx="5">
                  <c:v>0</c:v>
                </c:pt>
                <c:pt idx="6">
                  <c:v>0</c:v>
                </c:pt>
                <c:pt idx="7">
                  <c:v>1836.3936530542155</c:v>
                </c:pt>
                <c:pt idx="8">
                  <c:v>420.89119909948221</c:v>
                </c:pt>
                <c:pt idx="9">
                  <c:v>300.74384520846138</c:v>
                </c:pt>
                <c:pt idx="10">
                  <c:v>180.59649131744061</c:v>
                </c:pt>
                <c:pt idx="11">
                  <c:v>81.901877209386626</c:v>
                </c:pt>
                <c:pt idx="12">
                  <c:v>13.141116831830399</c:v>
                </c:pt>
                <c:pt idx="13">
                  <c:v>7.8846700990982388</c:v>
                </c:pt>
                <c:pt idx="14">
                  <c:v>25.531312701841916</c:v>
                </c:pt>
                <c:pt idx="15">
                  <c:v>42.04</c:v>
                </c:pt>
                <c:pt idx="16">
                  <c:v>379.5</c:v>
                </c:pt>
                <c:pt idx="17">
                  <c:v>91.44</c:v>
                </c:pt>
                <c:pt idx="18">
                  <c:v>3.1739999999999997E-3</c:v>
                </c:pt>
                <c:pt idx="19">
                  <c:v>0.63817999999999997</c:v>
                </c:pt>
                <c:pt idx="20">
                  <c:v>273.26</c:v>
                </c:pt>
                <c:pt idx="21">
                  <c:v>1.925</c:v>
                </c:pt>
                <c:pt idx="22">
                  <c:v>1.925</c:v>
                </c:pt>
                <c:pt idx="23">
                  <c:v>0</c:v>
                </c:pt>
                <c:pt idx="24">
                  <c:v>0</c:v>
                </c:pt>
                <c:pt idx="25">
                  <c:v>0</c:v>
                </c:pt>
                <c:pt idx="26">
                  <c:v>0</c:v>
                </c:pt>
                <c:pt idx="27">
                  <c:v>4310.7498450195098</c:v>
                </c:pt>
                <c:pt idx="28">
                  <c:v>120.86214518746289</c:v>
                </c:pt>
                <c:pt idx="29">
                  <c:v>201.4369086457715</c:v>
                </c:pt>
                <c:pt idx="30">
                  <c:v>314.2415774874035</c:v>
                </c:pt>
              </c:numCache>
            </c:numRef>
          </c:val>
          <c:extLst xmlns:c15="http://schemas.microsoft.com/office/drawing/2012/chart">
            <c:ext xmlns:c16="http://schemas.microsoft.com/office/drawing/2014/chart" uri="{C3380CC4-5D6E-409C-BE32-E72D297353CC}">
              <c16:uniqueId val="{00000003-8263-4AF6-BD2C-DC0EAFC73866}"/>
            </c:ext>
          </c:extLst>
        </c:ser>
        <c:ser>
          <c:idx val="3"/>
          <c:order val="5"/>
          <c:tx>
            <c:strRef>
              <c:f>Referentie_Backlog!$H$3</c:f>
              <c:strCache>
                <c:ptCount val="1"/>
                <c:pt idx="0">
                  <c:v>A5</c:v>
                </c:pt>
              </c:strCache>
            </c:strRef>
          </c:tx>
          <c:spPr>
            <a:solidFill>
              <a:schemeClr val="accent6"/>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Referentie_Backlog!$H$4:$H$35</c:f>
              <c:numCache>
                <c:formatCode>_([$€-2]\ * #,##0.00_);_([$€-2]\ * \(#,##0.00\);_([$€-2]\ * "-"??_);_(@_)</c:formatCode>
                <c:ptCount val="31"/>
                <c:pt idx="0">
                  <c:v>0</c:v>
                </c:pt>
                <c:pt idx="1">
                  <c:v>24.49</c:v>
                </c:pt>
                <c:pt idx="2">
                  <c:v>15.5</c:v>
                </c:pt>
                <c:pt idx="3">
                  <c:v>2.5202755706354361</c:v>
                </c:pt>
                <c:pt idx="4">
                  <c:v>81.864000000000004</c:v>
                </c:pt>
                <c:pt idx="5">
                  <c:v>0</c:v>
                </c:pt>
                <c:pt idx="6">
                  <c:v>0</c:v>
                </c:pt>
                <c:pt idx="7">
                  <c:v>150.69147682757716</c:v>
                </c:pt>
                <c:pt idx="8">
                  <c:v>158.93014636060826</c:v>
                </c:pt>
                <c:pt idx="9">
                  <c:v>113.56204035222767</c:v>
                </c:pt>
                <c:pt idx="10">
                  <c:v>124.9182654645429</c:v>
                </c:pt>
                <c:pt idx="11">
                  <c:v>6.7207348550278319</c:v>
                </c:pt>
                <c:pt idx="12">
                  <c:v>4.9621365946666272</c:v>
                </c:pt>
                <c:pt idx="13">
                  <c:v>5.4538120117248354</c:v>
                </c:pt>
                <c:pt idx="14">
                  <c:v>17.6599627046328</c:v>
                </c:pt>
                <c:pt idx="15">
                  <c:v>56.999999999999993</c:v>
                </c:pt>
                <c:pt idx="16">
                  <c:v>556.45000000000005</c:v>
                </c:pt>
                <c:pt idx="17">
                  <c:v>83.01</c:v>
                </c:pt>
                <c:pt idx="18">
                  <c:v>38.184599999999996</c:v>
                </c:pt>
                <c:pt idx="19">
                  <c:v>61.610720000000001</c:v>
                </c:pt>
                <c:pt idx="20">
                  <c:v>370.49999999999994</c:v>
                </c:pt>
                <c:pt idx="21">
                  <c:v>72.071082499999989</c:v>
                </c:pt>
                <c:pt idx="22">
                  <c:v>72.071082499999989</c:v>
                </c:pt>
                <c:pt idx="23">
                  <c:v>0</c:v>
                </c:pt>
                <c:pt idx="24">
                  <c:v>0</c:v>
                </c:pt>
                <c:pt idx="25">
                  <c:v>0</c:v>
                </c:pt>
                <c:pt idx="26">
                  <c:v>0</c:v>
                </c:pt>
                <c:pt idx="27">
                  <c:v>397.94976241196684</c:v>
                </c:pt>
                <c:pt idx="28">
                  <c:v>55.787349870836479</c:v>
                </c:pt>
                <c:pt idx="29">
                  <c:v>92.978916451394127</c:v>
                </c:pt>
                <c:pt idx="30">
                  <c:v>145.04710966417485</c:v>
                </c:pt>
              </c:numCache>
            </c:numRef>
          </c:val>
          <c:extLst xmlns:c15="http://schemas.microsoft.com/office/drawing/2012/chart">
            <c:ext xmlns:c16="http://schemas.microsoft.com/office/drawing/2014/chart" uri="{C3380CC4-5D6E-409C-BE32-E72D297353CC}">
              <c16:uniqueId val="{00000004-8263-4AF6-BD2C-DC0EAFC73866}"/>
            </c:ext>
          </c:extLst>
        </c:ser>
        <c:ser>
          <c:idx val="6"/>
          <c:order val="6"/>
          <c:tx>
            <c:strRef>
              <c:f>Referentie_Backlog!$I$3</c:f>
              <c:strCache>
                <c:ptCount val="1"/>
                <c:pt idx="0">
                  <c:v>B1</c:v>
                </c:pt>
              </c:strCache>
            </c:strRef>
          </c:tx>
          <c:spPr>
            <a:solidFill>
              <a:schemeClr val="bg2">
                <a:lumMod val="50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Referentie_Backlog!$I$4:$I$35</c:f>
              <c:numCache>
                <c:formatCode>_([$€-2]\ * #,##0.00_);_([$€-2]\ * \(#,##0.00\);_([$€-2]\ * "-"??_);_(@_)</c:formatCode>
                <c:ptCount val="31"/>
                <c:pt idx="0">
                  <c:v>0</c:v>
                </c:pt>
                <c:pt idx="1">
                  <c:v>0</c:v>
                </c:pt>
                <c:pt idx="2">
                  <c:v>0</c:v>
                </c:pt>
                <c:pt idx="3">
                  <c:v>0</c:v>
                </c:pt>
                <c:pt idx="4">
                  <c:v>0</c:v>
                </c:pt>
                <c:pt idx="5">
                  <c:v>0</c:v>
                </c:pt>
                <c:pt idx="6">
                  <c:v>0</c:v>
                </c:pt>
                <c:pt idx="7">
                  <c:v>0</c:v>
                </c:pt>
                <c:pt idx="8">
                  <c:v>0</c:v>
                </c:pt>
                <c:pt idx="9">
                  <c:v>0</c:v>
                </c:pt>
                <c:pt idx="10">
                  <c:v>56.880590736845306</c:v>
                </c:pt>
                <c:pt idx="11">
                  <c:v>0</c:v>
                </c:pt>
                <c:pt idx="12">
                  <c:v>0</c:v>
                </c:pt>
                <c:pt idx="13">
                  <c:v>2.4833521943321233</c:v>
                </c:pt>
                <c:pt idx="14">
                  <c:v>8.0413309149802092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5-8263-4AF6-BD2C-DC0EAFC73866}"/>
            </c:ext>
          </c:extLst>
        </c:ser>
        <c:ser>
          <c:idx val="13"/>
          <c:order val="7"/>
          <c:tx>
            <c:strRef>
              <c:f>Referentie_Backlog!$J$3</c:f>
              <c:strCache>
                <c:ptCount val="1"/>
                <c:pt idx="0">
                  <c:v>B4</c:v>
                </c:pt>
              </c:strCache>
            </c:strRef>
          </c:tx>
          <c:spPr>
            <a:solidFill>
              <a:schemeClr val="tx1">
                <a:lumMod val="75000"/>
                <a:lumOff val="25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Referentie_Backlog!$J$4:$J$35</c:f>
              <c:numCache>
                <c:formatCode>_([$€-2]\ * #,##0.00_);_([$€-2]\ * \(#,##0.00\);_([$€-2]\ *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6-8263-4AF6-BD2C-DC0EAFC73866}"/>
            </c:ext>
          </c:extLst>
        </c:ser>
        <c:ser>
          <c:idx val="7"/>
          <c:order val="8"/>
          <c:tx>
            <c:strRef>
              <c:f>Referentie_Backlog!$K$3</c:f>
              <c:strCache>
                <c:ptCount val="1"/>
                <c:pt idx="0">
                  <c:v>C1</c:v>
                </c:pt>
              </c:strCache>
            </c:strRef>
          </c:tx>
          <c:spPr>
            <a:solidFill>
              <a:schemeClr val="accent6">
                <a:lumMod val="50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Referentie_Backlog!$K$4:$K$35</c:f>
              <c:numCache>
                <c:formatCode>_([$€-2]\ * #,##0.00_);_([$€-2]\ * \(#,##0.00\);_([$€-2]\ * "-"??_);_(@_)</c:formatCode>
                <c:ptCount val="31"/>
                <c:pt idx="0">
                  <c:v>0</c:v>
                </c:pt>
                <c:pt idx="1">
                  <c:v>0</c:v>
                </c:pt>
                <c:pt idx="2">
                  <c:v>0</c:v>
                </c:pt>
                <c:pt idx="3">
                  <c:v>0</c:v>
                </c:pt>
                <c:pt idx="4">
                  <c:v>0</c:v>
                </c:pt>
                <c:pt idx="5">
                  <c:v>9.9532273420799999</c:v>
                </c:pt>
                <c:pt idx="6">
                  <c:v>2.6444020721249997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532.05817602303648</c:v>
                </c:pt>
                <c:pt idx="24">
                  <c:v>45.504975580917595</c:v>
                </c:pt>
                <c:pt idx="25">
                  <c:v>77.008420213860546</c:v>
                </c:pt>
                <c:pt idx="26">
                  <c:v>143.51569221674012</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7-8263-4AF6-BD2C-DC0EAFC73866}"/>
            </c:ext>
          </c:extLst>
        </c:ser>
        <c:ser>
          <c:idx val="8"/>
          <c:order val="9"/>
          <c:tx>
            <c:strRef>
              <c:f>Referentie_Backlog!$L$3</c:f>
              <c:strCache>
                <c:ptCount val="1"/>
                <c:pt idx="0">
                  <c:v>C2</c:v>
                </c:pt>
              </c:strCache>
            </c:strRef>
          </c:tx>
          <c:spPr>
            <a:solidFill>
              <a:schemeClr val="accent2">
                <a:lumMod val="50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Referentie_Backlog!$L$4:$L$35</c:f>
              <c:numCache>
                <c:formatCode>_([$€-2]\ * #,##0.00_);_([$€-2]\ * \(#,##0.00\);_([$€-2]\ * "-"??_);_(@_)</c:formatCode>
                <c:ptCount val="31"/>
                <c:pt idx="0">
                  <c:v>39.25</c:v>
                </c:pt>
                <c:pt idx="1">
                  <c:v>0</c:v>
                </c:pt>
                <c:pt idx="2">
                  <c:v>0</c:v>
                </c:pt>
                <c:pt idx="3">
                  <c:v>0</c:v>
                </c:pt>
                <c:pt idx="4">
                  <c:v>0</c:v>
                </c:pt>
                <c:pt idx="5">
                  <c:v>19.675342882799999</c:v>
                </c:pt>
                <c:pt idx="6">
                  <c:v>12.193316396249999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5763.4654332531327</c:v>
                </c:pt>
                <c:pt idx="24">
                  <c:v>492.92796468612318</c:v>
                </c:pt>
                <c:pt idx="25">
                  <c:v>834.18578639190071</c:v>
                </c:pt>
                <c:pt idx="26">
                  <c:v>1554.6189655485423</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8-8263-4AF6-BD2C-DC0EAFC73866}"/>
            </c:ext>
          </c:extLst>
        </c:ser>
        <c:ser>
          <c:idx val="9"/>
          <c:order val="10"/>
          <c:tx>
            <c:strRef>
              <c:f>Referentie_Backlog!$M$3</c:f>
              <c:strCache>
                <c:ptCount val="1"/>
                <c:pt idx="0">
                  <c:v>C3</c:v>
                </c:pt>
              </c:strCache>
            </c:strRef>
          </c:tx>
          <c:spPr>
            <a:solidFill>
              <a:schemeClr val="accent4">
                <a:lumMod val="75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Referentie_Backlog!$M$4:$M$35</c:f>
              <c:numCache>
                <c:formatCode>_([$€-2]\ * #,##0.00_);_([$€-2]\ * \(#,##0.00\);_([$€-2]\ * "-"??_);_(@_)</c:formatCode>
                <c:ptCount val="31"/>
                <c:pt idx="0">
                  <c:v>88.1875</c:v>
                </c:pt>
                <c:pt idx="1">
                  <c:v>0</c:v>
                </c:pt>
                <c:pt idx="2">
                  <c:v>0</c:v>
                </c:pt>
                <c:pt idx="3">
                  <c:v>0</c:v>
                </c:pt>
                <c:pt idx="4">
                  <c:v>0</c:v>
                </c:pt>
                <c:pt idx="5">
                  <c:v>5.0430480605999994</c:v>
                </c:pt>
                <c:pt idx="6">
                  <c:v>3.1253066831249998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9-8263-4AF6-BD2C-DC0EAFC73866}"/>
            </c:ext>
          </c:extLst>
        </c:ser>
        <c:ser>
          <c:idx val="10"/>
          <c:order val="11"/>
          <c:tx>
            <c:strRef>
              <c:f>Referentie_Backlog!$N$3</c:f>
              <c:strCache>
                <c:ptCount val="1"/>
                <c:pt idx="0">
                  <c:v>C4</c:v>
                </c:pt>
              </c:strCache>
            </c:strRef>
          </c:tx>
          <c:spPr>
            <a:solidFill>
              <a:schemeClr val="bg1">
                <a:lumMod val="75000"/>
              </a:schemeClr>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Referentie_Backlog!$N$4:$N$35</c:f>
              <c:numCache>
                <c:formatCode>_([$€-2]\ * #,##0.00_);_([$€-2]\ * \(#,##0.00\);_([$€-2]\ * "-"??_);_(@_)</c:formatCode>
                <c:ptCount val="31"/>
                <c:pt idx="0">
                  <c:v>31.9375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A-8263-4AF6-BD2C-DC0EAFC73866}"/>
            </c:ext>
          </c:extLst>
        </c:ser>
        <c:ser>
          <c:idx val="11"/>
          <c:order val="12"/>
          <c:tx>
            <c:strRef>
              <c:f>Referentie_Backlog!$O$3</c:f>
              <c:strCache>
                <c:ptCount val="1"/>
                <c:pt idx="0">
                  <c:v>D1</c:v>
                </c:pt>
              </c:strCache>
            </c:strRef>
          </c:tx>
          <c:spPr>
            <a:solidFill>
              <a:srgbClr val="FF0000"/>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Referentie_Backlog!$O$4:$O$35</c:f>
              <c:numCache>
                <c:formatCode>_([$€-2]\ * #,##0.00_);_([$€-2]\ * \(#,##0.00\);_([$€-2]\ * "-"??_);_(@_)</c:formatCode>
                <c:ptCount val="31"/>
                <c:pt idx="0">
                  <c:v>0.8125</c:v>
                </c:pt>
                <c:pt idx="1">
                  <c:v>0</c:v>
                </c:pt>
                <c:pt idx="2">
                  <c:v>0</c:v>
                </c:pt>
                <c:pt idx="3">
                  <c:v>0</c:v>
                </c:pt>
                <c:pt idx="4">
                  <c:v>0</c:v>
                </c:pt>
                <c:pt idx="5">
                  <c:v>-56.886463256531989</c:v>
                </c:pt>
                <c:pt idx="6">
                  <c:v>-84.950447730512735</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B-8263-4AF6-BD2C-DC0EAFC73866}"/>
            </c:ext>
          </c:extLst>
        </c:ser>
        <c:ser>
          <c:idx val="12"/>
          <c:order val="13"/>
          <c:tx>
            <c:strRef>
              <c:f>Referentie_Backlog!$P$3</c:f>
              <c:strCache>
                <c:ptCount val="1"/>
                <c:pt idx="0">
                  <c:v>D2</c:v>
                </c:pt>
              </c:strCache>
            </c:strRef>
          </c:tx>
          <c:spPr>
            <a:solidFill>
              <a:srgbClr val="FC8784"/>
            </a:solidFill>
            <a:ln>
              <a:noFill/>
            </a:ln>
            <a:effectLst/>
          </c:spPr>
          <c:invertIfNegative val="0"/>
          <c:cat>
            <c:strRef>
              <c:f>Referentie_Backlog!$B$4:$B$35</c:f>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f>Referentie_Backlog!$P$4:$P$35</c:f>
              <c:numCache>
                <c:formatCode>_([$€-2]\ * #,##0.00_);_([$€-2]\ * \(#,##0.00\);_([$€-2]\ * "-"??_);_(@_)</c:formatCode>
                <c:ptCount val="31"/>
                <c:pt idx="0">
                  <c:v>-59.0625</c:v>
                </c:pt>
                <c:pt idx="1">
                  <c:v>0</c:v>
                </c:pt>
                <c:pt idx="2">
                  <c:v>0</c:v>
                </c:pt>
                <c:pt idx="3">
                  <c:v>0</c:v>
                </c:pt>
                <c:pt idx="4">
                  <c:v>0</c:v>
                </c:pt>
                <c:pt idx="5">
                  <c:v>-23.041915586729747</c:v>
                </c:pt>
                <c:pt idx="6">
                  <c:v>-28.57462897156363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0-B07D-40BC-B08F-D039489399D6}"/>
            </c:ext>
          </c:extLst>
        </c:ser>
        <c:dLbls>
          <c:showLegendKey val="0"/>
          <c:showVal val="0"/>
          <c:showCatName val="0"/>
          <c:showSerName val="0"/>
          <c:showPercent val="0"/>
          <c:showBubbleSize val="0"/>
        </c:dLbls>
        <c:gapWidth val="150"/>
        <c:overlap val="100"/>
        <c:axId val="1339988456"/>
        <c:axId val="1339988784"/>
        <c:extLst>
          <c:ext xmlns:c15="http://schemas.microsoft.com/office/drawing/2012/chart" uri="{02D57815-91ED-43cb-92C2-25804820EDAC}">
            <c15:filteredBarSeries>
              <c15:ser>
                <c:idx val="0"/>
                <c:order val="0"/>
                <c:tx>
                  <c:strRef>
                    <c:extLst>
                      <c:ext uri="{02D57815-91ED-43cb-92C2-25804820EDAC}">
                        <c15:formulaRef>
                          <c15:sqref>Referentie_Backlog!$C$3</c15:sqref>
                        </c15:formulaRef>
                      </c:ext>
                    </c:extLst>
                    <c:strCache>
                      <c:ptCount val="1"/>
                      <c:pt idx="0">
                        <c:v>Product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extLst>
                      <c:ext uri="{02D57815-91ED-43cb-92C2-25804820EDAC}">
                        <c15:formulaRef>
                          <c15:sqref>Referentie_Backlog!$B$4:$B$35</c15:sqref>
                        </c15:formulaRef>
                      </c:ext>
                    </c:extLst>
                    <c:strCache>
                      <c:ptCount val="31"/>
                      <c:pt idx="0">
                        <c:v> Opbreken betonstraatstenen. </c:v>
                      </c:pt>
                      <c:pt idx="1">
                        <c:v>Aanbrengen band 280x300x260 mm, betonrug.</c:v>
                      </c:pt>
                      <c:pt idx="2">
                        <c:v>Aanbrengen opsluitband 100x200mm.</c:v>
                      </c:pt>
                      <c:pt idx="3">
                        <c:v>Aanbrengen straatlaag van straatzand dik 50 mm.</c:v>
                      </c:pt>
                      <c:pt idx="4">
                        <c:v>Aanbrengen betontegels 300x300x45 mm.</c:v>
                      </c:pt>
                      <c:pt idx="5">
                        <c:v> Opbreken asfaltverharding, dik 120 mm. </c:v>
                      </c:pt>
                      <c:pt idx="6">
                        <c:v> Frezen asfalt dik 30 mm - fietspad. </c:v>
                      </c:pt>
                      <c:pt idx="7">
                        <c:v>Aanbrengen menggranulaat, dik 300 mm - rijweg.</c:v>
                      </c:pt>
                      <c:pt idx="8">
                        <c:v>Aanbrengen onderlaag AC 22 base, dik 70 mm.</c:v>
                      </c:pt>
                      <c:pt idx="9">
                        <c:v>Aanbrengen tussenlaag AC16 bind, dik 50 mm</c:v>
                      </c:pt>
                      <c:pt idx="10">
                        <c:v>Aanbrengen deklaag van SMA-NL 8, dik 30 mm.</c:v>
                      </c:pt>
                      <c:pt idx="11">
                        <c:v>Aanbrengen menggranulaat, dik 200 mm - fietspad.</c:v>
                      </c:pt>
                      <c:pt idx="12">
                        <c:v>Aanbrengen onderlaag AC 16 base, dik 50 mm 275 m2.</c:v>
                      </c:pt>
                      <c:pt idx="13">
                        <c:v>Aanbrengen deklaag SMA-NL 8, dik 30 mm - 275 m2 (rood)</c:v>
                      </c:pt>
                      <c:pt idx="14">
                        <c:v>Aanbrengen deklaag SMA-NL 8, dik 30 mm - 890 m2 (rood)</c:v>
                      </c:pt>
                      <c:pt idx="15">
                        <c:v>Aanbrengen betonbuis rond profiel, ø300 mm - HWA.</c:v>
                      </c:pt>
                      <c:pt idx="16">
                        <c:v>Aanbrengen betonbuis rond profiel, ø500 mm - HWA.</c:v>
                      </c:pt>
                      <c:pt idx="17">
                        <c:v>Aanbrengen betonbuis rond profiel, ø700 mm - HWA.</c:v>
                      </c:pt>
                      <c:pt idx="18">
                        <c:v>Aanbrengen betonbuis rond profiel, ø1000 mm - HWA.</c:v>
                      </c:pt>
                      <c:pt idx="19">
                        <c:v>Aanbrengen drainage rioolsleuf PP ø 125 mm.</c:v>
                      </c:pt>
                      <c:pt idx="20">
                        <c:v>Aanbrengen betonbuis rond profiel, ø300 mm - DWA.</c:v>
                      </c:pt>
                      <c:pt idx="21">
                        <c:v>Aanbrengen  PVC 160 mm, incl. grondwerk - HWA.</c:v>
                      </c:pt>
                      <c:pt idx="22">
                        <c:v>Aanbrengen  PVC 160 mm, incl. grondwerk - DWA.</c:v>
                      </c:pt>
                      <c:pt idx="23">
                        <c:v> Grond ontgraven uit cunet, hoogte 1,0 m - rijweg/ fietspad </c:v>
                      </c:pt>
                      <c:pt idx="24">
                        <c:v> Grond ontgraven uit cunet, hoogte 0,90 m - voetpad. </c:v>
                      </c:pt>
                      <c:pt idx="25">
                        <c:v> Grond ontgraven uit cunet, hoogte 0,90 m - overige verharding. </c:v>
                      </c:pt>
                      <c:pt idx="26">
                        <c:v>Grond ontgraven t.b.v. sleuf hoofdriool.</c:v>
                      </c:pt>
                      <c:pt idx="27">
                        <c:v> Zand leveren en verwerken in cunet, hoogte 0,70 m - rijweg. </c:v>
                      </c:pt>
                      <c:pt idx="28">
                        <c:v> Zand verwerken in cunet, hoogte 1,00 m - voetpad (vrijgekomen). </c:v>
                      </c:pt>
                      <c:pt idx="29">
                        <c:v> Zand verwerken in cunet, hoogte 1,00 m - overige verharding (vrijgekomen). </c:v>
                      </c:pt>
                      <c:pt idx="30">
                        <c:v> Aanvullen sleuf ten behoeve van hoofdriolering. </c:v>
                      </c:pt>
                    </c:strCache>
                  </c:strRef>
                </c:cat>
                <c:val>
                  <c:numRef>
                    <c:extLst>
                      <c:ext uri="{02D57815-91ED-43cb-92C2-25804820EDAC}">
                        <c15:formulaRef>
                          <c15:sqref>Referentie_Backlog!$C$4:$C$35</c15:sqref>
                        </c15:formulaRef>
                      </c:ext>
                    </c:extLst>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C-8263-4AF6-BD2C-DC0EAFC73866}"/>
                  </c:ext>
                </c:extLst>
              </c15:ser>
            </c15:filteredBarSeries>
          </c:ext>
        </c:extLst>
      </c:barChart>
      <c:catAx>
        <c:axId val="1339988456"/>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nl-NL"/>
          </a:p>
        </c:txPr>
        <c:crossAx val="1339988784"/>
        <c:crosses val="autoZero"/>
        <c:auto val="1"/>
        <c:lblAlgn val="ctr"/>
        <c:lblOffset val="100"/>
        <c:noMultiLvlLbl val="0"/>
      </c:catAx>
      <c:valAx>
        <c:axId val="1339988784"/>
        <c:scaling>
          <c:orientation val="minMax"/>
        </c:scaling>
        <c:delete val="0"/>
        <c:axPos val="b"/>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nl-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9"/>
          <c:order val="0"/>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73-4F01-B26D-E41FD33825D2}"/>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673-4F01-B26D-E41FD33825D2}"/>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673-4F01-B26D-E41FD33825D2}"/>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Inschrijf_Backlog!$D$3:$N$3</c15:sqref>
                  </c15:fullRef>
                </c:ext>
              </c:extLst>
              <c:f>Inschrijf_Backlog!$D$3:$F$3</c:f>
              <c:strCache>
                <c:ptCount val="3"/>
                <c:pt idx="0">
                  <c:v>A1</c:v>
                </c:pt>
                <c:pt idx="1">
                  <c:v>A2</c:v>
                </c:pt>
                <c:pt idx="2">
                  <c:v>A3</c:v>
                </c:pt>
              </c:strCache>
            </c:strRef>
          </c:cat>
          <c:val>
            <c:numRef>
              <c:extLst>
                <c:ext xmlns:c15="http://schemas.microsoft.com/office/drawing/2012/chart" uri="{02D57815-91ED-43cb-92C2-25804820EDAC}">
                  <c15:fullRef>
                    <c15:sqref>Inschrijf_Backlog!$D$19:$N$19</c15:sqref>
                  </c15:fullRef>
                </c:ext>
              </c:extLst>
              <c:f>Inschrijf_Backlog!$D$19:$F$19</c:f>
              <c:numCache>
                <c:formatCode>_([$€-2]\ * #,##0_);_([$€-2]\ * \(#,##0\);_([$€-2]\ * "-"??_);_(@_)</c:formatCode>
                <c:ptCount val="3"/>
                <c:pt idx="0">
                  <c:v>1328.5030848345</c:v>
                </c:pt>
                <c:pt idx="1">
                  <c:v>26.709011119293756</c:v>
                </c:pt>
                <c:pt idx="2">
                  <c:v>16.906813285037057</c:v>
                </c:pt>
              </c:numCache>
            </c:numRef>
          </c:val>
          <c:extLst xmlns:c15="http://schemas.microsoft.com/office/drawing/2012/chart">
            <c:ext xmlns:c15="http://schemas.microsoft.com/office/drawing/2012/chart" uri="{02D57815-91ED-43cb-92C2-25804820EDAC}">
              <c15:categoryFilterExceptions>
                <c15:categoryFilterException>
                  <c15:sqref>Inschrijf_Backlog!$G$19</c15:sqref>
                  <c15:spPr xmlns:c15="http://schemas.microsoft.com/office/drawing/2012/chart">
                    <a:solidFill>
                      <a:schemeClr val="accent2"/>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Inschrijf_Backlog!$H$19</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dLbl>
                    <c:idx val="2"/>
                    <c:layout>
                      <c:manualLayout>
                        <c:x val="3.5227950087871919E-2"/>
                        <c:y val="9.1381587156344854E-2"/>
                      </c:manualLayout>
                    </c:layout>
                    <c:dLblPos val="bestFit"/>
                    <c:showLegendKey val="0"/>
                    <c:showVal val="0"/>
                    <c:showCatName val="0"/>
                    <c:showSerName val="0"/>
                    <c:showPercent val="1"/>
                    <c:showBubbleSize val="0"/>
                    <c:extLst>
                      <c:ext uri="{CE6537A1-D6FC-4f65-9D91-7224C49458BB}"/>
                      <c:ext xmlns:c16="http://schemas.microsoft.com/office/drawing/2014/chart" uri="{C3380CC4-5D6E-409C-BE32-E72D297353CC}">
                        <c16:uniqueId val="{00000009-532E-48DB-81E2-08ECE42B85E2}"/>
                      </c:ext>
                    </c:extLst>
                  </c15:dLbl>
                </c15:categoryFilterException>
                <c15:categoryFilterException>
                  <c15:sqref>Inschrijf_Backlog!$I$19</c15:sqref>
                  <c15:spPr xmlns:c15="http://schemas.microsoft.com/office/drawing/2012/chart">
                    <a:solidFill>
                      <a:schemeClr val="bg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0B-532E-48DB-81E2-08ECE42B85E2}"/>
                      </c:ext>
                    </c:extLst>
                  </c15:dLbl>
                </c15:categoryFilterException>
                <c15:categoryFilterException>
                  <c15:sqref>Inschrijf_Backlog!$J$19</c15:sqref>
                  <c15:spPr xmlns:c15="http://schemas.microsoft.com/office/drawing/2012/chart">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0D-532E-48DB-81E2-08ECE42B85E2}"/>
                      </c:ext>
                    </c:extLst>
                  </c15:dLbl>
                </c15:categoryFilterException>
                <c15:categoryFilterException>
                  <c15:sqref>Inschrijf_Backlog!$K$19</c15:sqref>
                  <c15:spPr xmlns:c15="http://schemas.microsoft.com/office/drawing/2012/chart">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0F-532E-48DB-81E2-08ECE42B85E2}"/>
                      </c:ext>
                    </c:extLst>
                  </c15:dLbl>
                </c15:categoryFilterException>
                <c15:categoryFilterException>
                  <c15:sqref>Inschrijf_Backlog!$L$19</c15:sqref>
                  <c15:spPr xmlns:c15="http://schemas.microsoft.com/office/drawing/2012/chart">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11-532E-48DB-81E2-08ECE42B85E2}"/>
                      </c:ext>
                    </c:extLst>
                  </c15:dLbl>
                </c15:categoryFilterException>
                <c15:categoryFilterException>
                  <c15:sqref>Inschrijf_Backlog!$M$19</c15:sqref>
                  <c15:spPr xmlns:c15="http://schemas.microsoft.com/office/drawing/2012/chart">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13-532E-48DB-81E2-08ECE42B85E2}"/>
                      </c:ext>
                    </c:extLst>
                  </c15:dLbl>
                </c15:categoryFilterException>
                <c15:categoryFilterException>
                  <c15:sqref>Inschrijf_Backlog!$N$19</c15:sqref>
                  <c15:spPr xmlns:c15="http://schemas.microsoft.com/office/drawing/2012/chart">
                    <a:solidFill>
                      <a:schemeClr val="bg2">
                        <a:lumMod val="90000"/>
                      </a:schemeClr>
                    </a:solidFill>
                    <a:ln>
                      <a:noFill/>
                    </a:ln>
                    <a:effectLst/>
                    <a:scene3d>
                      <a:camera prst="orthographicFront"/>
                      <a:lightRig rig="brightRoom" dir="t"/>
                    </a:scene3d>
                    <a:sp3d prstMaterial="flat">
                      <a:bevelT w="50800" h="101600" prst="angle"/>
                      <a:contourClr>
                        <a:srgbClr val="000000"/>
                      </a:contourClr>
                    </a:sp3d>
                  </c15:spPr>
                  <c15:bubble3D val="0"/>
                  <c15:dLbl>
                    <c:idx val="2"/>
                    <c:delete val="1"/>
                    <c:extLst>
                      <c:ext uri="{CE6537A1-D6FC-4f65-9D91-7224C49458BB}"/>
                      <c:ext xmlns:c16="http://schemas.microsoft.com/office/drawing/2014/chart" uri="{C3380CC4-5D6E-409C-BE32-E72D297353CC}">
                        <c16:uniqueId val="{00000015-532E-48DB-81E2-08ECE42B85E2}"/>
                      </c:ext>
                    </c:extLst>
                  </c15:dLbl>
                </c15:categoryFilterException>
              </c15:categoryFilterExceptions>
            </c:ext>
            <c:ext xmlns:c16="http://schemas.microsoft.com/office/drawing/2014/chart" uri="{C3380CC4-5D6E-409C-BE32-E72D297353CC}">
              <c16:uniqueId val="{00000014-1673-4F01-B26D-E41FD33825D2}"/>
            </c:ext>
          </c:extLst>
        </c:ser>
        <c:dLbls>
          <c:dLblPos val="inEnd"/>
          <c:showLegendKey val="0"/>
          <c:showVal val="0"/>
          <c:showCatName val="0"/>
          <c:showSerName val="0"/>
          <c:showPercent val="1"/>
          <c:showBubbleSize val="0"/>
          <c:showLeaderLines val="1"/>
        </c:dLbls>
        <c:firstSliceAng val="0"/>
        <c:extLst/>
      </c:pieChart>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rgbClr val="002060"/>
                </a:solidFill>
                <a:latin typeface="+mn-lt"/>
                <a:ea typeface="+mn-ea"/>
                <a:cs typeface="+mn-cs"/>
              </a:defRPr>
            </a:pPr>
            <a:endParaRPr lang="nl-NL"/>
          </a:p>
        </c:txPr>
      </c:legendEntry>
      <c:layout>
        <c:manualLayout>
          <c:xMode val="edge"/>
          <c:yMode val="edge"/>
          <c:x val="0.76064752102063637"/>
          <c:y val="0.20818517576161114"/>
          <c:w val="0.22570157408521224"/>
          <c:h val="0.7234401840044254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nl-NL"/>
        </a:p>
      </c:txPr>
    </c:title>
    <c:autoTitleDeleted val="0"/>
    <c:plotArea>
      <c:layout/>
      <c:barChart>
        <c:barDir val="col"/>
        <c:grouping val="stacked"/>
        <c:varyColors val="0"/>
        <c:ser>
          <c:idx val="5"/>
          <c:order val="0"/>
          <c:tx>
            <c:strRef>
              <c:f>Inschrijf_Backlog!$D$3</c:f>
              <c:strCache>
                <c:ptCount val="1"/>
                <c:pt idx="0">
                  <c:v>A1</c:v>
                </c:pt>
              </c:strCache>
            </c:strRef>
          </c:tx>
          <c:spPr>
            <a:solidFill>
              <a:srgbClr val="002060"/>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multiLvlStrRef>
          </c:cat>
          <c:val>
            <c:numRef>
              <c:f>Inschrijf_Backlog!$D$4:$D$15</c:f>
              <c:numCache>
                <c:formatCode>_([$€-2]\ * #,##0.00_);_([$€-2]\ * \(#,##0.00\);_([$€-2]\ * "-"??_);_(@_)</c:formatCode>
                <c:ptCount val="12"/>
                <c:pt idx="0">
                  <c:v>0</c:v>
                </c:pt>
                <c:pt idx="1">
                  <c:v>89.234284834500002</c:v>
                </c:pt>
                <c:pt idx="2">
                  <c:v>426.9</c:v>
                </c:pt>
                <c:pt idx="3">
                  <c:v>118.93679999999999</c:v>
                </c:pt>
                <c:pt idx="4">
                  <c:v>693.43200000000002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607-4046-AE90-5D1455B8184A}"/>
            </c:ext>
          </c:extLst>
        </c:ser>
        <c:ser>
          <c:idx val="4"/>
          <c:order val="1"/>
          <c:tx>
            <c:strRef>
              <c:f>Inschrijf_Backlog!$E$3</c:f>
              <c:strCache>
                <c:ptCount val="1"/>
                <c:pt idx="0">
                  <c:v>A2</c:v>
                </c:pt>
              </c:strCache>
            </c:strRef>
          </c:tx>
          <c:spPr>
            <a:solidFill>
              <a:srgbClr val="0070C0"/>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multiLvlStrRef>
          </c:cat>
          <c:val>
            <c:numRef>
              <c:f>Inschrijf_Backlog!$E$4:$E$15</c:f>
              <c:numCache>
                <c:formatCode>_([$€-2]\ * #,##0.00_);_([$€-2]\ * \(#,##0.00\);_([$€-2]\ * "-"??_);_(@_)</c:formatCode>
                <c:ptCount val="12"/>
                <c:pt idx="0">
                  <c:v>0</c:v>
                </c:pt>
                <c:pt idx="1">
                  <c:v>26.709011119293756</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2607-4046-AE90-5D1455B8184A}"/>
            </c:ext>
          </c:extLst>
        </c:ser>
        <c:ser>
          <c:idx val="1"/>
          <c:order val="2"/>
          <c:tx>
            <c:strRef>
              <c:f>Inschrijf_Backlog!$F$3</c:f>
              <c:strCache>
                <c:ptCount val="1"/>
                <c:pt idx="0">
                  <c:v>A3</c:v>
                </c:pt>
              </c:strCache>
            </c:strRef>
          </c:tx>
          <c:spPr>
            <a:solidFill>
              <a:srgbClr val="00B0F0"/>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multiLvlStrRef>
          </c:cat>
          <c:val>
            <c:numRef>
              <c:f>Inschrijf_Backlog!$F$4:$F$15</c:f>
              <c:numCache>
                <c:formatCode>_([$€-2]\ * #,##0.00_);_([$€-2]\ * \(#,##0.00\);_([$€-2]\ * "-"??_);_(@_)</c:formatCode>
                <c:ptCount val="12"/>
                <c:pt idx="0">
                  <c:v>0</c:v>
                </c:pt>
                <c:pt idx="1">
                  <c:v>16.906813285037057</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2607-4046-AE90-5D1455B8184A}"/>
            </c:ext>
          </c:extLst>
        </c:ser>
        <c:ser>
          <c:idx val="2"/>
          <c:order val="3"/>
          <c:tx>
            <c:strRef>
              <c:f>Inschrijf_Backlog!$G$3</c:f>
              <c:strCache>
                <c:ptCount val="1"/>
                <c:pt idx="0">
                  <c:v>A4</c:v>
                </c:pt>
              </c:strCache>
              <c:extLst xmlns:c15="http://schemas.microsoft.com/office/drawing/2012/chart"/>
            </c:strRef>
          </c:tx>
          <c:spPr>
            <a:solidFill>
              <a:schemeClr val="accent2"/>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Inschrijf_Backlog!$G$4:$G$15</c:f>
              <c:numCache>
                <c:formatCode>_([$€-2]\ * #,##0.00_);_([$€-2]\ * \(#,##0.00\);_([$€-2]\ * "-"??_);_(@_)</c:formatCode>
                <c:ptCount val="12"/>
                <c:pt idx="0">
                  <c:v>126.07580635241227</c:v>
                </c:pt>
                <c:pt idx="1">
                  <c:v>3.0807997792882698</c:v>
                </c:pt>
                <c:pt idx="2">
                  <c:v>805.74763458308598</c:v>
                </c:pt>
                <c:pt idx="3">
                  <c:v>0.61615995585765393</c:v>
                </c:pt>
                <c:pt idx="4">
                  <c:v>6.1615995585765395</c:v>
                </c:pt>
                <c:pt idx="5">
                  <c:v>10.90129152671234</c:v>
                </c:pt>
                <c:pt idx="6">
                  <c:v>9.9533531330851801</c:v>
                </c:pt>
                <c:pt idx="7">
                  <c:v>8.5314455426444393</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4-2607-4046-AE90-5D1455B8184A}"/>
            </c:ext>
          </c:extLst>
        </c:ser>
        <c:ser>
          <c:idx val="3"/>
          <c:order val="4"/>
          <c:tx>
            <c:strRef>
              <c:f>Inschrijf_Backlog!$H$3</c:f>
              <c:strCache>
                <c:ptCount val="1"/>
                <c:pt idx="0">
                  <c:v>A5</c:v>
                </c:pt>
              </c:strCache>
              <c:extLst xmlns:c15="http://schemas.microsoft.com/office/drawing/2012/chart"/>
            </c:strRef>
          </c:tx>
          <c:spPr>
            <a:solidFill>
              <a:schemeClr val="accent6"/>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Inschrijf_Backlog!$H$4:$H$15</c:f>
              <c:numCache>
                <c:formatCode>_ [$€-413]\ * #,##0.00_ ;_ [$€-413]\ * \-#,##0.00_ ;_ [$€-413]\ * "-"??_ ;_ @_ </c:formatCode>
                <c:ptCount val="12"/>
                <c:pt idx="0">
                  <c:v>69.497957577639127</c:v>
                </c:pt>
                <c:pt idx="1">
                  <c:v>1.8918965558209542</c:v>
                </c:pt>
                <c:pt idx="2">
                  <c:v>444.15987925558841</c:v>
                </c:pt>
                <c:pt idx="3">
                  <c:v>0.33965167237192057</c:v>
                </c:pt>
                <c:pt idx="4">
                  <c:v>3.3965167237192055</c:v>
                </c:pt>
                <c:pt idx="5">
                  <c:v>6.009221895810902</c:v>
                </c:pt>
                <c:pt idx="6">
                  <c:v>5.4866808613925633</c:v>
                </c:pt>
                <c:pt idx="7">
                  <c:v>4.7028693097650542</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5-2607-4046-AE90-5D1455B8184A}"/>
            </c:ext>
          </c:extLst>
        </c:ser>
        <c:ser>
          <c:idx val="6"/>
          <c:order val="5"/>
          <c:tx>
            <c:strRef>
              <c:f>Inschrijf_Backlog!$I$3</c:f>
              <c:strCache>
                <c:ptCount val="1"/>
                <c:pt idx="0">
                  <c:v>B1</c:v>
                </c:pt>
              </c:strCache>
              <c:extLst xmlns:c15="http://schemas.microsoft.com/office/drawing/2012/chart"/>
            </c:strRef>
          </c:tx>
          <c:spPr>
            <a:solidFill>
              <a:schemeClr val="bg2">
                <a:lumMod val="50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Inschrijf_Backlog!$I$4:$I$15</c:f>
              <c:numCache>
                <c:formatCode>_([$€-2]\ * #,##0.00_);_([$€-2]\ * \(#,##0.00\);_([$€-2]\ * "-"??_);_(@_)</c:formatCode>
                <c:ptCount val="12"/>
                <c:pt idx="0">
                  <c:v>0</c:v>
                </c:pt>
                <c:pt idx="1">
                  <c:v>0.80027858624999992</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6-2607-4046-AE90-5D1455B8184A}"/>
            </c:ext>
          </c:extLst>
        </c:ser>
        <c:ser>
          <c:idx val="13"/>
          <c:order val="6"/>
          <c:tx>
            <c:strRef>
              <c:f>Inschrijf_Backlog!$J$3</c:f>
              <c:strCache>
                <c:ptCount val="1"/>
                <c:pt idx="0">
                  <c:v>B4</c:v>
                </c:pt>
              </c:strCache>
              <c:extLst xmlns:c15="http://schemas.microsoft.com/office/drawing/2012/chart"/>
            </c:strRef>
          </c:tx>
          <c:spPr>
            <a:solidFill>
              <a:schemeClr val="tx1">
                <a:lumMod val="75000"/>
                <a:lumOff val="25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Inschrijf_Backlog!$J$4:$J$15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7-2607-4046-AE90-5D1455B8184A}"/>
            </c:ext>
          </c:extLst>
        </c:ser>
        <c:ser>
          <c:idx val="7"/>
          <c:order val="7"/>
          <c:tx>
            <c:strRef>
              <c:f>Inschrijf_Backlog!$K$3</c:f>
              <c:strCache>
                <c:ptCount val="1"/>
                <c:pt idx="0">
                  <c:v>C1</c:v>
                </c:pt>
              </c:strCache>
              <c:extLst xmlns:c15="http://schemas.microsoft.com/office/drawing/2012/chart"/>
            </c:strRef>
          </c:tx>
          <c:spPr>
            <a:solidFill>
              <a:schemeClr val="accent6">
                <a:lumMod val="50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Inschrijf_Backlog!$K$4:$K$15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8-2607-4046-AE90-5D1455B8184A}"/>
            </c:ext>
          </c:extLst>
        </c:ser>
        <c:ser>
          <c:idx val="8"/>
          <c:order val="8"/>
          <c:tx>
            <c:strRef>
              <c:f>Inschrijf_Backlog!$L$3</c:f>
              <c:strCache>
                <c:ptCount val="1"/>
                <c:pt idx="0">
                  <c:v>C2</c:v>
                </c:pt>
              </c:strCache>
              <c:extLst xmlns:c15="http://schemas.microsoft.com/office/drawing/2012/chart"/>
            </c:strRef>
          </c:tx>
          <c:spPr>
            <a:solidFill>
              <a:schemeClr val="accent2">
                <a:lumMod val="50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Inschrijf_Backlog!$L$4:$L$15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0F-2607-4046-AE90-5D1455B8184A}"/>
            </c:ext>
          </c:extLst>
        </c:ser>
        <c:ser>
          <c:idx val="9"/>
          <c:order val="9"/>
          <c:tx>
            <c:strRef>
              <c:f>Inschrijf_Backlog!$M$3</c:f>
              <c:strCache>
                <c:ptCount val="1"/>
                <c:pt idx="0">
                  <c:v>C3</c:v>
                </c:pt>
              </c:strCache>
              <c:extLst xmlns:c15="http://schemas.microsoft.com/office/drawing/2012/chart"/>
            </c:strRef>
          </c:tx>
          <c:spPr>
            <a:solidFill>
              <a:schemeClr val="accent4">
                <a:lumMod val="75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Inschrijf_Backlog!$M$4:$M$15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10-2607-4046-AE90-5D1455B8184A}"/>
            </c:ext>
          </c:extLst>
        </c:ser>
        <c:ser>
          <c:idx val="10"/>
          <c:order val="10"/>
          <c:tx>
            <c:strRef>
              <c:f>Inschrijf_Backlog!$N$3</c:f>
              <c:strCache>
                <c:ptCount val="1"/>
                <c:pt idx="0">
                  <c:v>C4</c:v>
                </c:pt>
              </c:strCache>
              <c:extLst xmlns:c15="http://schemas.microsoft.com/office/drawing/2012/chart"/>
            </c:strRef>
          </c:tx>
          <c:spPr>
            <a:solidFill>
              <a:schemeClr val="bg2">
                <a:lumMod val="90000"/>
              </a:schemeClr>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Inschrijf_Backlog!$N$4:$N$15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11-2607-4046-AE90-5D1455B8184A}"/>
            </c:ext>
          </c:extLst>
        </c:ser>
        <c:ser>
          <c:idx val="11"/>
          <c:order val="11"/>
          <c:tx>
            <c:strRef>
              <c:f>Inschrijf_Backlog!$O$3</c:f>
              <c:strCache>
                <c:ptCount val="1"/>
                <c:pt idx="0">
                  <c:v>D1</c:v>
                </c:pt>
              </c:strCache>
              <c:extLst xmlns:c15="http://schemas.microsoft.com/office/drawing/2012/chart"/>
            </c:strRef>
          </c:tx>
          <c:spPr>
            <a:solidFill>
              <a:srgbClr val="FF0000"/>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Inschrijf_Backlog!$O$4:$O$15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12-2607-4046-AE90-5D1455B8184A}"/>
            </c:ext>
          </c:extLst>
        </c:ser>
        <c:ser>
          <c:idx val="12"/>
          <c:order val="12"/>
          <c:tx>
            <c:strRef>
              <c:f>Inschrijf_Backlog!$P$3</c:f>
              <c:strCache>
                <c:ptCount val="1"/>
                <c:pt idx="0">
                  <c:v>D2</c:v>
                </c:pt>
              </c:strCache>
              <c:extLst xmlns:c15="http://schemas.microsoft.com/office/drawing/2012/chart"/>
            </c:strRef>
          </c:tx>
          <c:spPr>
            <a:solidFill>
              <a:srgbClr val="FC8784"/>
            </a:solidFill>
            <a:ln>
              <a:noFill/>
            </a:ln>
            <a:effectLst/>
          </c:spPr>
          <c:invertIfNegative val="0"/>
          <c:cat>
            <c:multiLvlStrRef>
              <c:f>Inschrijf_Backlog!$B$4:$C$15</c:f>
              <c:multiLvlStrCache>
                <c:ptCount val="12"/>
                <c:lvl>
                  <c:pt idx="0">
                    <c:v>20460-TB - AC 16 Bin/Base 35/50 60% PR Bestone</c:v>
                  </c:pt>
                  <c:pt idx="1">
                    <c:v>AC 11 surf DL-A rood*</c:v>
                  </c:pt>
                  <c:pt idx="2">
                    <c:v>88405-TB - SMA-NL 11B 40/60 Bestone</c:v>
                  </c:pt>
                  <c:pt idx="3">
                    <c:v>20060-TB - AC 22 Bin/Base 35/50 60% PR Bestone</c:v>
                  </c:pt>
                  <c:pt idx="4">
                    <c:v>20060-TB - AC 22 Bin/Base 35/50 60% PR Bestone</c:v>
                  </c:pt>
                  <c:pt idx="5">
                    <c:v>20460-TB - AC 16 Bin/Base 35/50 60% PR Bestone</c:v>
                  </c:pt>
                  <c:pt idx="6">
                    <c:v>88405-TB - SMA-NL 11B 40/60 Bestone</c:v>
                  </c:pt>
                  <c:pt idx="7">
                    <c:v>88405-TB - SMA-NL 11B 40/60 Bestone</c:v>
                  </c:pt>
                  <c:pt idx="8">
                    <c:v>0</c:v>
                  </c:pt>
                  <c:pt idx="9">
                    <c:v>0</c:v>
                  </c:pt>
                  <c:pt idx="10">
                    <c:v>0</c:v>
                  </c:pt>
                  <c:pt idx="11">
                    <c:v>0</c:v>
                  </c:pt>
                </c:lvl>
                <c:lvl>
                  <c:pt idx="0">
                    <c:v>422410</c:v>
                  </c:pt>
                  <c:pt idx="1">
                    <c:v>422510</c:v>
                  </c:pt>
                  <c:pt idx="2">
                    <c:v>422520</c:v>
                  </c:pt>
                  <c:pt idx="3">
                    <c:v>601230</c:v>
                  </c:pt>
                  <c:pt idx="4">
                    <c:v>601240</c:v>
                  </c:pt>
                  <c:pt idx="5">
                    <c:v>601250</c:v>
                  </c:pt>
                  <c:pt idx="6">
                    <c:v>601260</c:v>
                  </c:pt>
                  <c:pt idx="7">
                    <c:v>601270</c:v>
                  </c:pt>
                  <c:pt idx="8">
                    <c:v>0</c:v>
                  </c:pt>
                  <c:pt idx="9">
                    <c:v>0</c:v>
                  </c:pt>
                  <c:pt idx="10">
                    <c:v>0</c:v>
                  </c:pt>
                  <c:pt idx="11">
                    <c:v>0</c:v>
                  </c:pt>
                </c:lvl>
              </c:multiLvlStrCache>
              <c:extLst xmlns:c15="http://schemas.microsoft.com/office/drawing/2012/chart"/>
            </c:multiLvlStrRef>
          </c:cat>
          <c:val>
            <c:numRef>
              <c:f>Inschrijf_Backlog!$P$4:$P$15</c:f>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extLst xmlns:c15="http://schemas.microsoft.com/office/drawing/2012/chart"/>
            </c:numRef>
          </c:val>
          <c:extLst xmlns:c15="http://schemas.microsoft.com/office/drawing/2012/chart">
            <c:ext xmlns:c16="http://schemas.microsoft.com/office/drawing/2014/chart" uri="{C3380CC4-5D6E-409C-BE32-E72D297353CC}">
              <c16:uniqueId val="{00000013-2607-4046-AE90-5D1455B8184A}"/>
            </c:ext>
          </c:extLst>
        </c:ser>
        <c:dLbls>
          <c:showLegendKey val="0"/>
          <c:showVal val="0"/>
          <c:showCatName val="0"/>
          <c:showSerName val="0"/>
          <c:showPercent val="0"/>
          <c:showBubbleSize val="0"/>
        </c:dLbls>
        <c:gapWidth val="150"/>
        <c:overlap val="100"/>
        <c:axId val="1339988456"/>
        <c:axId val="1339988784"/>
        <c:extLst/>
      </c:barChart>
      <c:catAx>
        <c:axId val="13399884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nl-NL"/>
          </a:p>
        </c:txPr>
        <c:crossAx val="1339988784"/>
        <c:crosses val="autoZero"/>
        <c:auto val="1"/>
        <c:lblAlgn val="ctr"/>
        <c:lblOffset val="100"/>
        <c:noMultiLvlLbl val="0"/>
      </c:catAx>
      <c:valAx>
        <c:axId val="1339988784"/>
        <c:scaling>
          <c:orientation val="minMax"/>
        </c:scaling>
        <c:delete val="0"/>
        <c:axPos val="l"/>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nl-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MKI-Waarde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accent6"/>
            </a:solidFill>
            <a:ln>
              <a:noFill/>
            </a:ln>
            <a:effectLst/>
          </c:spPr>
          <c:invertIfNegative val="0"/>
          <c:cat>
            <c:strRef>
              <c:f>'Monitorings Dashboard'!$C$20:$D$20</c:f>
              <c:strCache>
                <c:ptCount val="2"/>
                <c:pt idx="0">
                  <c:v>Referentieberekening</c:v>
                </c:pt>
                <c:pt idx="1">
                  <c:v>Inschrijfberekening</c:v>
                </c:pt>
              </c:strCache>
            </c:strRef>
          </c:cat>
          <c:val>
            <c:numRef>
              <c:f>'Monitorings Dashboard'!$C$21:$D$21</c:f>
              <c:numCache>
                <c:formatCode>"€"\ #,##0.00</c:formatCode>
                <c:ptCount val="2"/>
                <c:pt idx="0">
                  <c:v>53360.561128251524</c:v>
                </c:pt>
                <c:pt idx="1">
                  <c:v>2879.4719521088518</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CO2 Emissies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bg2">
                <a:lumMod val="75000"/>
              </a:schemeClr>
            </a:solidFill>
            <a:ln>
              <a:noFill/>
            </a:ln>
            <a:effectLst/>
          </c:spPr>
          <c:invertIfNegative val="0"/>
          <c:cat>
            <c:strRef>
              <c:f>'Monitorings Dashboard'!$C$25:$D$25</c:f>
              <c:strCache>
                <c:ptCount val="2"/>
                <c:pt idx="0">
                  <c:v>Referentieberekening</c:v>
                </c:pt>
                <c:pt idx="1">
                  <c:v>Inschrijfberekening</c:v>
                </c:pt>
              </c:strCache>
            </c:strRef>
          </c:cat>
          <c:val>
            <c:numRef>
              <c:f>'Monitorings Dashboard'!$C$26:$D$26</c:f>
              <c:numCache>
                <c:formatCode>#,##0</c:formatCode>
                <c:ptCount val="2"/>
                <c:pt idx="0">
                  <c:v>508.87252103278212</c:v>
                </c:pt>
                <c:pt idx="1">
                  <c:v>41.886923839055832</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4.png"/><Relationship Id="rId7" Type="http://schemas.openxmlformats.org/officeDocument/2006/relationships/chart" Target="../charts/chart1.xml"/><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image" Target="../media/image5.svg"/><Relationship Id="rId9"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7.svg"/><Relationship Id="rId13" Type="http://schemas.openxmlformats.org/officeDocument/2006/relationships/image" Target="../media/image20.png"/><Relationship Id="rId3" Type="http://schemas.openxmlformats.org/officeDocument/2006/relationships/image" Target="../media/image2.png"/><Relationship Id="rId7" Type="http://schemas.openxmlformats.org/officeDocument/2006/relationships/image" Target="../media/image16.png"/><Relationship Id="rId12" Type="http://schemas.openxmlformats.org/officeDocument/2006/relationships/image" Target="../media/image19.sv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5.svg"/><Relationship Id="rId11" Type="http://schemas.openxmlformats.org/officeDocument/2006/relationships/image" Target="../media/image18.png"/><Relationship Id="rId5" Type="http://schemas.openxmlformats.org/officeDocument/2006/relationships/image" Target="../media/image4.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 Id="rId14" Type="http://schemas.openxmlformats.org/officeDocument/2006/relationships/image" Target="../media/image21.svg"/></Relationships>
</file>

<file path=xl/drawings/_rels/drawing4.xml.rels><?xml version="1.0" encoding="UTF-8" standalone="yes"?>
<Relationships xmlns="http://schemas.openxmlformats.org/package/2006/relationships"><Relationship Id="rId8" Type="http://schemas.openxmlformats.org/officeDocument/2006/relationships/image" Target="../media/image22.svg"/><Relationship Id="rId13" Type="http://schemas.openxmlformats.org/officeDocument/2006/relationships/image" Target="../media/image20.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media/image23.sv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17.svg"/><Relationship Id="rId11" Type="http://schemas.openxmlformats.org/officeDocument/2006/relationships/image" Target="../media/image18.png"/><Relationship Id="rId5" Type="http://schemas.openxmlformats.org/officeDocument/2006/relationships/image" Target="../media/image16.png"/><Relationship Id="rId10" Type="http://schemas.openxmlformats.org/officeDocument/2006/relationships/image" Target="../media/image3.svg"/><Relationship Id="rId4" Type="http://schemas.openxmlformats.org/officeDocument/2006/relationships/image" Target="../media/image5.svg"/><Relationship Id="rId9" Type="http://schemas.openxmlformats.org/officeDocument/2006/relationships/image" Target="../media/image2.png"/><Relationship Id="rId14" Type="http://schemas.openxmlformats.org/officeDocument/2006/relationships/image" Target="../media/image21.svg"/></Relationships>
</file>

<file path=xl/drawings/_rels/drawing5.xml.rels><?xml version="1.0" encoding="UTF-8" standalone="yes"?>
<Relationships xmlns="http://schemas.openxmlformats.org/package/2006/relationships"><Relationship Id="rId8" Type="http://schemas.openxmlformats.org/officeDocument/2006/relationships/image" Target="../media/image25.svg"/><Relationship Id="rId13" Type="http://schemas.openxmlformats.org/officeDocument/2006/relationships/image" Target="../media/image20.png"/><Relationship Id="rId18" Type="http://schemas.openxmlformats.org/officeDocument/2006/relationships/chart" Target="../charts/chart11.xml"/><Relationship Id="rId3" Type="http://schemas.openxmlformats.org/officeDocument/2006/relationships/image" Target="../media/image4.png"/><Relationship Id="rId21" Type="http://schemas.openxmlformats.org/officeDocument/2006/relationships/chart" Target="../charts/chart14.xml"/><Relationship Id="rId7" Type="http://schemas.openxmlformats.org/officeDocument/2006/relationships/image" Target="../media/image24.png"/><Relationship Id="rId12" Type="http://schemas.openxmlformats.org/officeDocument/2006/relationships/image" Target="../media/image19.svg"/><Relationship Id="rId17" Type="http://schemas.openxmlformats.org/officeDocument/2006/relationships/chart" Target="../charts/chart10.xml"/><Relationship Id="rId2" Type="http://schemas.openxmlformats.org/officeDocument/2006/relationships/image" Target="../media/image3.svg"/><Relationship Id="rId16" Type="http://schemas.openxmlformats.org/officeDocument/2006/relationships/chart" Target="../charts/chart9.xml"/><Relationship Id="rId20" Type="http://schemas.openxmlformats.org/officeDocument/2006/relationships/chart" Target="../charts/chart13.xml"/><Relationship Id="rId1" Type="http://schemas.openxmlformats.org/officeDocument/2006/relationships/image" Target="../media/image2.png"/><Relationship Id="rId6" Type="http://schemas.openxmlformats.org/officeDocument/2006/relationships/image" Target="../media/image17.svg"/><Relationship Id="rId11" Type="http://schemas.openxmlformats.org/officeDocument/2006/relationships/image" Target="../media/image18.png"/><Relationship Id="rId5" Type="http://schemas.openxmlformats.org/officeDocument/2006/relationships/image" Target="../media/image16.png"/><Relationship Id="rId15" Type="http://schemas.openxmlformats.org/officeDocument/2006/relationships/chart" Target="../charts/chart8.xml"/><Relationship Id="rId10" Type="http://schemas.openxmlformats.org/officeDocument/2006/relationships/image" Target="../media/image27.svg"/><Relationship Id="rId19" Type="http://schemas.openxmlformats.org/officeDocument/2006/relationships/chart" Target="../charts/chart12.xml"/><Relationship Id="rId4" Type="http://schemas.openxmlformats.org/officeDocument/2006/relationships/image" Target="../media/image5.svg"/><Relationship Id="rId9" Type="http://schemas.openxmlformats.org/officeDocument/2006/relationships/image" Target="../media/image26.png"/><Relationship Id="rId14" Type="http://schemas.openxmlformats.org/officeDocument/2006/relationships/image" Target="../media/image21.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0</xdr:col>
      <xdr:colOff>212256</xdr:colOff>
      <xdr:row>52</xdr:row>
      <xdr:rowOff>92121</xdr:rowOff>
    </xdr:from>
    <xdr:to>
      <xdr:col>0</xdr:col>
      <xdr:colOff>1100341</xdr:colOff>
      <xdr:row>57</xdr:row>
      <xdr:rowOff>8009</xdr:rowOff>
    </xdr:to>
    <xdr:pic>
      <xdr:nvPicPr>
        <xdr:cNvPr id="5" name="Graphic 4" descr="Open hand met planten met effen opvulli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2256" y="9834835"/>
          <a:ext cx="888085" cy="905498"/>
        </a:xfrm>
        <a:prstGeom prst="rect">
          <a:avLst/>
        </a:prstGeom>
      </xdr:spPr>
    </xdr:pic>
    <xdr:clientData/>
  </xdr:twoCellAnchor>
  <xdr:twoCellAnchor editAs="oneCell">
    <xdr:from>
      <xdr:col>0</xdr:col>
      <xdr:colOff>303193</xdr:colOff>
      <xdr:row>70</xdr:row>
      <xdr:rowOff>132361</xdr:rowOff>
    </xdr:from>
    <xdr:to>
      <xdr:col>0</xdr:col>
      <xdr:colOff>1028585</xdr:colOff>
      <xdr:row>73</xdr:row>
      <xdr:rowOff>114863</xdr:rowOff>
    </xdr:to>
    <xdr:pic>
      <xdr:nvPicPr>
        <xdr:cNvPr id="6" name="Graphic 5" descr="Energiecentrale met effen opvulli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03193" y="13889182"/>
          <a:ext cx="725392" cy="798931"/>
        </a:xfrm>
        <a:prstGeom prst="rect">
          <a:avLst/>
        </a:prstGeom>
      </xdr:spPr>
    </xdr:pic>
    <xdr:clientData/>
  </xdr:twoCellAnchor>
  <xdr:twoCellAnchor editAs="oneCell">
    <xdr:from>
      <xdr:col>0</xdr:col>
      <xdr:colOff>206706</xdr:colOff>
      <xdr:row>87</xdr:row>
      <xdr:rowOff>89064</xdr:rowOff>
    </xdr:from>
    <xdr:to>
      <xdr:col>0</xdr:col>
      <xdr:colOff>1097603</xdr:colOff>
      <xdr:row>91</xdr:row>
      <xdr:rowOff>2499</xdr:rowOff>
    </xdr:to>
    <xdr:pic>
      <xdr:nvPicPr>
        <xdr:cNvPr id="8" name="Graphic 7" descr="Grondstoffen met effen opvulli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06706" y="18132135"/>
          <a:ext cx="890897" cy="1002007"/>
        </a:xfrm>
        <a:prstGeom prst="rect">
          <a:avLst/>
        </a:prstGeom>
      </xdr:spPr>
    </xdr:pic>
    <xdr:clientData/>
  </xdr:twoCellAnchor>
  <xdr:twoCellAnchor>
    <xdr:from>
      <xdr:col>2</xdr:col>
      <xdr:colOff>217715</xdr:colOff>
      <xdr:row>41</xdr:row>
      <xdr:rowOff>103909</xdr:rowOff>
    </xdr:from>
    <xdr:to>
      <xdr:col>18</xdr:col>
      <xdr:colOff>0</xdr:colOff>
      <xdr:row>44</xdr:row>
      <xdr:rowOff>27966</xdr:rowOff>
    </xdr:to>
    <xdr:sp macro="[0]!Herberekenen" textlink="">
      <xdr:nvSpPr>
        <xdr:cNvPr id="11" name="Rechthoek: afgeronde hoeken 10">
          <a:extLst>
            <a:ext uri="{FF2B5EF4-FFF2-40B4-BE49-F238E27FC236}">
              <a16:creationId xmlns:a16="http://schemas.microsoft.com/office/drawing/2014/main" id="{00000000-0008-0000-0000-00000B000000}"/>
            </a:ext>
          </a:extLst>
        </xdr:cNvPr>
        <xdr:cNvSpPr/>
      </xdr:nvSpPr>
      <xdr:spPr>
        <a:xfrm>
          <a:off x="3497036" y="7601445"/>
          <a:ext cx="7796893" cy="536378"/>
        </a:xfrm>
        <a:prstGeom prst="round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2400"/>
            <a:t>Herberekenen</a:t>
          </a:r>
        </a:p>
      </xdr:txBody>
    </xdr:sp>
    <xdr:clientData/>
  </xdr:twoCellAnchor>
  <mc:AlternateContent xmlns:mc="http://schemas.openxmlformats.org/markup-compatibility/2006">
    <mc:Choice xmlns:a14="http://schemas.microsoft.com/office/drawing/2010/main" Requires="a14">
      <xdr:twoCellAnchor editAs="oneCell">
        <xdr:from>
          <xdr:col>1</xdr:col>
          <xdr:colOff>256988</xdr:colOff>
          <xdr:row>1</xdr:row>
          <xdr:rowOff>162112</xdr:rowOff>
        </xdr:from>
        <xdr:to>
          <xdr:col>1</xdr:col>
          <xdr:colOff>453838</xdr:colOff>
          <xdr:row>2</xdr:row>
          <xdr:rowOff>127374</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1347106</xdr:colOff>
      <xdr:row>44</xdr:row>
      <xdr:rowOff>160813</xdr:rowOff>
    </xdr:from>
    <xdr:to>
      <xdr:col>34</xdr:col>
      <xdr:colOff>0</xdr:colOff>
      <xdr:row>65</xdr:row>
      <xdr:rowOff>37110</xdr:rowOff>
    </xdr:to>
    <xdr:graphicFrame macro="">
      <xdr:nvGraphicFramePr>
        <xdr:cNvPr id="15" name="Grafiek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155864</xdr:colOff>
      <xdr:row>65</xdr:row>
      <xdr:rowOff>183369</xdr:rowOff>
    </xdr:from>
    <xdr:to>
      <xdr:col>33</xdr:col>
      <xdr:colOff>1013426</xdr:colOff>
      <xdr:row>78</xdr:row>
      <xdr:rowOff>138545</xdr:rowOff>
    </xdr:to>
    <xdr:graphicFrame macro="">
      <xdr:nvGraphicFramePr>
        <xdr:cNvPr id="12" name="Grafiek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376920</xdr:colOff>
      <xdr:row>81</xdr:row>
      <xdr:rowOff>5401</xdr:rowOff>
    </xdr:from>
    <xdr:to>
      <xdr:col>33</xdr:col>
      <xdr:colOff>1002921</xdr:colOff>
      <xdr:row>98</xdr:row>
      <xdr:rowOff>20427</xdr:rowOff>
    </xdr:to>
    <xdr:graphicFrame macro="">
      <xdr:nvGraphicFramePr>
        <xdr:cNvPr id="14" name="Grafiek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57</xdr:row>
      <xdr:rowOff>121104</xdr:rowOff>
    </xdr:from>
    <xdr:to>
      <xdr:col>1</xdr:col>
      <xdr:colOff>8334376</xdr:colOff>
      <xdr:row>74</xdr:row>
      <xdr:rowOff>85725</xdr:rowOff>
    </xdr:to>
    <xdr:pic>
      <xdr:nvPicPr>
        <xdr:cNvPr id="3" name="Afbeelding 2">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995"/>
        <a:stretch/>
      </xdr:blipFill>
      <xdr:spPr bwMode="auto">
        <a:xfrm>
          <a:off x="1003790" y="11822200"/>
          <a:ext cx="8334374" cy="3203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80</xdr:row>
      <xdr:rowOff>180147</xdr:rowOff>
    </xdr:from>
    <xdr:to>
      <xdr:col>1</xdr:col>
      <xdr:colOff>5019675</xdr:colOff>
      <xdr:row>88</xdr:row>
      <xdr:rowOff>189672</xdr:rowOff>
    </xdr:to>
    <xdr:pic>
      <xdr:nvPicPr>
        <xdr:cNvPr id="4" name="Picture 6" descr="Table&#10;&#10;Description automatically generated">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3788" y="16453243"/>
          <a:ext cx="501967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125</xdr:row>
      <xdr:rowOff>63312</xdr:rowOff>
    </xdr:from>
    <xdr:to>
      <xdr:col>1</xdr:col>
      <xdr:colOff>8277225</xdr:colOff>
      <xdr:row>144</xdr:row>
      <xdr:rowOff>49737</xdr:rowOff>
    </xdr:to>
    <xdr:pic>
      <xdr:nvPicPr>
        <xdr:cNvPr id="5" name="Afbeelding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3788" y="26469543"/>
          <a:ext cx="8277225" cy="360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1664804</xdr:colOff>
      <xdr:row>115</xdr:row>
      <xdr:rowOff>91109</xdr:rowOff>
    </xdr:from>
    <xdr:to>
      <xdr:col>1</xdr:col>
      <xdr:colOff>3427175</xdr:colOff>
      <xdr:row>120</xdr:row>
      <xdr:rowOff>176979</xdr:rowOff>
    </xdr:to>
    <xdr:pic>
      <xdr:nvPicPr>
        <xdr:cNvPr id="10" name="Afbeelding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2668592" y="34117340"/>
          <a:ext cx="1762371" cy="1038370"/>
        </a:xfrm>
        <a:prstGeom prst="rect">
          <a:avLst/>
        </a:prstGeom>
      </xdr:spPr>
    </xdr:pic>
    <xdr:clientData/>
  </xdr:twoCellAnchor>
  <xdr:twoCellAnchor editAs="oneCell">
    <xdr:from>
      <xdr:col>1</xdr:col>
      <xdr:colOff>4398064</xdr:colOff>
      <xdr:row>115</xdr:row>
      <xdr:rowOff>91107</xdr:rowOff>
    </xdr:from>
    <xdr:to>
      <xdr:col>1</xdr:col>
      <xdr:colOff>6360488</xdr:colOff>
      <xdr:row>121</xdr:row>
      <xdr:rowOff>126488</xdr:rowOff>
    </xdr:to>
    <xdr:pic>
      <xdr:nvPicPr>
        <xdr:cNvPr id="11" name="Afbeelding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5"/>
        <a:srcRect t="8372" b="1"/>
        <a:stretch/>
      </xdr:blipFill>
      <xdr:spPr>
        <a:xfrm>
          <a:off x="5401852" y="34117338"/>
          <a:ext cx="1962424" cy="1178381"/>
        </a:xfrm>
        <a:prstGeom prst="rect">
          <a:avLst/>
        </a:prstGeom>
      </xdr:spPr>
    </xdr:pic>
    <xdr:clientData/>
  </xdr:twoCellAnchor>
  <xdr:twoCellAnchor editAs="oneCell">
    <xdr:from>
      <xdr:col>1</xdr:col>
      <xdr:colOff>184990</xdr:colOff>
      <xdr:row>16</xdr:row>
      <xdr:rowOff>134470</xdr:rowOff>
    </xdr:from>
    <xdr:to>
      <xdr:col>1</xdr:col>
      <xdr:colOff>8629625</xdr:colOff>
      <xdr:row>29</xdr:row>
      <xdr:rowOff>168088</xdr:rowOff>
    </xdr:to>
    <xdr:pic>
      <xdr:nvPicPr>
        <xdr:cNvPr id="7" name="Afbeelding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1182314" y="3384176"/>
          <a:ext cx="8444635" cy="2510118"/>
        </a:xfrm>
        <a:prstGeom prst="rect">
          <a:avLst/>
        </a:prstGeom>
      </xdr:spPr>
    </xdr:pic>
    <xdr:clientData/>
  </xdr:twoCellAnchor>
  <xdr:twoCellAnchor editAs="oneCell">
    <xdr:from>
      <xdr:col>1</xdr:col>
      <xdr:colOff>70656</xdr:colOff>
      <xdr:row>99</xdr:row>
      <xdr:rowOff>56087</xdr:rowOff>
    </xdr:from>
    <xdr:to>
      <xdr:col>1</xdr:col>
      <xdr:colOff>8763000</xdr:colOff>
      <xdr:row>112</xdr:row>
      <xdr:rowOff>0</xdr:rowOff>
    </xdr:to>
    <xdr:pic>
      <xdr:nvPicPr>
        <xdr:cNvPr id="8" name="Afbeelding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7"/>
        <a:srcRect b="30410"/>
        <a:stretch/>
      </xdr:blipFill>
      <xdr:spPr>
        <a:xfrm>
          <a:off x="1067980" y="20540440"/>
          <a:ext cx="8692344" cy="2420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460257</xdr:colOff>
      <xdr:row>45</xdr:row>
      <xdr:rowOff>90301</xdr:rowOff>
    </xdr:from>
    <xdr:to>
      <xdr:col>6</xdr:col>
      <xdr:colOff>0</xdr:colOff>
      <xdr:row>61</xdr:row>
      <xdr:rowOff>140788</xdr:rowOff>
    </xdr:to>
    <xdr:graphicFrame macro="">
      <xdr:nvGraphicFramePr>
        <xdr:cNvPr id="3" name="Grafiek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277091</xdr:colOff>
      <xdr:row>42</xdr:row>
      <xdr:rowOff>34635</xdr:rowOff>
    </xdr:from>
    <xdr:to>
      <xdr:col>40</xdr:col>
      <xdr:colOff>295646</xdr:colOff>
      <xdr:row>88</xdr:row>
      <xdr:rowOff>86591</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220485</xdr:colOff>
      <xdr:row>43</xdr:row>
      <xdr:rowOff>186441</xdr:rowOff>
    </xdr:from>
    <xdr:to>
      <xdr:col>1</xdr:col>
      <xdr:colOff>811154</xdr:colOff>
      <xdr:row>74</xdr:row>
      <xdr:rowOff>173182</xdr:rowOff>
    </xdr:to>
    <mc:AlternateContent xmlns:mc="http://schemas.openxmlformats.org/markup-compatibility/2006" xmlns:sle15="http://schemas.microsoft.com/office/drawing/2012/slicer">
      <mc:Choice Requires="sle15">
        <xdr:graphicFrame macro="">
          <xdr:nvGraphicFramePr>
            <xdr:cNvPr id="5" name="Product">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mlns="">
        <xdr:sp macro="" textlink="">
          <xdr:nvSpPr>
            <xdr:cNvPr id="0" name=""/>
            <xdr:cNvSpPr>
              <a:spLocks noTextEdit="1"/>
            </xdr:cNvSpPr>
          </xdr:nvSpPr>
          <xdr:spPr>
            <a:xfrm>
              <a:off x="220485" y="10238117"/>
              <a:ext cx="1946581" cy="5910959"/>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1052697</xdr:colOff>
      <xdr:row>41</xdr:row>
      <xdr:rowOff>43295</xdr:rowOff>
    </xdr:from>
    <xdr:to>
      <xdr:col>2</xdr:col>
      <xdr:colOff>288488</xdr:colOff>
      <xdr:row>45</xdr:row>
      <xdr:rowOff>134</xdr:rowOff>
    </xdr:to>
    <xdr:pic>
      <xdr:nvPicPr>
        <xdr:cNvPr id="6" name="Graphic 5" descr="Open hand met planten met effen opvulli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408609" y="5747089"/>
          <a:ext cx="898337" cy="942958"/>
        </a:xfrm>
        <a:prstGeom prst="rect">
          <a:avLst/>
        </a:prstGeom>
      </xdr:spPr>
    </xdr:pic>
    <xdr:clientData/>
  </xdr:twoCellAnchor>
  <xdr:twoCellAnchor editAs="oneCell">
    <xdr:from>
      <xdr:col>1</xdr:col>
      <xdr:colOff>941368</xdr:colOff>
      <xdr:row>64</xdr:row>
      <xdr:rowOff>11134</xdr:rowOff>
    </xdr:from>
    <xdr:to>
      <xdr:col>2</xdr:col>
      <xdr:colOff>11344</xdr:colOff>
      <xdr:row>67</xdr:row>
      <xdr:rowOff>17304</xdr:rowOff>
    </xdr:to>
    <xdr:pic>
      <xdr:nvPicPr>
        <xdr:cNvPr id="7" name="Graphic 6" descr="Energiecentrale met effen opvulli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297280" y="10746369"/>
          <a:ext cx="732522" cy="779375"/>
        </a:xfrm>
        <a:prstGeom prst="rect">
          <a:avLst/>
        </a:prstGeom>
      </xdr:spPr>
    </xdr:pic>
    <xdr:clientData/>
  </xdr:twoCellAnchor>
  <xdr:twoCellAnchor editAs="oneCell">
    <xdr:from>
      <xdr:col>1</xdr:col>
      <xdr:colOff>831274</xdr:colOff>
      <xdr:row>73</xdr:row>
      <xdr:rowOff>181841</xdr:rowOff>
    </xdr:from>
    <xdr:to>
      <xdr:col>2</xdr:col>
      <xdr:colOff>82466</xdr:colOff>
      <xdr:row>76</xdr:row>
      <xdr:rowOff>16391</xdr:rowOff>
    </xdr:to>
    <xdr:pic>
      <xdr:nvPicPr>
        <xdr:cNvPr id="8" name="Graphic 7" descr="Batterij die wordt opgeladen met effen opvulling">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rcRect t="13402" b="13404"/>
        <a:stretch/>
      </xdr:blipFill>
      <xdr:spPr>
        <a:xfrm>
          <a:off x="2187186" y="13169459"/>
          <a:ext cx="913738" cy="674992"/>
        </a:xfrm>
        <a:prstGeom prst="rect">
          <a:avLst/>
        </a:prstGeom>
      </xdr:spPr>
    </xdr:pic>
    <xdr:clientData/>
  </xdr:twoCellAnchor>
  <xdr:twoCellAnchor editAs="oneCell">
    <xdr:from>
      <xdr:col>1</xdr:col>
      <xdr:colOff>844881</xdr:colOff>
      <xdr:row>68</xdr:row>
      <xdr:rowOff>2474</xdr:rowOff>
    </xdr:from>
    <xdr:to>
      <xdr:col>2</xdr:col>
      <xdr:colOff>80362</xdr:colOff>
      <xdr:row>71</xdr:row>
      <xdr:rowOff>111744</xdr:rowOff>
    </xdr:to>
    <xdr:pic>
      <xdr:nvPicPr>
        <xdr:cNvPr id="9" name="Graphic 8" descr="Grondstoffen met effen opvulli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200793" y="11656592"/>
          <a:ext cx="898027" cy="949710"/>
        </a:xfrm>
        <a:prstGeom prst="rect">
          <a:avLst/>
        </a:prstGeom>
      </xdr:spPr>
    </xdr:pic>
    <xdr:clientData/>
  </xdr:twoCellAnchor>
  <xdr:twoCellAnchor editAs="oneCell">
    <xdr:from>
      <xdr:col>1</xdr:col>
      <xdr:colOff>877042</xdr:colOff>
      <xdr:row>77</xdr:row>
      <xdr:rowOff>118753</xdr:rowOff>
    </xdr:from>
    <xdr:to>
      <xdr:col>2</xdr:col>
      <xdr:colOff>119326</xdr:colOff>
      <xdr:row>81</xdr:row>
      <xdr:rowOff>2133</xdr:rowOff>
    </xdr:to>
    <xdr:pic>
      <xdr:nvPicPr>
        <xdr:cNvPr id="11" name="Graphic 10" descr="Vrachtwagen met effen opvulli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2232954" y="14159724"/>
          <a:ext cx="904830" cy="992762"/>
        </a:xfrm>
        <a:prstGeom prst="rect">
          <a:avLst/>
        </a:prstGeom>
      </xdr:spPr>
    </xdr:pic>
    <xdr:clientData/>
  </xdr:twoCellAnchor>
  <xdr:twoCellAnchor editAs="oneCell">
    <xdr:from>
      <xdr:col>1</xdr:col>
      <xdr:colOff>848592</xdr:colOff>
      <xdr:row>82</xdr:row>
      <xdr:rowOff>173182</xdr:rowOff>
    </xdr:from>
    <xdr:to>
      <xdr:col>2</xdr:col>
      <xdr:colOff>99783</xdr:colOff>
      <xdr:row>86</xdr:row>
      <xdr:rowOff>2307</xdr:rowOff>
    </xdr:to>
    <xdr:pic>
      <xdr:nvPicPr>
        <xdr:cNvPr id="12" name="Graphic 11" descr="Bulldozer met effen opvullin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2204504" y="15603682"/>
          <a:ext cx="913737" cy="938509"/>
        </a:xfrm>
        <a:prstGeom prst="rect">
          <a:avLst/>
        </a:prstGeom>
      </xdr:spPr>
    </xdr:pic>
    <xdr:clientData/>
  </xdr:twoCellAnchor>
  <xdr:twoCellAnchor>
    <xdr:from>
      <xdr:col>27</xdr:col>
      <xdr:colOff>234072</xdr:colOff>
      <xdr:row>3</xdr:row>
      <xdr:rowOff>86592</xdr:rowOff>
    </xdr:from>
    <xdr:to>
      <xdr:col>30</xdr:col>
      <xdr:colOff>462643</xdr:colOff>
      <xdr:row>4</xdr:row>
      <xdr:rowOff>5444</xdr:rowOff>
    </xdr:to>
    <xdr:sp macro="" textlink="">
      <xdr:nvSpPr>
        <xdr:cNvPr id="2" name="Rechthoek: afgeronde hoeken 1">
          <a:extLst>
            <a:ext uri="{FF2B5EF4-FFF2-40B4-BE49-F238E27FC236}">
              <a16:creationId xmlns:a16="http://schemas.microsoft.com/office/drawing/2014/main" id="{00000000-0008-0000-0300-000002000000}"/>
            </a:ext>
          </a:extLst>
        </xdr:cNvPr>
        <xdr:cNvSpPr/>
      </xdr:nvSpPr>
      <xdr:spPr>
        <a:xfrm>
          <a:off x="22372893" y="698913"/>
          <a:ext cx="2065536" cy="2000745"/>
        </a:xfrm>
        <a:prstGeom prst="round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3200"/>
            <a:t>Reset</a:t>
          </a:r>
        </a:p>
      </xdr:txBody>
    </xdr:sp>
    <xdr:clientData/>
  </xdr:twoCellAnchor>
  <mc:AlternateContent xmlns:mc="http://schemas.openxmlformats.org/markup-compatibility/2006">
    <mc:Choice xmlns:a14="http://schemas.microsoft.com/office/drawing/2010/main" Requires="a14">
      <xdr:twoCellAnchor editAs="oneCell">
        <xdr:from>
          <xdr:col>1</xdr:col>
          <xdr:colOff>351559</xdr:colOff>
          <xdr:row>1</xdr:row>
          <xdr:rowOff>181841</xdr:rowOff>
        </xdr:from>
        <xdr:to>
          <xdr:col>1</xdr:col>
          <xdr:colOff>478559</xdr:colOff>
          <xdr:row>2</xdr:row>
          <xdr:rowOff>77932</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44823</xdr:colOff>
      <xdr:row>22</xdr:row>
      <xdr:rowOff>66871</xdr:rowOff>
    </xdr:from>
    <xdr:to>
      <xdr:col>14</xdr:col>
      <xdr:colOff>1154207</xdr:colOff>
      <xdr:row>37</xdr:row>
      <xdr:rowOff>159781</xdr:rowOff>
    </xdr:to>
    <xdr:graphicFrame macro="">
      <xdr:nvGraphicFramePr>
        <xdr:cNvPr id="3" name="Grafiek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1090588</xdr:colOff>
      <xdr:row>22</xdr:row>
      <xdr:rowOff>0</xdr:rowOff>
    </xdr:from>
    <xdr:to>
      <xdr:col>24</xdr:col>
      <xdr:colOff>1177636</xdr:colOff>
      <xdr:row>63</xdr:row>
      <xdr:rowOff>51954</xdr:rowOff>
    </xdr:to>
    <xdr:graphicFrame macro="">
      <xdr:nvGraphicFramePr>
        <xdr:cNvPr id="4" name="Grafiek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280620</xdr:colOff>
      <xdr:row>35</xdr:row>
      <xdr:rowOff>170663</xdr:rowOff>
    </xdr:from>
    <xdr:to>
      <xdr:col>2</xdr:col>
      <xdr:colOff>79378</xdr:colOff>
      <xdr:row>38</xdr:row>
      <xdr:rowOff>147798</xdr:rowOff>
    </xdr:to>
    <xdr:pic>
      <xdr:nvPicPr>
        <xdr:cNvPr id="6" name="Graphic 5" descr="Energiecentrale met effen opvulli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08149" y="9852545"/>
          <a:ext cx="728847" cy="727928"/>
        </a:xfrm>
        <a:prstGeom prst="rect">
          <a:avLst/>
        </a:prstGeom>
      </xdr:spPr>
    </xdr:pic>
    <xdr:clientData/>
  </xdr:twoCellAnchor>
  <xdr:twoCellAnchor editAs="oneCell">
    <xdr:from>
      <xdr:col>1</xdr:col>
      <xdr:colOff>201314</xdr:colOff>
      <xdr:row>47</xdr:row>
      <xdr:rowOff>96990</xdr:rowOff>
    </xdr:from>
    <xdr:to>
      <xdr:col>2</xdr:col>
      <xdr:colOff>76513</xdr:colOff>
      <xdr:row>49</xdr:row>
      <xdr:rowOff>169651</xdr:rowOff>
    </xdr:to>
    <xdr:pic>
      <xdr:nvPicPr>
        <xdr:cNvPr id="7" name="Graphic 6" descr="Batterij die wordt opgeladen met effen opvulling">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rcRect t="13402" b="13404"/>
        <a:stretch/>
      </xdr:blipFill>
      <xdr:spPr>
        <a:xfrm>
          <a:off x="828843" y="12894108"/>
          <a:ext cx="805288" cy="632955"/>
        </a:xfrm>
        <a:prstGeom prst="rect">
          <a:avLst/>
        </a:prstGeom>
      </xdr:spPr>
    </xdr:pic>
    <xdr:clientData/>
  </xdr:twoCellAnchor>
  <xdr:twoCellAnchor editAs="oneCell">
    <xdr:from>
      <xdr:col>1</xdr:col>
      <xdr:colOff>185827</xdr:colOff>
      <xdr:row>40</xdr:row>
      <xdr:rowOff>167088</xdr:rowOff>
    </xdr:from>
    <xdr:to>
      <xdr:col>2</xdr:col>
      <xdr:colOff>131889</xdr:colOff>
      <xdr:row>44</xdr:row>
      <xdr:rowOff>660</xdr:rowOff>
    </xdr:to>
    <xdr:pic>
      <xdr:nvPicPr>
        <xdr:cNvPr id="8" name="Graphic 7" descr="Grondstoffen met effen opvulli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3356" y="11081617"/>
          <a:ext cx="876151" cy="954160"/>
        </a:xfrm>
        <a:prstGeom prst="rect">
          <a:avLst/>
        </a:prstGeom>
      </xdr:spPr>
    </xdr:pic>
    <xdr:clientData/>
  </xdr:twoCellAnchor>
  <xdr:twoCellAnchor editAs="oneCell">
    <xdr:from>
      <xdr:col>1</xdr:col>
      <xdr:colOff>219869</xdr:colOff>
      <xdr:row>22</xdr:row>
      <xdr:rowOff>54430</xdr:rowOff>
    </xdr:from>
    <xdr:to>
      <xdr:col>2</xdr:col>
      <xdr:colOff>366533</xdr:colOff>
      <xdr:row>26</xdr:row>
      <xdr:rowOff>230143</xdr:rowOff>
    </xdr:to>
    <xdr:pic>
      <xdr:nvPicPr>
        <xdr:cNvPr id="9" name="Graphic 8" descr="Open hand met planten met effen opvulling">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47398" y="6452989"/>
          <a:ext cx="1076753" cy="1118688"/>
        </a:xfrm>
        <a:prstGeom prst="rect">
          <a:avLst/>
        </a:prstGeom>
      </xdr:spPr>
    </xdr:pic>
    <xdr:clientData/>
  </xdr:twoCellAnchor>
  <xdr:twoCellAnchor editAs="oneCell">
    <xdr:from>
      <xdr:col>1</xdr:col>
      <xdr:colOff>149678</xdr:colOff>
      <xdr:row>54</xdr:row>
      <xdr:rowOff>4082</xdr:rowOff>
    </xdr:from>
    <xdr:to>
      <xdr:col>2</xdr:col>
      <xdr:colOff>134710</xdr:colOff>
      <xdr:row>57</xdr:row>
      <xdr:rowOff>74388</xdr:rowOff>
    </xdr:to>
    <xdr:pic>
      <xdr:nvPicPr>
        <xdr:cNvPr id="5" name="Graphic 4" descr="Vrachtwagen met effen opvulli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77207" y="14493288"/>
          <a:ext cx="915121" cy="910746"/>
        </a:xfrm>
        <a:prstGeom prst="rect">
          <a:avLst/>
        </a:prstGeom>
      </xdr:spPr>
    </xdr:pic>
    <xdr:clientData/>
  </xdr:twoCellAnchor>
  <xdr:twoCellAnchor editAs="oneCell">
    <xdr:from>
      <xdr:col>1</xdr:col>
      <xdr:colOff>163286</xdr:colOff>
      <xdr:row>59</xdr:row>
      <xdr:rowOff>108857</xdr:rowOff>
    </xdr:from>
    <xdr:to>
      <xdr:col>2</xdr:col>
      <xdr:colOff>151493</xdr:colOff>
      <xdr:row>62</xdr:row>
      <xdr:rowOff>206826</xdr:rowOff>
    </xdr:to>
    <xdr:pic>
      <xdr:nvPicPr>
        <xdr:cNvPr id="15" name="Graphic 14" descr="Bulldozer met effen opvulling">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790815" y="15976386"/>
          <a:ext cx="918296" cy="938412"/>
        </a:xfrm>
        <a:prstGeom prst="rect">
          <a:avLst/>
        </a:prstGeom>
      </xdr:spPr>
    </xdr:pic>
    <xdr:clientData/>
  </xdr:twoCellAnchor>
  <xdr:twoCellAnchor editAs="absolute">
    <xdr:from>
      <xdr:col>6</xdr:col>
      <xdr:colOff>488644</xdr:colOff>
      <xdr:row>28</xdr:row>
      <xdr:rowOff>23878</xdr:rowOff>
    </xdr:from>
    <xdr:to>
      <xdr:col>7</xdr:col>
      <xdr:colOff>449995</xdr:colOff>
      <xdr:row>38</xdr:row>
      <xdr:rowOff>25246</xdr:rowOff>
    </xdr:to>
    <mc:AlternateContent xmlns:mc="http://schemas.openxmlformats.org/markup-compatibility/2006" xmlns:sle15="http://schemas.microsoft.com/office/drawing/2012/slicer">
      <mc:Choice Requires="sle15">
        <xdr:graphicFrame macro="">
          <xdr:nvGraphicFramePr>
            <xdr:cNvPr id="11" name="Product 1">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microsoft.com/office/drawing/2010/slicer">
              <sle:slicer xmlns:sle="http://schemas.microsoft.com/office/drawing/2010/slicer" name="Product 1"/>
            </a:graphicData>
          </a:graphic>
        </xdr:graphicFrame>
      </mc:Choice>
      <mc:Fallback xmlns="">
        <xdr:sp macro="" textlink="">
          <xdr:nvSpPr>
            <xdr:cNvPr id="0" name=""/>
            <xdr:cNvSpPr>
              <a:spLocks noTextEdit="1"/>
            </xdr:cNvSpPr>
          </xdr:nvSpPr>
          <xdr:spPr>
            <a:xfrm>
              <a:off x="7955765" y="7437770"/>
              <a:ext cx="1920778" cy="2287369"/>
            </a:xfrm>
            <a:prstGeom prst="rect">
              <a:avLst/>
            </a:prstGeom>
            <a:solidFill>
              <a:prstClr val="white"/>
            </a:solidFill>
            <a:ln w="1">
              <a:solidFill>
                <a:prstClr val="green"/>
              </a:solidFill>
            </a:ln>
          </xdr:spPr>
          <xdr:txBody>
            <a:bodyPr vertOverflow="clip" horzOverflow="clip"/>
            <a:lstStyle/>
            <a:p>
              <a:r>
                <a:rPr lang="en-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594631</xdr:colOff>
      <xdr:row>17</xdr:row>
      <xdr:rowOff>190499</xdr:rowOff>
    </xdr:from>
    <xdr:to>
      <xdr:col>1</xdr:col>
      <xdr:colOff>884031</xdr:colOff>
      <xdr:row>21</xdr:row>
      <xdr:rowOff>136627</xdr:rowOff>
    </xdr:to>
    <xdr:pic>
      <xdr:nvPicPr>
        <xdr:cNvPr id="4" name="Graphic 3" descr="Open hand met planten met effen opvulli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631" y="4267199"/>
          <a:ext cx="899000" cy="971975"/>
        </a:xfrm>
        <a:prstGeom prst="rect">
          <a:avLst/>
        </a:prstGeom>
      </xdr:spPr>
    </xdr:pic>
    <xdr:clientData/>
  </xdr:twoCellAnchor>
  <xdr:twoCellAnchor editAs="oneCell">
    <xdr:from>
      <xdr:col>1</xdr:col>
      <xdr:colOff>40822</xdr:colOff>
      <xdr:row>23</xdr:row>
      <xdr:rowOff>123826</xdr:rowOff>
    </xdr:from>
    <xdr:to>
      <xdr:col>1</xdr:col>
      <xdr:colOff>783532</xdr:colOff>
      <xdr:row>26</xdr:row>
      <xdr:rowOff>11021</xdr:rowOff>
    </xdr:to>
    <xdr:pic>
      <xdr:nvPicPr>
        <xdr:cNvPr id="5" name="Graphic 4" descr="Energiecentrale met effen opvulli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43057" y="7041591"/>
          <a:ext cx="742710" cy="694017"/>
        </a:xfrm>
        <a:prstGeom prst="rect">
          <a:avLst/>
        </a:prstGeom>
      </xdr:spPr>
    </xdr:pic>
    <xdr:clientData/>
  </xdr:twoCellAnchor>
  <xdr:twoCellAnchor editAs="oneCell">
    <xdr:from>
      <xdr:col>0</xdr:col>
      <xdr:colOff>642471</xdr:colOff>
      <xdr:row>36</xdr:row>
      <xdr:rowOff>95251</xdr:rowOff>
    </xdr:from>
    <xdr:to>
      <xdr:col>1</xdr:col>
      <xdr:colOff>864162</xdr:colOff>
      <xdr:row>38</xdr:row>
      <xdr:rowOff>206933</xdr:rowOff>
    </xdr:to>
    <xdr:pic>
      <xdr:nvPicPr>
        <xdr:cNvPr id="6" name="Graphic 5" descr="Batterij die wordt opgeladen met effen opvulling">
          <a:extLst>
            <a:ext uri="{FF2B5EF4-FFF2-40B4-BE49-F238E27FC236}">
              <a16:creationId xmlns:a16="http://schemas.microsoft.com/office/drawing/2014/main" id="{00000000-0008-0000-0900-000006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rcRect t="13402" b="13404"/>
        <a:stretch/>
      </xdr:blipFill>
      <xdr:spPr>
        <a:xfrm>
          <a:off x="642471" y="10344898"/>
          <a:ext cx="923926" cy="709330"/>
        </a:xfrm>
        <a:prstGeom prst="rect">
          <a:avLst/>
        </a:prstGeom>
      </xdr:spPr>
    </xdr:pic>
    <xdr:clientData/>
  </xdr:twoCellAnchor>
  <xdr:twoCellAnchor editAs="oneCell">
    <xdr:from>
      <xdr:col>0</xdr:col>
      <xdr:colOff>585107</xdr:colOff>
      <xdr:row>29</xdr:row>
      <xdr:rowOff>244928</xdr:rowOff>
    </xdr:from>
    <xdr:to>
      <xdr:col>1</xdr:col>
      <xdr:colOff>887186</xdr:colOff>
      <xdr:row>33</xdr:row>
      <xdr:rowOff>13233</xdr:rowOff>
    </xdr:to>
    <xdr:pic>
      <xdr:nvPicPr>
        <xdr:cNvPr id="7" name="Graphic 6" descr="Grondstoffen met effen opvulli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85107" y="7307035"/>
          <a:ext cx="914400" cy="910319"/>
        </a:xfrm>
        <a:prstGeom prst="rect">
          <a:avLst/>
        </a:prstGeom>
      </xdr:spPr>
    </xdr:pic>
    <xdr:clientData/>
  </xdr:twoCellAnchor>
  <xdr:twoCellAnchor editAs="oneCell">
    <xdr:from>
      <xdr:col>0</xdr:col>
      <xdr:colOff>544286</xdr:colOff>
      <xdr:row>55</xdr:row>
      <xdr:rowOff>177692</xdr:rowOff>
    </xdr:from>
    <xdr:to>
      <xdr:col>1</xdr:col>
      <xdr:colOff>846365</xdr:colOff>
      <xdr:row>58</xdr:row>
      <xdr:rowOff>169690</xdr:rowOff>
    </xdr:to>
    <xdr:pic>
      <xdr:nvPicPr>
        <xdr:cNvPr id="3" name="Graphic 2" descr="Euro met effen opvulli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544286" y="15499335"/>
          <a:ext cx="914400" cy="808425"/>
        </a:xfrm>
        <a:prstGeom prst="rect">
          <a:avLst/>
        </a:prstGeom>
      </xdr:spPr>
    </xdr:pic>
    <xdr:clientData/>
  </xdr:twoCellAnchor>
  <xdr:twoCellAnchor editAs="oneCell">
    <xdr:from>
      <xdr:col>0</xdr:col>
      <xdr:colOff>679748</xdr:colOff>
      <xdr:row>43</xdr:row>
      <xdr:rowOff>15861</xdr:rowOff>
    </xdr:from>
    <xdr:to>
      <xdr:col>1</xdr:col>
      <xdr:colOff>979105</xdr:colOff>
      <xdr:row>46</xdr:row>
      <xdr:rowOff>165710</xdr:rowOff>
    </xdr:to>
    <xdr:pic>
      <xdr:nvPicPr>
        <xdr:cNvPr id="8" name="Graphic 7" descr="Vrachtwagen met effen opvulli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79748" y="13268685"/>
          <a:ext cx="1001592" cy="914225"/>
        </a:xfrm>
        <a:prstGeom prst="rect">
          <a:avLst/>
        </a:prstGeom>
      </xdr:spPr>
    </xdr:pic>
    <xdr:clientData/>
  </xdr:twoCellAnchor>
  <xdr:twoCellAnchor editAs="oneCell">
    <xdr:from>
      <xdr:col>1</xdr:col>
      <xdr:colOff>0</xdr:colOff>
      <xdr:row>50</xdr:row>
      <xdr:rowOff>0</xdr:rowOff>
    </xdr:from>
    <xdr:to>
      <xdr:col>1</xdr:col>
      <xdr:colOff>910689</xdr:colOff>
      <xdr:row>53</xdr:row>
      <xdr:rowOff>149926</xdr:rowOff>
    </xdr:to>
    <xdr:pic>
      <xdr:nvPicPr>
        <xdr:cNvPr id="10" name="Graphic 9" descr="Bulldozer met effen opvulli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12321" y="15389679"/>
          <a:ext cx="910689" cy="929244"/>
        </a:xfrm>
        <a:prstGeom prst="rect">
          <a:avLst/>
        </a:prstGeom>
      </xdr:spPr>
    </xdr:pic>
    <xdr:clientData/>
  </xdr:twoCellAnchor>
  <xdr:twoCellAnchor>
    <xdr:from>
      <xdr:col>1</xdr:col>
      <xdr:colOff>1027483</xdr:colOff>
      <xdr:row>16</xdr:row>
      <xdr:rowOff>108857</xdr:rowOff>
    </xdr:from>
    <xdr:to>
      <xdr:col>9</xdr:col>
      <xdr:colOff>421822</xdr:colOff>
      <xdr:row>22</xdr:row>
      <xdr:rowOff>20266</xdr:rowOff>
    </xdr:to>
    <xdr:graphicFrame macro="">
      <xdr:nvGraphicFramePr>
        <xdr:cNvPr id="2" name="Grafiek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1027483</xdr:colOff>
      <xdr:row>22</xdr:row>
      <xdr:rowOff>133147</xdr:rowOff>
    </xdr:from>
    <xdr:to>
      <xdr:col>9</xdr:col>
      <xdr:colOff>190500</xdr:colOff>
      <xdr:row>27</xdr:row>
      <xdr:rowOff>101329</xdr:rowOff>
    </xdr:to>
    <xdr:graphicFrame macro="">
      <xdr:nvGraphicFramePr>
        <xdr:cNvPr id="11" name="Grafiek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1017349</xdr:colOff>
      <xdr:row>27</xdr:row>
      <xdr:rowOff>238713</xdr:rowOff>
    </xdr:from>
    <xdr:to>
      <xdr:col>10</xdr:col>
      <xdr:colOff>353786</xdr:colOff>
      <xdr:row>33</xdr:row>
      <xdr:rowOff>115699</xdr:rowOff>
    </xdr:to>
    <xdr:graphicFrame macro="">
      <xdr:nvGraphicFramePr>
        <xdr:cNvPr id="12" name="Grafiek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1017348</xdr:colOff>
      <xdr:row>34</xdr:row>
      <xdr:rowOff>16617</xdr:rowOff>
    </xdr:from>
    <xdr:to>
      <xdr:col>10</xdr:col>
      <xdr:colOff>231322</xdr:colOff>
      <xdr:row>39</xdr:row>
      <xdr:rowOff>103153</xdr:rowOff>
    </xdr:to>
    <xdr:graphicFrame macro="">
      <xdr:nvGraphicFramePr>
        <xdr:cNvPr id="13" name="Grafiek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1027483</xdr:colOff>
      <xdr:row>54</xdr:row>
      <xdr:rowOff>23491</xdr:rowOff>
    </xdr:from>
    <xdr:to>
      <xdr:col>9</xdr:col>
      <xdr:colOff>353786</xdr:colOff>
      <xdr:row>60</xdr:row>
      <xdr:rowOff>54430</xdr:rowOff>
    </xdr:to>
    <xdr:graphicFrame macro="">
      <xdr:nvGraphicFramePr>
        <xdr:cNvPr id="14" name="Grafiek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973057</xdr:colOff>
      <xdr:row>40</xdr:row>
      <xdr:rowOff>133147</xdr:rowOff>
    </xdr:from>
    <xdr:to>
      <xdr:col>9</xdr:col>
      <xdr:colOff>1265467</xdr:colOff>
      <xdr:row>47</xdr:row>
      <xdr:rowOff>95250</xdr:rowOff>
    </xdr:to>
    <xdr:graphicFrame macro="">
      <xdr:nvGraphicFramePr>
        <xdr:cNvPr id="16" name="Grafiek 15">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962919</xdr:colOff>
      <xdr:row>47</xdr:row>
      <xdr:rowOff>231291</xdr:rowOff>
    </xdr:from>
    <xdr:to>
      <xdr:col>9</xdr:col>
      <xdr:colOff>1170213</xdr:colOff>
      <xdr:row>54</xdr:row>
      <xdr:rowOff>13028</xdr:rowOff>
    </xdr:to>
    <xdr:graphicFrame macro="">
      <xdr:nvGraphicFramePr>
        <xdr:cNvPr id="17" name="Grafiek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816.566424999997" createdVersion="7" refreshedVersion="8" minRefreshableVersion="3" recordCount="37" xr:uid="{4DD34BD4-1CA0-4766-AF76-DDA968C5C44D}">
  <cacheSource type="worksheet">
    <worksheetSource name="Ontwerp_MKI_Totaal"/>
  </cacheSource>
  <cacheFields count="17">
    <cacheField name="Bestekspost" numFmtId="2">
      <sharedItems containsMixedTypes="1" containsNumber="1" containsInteger="1" minValue="0" maxValue="0" count="3">
        <s v="Baseline"/>
        <s v="Variant 1"/>
        <n v="0"/>
      </sharedItems>
    </cacheField>
    <cacheField name="Product" numFmtId="0">
      <sharedItems containsMixedTypes="1" containsNumber="1" containsInteger="1" minValue="0" maxValue="0"/>
    </cacheField>
    <cacheField name="A1" numFmtId="167">
      <sharedItems containsSemiMixedTypes="0" containsString="0" containsNumber="1" minValue="0" maxValue="253.61041700228841"/>
    </cacheField>
    <cacheField name="A2" numFmtId="167">
      <sharedItems containsSemiMixedTypes="0" containsString="0" containsNumber="1" minValue="0" maxValue="125.85679742699513"/>
    </cacheField>
    <cacheField name="A3" numFmtId="167">
      <sharedItems containsSemiMixedTypes="0" containsString="0" containsNumber="1" minValue="0" maxValue="57.867932169414736"/>
    </cacheField>
    <cacheField name="A4" numFmtId="167">
      <sharedItems containsMixedTypes="1" containsNumber="1" minValue="0" maxValue="12.692347692023391"/>
    </cacheField>
    <cacheField name="A5" numFmtId="167">
      <sharedItems containsSemiMixedTypes="0" containsString="0" containsNumber="1" minValue="0" maxValue="8.7792738627230822"/>
    </cacheField>
    <cacheField name="B1" numFmtId="167">
      <sharedItems containsSemiMixedTypes="0" containsString="0" containsNumber="1" minValue="0" maxValue="2.7746889622316413"/>
    </cacheField>
    <cacheField name="B3" numFmtId="167">
      <sharedItems containsSemiMixedTypes="0" containsString="0" containsNumber="1" minValue="0" maxValue="0.93324400000000007"/>
    </cacheField>
    <cacheField name="B4" numFmtId="167">
      <sharedItems containsMixedTypes="1" containsNumber="1" containsInteger="1" minValue="0" maxValue="0"/>
    </cacheField>
    <cacheField name="C1" numFmtId="167">
      <sharedItems containsSemiMixedTypes="0" containsString="0" containsNumber="1" minValue="0" maxValue="4.577704988904653"/>
    </cacheField>
    <cacheField name="C2" numFmtId="167">
      <sharedItems containsMixedTypes="1" containsNumber="1" minValue="0" maxValue="10.74698893862279"/>
    </cacheField>
    <cacheField name="C3" numFmtId="167">
      <sharedItems containsSemiMixedTypes="0" containsString="0" containsNumber="1" minValue="0" maxValue="5.3850954733717415"/>
    </cacheField>
    <cacheField name="C4" numFmtId="167">
      <sharedItems containsSemiMixedTypes="0" containsString="0" containsNumber="1" minValue="0" maxValue="0.13286000000000001"/>
    </cacheField>
    <cacheField name="D1" numFmtId="167">
      <sharedItems containsSemiMixedTypes="0" containsString="0" containsNumber="1" minValue="-147.65869346127488" maxValue="3.3799999999999998E-3"/>
    </cacheField>
    <cacheField name="D2" numFmtId="167">
      <sharedItems containsSemiMixedTypes="0" containsString="0" containsNumber="1" minValue="-0.2457" maxValue="0"/>
    </cacheField>
    <cacheField name="Totaal" numFmtId="0">
      <sharedItems containsMixedTypes="1" containsNumber="1" minValue="0" maxValue="334.6325530553007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816.566425231482" createdVersion="7" refreshedVersion="8" minRefreshableVersion="3" recordCount="37" xr:uid="{98276978-BEE9-49C3-9C51-34E5432AF2F0}">
  <cacheSource type="worksheet">
    <worksheetSource name="Ontwerp_CO2_Totaal"/>
  </cacheSource>
  <cacheFields count="17">
    <cacheField name="Bestekspost" numFmtId="2">
      <sharedItems containsMixedTypes="1" containsNumber="1" containsInteger="1" minValue="0" maxValue="0" count="3">
        <s v="Baseline"/>
        <s v="Variant 1"/>
        <n v="0"/>
      </sharedItems>
    </cacheField>
    <cacheField name="Product" numFmtId="0">
      <sharedItems containsMixedTypes="1" containsNumber="1" containsInteger="1" minValue="0" maxValue="0"/>
    </cacheField>
    <cacheField name="A1" numFmtId="3">
      <sharedItems containsSemiMixedTypes="0" containsString="0" containsNumber="1" minValue="0" maxValue="1999.865027997412"/>
    </cacheField>
    <cacheField name="A2" numFmtId="3">
      <sharedItems containsSemiMixedTypes="0" containsString="0" containsNumber="1" minValue="0" maxValue="1053.151155144991"/>
    </cacheField>
    <cacheField name="A3" numFmtId="3">
      <sharedItems containsSemiMixedTypes="0" containsString="0" containsNumber="1" minValue="0" maxValue="810.9371565840521"/>
    </cacheField>
    <cacheField name="A4" numFmtId="3">
      <sharedItems containsMixedTypes="1" containsNumber="1" minValue="0" maxValue="134.85213295338485"/>
    </cacheField>
    <cacheField name="A5" numFmtId="3">
      <sharedItems containsSemiMixedTypes="0" containsString="0" containsNumber="1" minValue="0" maxValue="85.510102732690015"/>
    </cacheField>
    <cacheField name="B1" numFmtId="3">
      <sharedItems containsSemiMixedTypes="0" containsString="0" containsNumber="1" minValue="0" maxValue="1.1404699999999999"/>
    </cacheField>
    <cacheField name="B3" numFmtId="3">
      <sharedItems containsSemiMixedTypes="0" containsString="0" containsNumber="1" minValue="0" maxValue="12.634031800000001"/>
    </cacheField>
    <cacheField name="B4" numFmtId="3">
      <sharedItems containsMixedTypes="1" containsNumber="1" containsInteger="1" minValue="0" maxValue="0"/>
    </cacheField>
    <cacheField name="C1" numFmtId="3">
      <sharedItems containsSemiMixedTypes="0" containsString="0" containsNumber="1" minValue="0" maxValue="48.652299830668461"/>
    </cacheField>
    <cacheField name="C2" numFmtId="3">
      <sharedItems containsMixedTypes="1" containsNumber="1" minValue="0" maxValue="110.62977838345597"/>
    </cacheField>
    <cacheField name="C3" numFmtId="3">
      <sharedItems containsSemiMixedTypes="0" containsString="0" containsNumber="1" minValue="0" maxValue="54.549548294991929"/>
    </cacheField>
    <cacheField name="C4" numFmtId="3">
      <sharedItems containsSemiMixedTypes="0" containsString="0" containsNumber="1" minValue="0" maxValue="0.46079000000000003"/>
    </cacheField>
    <cacheField name="D1" numFmtId="3">
      <sharedItems containsSemiMixedTypes="0" containsString="0" containsNumber="1" minValue="-1097.869643078194" maxValue="2.5547E-2"/>
    </cacheField>
    <cacheField name="D2" numFmtId="3">
      <sharedItems containsSemiMixedTypes="0" containsString="0" containsNumber="1" minValue="-1.4691000000000001" maxValue="0"/>
    </cacheField>
    <cacheField name="Totaal" numFmtId="3">
      <sharedItems containsMixedTypes="1" containsNumber="1" minValue="0" maxValue="3200.277558843452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816.566425578705" createdVersion="7" refreshedVersion="8" minRefreshableVersion="3" recordCount="37" xr:uid="{F109464D-20AE-4F89-9157-176CB5D60FE7}">
  <cacheSource type="worksheet">
    <worksheetSource name="Referentie_Materiaal_Totaal46"/>
  </cacheSource>
  <cacheFields count="12">
    <cacheField name="Bestekspost" numFmtId="2">
      <sharedItems containsMixedTypes="1" containsNumber="1" containsInteger="1" minValue="0" maxValue="0" count="3">
        <s v="Baseline"/>
        <s v="Variant 1"/>
        <n v="0"/>
      </sharedItems>
    </cacheField>
    <cacheField name="Product" numFmtId="2">
      <sharedItems containsMixedTypes="1" containsNumber="1" containsInteger="1" minValue="0" maxValue="0"/>
    </cacheField>
    <cacheField name="Hoeveelheid [ton]" numFmtId="169">
      <sharedItems containsMixedTypes="1" containsNumber="1" minValue="0" maxValue="1690.2375"/>
    </cacheField>
    <cacheField name="% Secundair" numFmtId="9">
      <sharedItems containsSemiMixedTypes="0" containsString="0" containsNumber="1" minValue="0" maxValue="1"/>
    </cacheField>
    <cacheField name="Primair materiaalverbruik [ton]" numFmtId="169">
      <sharedItems containsMixedTypes="1" containsNumber="1" minValue="0" maxValue="1690.2375"/>
    </cacheField>
    <cacheField name="Secundair materiaalverbruik [ton]" numFmtId="169">
      <sharedItems containsMixedTypes="1" containsNumber="1" minValue="0" maxValue="507.07124999999996"/>
    </cacheField>
    <cacheField name="Hoeveelheid Vervaningen [ton]" numFmtId="169">
      <sharedItems containsMixedTypes="1" containsNumber="1" containsInteger="1" minValue="0" maxValue="0"/>
    </cacheField>
    <cacheField name="Primair materiaalverbruik Vervangingen [ton]" numFmtId="169">
      <sharedItems containsMixedTypes="1" containsNumber="1" containsInteger="1" minValue="0" maxValue="0"/>
    </cacheField>
    <cacheField name="Secundair materiaalverbruik Vervangingen [ton]" numFmtId="169">
      <sharedItems containsMixedTypes="1" containsNumber="1" containsInteger="1" minValue="0" maxValue="0"/>
    </cacheField>
    <cacheField name="Totaal Primair Materieelgebruik" numFmtId="169">
      <sharedItems containsMixedTypes="1" containsNumber="1" minValue="0" maxValue="1690.2375"/>
    </cacheField>
    <cacheField name="Totaal Secundair Materieelgebruik" numFmtId="169">
      <sharedItems containsMixedTypes="1" containsNumber="1" minValue="0" maxValue="507.07124999999996"/>
    </cacheField>
    <cacheField name="Totaal Materieelgebruik" numFmtId="169">
      <sharedItems containsMixedTypes="1" containsNumber="1" minValue="0" maxValue="1690.237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AC Surf 0% PR - PCR 2.0"/>
    <n v="0"/>
    <n v="0"/>
    <n v="0"/>
    <n v="0"/>
    <n v="0"/>
    <n v="0"/>
    <n v="0"/>
    <n v="0"/>
    <n v="4.577704988904653"/>
    <n v="10.74698893862279"/>
    <n v="5.3850954733717415"/>
    <n v="0"/>
    <n v="0"/>
    <n v="0"/>
    <n v="20.709789400899183"/>
  </r>
  <r>
    <x v="0"/>
    <s v="AC bin/base 50% PR - PCR 2.0"/>
    <n v="0"/>
    <n v="0"/>
    <n v="0"/>
    <n v="0"/>
    <n v="0"/>
    <n v="0"/>
    <n v="0"/>
    <n v="0"/>
    <n v="1.1977697685129605"/>
    <n v="1.2055282779863075"/>
    <n v="0.60406546643846171"/>
    <n v="0"/>
    <n v="0"/>
    <n v="0"/>
    <n v="3.0073635129377294"/>
  </r>
  <r>
    <x v="0"/>
    <s v="AC bin/base 50% PR - PCR 2.0"/>
    <n v="0"/>
    <n v="0"/>
    <n v="0"/>
    <n v="0"/>
    <n v="0"/>
    <n v="0"/>
    <n v="0"/>
    <n v="0"/>
    <n v="0.37430305266030012"/>
    <n v="0.37672758687072105"/>
    <n v="0.18877045826201924"/>
    <n v="0"/>
    <n v="0"/>
    <n v="0"/>
    <n v="0.93980109779304033"/>
  </r>
  <r>
    <x v="0"/>
    <s v="Betonstraatsteen 210x105x80"/>
    <n v="0"/>
    <n v="0"/>
    <n v="0"/>
    <n v="0"/>
    <n v="0"/>
    <n v="0"/>
    <n v="0"/>
    <n v="0"/>
    <n v="0"/>
    <n v="0.16327999999999998"/>
    <n v="0.36686000000000002"/>
    <n v="0.13286000000000001"/>
    <n v="0"/>
    <n v="0"/>
    <n v="0.66300000000000003"/>
  </r>
  <r>
    <x v="0"/>
    <s v="Grond"/>
    <n v="0"/>
    <n v="0"/>
    <n v="0"/>
    <n v="0"/>
    <n v="0"/>
    <n v="0"/>
    <n v="0"/>
    <n v="0"/>
    <n v="8.3134090003599448E-2"/>
    <n v="0.90054147394580197"/>
    <n v="0"/>
    <n v="0"/>
    <n v="0"/>
    <n v="0"/>
    <n v="0.98367556394940148"/>
  </r>
  <r>
    <x v="0"/>
    <s v="Opsluitband 100x200"/>
    <n v="0"/>
    <n v="0"/>
    <n v="0"/>
    <n v="0"/>
    <n v="0"/>
    <n v="0"/>
    <n v="0"/>
    <n v="0"/>
    <n v="0"/>
    <n v="0.20474000000000001"/>
    <n v="7.424E-2"/>
    <n v="1.93546E-3"/>
    <n v="0"/>
    <n v="0"/>
    <n v="0.28091546000000001"/>
  </r>
  <r>
    <x v="0"/>
    <s v="Opsluitband 100x200"/>
    <n v="0"/>
    <n v="0"/>
    <n v="0"/>
    <n v="0"/>
    <n v="0"/>
    <n v="0"/>
    <n v="0"/>
    <n v="0"/>
    <n v="0"/>
    <n v="2.4709999999999999E-2"/>
    <n v="8.9600000000000009E-3"/>
    <n v="2.3358999999999999E-4"/>
    <n v="0"/>
    <n v="0"/>
    <n v="3.3903589999999997E-2"/>
  </r>
  <r>
    <x v="0"/>
    <s v="Grond"/>
    <n v="0"/>
    <n v="0"/>
    <n v="0"/>
    <n v="0"/>
    <n v="0"/>
    <n v="0"/>
    <n v="0"/>
    <n v="0"/>
    <n v="2.6252870527452461E-3"/>
    <n v="2.8438151808814798E-2"/>
    <n v="0"/>
    <n v="0"/>
    <n v="0"/>
    <n v="0"/>
    <n v="3.1063438861560044E-2"/>
  </r>
  <r>
    <x v="0"/>
    <s v="Hydraulisch Menggranulaat"/>
    <n v="0"/>
    <n v="0"/>
    <n v="0"/>
    <n v="0.25594336627933317"/>
    <n v="2.1002296421961972E-2"/>
    <n v="0"/>
    <n v="0"/>
    <n v="0"/>
    <n v="2.1002296421961972E-2"/>
    <n v="0.25594336627933317"/>
    <n v="0"/>
    <n v="4.3476573816000003E-3"/>
    <n v="0"/>
    <n v="0"/>
    <n v="0.55823898278419037"/>
  </r>
  <r>
    <x v="0"/>
    <s v="AC bin/base 50% PR - PCR 2.0"/>
    <n v="3.2873027522146776"/>
    <n v="1.7364874518370983"/>
    <n v="1.977981536130202"/>
    <n v="0.44492066987768636"/>
    <n v="0.16800376756228438"/>
    <n v="0"/>
    <n v="0"/>
    <n v="0"/>
    <n v="0.37430305266030012"/>
    <n v="0.37672758687072105"/>
    <n v="0.18877045826201924"/>
    <n v="0"/>
    <n v="-2.7559749389091617"/>
    <n v="0"/>
    <n v="5.7985223365058278"/>
  </r>
  <r>
    <x v="0"/>
    <s v="AC bin/base 50% PR - PCR 2.0"/>
    <n v="15.779053210630455"/>
    <n v="8.3351397688180722"/>
    <n v="9.4943113734249707"/>
    <n v="2.1356192154128948"/>
    <n v="0.80641808429896511"/>
    <n v="0"/>
    <n v="0"/>
    <n v="0"/>
    <n v="1.7966546527694407"/>
    <n v="1.8082924169794612"/>
    <n v="0.90609819965769245"/>
    <n v="0"/>
    <n v="-13.228679706763977"/>
    <n v="0"/>
    <n v="27.832907215227976"/>
  </r>
  <r>
    <x v="0"/>
    <s v="AC Surf 0% PR - PCR 2.0"/>
    <n v="253.61041700228841"/>
    <n v="125.85679742699513"/>
    <n v="57.867932169414736"/>
    <n v="12.692347692023391"/>
    <n v="8.7792738627230822"/>
    <n v="2.7746889622316413"/>
    <n v="0"/>
    <n v="0"/>
    <n v="4.577704988904653"/>
    <n v="10.74698893862279"/>
    <n v="5.3850954733717415"/>
    <n v="0"/>
    <n v="-147.65869346127488"/>
    <n v="0"/>
    <n v="334.63255305530078"/>
  </r>
  <r>
    <x v="0"/>
    <s v="Betonstraatsteen 210x105x80"/>
    <n v="4.3932200000000003"/>
    <n v="0"/>
    <n v="0"/>
    <n v="1.0896599999999999"/>
    <n v="0.16327999999999998"/>
    <n v="0"/>
    <n v="0.93324400000000007"/>
    <n v="0"/>
    <n v="0"/>
    <n v="0.16327999999999998"/>
    <n v="0.36686000000000002"/>
    <n v="0.13286000000000001"/>
    <n v="3.3799999999999998E-3"/>
    <n v="-0.2457"/>
    <n v="7.0000840000000002"/>
  </r>
  <r>
    <x v="0"/>
    <s v="Grond"/>
    <n v="0"/>
    <n v="0"/>
    <n v="0"/>
    <n v="0.90054147394580197"/>
    <n v="8.3134090003599448E-2"/>
    <n v="0"/>
    <n v="0"/>
    <n v="0"/>
    <n v="8.3134090003599448E-2"/>
    <n v="0.90054147394580197"/>
    <n v="0"/>
    <n v="0"/>
    <n v="0"/>
    <n v="0"/>
    <n v="1.967351127898803"/>
  </r>
  <r>
    <x v="0"/>
    <s v="Opsluitband 100x200"/>
    <n v="2.51871"/>
    <n v="0"/>
    <n v="0"/>
    <n v="0.61831999999999998"/>
    <n v="9.144999999999999E-2"/>
    <n v="0"/>
    <n v="0"/>
    <n v="0"/>
    <n v="0"/>
    <n v="0.20826999999999998"/>
    <n v="7.5520000000000004E-2"/>
    <n v="1.9688299999999995E-3"/>
    <n v="-0.13924"/>
    <n v="0"/>
    <n v="3.3749988300000004"/>
  </r>
  <r>
    <x v="0"/>
    <s v="Opsluitband 100x200"/>
    <n v="0.21345"/>
    <n v="0"/>
    <n v="0"/>
    <n v="5.2400000000000002E-2"/>
    <n v="7.7499999999999999E-3"/>
    <n v="0"/>
    <n v="0"/>
    <n v="0"/>
    <n v="0"/>
    <n v="1.7649999999999999E-2"/>
    <n v="6.4000000000000003E-3"/>
    <n v="1.6684999999999999E-4"/>
    <n v="-1.18E-2"/>
    <n v="0"/>
    <n v="0.28601685000000004"/>
  </r>
  <r>
    <x v="0"/>
    <s v="Grond"/>
    <n v="0"/>
    <n v="0"/>
    <n v="0"/>
    <n v="2.8438151808814798E-2"/>
    <n v="2.6252870527452461E-3"/>
    <n v="0"/>
    <n v="0"/>
    <n v="0"/>
    <n v="2.6252870527452461E-3"/>
    <n v="2.8438151808814798E-2"/>
    <n v="0"/>
    <n v="0"/>
    <n v="0"/>
    <n v="0"/>
    <n v="6.2126877723120089E-2"/>
  </r>
  <r>
    <x v="1"/>
    <s v="AC Surf 30% PR - PCR 2.0"/>
    <n v="0"/>
    <n v="0"/>
    <n v="0"/>
    <n v="0"/>
    <n v="0"/>
    <n v="0"/>
    <n v="0"/>
    <n v="0"/>
    <n v="4.5777049888682919"/>
    <n v="10.74698893862279"/>
    <n v="5.3850954733309822"/>
    <n v="0"/>
    <n v="0"/>
    <n v="0"/>
    <n v="20.709789400822064"/>
  </r>
  <r>
    <x v="1"/>
    <s v="AC bin/base 50% PR G.M. - PCR 2.0"/>
    <n v="0"/>
    <n v="0"/>
    <n v="0"/>
    <n v="0"/>
    <n v="0"/>
    <n v="0"/>
    <n v="0"/>
    <n v="0"/>
    <n v="1.1977697696055023"/>
    <n v="1.2055282779863075"/>
    <n v="0.60406546696344821"/>
    <n v="0"/>
    <n v="0"/>
    <n v="0"/>
    <n v="3.0073635145552582"/>
  </r>
  <r>
    <x v="1"/>
    <s v="AC bin/base 50% PR G.M. - PCR 2.0"/>
    <n v="0"/>
    <n v="0"/>
    <n v="0"/>
    <n v="0"/>
    <n v="0"/>
    <n v="0"/>
    <n v="0"/>
    <n v="0"/>
    <n v="0.37430305300171945"/>
    <n v="0.37672758687072105"/>
    <n v="0.18877045842607756"/>
    <n v="0"/>
    <n v="0"/>
    <n v="0"/>
    <n v="0.93980109829851799"/>
  </r>
  <r>
    <x v="1"/>
    <s v="Betonstraatsteen geopolymeer 210x105x80"/>
    <n v="0"/>
    <n v="0"/>
    <n v="0"/>
    <n v="0"/>
    <n v="0"/>
    <n v="0"/>
    <n v="0"/>
    <n v="0"/>
    <n v="0"/>
    <e v="#REF!"/>
    <n v="5.2000000000000005E-2"/>
    <n v="0"/>
    <n v="0"/>
    <n v="0"/>
    <e v="#REF!"/>
  </r>
  <r>
    <x v="1"/>
    <s v="Grond"/>
    <n v="0"/>
    <n v="0"/>
    <n v="0"/>
    <n v="0"/>
    <n v="0"/>
    <n v="0"/>
    <n v="0"/>
    <n v="0"/>
    <n v="8.3134090003599448E-2"/>
    <n v="0.90054147394580197"/>
    <n v="0"/>
    <n v="0"/>
    <n v="0"/>
    <n v="0"/>
    <n v="0.98367556394940148"/>
  </r>
  <r>
    <x v="1"/>
    <s v="Opsluitband geopolymeer 100x200"/>
    <n v="0"/>
    <n v="0"/>
    <n v="0"/>
    <n v="0"/>
    <n v="0"/>
    <n v="0"/>
    <n v="0"/>
    <n v="0"/>
    <n v="0"/>
    <n v="8.9900000000000008E-2"/>
    <n v="0.23366681402909492"/>
    <n v="5.7999999999999996E-2"/>
    <n v="0"/>
    <n v="0"/>
    <n v="0.38156681402909493"/>
  </r>
  <r>
    <x v="1"/>
    <s v="Opsluitband geopolymeer 100x200"/>
    <n v="0"/>
    <n v="0"/>
    <n v="0"/>
    <n v="0"/>
    <n v="0"/>
    <n v="0"/>
    <n v="0"/>
    <n v="0"/>
    <n v="0"/>
    <n v="1.085E-2"/>
    <n v="2.820116721040801E-2"/>
    <n v="7.000000000000001E-3"/>
    <n v="0"/>
    <n v="0"/>
    <n v="4.6051167210408007E-2"/>
  </r>
  <r>
    <x v="1"/>
    <s v="Grond"/>
    <n v="0"/>
    <n v="0"/>
    <n v="0"/>
    <n v="0"/>
    <n v="0"/>
    <n v="0"/>
    <n v="0"/>
    <n v="0"/>
    <n v="2.6252870527452461E-3"/>
    <n v="2.8438151808814798E-2"/>
    <n v="0"/>
    <n v="0"/>
    <n v="0"/>
    <n v="0"/>
    <n v="3.1063438861560044E-2"/>
  </r>
  <r>
    <x v="1"/>
    <s v="Hydraulisch Menggranulaat"/>
    <n v="0"/>
    <n v="0"/>
    <n v="0"/>
    <n v="0.25594336627933317"/>
    <n v="2.1002296421961972E-2"/>
    <n v="0"/>
    <n v="0"/>
    <n v="0"/>
    <n v="2.1002296421961972E-2"/>
    <n v="0.25594336627933317"/>
    <n v="0"/>
    <n v="4.3476573816000003E-3"/>
    <n v="0"/>
    <n v="0"/>
    <n v="0.55823898278419037"/>
  </r>
  <r>
    <x v="1"/>
    <s v="AC bin/base 50% PR - PCR 2.0"/>
    <n v="3.2873027522146776"/>
    <n v="1.7364874518370983"/>
    <n v="1.977981536130202"/>
    <n v="0.44492066987768636"/>
    <n v="0.16800376756228438"/>
    <n v="0"/>
    <n v="0"/>
    <n v="0"/>
    <n v="0.37430305266030012"/>
    <n v="0.37672758687072105"/>
    <n v="0.18877045826201924"/>
    <n v="0"/>
    <n v="-2.7559749389091617"/>
    <n v="0"/>
    <n v="5.7985223365058278"/>
  </r>
  <r>
    <x v="1"/>
    <s v="AC bin/base 50% PR - PCR 2.0"/>
    <n v="15.779053210630455"/>
    <n v="8.3351397688180722"/>
    <n v="9.4943113734249707"/>
    <n v="2.1356192154128948"/>
    <n v="0.80641808429896511"/>
    <n v="0"/>
    <n v="0"/>
    <n v="0"/>
    <n v="1.7966546527694407"/>
    <n v="1.8082924169794612"/>
    <n v="0.90609819965769245"/>
    <n v="0"/>
    <n v="-13.228679706763977"/>
    <n v="0"/>
    <n v="27.832907215227976"/>
  </r>
  <r>
    <x v="1"/>
    <s v="AC Surf 0% PR - PCR 2.0"/>
    <n v="253.61041700228841"/>
    <n v="125.85679742699513"/>
    <n v="57.867932169414736"/>
    <n v="12.692347692023391"/>
    <n v="8.7792738627230822"/>
    <n v="2.7746889622316413"/>
    <n v="0"/>
    <n v="0"/>
    <n v="4.577704988904653"/>
    <n v="10.74698893862279"/>
    <n v="5.3850954733717415"/>
    <n v="0"/>
    <n v="-147.65869346127488"/>
    <n v="0"/>
    <n v="334.63255305530078"/>
  </r>
  <r>
    <x v="1"/>
    <s v="Betonstraatsteen geopolymeer 210x105x80"/>
    <n v="1.1960000000000002"/>
    <n v="0.39"/>
    <n v="0.28600000000000003"/>
    <e v="#REF!"/>
    <n v="0.16327999999999998"/>
    <n v="0"/>
    <n v="0"/>
    <e v="#REF!"/>
    <n v="0"/>
    <e v="#REF!"/>
    <n v="5.2000000000000005E-2"/>
    <n v="0"/>
    <n v="-0.18200000000000002"/>
    <n v="0"/>
    <e v="#REF!"/>
  </r>
  <r>
    <x v="1"/>
    <s v="Grond"/>
    <n v="0"/>
    <n v="0"/>
    <n v="0"/>
    <n v="0.90054147394580197"/>
    <n v="8.3134090003599448E-2"/>
    <n v="0"/>
    <n v="0"/>
    <n v="0"/>
    <n v="8.3134090003599448E-2"/>
    <n v="0.90054147394580197"/>
    <n v="0"/>
    <n v="0"/>
    <n v="0"/>
    <n v="0"/>
    <n v="1.967351127898803"/>
  </r>
  <r>
    <x v="1"/>
    <s v="Opsluitband geopolymeer 100x200"/>
    <n v="2.7822911044040213"/>
    <n v="1.534"/>
    <n v="0.41300000000000003"/>
    <n v="0.29499999999999998"/>
    <n v="0.23769555220201036"/>
    <n v="9.144999999999999E-2"/>
    <n v="0"/>
    <n v="0"/>
    <n v="0"/>
    <n v="9.144999999999999E-2"/>
    <n v="0.23769555220201036"/>
    <n v="5.9000000000000004E-2"/>
    <n v="0"/>
    <n v="-0.17699999999999999"/>
    <n v="5.5645822088080434"/>
  </r>
  <r>
    <x v="1"/>
    <s v="Opsluitband geopolymeer 100x200"/>
    <n v="0.23578738172915434"/>
    <n v="0.13"/>
    <n v="3.5000000000000003E-2"/>
    <n v="2.5000000000000001E-2"/>
    <n v="2.0143690864577145E-2"/>
    <n v="7.7499999999999999E-3"/>
    <n v="0"/>
    <n v="0"/>
    <n v="0"/>
    <n v="7.7499999999999999E-3"/>
    <n v="2.0143690864577145E-2"/>
    <n v="5.0000000000000001E-3"/>
    <n v="0"/>
    <n v="-1.4999999999999999E-2"/>
    <n v="0.47157476345830862"/>
  </r>
  <r>
    <x v="1"/>
    <s v="Grond"/>
    <n v="0"/>
    <n v="0"/>
    <n v="0"/>
    <n v="2.8438151808814798E-2"/>
    <n v="2.6252870527452461E-3"/>
    <n v="0"/>
    <n v="0"/>
    <n v="0"/>
    <n v="2.6252870527452461E-3"/>
    <n v="2.8438151808814798E-2"/>
    <n v="0"/>
    <n v="0"/>
    <n v="0"/>
    <n v="0"/>
    <n v="6.2126877723120089E-2"/>
  </r>
  <r>
    <x v="2"/>
    <n v="0"/>
    <n v="0"/>
    <n v="0"/>
    <n v="0"/>
    <n v="0"/>
    <n v="0"/>
    <n v="0"/>
    <n v="0"/>
    <n v="0"/>
    <n v="0"/>
    <n v="0"/>
    <n v="0"/>
    <n v="0"/>
    <n v="0"/>
    <n v="0"/>
    <n v="0"/>
  </r>
  <r>
    <x v="2"/>
    <n v="0"/>
    <n v="0"/>
    <n v="0"/>
    <n v="0"/>
    <n v="0"/>
    <n v="0"/>
    <n v="0"/>
    <n v="0"/>
    <n v="0"/>
    <n v="0"/>
    <n v="0"/>
    <n v="0"/>
    <n v="0"/>
    <n v="0"/>
    <n v="0"/>
    <n v="0"/>
  </r>
  <r>
    <x v="2"/>
    <n v="0"/>
    <n v="0"/>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AC Surf 0% PR - PCR 2.0"/>
    <n v="0"/>
    <n v="0"/>
    <n v="0"/>
    <n v="0"/>
    <n v="0"/>
    <n v="0"/>
    <n v="0"/>
    <n v="0"/>
    <n v="48.652299830668461"/>
    <n v="110.62977838345597"/>
    <n v="54.549548294991929"/>
    <n v="0"/>
    <n v="0"/>
    <n v="0"/>
    <n v="213.83162650911635"/>
  </r>
  <r>
    <x v="0"/>
    <s v="AC bin/base 50% PR - PCR 2.0"/>
    <n v="0"/>
    <n v="0"/>
    <n v="0"/>
    <n v="0"/>
    <n v="0"/>
    <n v="0"/>
    <n v="0"/>
    <n v="0"/>
    <n v="12.734173431010639"/>
    <n v="12.409738857115201"/>
    <n v="6.1190184019142109"/>
    <n v="0"/>
    <n v="0"/>
    <n v="0"/>
    <n v="31.262930690040051"/>
  </r>
  <r>
    <x v="0"/>
    <s v="AC bin/base 50% PR - PCR 2.0"/>
    <n v="0"/>
    <n v="0"/>
    <n v="0"/>
    <n v="0"/>
    <n v="0"/>
    <n v="0"/>
    <n v="0"/>
    <n v="0"/>
    <n v="3.9794291971908233"/>
    <n v="3.8780433928485003"/>
    <n v="1.9121932505981905"/>
    <n v="0"/>
    <n v="0"/>
    <n v="0"/>
    <n v="9.769665840637515"/>
  </r>
  <r>
    <x v="0"/>
    <s v="Betonstraatsteen 210x105x80"/>
    <n v="0"/>
    <n v="0"/>
    <n v="0"/>
    <n v="0"/>
    <n v="0"/>
    <n v="0"/>
    <n v="0"/>
    <n v="0"/>
    <n v="2.0254000000000003"/>
    <n v="3.0791799999999996"/>
    <n v="8.5800000000000004E-4"/>
    <n v="2.4699999999999996E-2"/>
    <n v="0"/>
    <n v="0"/>
    <n v="5.1301380000000005"/>
  </r>
  <r>
    <x v="0"/>
    <s v="Grond"/>
    <n v="0"/>
    <n v="0"/>
    <n v="0"/>
    <n v="0"/>
    <n v="0"/>
    <n v="0"/>
    <n v="0"/>
    <n v="0"/>
    <n v="0.89718701183124994"/>
    <n v="8.0263399549999992"/>
    <n v="0"/>
    <n v="0"/>
    <n v="0"/>
    <n v="0"/>
    <n v="8.9235269668312487"/>
  </r>
  <r>
    <x v="0"/>
    <s v="Opsluitband 100x200"/>
    <n v="0"/>
    <n v="0"/>
    <n v="0"/>
    <n v="0"/>
    <n v="0"/>
    <n v="0"/>
    <n v="0"/>
    <n v="0"/>
    <n v="1.12114"/>
    <n v="1.7173799999999997"/>
    <n v="2.0879999999999999E-2"/>
    <n v="1.3919999999999998E-2"/>
    <n v="0"/>
    <n v="0"/>
    <n v="2.8733200000000001"/>
  </r>
  <r>
    <x v="0"/>
    <s v="Opsluitband 100x200"/>
    <n v="0"/>
    <n v="0"/>
    <n v="0"/>
    <n v="0"/>
    <n v="0"/>
    <n v="0"/>
    <n v="0"/>
    <n v="0"/>
    <n v="0.13531000000000001"/>
    <n v="0.20726999999999995"/>
    <n v="2.5200000000000001E-3"/>
    <n v="1.6799999999999999E-3"/>
    <n v="0"/>
    <n v="0"/>
    <n v="0.34678000000000003"/>
  </r>
  <r>
    <x v="0"/>
    <s v="Grond"/>
    <n v="0"/>
    <n v="0"/>
    <n v="0"/>
    <n v="0"/>
    <n v="0"/>
    <n v="0"/>
    <n v="0"/>
    <n v="0"/>
    <n v="2.8332221426249998E-2"/>
    <n v="0.25346336699999994"/>
    <n v="0"/>
    <n v="0"/>
    <n v="0"/>
    <n v="0"/>
    <n v="0.28179558842624997"/>
  </r>
  <r>
    <x v="0"/>
    <s v="Hydraulisch Menggranulaat"/>
    <n v="0"/>
    <n v="0"/>
    <n v="0"/>
    <n v="2.2811703029999997"/>
    <n v="0.22665777141000004"/>
    <n v="0"/>
    <n v="0"/>
    <n v="0"/>
    <n v="0.22665777141000004"/>
    <n v="2.2811703029999997"/>
    <n v="0"/>
    <n v="0"/>
    <n v="0"/>
    <n v="0"/>
    <n v="5.0156561488199998"/>
  </r>
  <r>
    <x v="0"/>
    <s v="AC bin/base 50% PR - PCR 2.0"/>
    <n v="25.447827062303883"/>
    <n v="14.529055679217002"/>
    <n v="27.96915497363981"/>
    <n v="4.7271397525424996"/>
    <n v="1.6537887572741041"/>
    <n v="0"/>
    <n v="0"/>
    <n v="0"/>
    <n v="3.9794291971908233"/>
    <n v="3.8780433928485003"/>
    <n v="1.9121932505981905"/>
    <n v="0"/>
    <n v="-20.506932167573382"/>
    <n v="0"/>
    <n v="63.589699898041417"/>
  </r>
  <r>
    <x v="0"/>
    <s v="AC bin/base 50% PR - PCR 2.0"/>
    <n v="122.14956989905865"/>
    <n v="69.739467260241611"/>
    <n v="134.25194387347111"/>
    <n v="22.690270812204002"/>
    <n v="7.9381860349157014"/>
    <n v="0"/>
    <n v="0"/>
    <n v="0"/>
    <n v="19.101260146515955"/>
    <n v="18.614608285672801"/>
    <n v="9.1785276028713163"/>
    <n v="0"/>
    <n v="-98.433274404352233"/>
    <n v="0"/>
    <n v="305.23055951059894"/>
  </r>
  <r>
    <x v="0"/>
    <s v="AC Surf 0% PR - PCR 2.0"/>
    <n v="1999.865027997412"/>
    <n v="1053.151155144991"/>
    <n v="810.9371565840521"/>
    <n v="134.85213295338485"/>
    <n v="85.510102732690015"/>
    <n v="0"/>
    <n v="0"/>
    <n v="0"/>
    <n v="48.652299830668461"/>
    <n v="110.62977838345597"/>
    <n v="54.549548294991929"/>
    <n v="0"/>
    <n v="-1097.869643078194"/>
    <n v="0"/>
    <n v="3200.2775588434524"/>
  </r>
  <r>
    <x v="0"/>
    <s v="Betonstraatsteen 210x105x80"/>
    <n v="60.913580000000003"/>
    <n v="0"/>
    <n v="0"/>
    <n v="9.1462799999999991"/>
    <n v="2.0254000000000003"/>
    <n v="0"/>
    <n v="12.634031800000001"/>
    <n v="0"/>
    <n v="2.0254000000000003"/>
    <n v="3.0791799999999996"/>
    <n v="8.5800000000000004E-4"/>
    <n v="2.4699999999999996E-2"/>
    <n v="-1.9208799999999999"/>
    <n v="0"/>
    <n v="87.928549799999999"/>
  </r>
  <r>
    <x v="0"/>
    <s v="Grond"/>
    <n v="0"/>
    <n v="0"/>
    <n v="0"/>
    <n v="8.0263399549999992"/>
    <n v="0.89718701183124994"/>
    <n v="0"/>
    <n v="0"/>
    <n v="0"/>
    <n v="0.89718701183124994"/>
    <n v="8.0263399549999992"/>
    <n v="0"/>
    <n v="0"/>
    <n v="0"/>
    <n v="0"/>
    <n v="17.847053933662497"/>
  </r>
  <r>
    <x v="0"/>
    <s v="Opsluitband 100x200"/>
    <n v="34.798790000000004"/>
    <n v="0"/>
    <n v="0"/>
    <n v="5.1890499999999999"/>
    <n v="1.1404699999999999"/>
    <n v="0"/>
    <n v="0"/>
    <n v="0"/>
    <n v="1.1404699999999999"/>
    <n v="1.7469899999999998"/>
    <n v="2.1240000000000002E-2"/>
    <n v="1.4159999999999999E-2"/>
    <n v="-1.0897300000000001"/>
    <n v="0"/>
    <n v="42.961439999999996"/>
  </r>
  <r>
    <x v="0"/>
    <s v="Opsluitband 100x200"/>
    <n v="2.9490500000000002"/>
    <n v="0"/>
    <n v="0"/>
    <n v="0.43974999999999992"/>
    <n v="9.6649999999999986E-2"/>
    <n v="0"/>
    <n v="0"/>
    <n v="0"/>
    <n v="9.6649999999999986E-2"/>
    <n v="0.14804999999999999"/>
    <n v="1.8E-3"/>
    <n v="1.1999999999999999E-3"/>
    <n v="-9.2349999999999988E-2"/>
    <n v="0"/>
    <n v="3.6407999999999996"/>
  </r>
  <r>
    <x v="0"/>
    <s v="Grond"/>
    <n v="0"/>
    <n v="0"/>
    <n v="0"/>
    <n v="0.25346336699999994"/>
    <n v="2.8332221426249998E-2"/>
    <n v="0"/>
    <n v="0"/>
    <n v="0"/>
    <n v="2.8332221426249998E-2"/>
    <n v="0.25346336699999994"/>
    <n v="0"/>
    <n v="0"/>
    <n v="0"/>
    <n v="0"/>
    <n v="0.56359117685249993"/>
  </r>
  <r>
    <x v="1"/>
    <s v="AC Surf 30% PR - PCR 2.0"/>
    <n v="0"/>
    <n v="0"/>
    <n v="0"/>
    <n v="0"/>
    <n v="0"/>
    <n v="0"/>
    <n v="0"/>
    <n v="0"/>
    <n v="48.65229982994672"/>
    <n v="110.62977838345597"/>
    <n v="54.549548294182976"/>
    <n v="0"/>
    <n v="0"/>
    <n v="0"/>
    <n v="213.83162650758567"/>
  </r>
  <r>
    <x v="1"/>
    <s v="AC bin/base 50% PR G.M. - PCR 2.0"/>
    <n v="0"/>
    <n v="0"/>
    <n v="0"/>
    <n v="0"/>
    <n v="0"/>
    <n v="0"/>
    <n v="0"/>
    <n v="0"/>
    <n v="12.734173436485527"/>
    <n v="12.409738857115201"/>
    <n v="6.1190184045449856"/>
    <n v="0"/>
    <n v="0"/>
    <n v="0"/>
    <n v="31.262930698145713"/>
  </r>
  <r>
    <x v="1"/>
    <s v="AC bin/base 50% PR G.M. - PCR 2.0"/>
    <n v="0"/>
    <n v="0"/>
    <n v="0"/>
    <n v="0"/>
    <n v="0"/>
    <n v="0"/>
    <n v="0"/>
    <n v="0"/>
    <n v="3.9794291989017267"/>
    <n v="3.8780433928485003"/>
    <n v="1.9121932514203082"/>
    <n v="0"/>
    <n v="0"/>
    <n v="0"/>
    <n v="9.7696658431705359"/>
  </r>
  <r>
    <x v="1"/>
    <s v="Betonstraatsteen geopolymeer 210x105x80"/>
    <n v="0"/>
    <n v="0"/>
    <n v="0"/>
    <n v="0"/>
    <n v="0"/>
    <n v="0"/>
    <n v="0"/>
    <n v="0"/>
    <n v="2.0254000000000003"/>
    <e v="#REF!"/>
    <n v="0.4108"/>
    <n v="2.366E-2"/>
    <n v="0"/>
    <n v="0"/>
    <e v="#REF!"/>
  </r>
  <r>
    <x v="1"/>
    <s v="Grond"/>
    <n v="0"/>
    <n v="0"/>
    <n v="0"/>
    <n v="0"/>
    <n v="0"/>
    <n v="0"/>
    <n v="0"/>
    <n v="0"/>
    <n v="0.89718701183124994"/>
    <n v="8.0263399549999992"/>
    <n v="0"/>
    <n v="0"/>
    <n v="0"/>
    <n v="0"/>
    <n v="8.9235269668312487"/>
  </r>
  <r>
    <x v="1"/>
    <s v="Opsluitband geopolymeer 100x200"/>
    <n v="0"/>
    <n v="0"/>
    <n v="0"/>
    <n v="0"/>
    <n v="0"/>
    <n v="0"/>
    <n v="0"/>
    <n v="0"/>
    <n v="0"/>
    <n v="1.12114"/>
    <n v="2.0826239988499999"/>
    <n v="0.45297999999999999"/>
    <n v="0"/>
    <n v="0"/>
    <n v="3.6567439988500001"/>
  </r>
  <r>
    <x v="1"/>
    <s v="Opsluitband geopolymeer 100x200"/>
    <n v="0"/>
    <n v="0"/>
    <n v="0"/>
    <n v="0"/>
    <n v="0"/>
    <n v="0"/>
    <n v="0"/>
    <n v="0"/>
    <n v="0"/>
    <n v="0.13531000000000001"/>
    <n v="0.25135117227499998"/>
    <n v="5.4670000000000003E-2"/>
    <n v="0"/>
    <n v="0"/>
    <n v="0.44133117227499996"/>
  </r>
  <r>
    <x v="1"/>
    <s v="Grond"/>
    <n v="0"/>
    <n v="0"/>
    <n v="0"/>
    <n v="0"/>
    <n v="0"/>
    <n v="0"/>
    <n v="0"/>
    <n v="0"/>
    <n v="2.8332221426249998E-2"/>
    <n v="0.25346336699999994"/>
    <n v="0"/>
    <n v="0"/>
    <n v="0"/>
    <n v="0"/>
    <n v="0.28179558842624997"/>
  </r>
  <r>
    <x v="1"/>
    <s v="Hydraulisch Menggranulaat"/>
    <n v="0"/>
    <n v="0"/>
    <n v="0"/>
    <n v="2.2811703029999997"/>
    <n v="0.22665777141000004"/>
    <n v="0"/>
    <n v="0"/>
    <n v="0"/>
    <n v="0.22665777141000004"/>
    <n v="2.2811703029999997"/>
    <n v="0"/>
    <n v="0"/>
    <n v="0"/>
    <n v="0"/>
    <n v="5.0156561488199998"/>
  </r>
  <r>
    <x v="1"/>
    <s v="AC bin/base 50% PR - PCR 2.0"/>
    <n v="25.447827062303883"/>
    <n v="14.529055679217002"/>
    <n v="27.96915497363981"/>
    <n v="4.7271397525424996"/>
    <n v="1.6537887572741041"/>
    <n v="0"/>
    <n v="0"/>
    <n v="0"/>
    <n v="3.9794291971908233"/>
    <n v="3.8780433928485003"/>
    <n v="1.9121932505981905"/>
    <n v="0"/>
    <n v="-20.506932167573382"/>
    <n v="0"/>
    <n v="63.589699898041417"/>
  </r>
  <r>
    <x v="1"/>
    <s v="AC bin/base 50% PR - PCR 2.0"/>
    <n v="122.14956989905865"/>
    <n v="69.739467260241611"/>
    <n v="134.25194387347111"/>
    <n v="22.690270812204002"/>
    <n v="7.9381860349157014"/>
    <n v="0"/>
    <n v="0"/>
    <n v="0"/>
    <n v="19.101260146515955"/>
    <n v="18.614608285672801"/>
    <n v="9.1785276028713163"/>
    <n v="0"/>
    <n v="-98.433274404352233"/>
    <n v="0"/>
    <n v="305.23055951059894"/>
  </r>
  <r>
    <x v="1"/>
    <s v="AC Surf 0% PR - PCR 2.0"/>
    <n v="1999.865027997412"/>
    <n v="1053.151155144991"/>
    <n v="810.9371565840521"/>
    <n v="134.85213295338485"/>
    <n v="85.510102732690015"/>
    <n v="0"/>
    <n v="0"/>
    <n v="0"/>
    <n v="48.652299830668461"/>
    <n v="110.62977838345597"/>
    <n v="54.549548294991929"/>
    <n v="0"/>
    <n v="-1097.869643078194"/>
    <n v="0"/>
    <n v="3200.2775588434524"/>
  </r>
  <r>
    <x v="1"/>
    <s v="Betonstraatsteen geopolymeer 210x105x80"/>
    <n v="12.61"/>
    <n v="3.2760000000000002"/>
    <n v="3.536"/>
    <e v="#REF!"/>
    <n v="2.0254000000000003"/>
    <n v="0"/>
    <n v="0"/>
    <e v="#REF!"/>
    <n v="2.0254000000000003"/>
    <e v="#REF!"/>
    <n v="0.4108"/>
    <n v="2.366E-2"/>
    <n v="-1.3493999999999999"/>
    <n v="0"/>
    <e v="#REF!"/>
  </r>
  <r>
    <x v="1"/>
    <s v="Grond"/>
    <n v="0"/>
    <n v="0"/>
    <n v="0"/>
    <n v="8.0263399549999992"/>
    <n v="0.89718701183124994"/>
    <n v="0"/>
    <n v="0"/>
    <n v="0"/>
    <n v="0.89718701183124994"/>
    <n v="8.0263399549999992"/>
    <n v="0"/>
    <n v="0"/>
    <n v="0"/>
    <n v="0"/>
    <n v="17.847053933662497"/>
  </r>
  <r>
    <x v="1"/>
    <s v="Opsluitband geopolymeer 100x200"/>
    <n v="0"/>
    <n v="17.817999999999998"/>
    <n v="3.6816000000000004"/>
    <n v="3.9943"/>
    <n v="2.1185313091749998"/>
    <n v="1.1404699999999999"/>
    <n v="0"/>
    <n v="0"/>
    <n v="0"/>
    <n v="1.1404699999999999"/>
    <n v="2.1185313091749998"/>
    <n v="0.46079000000000003"/>
    <n v="2.5547E-2"/>
    <n v="-1.4691000000000001"/>
    <n v="31.029139618350005"/>
  </r>
  <r>
    <x v="1"/>
    <s v="Opsluitband geopolymeer 100x200"/>
    <n v="0"/>
    <n v="1.51"/>
    <n v="0.312"/>
    <n v="0.33850000000000002"/>
    <n v="0.17953655162499998"/>
    <n v="9.6649999999999986E-2"/>
    <n v="0"/>
    <n v="0"/>
    <n v="0"/>
    <n v="9.6649999999999986E-2"/>
    <n v="0.17953655162499998"/>
    <n v="3.9050000000000001E-2"/>
    <n v="2.1649999999999998E-3"/>
    <n v="-0.1245"/>
    <n v="2.6295881032500001"/>
  </r>
  <r>
    <x v="1"/>
    <s v="Grond"/>
    <n v="0"/>
    <n v="0"/>
    <n v="0"/>
    <n v="0.25346336699999994"/>
    <n v="2.8332221426249998E-2"/>
    <n v="0"/>
    <n v="0"/>
    <n v="0"/>
    <n v="2.8332221426249998E-2"/>
    <n v="0.25346336699999994"/>
    <n v="0"/>
    <n v="0"/>
    <n v="0"/>
    <n v="0"/>
    <n v="0.56359117685249993"/>
  </r>
  <r>
    <x v="2"/>
    <n v="0"/>
    <n v="0"/>
    <n v="0"/>
    <n v="0"/>
    <n v="0"/>
    <n v="0"/>
    <n v="0"/>
    <n v="0"/>
    <n v="0"/>
    <n v="0"/>
    <n v="0"/>
    <n v="0"/>
    <n v="0"/>
    <n v="0"/>
    <n v="0"/>
    <n v="0"/>
  </r>
  <r>
    <x v="2"/>
    <n v="0"/>
    <n v="0"/>
    <n v="0"/>
    <n v="0"/>
    <n v="0"/>
    <n v="0"/>
    <n v="0"/>
    <n v="0"/>
    <n v="0"/>
    <n v="0"/>
    <n v="0"/>
    <n v="0"/>
    <n v="0"/>
    <n v="0"/>
    <n v="0"/>
    <n v="0"/>
  </r>
  <r>
    <x v="2"/>
    <n v="0"/>
    <n v="0"/>
    <n v="0"/>
    <n v="0"/>
    <n v="0"/>
    <n v="0"/>
    <n v="0"/>
    <n v="0"/>
    <n v="0"/>
    <n v="0"/>
    <n v="0"/>
    <n v="0"/>
    <n v="0"/>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AC Surf 0% PR - PCR 2.0"/>
    <n v="1690.2375"/>
    <n v="0"/>
    <n v="1690.2375"/>
    <n v="0"/>
    <n v="0"/>
    <n v="0"/>
    <n v="0"/>
    <n v="1690.2375"/>
    <n v="0"/>
    <n v="1690.2375"/>
  </r>
  <r>
    <x v="0"/>
    <s v="AC bin/base 50% PR - PCR 2.0"/>
    <n v="189.60000000000002"/>
    <n v="0.5"/>
    <n v="94.800000000000011"/>
    <n v="94.800000000000011"/>
    <n v="0"/>
    <n v="0"/>
    <n v="0"/>
    <n v="94.800000000000011"/>
    <n v="94.800000000000011"/>
    <n v="189.60000000000002"/>
  </r>
  <r>
    <x v="0"/>
    <s v="AC bin/base 50% PR - PCR 2.0"/>
    <n v="59.25"/>
    <n v="0.5"/>
    <n v="29.625"/>
    <n v="29.625"/>
    <n v="0"/>
    <n v="0"/>
    <n v="0"/>
    <n v="29.625"/>
    <n v="29.625"/>
    <n v="59.25"/>
  </r>
  <r>
    <x v="0"/>
    <s v="Betonstraatsteen 210x105x80"/>
    <e v="#REF!"/>
    <n v="0"/>
    <e v="#REF!"/>
    <e v="#REF!"/>
    <e v="#REF!"/>
    <e v="#REF!"/>
    <e v="#REF!"/>
    <e v="#REF!"/>
    <e v="#REF!"/>
    <e v="#REF!"/>
  </r>
  <r>
    <x v="0"/>
    <s v="Grond"/>
    <e v="#REF!"/>
    <n v="1"/>
    <e v="#REF!"/>
    <e v="#REF!"/>
    <e v="#REF!"/>
    <e v="#REF!"/>
    <e v="#REF!"/>
    <e v="#REF!"/>
    <e v="#REF!"/>
    <e v="#REF!"/>
  </r>
  <r>
    <x v="0"/>
    <s v="Opsluitband 100x200"/>
    <e v="#REF!"/>
    <n v="0"/>
    <e v="#REF!"/>
    <e v="#REF!"/>
    <e v="#REF!"/>
    <e v="#REF!"/>
    <e v="#REF!"/>
    <e v="#REF!"/>
    <e v="#REF!"/>
    <e v="#REF!"/>
  </r>
  <r>
    <x v="0"/>
    <s v="Opsluitband 100x200"/>
    <e v="#REF!"/>
    <n v="0"/>
    <e v="#REF!"/>
    <e v="#REF!"/>
    <e v="#REF!"/>
    <e v="#REF!"/>
    <e v="#REF!"/>
    <e v="#REF!"/>
    <e v="#REF!"/>
    <e v="#REF!"/>
  </r>
  <r>
    <x v="0"/>
    <s v="Grond"/>
    <e v="#REF!"/>
    <n v="1"/>
    <e v="#REF!"/>
    <e v="#REF!"/>
    <e v="#REF!"/>
    <e v="#REF!"/>
    <e v="#REF!"/>
    <e v="#REF!"/>
    <e v="#REF!"/>
    <e v="#REF!"/>
  </r>
  <r>
    <x v="0"/>
    <s v="Hydraulisch Menggranulaat"/>
    <n v="27"/>
    <n v="1"/>
    <n v="0"/>
    <n v="27"/>
    <n v="0"/>
    <n v="0"/>
    <n v="0"/>
    <n v="0"/>
    <n v="27"/>
    <n v="27"/>
  </r>
  <r>
    <x v="0"/>
    <s v="AC bin/base 50% PR - PCR 2.0"/>
    <n v="59.25"/>
    <n v="0.5"/>
    <n v="29.625"/>
    <n v="29.625"/>
    <n v="0"/>
    <n v="0"/>
    <n v="0"/>
    <n v="29.625"/>
    <n v="29.625"/>
    <n v="59.25"/>
  </r>
  <r>
    <x v="0"/>
    <s v="AC bin/base 50% PR - PCR 2.0"/>
    <n v="284.40000000000003"/>
    <n v="0.5"/>
    <n v="142.20000000000002"/>
    <n v="142.20000000000002"/>
    <n v="0"/>
    <n v="0"/>
    <n v="0"/>
    <n v="142.20000000000002"/>
    <n v="142.20000000000002"/>
    <n v="284.40000000000003"/>
  </r>
  <r>
    <x v="0"/>
    <s v="AC Surf 0% PR - PCR 2.0"/>
    <n v="1690.2375"/>
    <n v="0"/>
    <n v="1690.2375"/>
    <n v="0"/>
    <n v="0"/>
    <n v="0"/>
    <n v="0"/>
    <n v="1690.2375"/>
    <n v="0"/>
    <n v="1690.2375"/>
  </r>
  <r>
    <x v="0"/>
    <s v="Betonstraatsteen 210x105x80"/>
    <e v="#REF!"/>
    <n v="0"/>
    <e v="#REF!"/>
    <e v="#REF!"/>
    <e v="#REF!"/>
    <e v="#REF!"/>
    <e v="#REF!"/>
    <e v="#REF!"/>
    <e v="#REF!"/>
    <e v="#REF!"/>
  </r>
  <r>
    <x v="0"/>
    <s v="Grond"/>
    <e v="#REF!"/>
    <n v="1"/>
    <e v="#REF!"/>
    <e v="#REF!"/>
    <e v="#REF!"/>
    <e v="#REF!"/>
    <e v="#REF!"/>
    <e v="#REF!"/>
    <e v="#REF!"/>
    <e v="#REF!"/>
  </r>
  <r>
    <x v="0"/>
    <s v="Opsluitband 100x200"/>
    <e v="#REF!"/>
    <n v="0"/>
    <e v="#REF!"/>
    <e v="#REF!"/>
    <e v="#REF!"/>
    <e v="#REF!"/>
    <e v="#REF!"/>
    <e v="#REF!"/>
    <e v="#REF!"/>
    <e v="#REF!"/>
  </r>
  <r>
    <x v="0"/>
    <s v="Opsluitband 100x200"/>
    <e v="#REF!"/>
    <n v="0"/>
    <e v="#REF!"/>
    <e v="#REF!"/>
    <e v="#REF!"/>
    <e v="#REF!"/>
    <e v="#REF!"/>
    <e v="#REF!"/>
    <e v="#REF!"/>
    <e v="#REF!"/>
  </r>
  <r>
    <x v="0"/>
    <s v="Grond"/>
    <n v="0"/>
    <n v="1"/>
    <n v="0"/>
    <n v="0"/>
    <n v="0"/>
    <n v="0"/>
    <n v="0"/>
    <n v="0"/>
    <n v="0"/>
    <n v="0"/>
  </r>
  <r>
    <x v="1"/>
    <s v="AC Surf 30% PR - PCR 2.0"/>
    <n v="1690.2375"/>
    <n v="0.3"/>
    <n v="1183.16625"/>
    <n v="507.07124999999996"/>
    <n v="0"/>
    <n v="0"/>
    <n v="0"/>
    <n v="1183.16625"/>
    <n v="507.07124999999996"/>
    <n v="1690.2375"/>
  </r>
  <r>
    <x v="1"/>
    <s v="AC bin/base 50% PR G.M. - PCR 2.0"/>
    <n v="189.60000000000002"/>
    <n v="0.5"/>
    <n v="94.800000000000011"/>
    <n v="94.800000000000011"/>
    <n v="0"/>
    <n v="0"/>
    <n v="0"/>
    <n v="94.800000000000011"/>
    <n v="94.800000000000011"/>
    <n v="189.60000000000002"/>
  </r>
  <r>
    <x v="1"/>
    <s v="AC bin/base 50% PR G.M. - PCR 2.0"/>
    <n v="59.25"/>
    <n v="0.5"/>
    <n v="29.625"/>
    <n v="29.625"/>
    <n v="0"/>
    <n v="0"/>
    <n v="0"/>
    <n v="29.625"/>
    <n v="29.625"/>
    <n v="59.25"/>
  </r>
  <r>
    <x v="1"/>
    <s v="Betonstraatsteen geopolymeer 210x105x80"/>
    <e v="#REF!"/>
    <n v="0.24167"/>
    <e v="#REF!"/>
    <e v="#REF!"/>
    <e v="#REF!"/>
    <e v="#REF!"/>
    <e v="#REF!"/>
    <e v="#REF!"/>
    <e v="#REF!"/>
    <e v="#REF!"/>
  </r>
  <r>
    <x v="1"/>
    <s v="Grond"/>
    <e v="#REF!"/>
    <n v="1"/>
    <e v="#REF!"/>
    <e v="#REF!"/>
    <e v="#REF!"/>
    <e v="#REF!"/>
    <e v="#REF!"/>
    <e v="#REF!"/>
    <e v="#REF!"/>
    <e v="#REF!"/>
  </r>
  <r>
    <x v="1"/>
    <s v="Opsluitband geopolymeer 100x200"/>
    <e v="#REF!"/>
    <n v="0.24167"/>
    <e v="#REF!"/>
    <e v="#REF!"/>
    <e v="#REF!"/>
    <e v="#REF!"/>
    <e v="#REF!"/>
    <e v="#REF!"/>
    <e v="#REF!"/>
    <e v="#REF!"/>
  </r>
  <r>
    <x v="1"/>
    <s v="Opsluitband geopolymeer 100x200"/>
    <e v="#REF!"/>
    <n v="0.24167"/>
    <e v="#REF!"/>
    <e v="#REF!"/>
    <e v="#REF!"/>
    <e v="#REF!"/>
    <e v="#REF!"/>
    <e v="#REF!"/>
    <e v="#REF!"/>
    <e v="#REF!"/>
  </r>
  <r>
    <x v="1"/>
    <s v="Grond"/>
    <e v="#REF!"/>
    <n v="1"/>
    <e v="#REF!"/>
    <e v="#REF!"/>
    <e v="#REF!"/>
    <e v="#REF!"/>
    <e v="#REF!"/>
    <e v="#REF!"/>
    <e v="#REF!"/>
    <e v="#REF!"/>
  </r>
  <r>
    <x v="1"/>
    <s v="Hydraulisch Menggranulaat"/>
    <n v="27"/>
    <n v="1"/>
    <n v="0"/>
    <n v="27"/>
    <n v="0"/>
    <n v="0"/>
    <n v="0"/>
    <n v="0"/>
    <n v="27"/>
    <n v="27"/>
  </r>
  <r>
    <x v="1"/>
    <s v="AC bin/base 50% PR - PCR 2.0"/>
    <n v="59.25"/>
    <n v="0.5"/>
    <n v="29.625"/>
    <n v="29.625"/>
    <n v="0"/>
    <n v="0"/>
    <n v="0"/>
    <n v="29.625"/>
    <n v="29.625"/>
    <n v="59.25"/>
  </r>
  <r>
    <x v="1"/>
    <s v="AC bin/base 50% PR - PCR 2.0"/>
    <n v="284.40000000000003"/>
    <n v="0.5"/>
    <n v="142.20000000000002"/>
    <n v="142.20000000000002"/>
    <n v="0"/>
    <n v="0"/>
    <n v="0"/>
    <n v="142.20000000000002"/>
    <n v="142.20000000000002"/>
    <n v="284.40000000000003"/>
  </r>
  <r>
    <x v="1"/>
    <s v="AC Surf 0% PR - PCR 2.0"/>
    <n v="1690.2375"/>
    <n v="0"/>
    <n v="1690.2375"/>
    <n v="0"/>
    <n v="0"/>
    <n v="0"/>
    <n v="0"/>
    <n v="1690.2375"/>
    <n v="0"/>
    <n v="1690.2375"/>
  </r>
  <r>
    <x v="1"/>
    <s v="Betonstraatsteen geopolymeer 210x105x80"/>
    <e v="#REF!"/>
    <n v="0.24167"/>
    <e v="#REF!"/>
    <e v="#REF!"/>
    <e v="#REF!"/>
    <e v="#REF!"/>
    <e v="#REF!"/>
    <e v="#REF!"/>
    <e v="#REF!"/>
    <e v="#REF!"/>
  </r>
  <r>
    <x v="1"/>
    <s v="Grond"/>
    <e v="#REF!"/>
    <n v="1"/>
    <e v="#REF!"/>
    <e v="#REF!"/>
    <e v="#REF!"/>
    <e v="#REF!"/>
    <e v="#REF!"/>
    <e v="#REF!"/>
    <e v="#REF!"/>
    <e v="#REF!"/>
  </r>
  <r>
    <x v="1"/>
    <s v="Opsluitband geopolymeer 100x200"/>
    <e v="#REF!"/>
    <n v="0.24167"/>
    <e v="#REF!"/>
    <e v="#REF!"/>
    <e v="#REF!"/>
    <e v="#REF!"/>
    <e v="#REF!"/>
    <e v="#REF!"/>
    <e v="#REF!"/>
    <e v="#REF!"/>
  </r>
  <r>
    <x v="1"/>
    <s v="Opsluitband geopolymeer 100x200"/>
    <e v="#REF!"/>
    <n v="0.24167"/>
    <e v="#REF!"/>
    <e v="#REF!"/>
    <e v="#REF!"/>
    <e v="#REF!"/>
    <e v="#REF!"/>
    <e v="#REF!"/>
    <e v="#REF!"/>
    <e v="#REF!"/>
  </r>
  <r>
    <x v="1"/>
    <s v="Grond"/>
    <n v="0"/>
    <n v="1"/>
    <n v="0"/>
    <n v="0"/>
    <n v="0"/>
    <n v="0"/>
    <n v="0"/>
    <n v="0"/>
    <n v="0"/>
    <n v="0"/>
  </r>
  <r>
    <x v="2"/>
    <n v="0"/>
    <n v="0"/>
    <n v="0"/>
    <n v="0"/>
    <n v="0"/>
    <n v="0"/>
    <n v="0"/>
    <n v="0"/>
    <n v="0"/>
    <n v="0"/>
    <n v="0"/>
  </r>
  <r>
    <x v="2"/>
    <n v="0"/>
    <n v="0"/>
    <n v="0"/>
    <n v="0"/>
    <n v="0"/>
    <n v="0"/>
    <n v="0"/>
    <n v="0"/>
    <n v="0"/>
    <n v="0"/>
    <n v="0"/>
  </r>
  <r>
    <x v="2"/>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C22A41-0C96-47B6-9438-1C7163391DA0}" name="Draaitabel30" cacheId="1"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45:U49" firstHeaderRow="1" firstDataRow="1" firstDataCol="1"/>
  <pivotFields count="17">
    <pivotField axis="axisRow" showAll="0">
      <items count="4">
        <item x="2"/>
        <item x="0"/>
        <item x="1"/>
        <item t="default"/>
      </items>
    </pivotField>
    <pivotField showAll="0"/>
    <pivotField numFmtId="3" showAll="0"/>
    <pivotField numFmtId="3" showAll="0"/>
    <pivotField numFmtId="3" showAll="0"/>
    <pivotField numFmtId="3" showAll="0"/>
    <pivotField numFmtId="3" showAll="0"/>
    <pivotField numFmtId="3" showAll="0"/>
    <pivotField showAll="0"/>
    <pivotField numFmtId="3" showAll="0"/>
    <pivotField numFmtId="3" showAll="0"/>
    <pivotField numFmtId="3" showAll="0"/>
    <pivotField numFmtId="3" showAll="0"/>
    <pivotField numFmtId="3" showAll="0"/>
    <pivotField numFmtId="3" showAll="0"/>
    <pivotField numFmtId="3" showAll="0"/>
    <pivotField dataField="1" numFmtId="3" showAll="0"/>
  </pivotFields>
  <rowFields count="1">
    <field x="0"/>
  </rowFields>
  <rowItems count="4">
    <i>
      <x/>
    </i>
    <i>
      <x v="1"/>
    </i>
    <i>
      <x v="2"/>
    </i>
    <i t="grand">
      <x/>
    </i>
  </rowItems>
  <colItems count="1">
    <i/>
  </colItems>
  <dataFields count="1">
    <dataField name="Som van Totaal" fld="16" baseField="0" baseItem="0"/>
  </dataFields>
  <chartFormats count="1">
    <chartFormat chart="2" format="1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F044C1A-CAE8-4539-AE70-729A42044D05}" name="Draaitabel1" cacheId="0" dataPosition="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3:AH7" firstHeaderRow="0" firstDataRow="1" firstDataCol="1"/>
  <pivotFields count="17">
    <pivotField axis="axisRow" showAll="0">
      <items count="4">
        <item x="2"/>
        <item x="0"/>
        <item x="1"/>
        <item t="default"/>
      </items>
    </pivotField>
    <pivotField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showAll="0"/>
  </pivotFields>
  <rowFields count="1">
    <field x="0"/>
  </rowFields>
  <rowItems count="4">
    <i>
      <x/>
    </i>
    <i>
      <x v="1"/>
    </i>
    <i>
      <x v="2"/>
    </i>
    <i t="grand">
      <x/>
    </i>
  </rowItems>
  <colFields count="1">
    <field x="-2"/>
  </colFields>
  <colItems count="14">
    <i>
      <x/>
    </i>
    <i i="1">
      <x v="1"/>
    </i>
    <i i="2">
      <x v="2"/>
    </i>
    <i i="3">
      <x v="3"/>
    </i>
    <i i="4">
      <x v="4"/>
    </i>
    <i i="5">
      <x v="5"/>
    </i>
    <i i="6">
      <x v="6"/>
    </i>
    <i i="7">
      <x v="7"/>
    </i>
    <i i="8">
      <x v="8"/>
    </i>
    <i i="9">
      <x v="9"/>
    </i>
    <i i="10">
      <x v="10"/>
    </i>
    <i i="11">
      <x v="11"/>
    </i>
    <i i="12">
      <x v="12"/>
    </i>
    <i i="13">
      <x v="13"/>
    </i>
  </colItems>
  <dataFields count="14">
    <dataField name="A1 - Grondstoffen" fld="2" baseField="0" baseItem="0"/>
    <dataField name="A2 - Transport" fld="3" baseField="0" baseItem="0"/>
    <dataField name="A3 - Productie" fld="4" baseField="0" baseItem="0"/>
    <dataField name="A4 - Transport" fld="5" baseField="0" baseItem="0"/>
    <dataField name="A5 - Bouw &amp; Aanleg" fld="6" baseField="0" baseItem="0"/>
    <dataField name="B1 - Gebruik" fld="7" baseField="0" baseItem="0"/>
    <dataField name="B3 - Onderhoud" fld="8" baseField="0" baseItem="0"/>
    <dataField name="B4 - Vervangingen" fld="9" baseField="0" baseItem="0"/>
    <dataField name="C1 - Sloop" fld="10" baseField="0" baseItem="0"/>
    <dataField name="C2 - Transport" fld="11" baseField="0" baseItem="0"/>
    <dataField name="C3 - Afvalbewerking" fld="12" baseField="0" baseItem="0"/>
    <dataField name="C4 - Finale Afvalverwerking" fld="13" baseField="0" baseItem="0"/>
    <dataField name="D1 - Uitsparing grondstoffen" fld="14" baseField="0" baseItem="0"/>
    <dataField name="D2 - Uitsparing transport" fld="15" baseField="0" baseItem="0"/>
  </dataFields>
  <formats count="1">
    <format dxfId="1310">
      <pivotArea outline="0" collapsedLevelsAreSubtotals="1" fieldPosition="0"/>
    </format>
  </formats>
  <chartFormats count="14">
    <chartFormat chart="4" format="93" series="1">
      <pivotArea type="data" outline="0" fieldPosition="0">
        <references count="1">
          <reference field="4294967294" count="1" selected="0">
            <x v="0"/>
          </reference>
        </references>
      </pivotArea>
    </chartFormat>
    <chartFormat chart="4" format="94" series="1">
      <pivotArea type="data" outline="0" fieldPosition="0">
        <references count="1">
          <reference field="4294967294" count="1" selected="0">
            <x v="1"/>
          </reference>
        </references>
      </pivotArea>
    </chartFormat>
    <chartFormat chart="4" format="95" series="1">
      <pivotArea type="data" outline="0" fieldPosition="0">
        <references count="1">
          <reference field="4294967294" count="1" selected="0">
            <x v="2"/>
          </reference>
        </references>
      </pivotArea>
    </chartFormat>
    <chartFormat chart="4" format="96" series="1">
      <pivotArea type="data" outline="0" fieldPosition="0">
        <references count="1">
          <reference field="4294967294" count="1" selected="0">
            <x v="3"/>
          </reference>
        </references>
      </pivotArea>
    </chartFormat>
    <chartFormat chart="4" format="97" series="1">
      <pivotArea type="data" outline="0" fieldPosition="0">
        <references count="1">
          <reference field="4294967294" count="1" selected="0">
            <x v="4"/>
          </reference>
        </references>
      </pivotArea>
    </chartFormat>
    <chartFormat chart="4" format="98" series="1">
      <pivotArea type="data" outline="0" fieldPosition="0">
        <references count="1">
          <reference field="4294967294" count="1" selected="0">
            <x v="5"/>
          </reference>
        </references>
      </pivotArea>
    </chartFormat>
    <chartFormat chart="4" format="100" series="1">
      <pivotArea type="data" outline="0" fieldPosition="0">
        <references count="1">
          <reference field="4294967294" count="1" selected="0">
            <x v="8"/>
          </reference>
        </references>
      </pivotArea>
    </chartFormat>
    <chartFormat chart="4" format="101" series="1">
      <pivotArea type="data" outline="0" fieldPosition="0">
        <references count="1">
          <reference field="4294967294" count="1" selected="0">
            <x v="9"/>
          </reference>
        </references>
      </pivotArea>
    </chartFormat>
    <chartFormat chart="4" format="102" series="1">
      <pivotArea type="data" outline="0" fieldPosition="0">
        <references count="1">
          <reference field="4294967294" count="1" selected="0">
            <x v="10"/>
          </reference>
        </references>
      </pivotArea>
    </chartFormat>
    <chartFormat chart="4" format="103" series="1">
      <pivotArea type="data" outline="0" fieldPosition="0">
        <references count="1">
          <reference field="4294967294" count="1" selected="0">
            <x v="11"/>
          </reference>
        </references>
      </pivotArea>
    </chartFormat>
    <chartFormat chart="4" format="104" series="1">
      <pivotArea type="data" outline="0" fieldPosition="0">
        <references count="1">
          <reference field="4294967294" count="1" selected="0">
            <x v="12"/>
          </reference>
        </references>
      </pivotArea>
    </chartFormat>
    <chartFormat chart="4" format="105" series="1">
      <pivotArea type="data" outline="0" fieldPosition="0">
        <references count="1">
          <reference field="4294967294" count="1" selected="0">
            <x v="13"/>
          </reference>
        </references>
      </pivotArea>
    </chartFormat>
    <chartFormat chart="4" format="106" series="1">
      <pivotArea type="data" outline="0" fieldPosition="0">
        <references count="1">
          <reference field="4294967294" count="1" selected="0">
            <x v="7"/>
          </reference>
        </references>
      </pivotArea>
    </chartFormat>
    <chartFormat chart="4" format="107" series="1">
      <pivotArea type="data" outline="0" fieldPosition="0">
        <references count="1">
          <reference field="429496729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7A72990-C840-4A8A-B5CA-D7B07D221247}" name="Draaitabel2" cacheId="2"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3">
  <location ref="S90:U94" firstHeaderRow="0" firstDataRow="1" firstDataCol="1"/>
  <pivotFields count="12">
    <pivotField axis="axisRow" showAll="0">
      <items count="4">
        <item x="2"/>
        <item x="0"/>
        <item x="1"/>
        <item t="default"/>
      </items>
    </pivotField>
    <pivotField showAll="0"/>
    <pivotField numFmtId="169" showAll="0"/>
    <pivotField numFmtId="9" showAll="0"/>
    <pivotField dataField="1" numFmtId="169" showAll="0"/>
    <pivotField dataField="1" numFmtId="169" showAll="0"/>
    <pivotField numFmtId="169" showAll="0"/>
    <pivotField numFmtId="169" showAll="0"/>
    <pivotField numFmtId="169" showAll="0"/>
    <pivotField showAll="0"/>
    <pivotField showAll="0"/>
    <pivotField showAll="0"/>
  </pivotFields>
  <rowFields count="1">
    <field x="0"/>
  </rowFields>
  <rowItems count="4">
    <i>
      <x/>
    </i>
    <i>
      <x v="1"/>
    </i>
    <i>
      <x v="2"/>
    </i>
    <i t="grand">
      <x/>
    </i>
  </rowItems>
  <colFields count="1">
    <field x="-2"/>
  </colFields>
  <colItems count="2">
    <i>
      <x/>
    </i>
    <i i="1">
      <x v="1"/>
    </i>
  </colItems>
  <dataFields count="2">
    <dataField name="Primair materiaalverbruik" fld="4" baseField="0" baseItem="1"/>
    <dataField name="Secundair materiaalverbruik" fld="5" baseField="0" baseItem="0"/>
  </dataFields>
  <chartFormats count="2">
    <chartFormat chart="2" format="4"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2" connectionId="3" xr16:uid="{D4CE5DB0-13B3-4F16-8A97-7C6C5E3709C8}" autoFormatId="16" applyNumberFormats="0" applyBorderFormats="0" applyFontFormats="0" applyPatternFormats="0" applyAlignmentFormats="0" applyWidthHeightFormats="0">
  <queryTableRefresh nextId="660">
    <queryTableFields count="120">
      <queryTableField id="356" name="Client" tableColumnId="3"/>
      <queryTableField id="656" name="Contractor" tableColumnId="118"/>
      <queryTableField id="475" name="Project_ID" tableColumnId="1"/>
      <queryTableField id="476" name="Project_lifespan" tableColumnId="2"/>
      <queryTableField id="477" name="Project_date" tableColumnId="4"/>
      <queryTableField id="654" name="Version" tableColumnId="117"/>
      <queryTableField id="478" name="RAW_ID" tableColumnId="5"/>
      <queryTableField id="139" name="Workscope" tableColumnId="8"/>
      <queryTableField id="140" name="Price" tableColumnId="9"/>
      <queryTableField id="141" name="Productgroup" tableColumnId="10"/>
      <queryTableField id="6" name="Product" tableColumnId="6"/>
      <queryTableField id="463" name="Producttype" tableColumnId="115"/>
      <queryTableField id="461" name="Surface[m2]" tableColumnId="113"/>
      <queryTableField id="462" name="Thickness[m]" tableColumnId="114"/>
      <queryTableField id="479" name="Specific_Weight[ton/m3]" tableColumnId="7"/>
      <queryTableField id="144" name="Amount[m3]" tableColumnId="13"/>
      <queryTableField id="143" name="Amount[ton]" tableColumnId="12"/>
      <queryTableField id="145" name="Replacements" tableColumnId="14"/>
      <queryTableField id="480" name="A4_Transport_distance_to_construction_site[km]" tableColumnId="11"/>
      <queryTableField id="481" name="A4_Transportmode_to_construction_site" tableColumnId="15"/>
      <queryTableField id="638" name="A5_Asphalt_construction_set" tableColumnId="110"/>
      <queryTableField id="483" name="A5_Other_construction_equipment" tableColumnId="17"/>
      <queryTableField id="484" name="C1_Asphalt_removal_set" tableColumnId="18"/>
      <queryTableField id="485" name="C1_Other_removal_equipment" tableColumnId="19"/>
      <queryTableField id="486" name="C2_Transportdistance_to_processor[km]" tableColumnId="20"/>
      <queryTableField id="487" name="C2_Transportmode_to_processor" tableColumnId="21"/>
      <queryTableField id="488" name="C3_Processingset" tableColumnId="22"/>
      <queryTableField id="155" name="Assumptions" tableColumnId="24"/>
      <queryTableField id="489" name="ECI_Total.A1" tableColumnId="23"/>
      <queryTableField id="490" name="ECI_Total.A2" tableColumnId="25"/>
      <queryTableField id="491" name="ECI_Total.A3" tableColumnId="26"/>
      <queryTableField id="492" name="ECI_Total.A4" tableColumnId="27"/>
      <queryTableField id="493" name="ECI_Total.A5" tableColumnId="28"/>
      <queryTableField id="494" name="ECI_Total.B1" tableColumnId="29"/>
      <queryTableField id="495" name="ECI_Total.B4" tableColumnId="30"/>
      <queryTableField id="496" name="ECI_Total.C1" tableColumnId="31"/>
      <queryTableField id="497" name="ECI_Total.C2" tableColumnId="32"/>
      <queryTableField id="498" name="ECI_Total.C3" tableColumnId="33"/>
      <queryTableField id="499" name="ECI_Total.C4" tableColumnId="34"/>
      <queryTableField id="500" name="ECI_Total.D1" tableColumnId="35"/>
      <queryTableField id="501" name="ECI_Total.D2" tableColumnId="36"/>
      <queryTableField id="502" name="ECI_Total.Total" tableColumnId="37"/>
      <queryTableField id="503" name="CO2_Total.A1" tableColumnId="38"/>
      <queryTableField id="504" name="CO2_Total.A2" tableColumnId="39"/>
      <queryTableField id="505" name="CO2_Total.A3" tableColumnId="40"/>
      <queryTableField id="506" name="CO2_Total.A4" tableColumnId="41"/>
      <queryTableField id="507" name="CO2_Total.A5" tableColumnId="42"/>
      <queryTableField id="508" name="CO2_Total.B1" tableColumnId="43"/>
      <queryTableField id="509" name="CO2_Total.B4" tableColumnId="44"/>
      <queryTableField id="510" name="CO2_Total.C1" tableColumnId="45"/>
      <queryTableField id="511" name="CO2_Total.C2" tableColumnId="46"/>
      <queryTableField id="512" name="CO2_Total.C3" tableColumnId="47"/>
      <queryTableField id="513" name="CO2_Total.C4" tableColumnId="48"/>
      <queryTableField id="514" name="CO2_Total.D1" tableColumnId="49"/>
      <queryTableField id="515" name="CO2_Total.D2" tableColumnId="50"/>
      <queryTableField id="516" name="CO2_Total.Total" tableColumnId="51"/>
      <queryTableField id="517" name="Material_Total.Amount[ton]" tableColumnId="52"/>
      <queryTableField id="518" name="Material_Total.%Secundary" tableColumnId="53"/>
      <queryTableField id="519" name="Material_Total.Primary[ton]" tableColumnId="54"/>
      <queryTableField id="520" name="Material_Total.Secundary[ton]" tableColumnId="55"/>
      <queryTableField id="521" name="Material_Total.Amount_Replacements[ton]" tableColumnId="56"/>
      <queryTableField id="522" name="Material_Total.Primary_Replacements[ton]" tableColumnId="57"/>
      <queryTableField id="523" name="Material_Total.Secundary_Replacements[ton]" tableColumnId="58"/>
      <queryTableField id="524" name="Material_Total.Total_Primary[ton]" tableColumnId="59"/>
      <queryTableField id="525" name="Material_Total.Total_Secundary[ton]" tableColumnId="60"/>
      <queryTableField id="526" name="Material_Total.Total[ton]" tableColumnId="61"/>
      <queryTableField id="527" name="Renewable_Energy_Total.A1" tableColumnId="62"/>
      <queryTableField id="528" name="Renewable_Energy_Total.A2" tableColumnId="63"/>
      <queryTableField id="529" name="Renewable_Energy_Total.A3" tableColumnId="64"/>
      <queryTableField id="530" name="Renewable_Energy_Total.A4" tableColumnId="65"/>
      <queryTableField id="531" name="Renewable_Energy_Total.A5" tableColumnId="66"/>
      <queryTableField id="532" name="Renewable_Energy_Total.B1" tableColumnId="67"/>
      <queryTableField id="533" name="Renewable_Energy_Total.B4" tableColumnId="68"/>
      <queryTableField id="534" name="Renewable_Energy_Total.C1" tableColumnId="69"/>
      <queryTableField id="535" name="Renewable_Energy_Total.C2" tableColumnId="70"/>
      <queryTableField id="536" name="Renewable_Energy_Total.C3" tableColumnId="71"/>
      <queryTableField id="537" name="Renewable_Energy_Total.C4" tableColumnId="72"/>
      <queryTableField id="640" name="Renewable_Energy_Total.D1" tableColumnId="111"/>
      <queryTableField id="538" name="Renewable_Energy_Total.D2" tableColumnId="73"/>
      <queryTableField id="539" name="Renewable_Energy_Total.Total" tableColumnId="74"/>
      <queryTableField id="540" name="Fossil_Energy_Total.A1" tableColumnId="76"/>
      <queryTableField id="541" name="Fossil_Energy_Total.A2" tableColumnId="77"/>
      <queryTableField id="542" name="Fossil_Energy_Total.A3" tableColumnId="78"/>
      <queryTableField id="543" name="Fossil_Energy_Total.A4" tableColumnId="79"/>
      <queryTableField id="544" name="Fossil_Energy_Total.A5" tableColumnId="80"/>
      <queryTableField id="545" name="Fossil_Energy_Total.B1" tableColumnId="81"/>
      <queryTableField id="546" name="Fossil_Energy_Total.B4" tableColumnId="82"/>
      <queryTableField id="547" name="Fossil_Energy_Total.C1" tableColumnId="83"/>
      <queryTableField id="548" name="Fossil_Energy_Total.C2" tableColumnId="84"/>
      <queryTableField id="549" name="Fossil_Energy_Total.C3" tableColumnId="85"/>
      <queryTableField id="550" name="Fossil_Energy_Total.C4" tableColumnId="86"/>
      <queryTableField id="551" name="Fossil_Energy_Total.D1" tableColumnId="87"/>
      <queryTableField id="552" name="Fossil_Energy_Total.D2" tableColumnId="88"/>
      <queryTableField id="553" name="Fossil_Energy_Total.Total" tableColumnId="89"/>
      <queryTableField id="554" name="Transport_Total.Transport_to_construction_site[tkm]" tableColumnId="90"/>
      <queryTableField id="555" name="Transport_Total.Transport_to_processor[tkm]" tableColumnId="91"/>
      <queryTableField id="556" name="Transport_Total.Emission_free_Transport_to_construction_site" tableColumnId="92"/>
      <queryTableField id="557" name="Transport_Total.Emission_free_Transport_to_processor" tableColumnId="93"/>
      <queryTableField id="558" name="Transport_Total.Emission_free_Transport" tableColumnId="94"/>
      <queryTableField id="559" name="Transport_Total.Transport_to_construction_site_replacements[tkm]" tableColumnId="95"/>
      <queryTableField id="560" name="Transport_Total.Transport_to_processor_replacements[tkm]" tableColumnId="96"/>
      <queryTableField id="561" name="Transport_Total.Emission_free_Transport_replacements[tkm]" tableColumnId="97"/>
      <queryTableField id="562" name="Transport_Total.Total_Emission_free_Transport" tableColumnId="98"/>
      <queryTableField id="563" name="Transport_Total.Total_Non_Emission_free_Transport" tableColumnId="99"/>
      <queryTableField id="564" name="Transport_Total.Total_Transport" tableColumnId="100"/>
      <queryTableField id="565" name="Construction_site_Total.Operation_hour_Construction" tableColumnId="101"/>
      <queryTableField id="566" name="Construction_site_Total.Operation_hour_Removal" tableColumnId="102"/>
      <queryTableField id="567" name="Construction_site_Total.Emission_free_Construction" tableColumnId="103"/>
      <queryTableField id="568" name="Construction_site_Total.Emission_free_Removal" tableColumnId="104"/>
      <queryTableField id="569" name="Construction_site_Total.Emission_free_Construction_Site" tableColumnId="105"/>
      <queryTableField id="570" name="Construction_site_Total.Emission_free_Construction_site_Replacement" tableColumnId="106"/>
      <queryTableField id="571" name="Construction_site_Total.Total_Emission_free_Construction_site" tableColumnId="107"/>
      <queryTableField id="572" name="Construction_site_Total.Total_Non_Emission_free_Construction_site" tableColumnId="108"/>
      <queryTableField id="573" name="Construction_site_Total.Total_Construction_site" tableColumnId="109"/>
      <queryTableField id="646" name="MKI_Total_Ton_A1_A3" tableColumnId="16"/>
      <queryTableField id="647" name="MKI_Total_m3_A1_A3" tableColumnId="75"/>
      <queryTableField id="648" name="CO2_Total_Ton_A1_A3" tableColumnId="112"/>
      <queryTableField id="649" name="CO2_Total_m3_A1_A3" tableColumnId="116"/>
      <queryTableField id="658" name="MKI_total_A1_A3" tableColumnId="119"/>
      <queryTableField id="659" name="CO2_total_A1_A3" tableColumnId="12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Gegevens_1" connectionId="15" xr16:uid="{BC445DD8-17C5-4113-90DA-74DF946355D8}" autoFormatId="16" applyNumberFormats="0" applyBorderFormats="0" applyFontFormats="0" applyPatternFormats="0" applyAlignmentFormats="0" applyWidthHeightFormats="0">
  <queryTableRefresh nextId="684">
    <queryTableFields count="120">
      <queryTableField id="130" name="Client" tableColumnId="1"/>
      <queryTableField id="680" name="Contractor" tableColumnId="110"/>
      <queryTableField id="549" name="Project_ID" tableColumnId="2"/>
      <queryTableField id="550" name="Project_lifespan" tableColumnId="3"/>
      <queryTableField id="551" name="Project_date" tableColumnId="4"/>
      <queryTableField id="678" name="Version" tableColumnId="109"/>
      <queryTableField id="552" name="RAW_ID" tableColumnId="5"/>
      <queryTableField id="137" name="Workscope" tableColumnId="116"/>
      <queryTableField id="543" name="Price" tableColumnId="103"/>
      <queryTableField id="139" name="Productgroup" tableColumnId="118"/>
      <queryTableField id="6" name="Product" tableColumnId="6"/>
      <queryTableField id="7" name="Producttype" tableColumnId="7"/>
      <queryTableField id="140" name="Surface[m2]" tableColumnId="119"/>
      <queryTableField id="141" name="Thickness[m]" tableColumnId="120"/>
      <queryTableField id="553" name="Specific_Weight[ton/m3]" tableColumnId="8"/>
      <queryTableField id="143" name="Amount[m3]" tableColumnId="122"/>
      <queryTableField id="144" name="Amount[ton]" tableColumnId="123"/>
      <queryTableField id="145" name="Replacements" tableColumnId="124"/>
      <queryTableField id="554" name="A4_Transport_distance_to_Construction_site[km]" tableColumnId="9"/>
      <queryTableField id="555" name="A4_Transportmode_to_Construction_site" tableColumnId="10"/>
      <queryTableField id="556" name="A5_Asphalt_Construction_set" tableColumnId="11"/>
      <queryTableField id="557" name="A5_Other_Construction_Equipment" tableColumnId="12"/>
      <queryTableField id="558" name="C1_Asphalt_removal_set" tableColumnId="13"/>
      <queryTableField id="559" name="C1_Other_removal_equipment" tableColumnId="14"/>
      <queryTableField id="560" name="C2_Transportdistance_to_processor[km]" tableColumnId="15"/>
      <queryTableField id="561" name="C2_Transportmode_to_processor" tableColumnId="16"/>
      <queryTableField id="562" name="C3_Processingset" tableColumnId="17"/>
      <queryTableField id="169" name="Assumptions" tableColumnId="134"/>
      <queryTableField id="564" name="ECI_Total.A1" tableColumnId="19"/>
      <queryTableField id="565" name="ECI_Total.A2" tableColumnId="20"/>
      <queryTableField id="566" name="ECI_Total.A3" tableColumnId="21"/>
      <queryTableField id="567" name="ECI_Total.A4" tableColumnId="22"/>
      <queryTableField id="568" name="ECI_Total.A5" tableColumnId="23"/>
      <queryTableField id="569" name="ECI_Total.B1" tableColumnId="24"/>
      <queryTableField id="570" name="ECI_Total.B4" tableColumnId="25"/>
      <queryTableField id="571" name="ECI_Total.C1" tableColumnId="26"/>
      <queryTableField id="572" name="ECI_Total.C2" tableColumnId="27"/>
      <queryTableField id="573" name="ECI_Total.C3" tableColumnId="28"/>
      <queryTableField id="574" name="ECI_Total.C4" tableColumnId="29"/>
      <queryTableField id="575" name="ECI_Total.D1" tableColumnId="30"/>
      <queryTableField id="576" name="ECI_Total.D2" tableColumnId="31"/>
      <queryTableField id="577" name="ECI_Total.Total" tableColumnId="32"/>
      <queryTableField id="578" name="CO2_Total.A1" tableColumnId="33"/>
      <queryTableField id="579" name="CO2_Total.A2" tableColumnId="34"/>
      <queryTableField id="580" name="CO2_Total.A3" tableColumnId="35"/>
      <queryTableField id="581" name="CO2_Total.A4" tableColumnId="36"/>
      <queryTableField id="582" name="CO2_Total.A5" tableColumnId="37"/>
      <queryTableField id="583" name="CO2_Total.B1" tableColumnId="38"/>
      <queryTableField id="584" name="CO2_Total.B4" tableColumnId="39"/>
      <queryTableField id="585" name="CO2_Total.C1" tableColumnId="40"/>
      <queryTableField id="586" name="CO2_Total.C2" tableColumnId="41"/>
      <queryTableField id="587" name="CO2_Total.C3" tableColumnId="42"/>
      <queryTableField id="588" name="CO2_Total.C4" tableColumnId="43"/>
      <queryTableField id="589" name="CO2_Total.D1" tableColumnId="44"/>
      <queryTableField id="590" name="CO2_Total.D2" tableColumnId="45"/>
      <queryTableField id="591" name="CO2_Total.Total" tableColumnId="46"/>
      <queryTableField id="592" name="Material_Total.Amount[ton]" tableColumnId="47"/>
      <queryTableField id="593" name="Material_Total.%Secundary" tableColumnId="48"/>
      <queryTableField id="594" name="Material_Total.Primary[ton]" tableColumnId="49"/>
      <queryTableField id="595" name="Material_Total.Secundary[ton]" tableColumnId="50"/>
      <queryTableField id="596" name="Material_Total.Amount_Replacements[ton]" tableColumnId="51"/>
      <queryTableField id="597" name="Material_Total.Primary_Replacements[ton]" tableColumnId="52"/>
      <queryTableField id="598" name="Material_Total.Secundary_Replacements[ton]" tableColumnId="53"/>
      <queryTableField id="599" name="Material_Total.Total_Primary[ton]" tableColumnId="54"/>
      <queryTableField id="600" name="Material_Total.Total_Secundary[ton]" tableColumnId="55"/>
      <queryTableField id="601" name="Material_Total.Total[ton]" tableColumnId="56"/>
      <queryTableField id="602" name="Renewable_Energy_Total.A1" tableColumnId="57"/>
      <queryTableField id="603" name="Renewable_Energy_Total.A2" tableColumnId="58"/>
      <queryTableField id="604" name="Renewable_Energy_Total.A3" tableColumnId="59"/>
      <queryTableField id="605" name="Renewable_Energy_Total.A4" tableColumnId="60"/>
      <queryTableField id="606" name="Renewable_Energy_Total.A5" tableColumnId="61"/>
      <queryTableField id="607" name="Renewable_Energy_Total.B1" tableColumnId="62"/>
      <queryTableField id="608" name="Renewable_Energy_Total.B4" tableColumnId="63"/>
      <queryTableField id="609" name="Renewable_Energy_Total.C1" tableColumnId="64"/>
      <queryTableField id="610" name="Renewable_Energy_Total.C2" tableColumnId="65"/>
      <queryTableField id="611" name="Renewable_Energy_Total.C3" tableColumnId="66"/>
      <queryTableField id="612" name="Renewable_Energy_Total.C4" tableColumnId="67"/>
      <queryTableField id="613" name="Renewable_Energy_Total.D1" tableColumnId="68"/>
      <queryTableField id="614" name="Renewable_Energy_Total.D2" tableColumnId="69"/>
      <queryTableField id="615" name="Renewable_Energy_Total.Total" tableColumnId="70"/>
      <queryTableField id="616" name="Fossil_Energy_Total.A1" tableColumnId="71"/>
      <queryTableField id="617" name="Fossil_Energy_Total.A2" tableColumnId="72"/>
      <queryTableField id="618" name="Fossil_Energy_Total.A3" tableColumnId="73"/>
      <queryTableField id="619" name="Fossil_Energy_Total.A4" tableColumnId="74"/>
      <queryTableField id="620" name="Fossil_Energy_Total.A5" tableColumnId="75"/>
      <queryTableField id="621" name="Fossil_Energy_Total.B1" tableColumnId="76"/>
      <queryTableField id="622" name="Fossil_Energy_Total.B4" tableColumnId="77"/>
      <queryTableField id="623" name="Fossil_Energy_Total.C1" tableColumnId="78"/>
      <queryTableField id="624" name="Fossil_Energy_Total.C2" tableColumnId="79"/>
      <queryTableField id="625" name="Fossil_Energy_Total.C3" tableColumnId="80"/>
      <queryTableField id="626" name="Fossil_Energy_Total.C4" tableColumnId="81"/>
      <queryTableField id="627" name="Fossil_Energy_Total.D1" tableColumnId="82"/>
      <queryTableField id="628" name="Fossil_Energy_Total.D2" tableColumnId="83"/>
      <queryTableField id="629" name="Fossil_Energy_Total.Total" tableColumnId="84"/>
      <queryTableField id="630" name="Transport_Total.Transport_to_Construction_site[tkm]" tableColumnId="85"/>
      <queryTableField id="631" name="Transport_Total.Transport_to_Processor[tkm]" tableColumnId="86"/>
      <queryTableField id="632" name="Transport_Total.Emission_free_Transport_to_Construction_site" tableColumnId="87"/>
      <queryTableField id="633" name="Transport_Total.Emission_free_Transport_to_Processor" tableColumnId="88"/>
      <queryTableField id="634" name="Transport_Total.Emission_free_Transport" tableColumnId="89"/>
      <queryTableField id="635" name="Transport_Total.Transport_to_construction_site_Replacements[tkm]" tableColumnId="90"/>
      <queryTableField id="636" name="Transport_Total.Transport_to_Processor_Replacements[tkm]" tableColumnId="91"/>
      <queryTableField id="637" name="Transport_Total.Emission_free_Transport_Replacements[tkm]" tableColumnId="92"/>
      <queryTableField id="638" name="Transport_Total.Total_Emission_free_Transport" tableColumnId="93"/>
      <queryTableField id="639" name="Transport_Total.Total_Non_Emission_free_Transport" tableColumnId="94"/>
      <queryTableField id="640" name="Transport_Total.Total_Transport" tableColumnId="95"/>
      <queryTableField id="641" name="Construction_site_Total.Operation_hour_Construction" tableColumnId="96"/>
      <queryTableField id="642" name="Construction_site_Total.Operation_hour_Removal" tableColumnId="97"/>
      <queryTableField id="643" name="Construction_site_Total.Emission_free_Construction" tableColumnId="98"/>
      <queryTableField id="644" name="Construction_site_Total.Emission_free_Removal" tableColumnId="99"/>
      <queryTableField id="666" name="Construction_site_Total.Emission_free_Construction_Site" tableColumnId="108"/>
      <queryTableField id="648" name="Construction_site_Total.Emission_free_Construction_site_Replacement" tableColumnId="104"/>
      <queryTableField id="649" name="Construction_site_Total.Total_Emission_free_Construction_Site" tableColumnId="105"/>
      <queryTableField id="650" name="Construction_site_Total.Total_Non_Emission_free_Construction_Site" tableColumnId="106"/>
      <queryTableField id="651" name="Construction_site_Total.Total_Construction_Site" tableColumnId="107"/>
      <queryTableField id="672" name="MKI_Total_Ton_A1_A3" tableColumnId="18"/>
      <queryTableField id="673" name="MKI_Total_m3_A1_A3" tableColumnId="100"/>
      <queryTableField id="674" name="CO2_Total_Ton_A1_A3" tableColumnId="101"/>
      <queryTableField id="675" name="CO2_Total_m3_A1_A3" tableColumnId="102"/>
      <queryTableField id="682" name="MKI_total_A1_A3" tableColumnId="111"/>
      <queryTableField id="683" name="CO2_total_A1_A3" tableColumnId="1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 xr10:uid="{47F0A15A-B166-4538-A300-CA41D03A20E9}" sourceName="Product">
  <extLst>
    <x:ext xmlns:x15="http://schemas.microsoft.com/office/spreadsheetml/2010/11/main" uri="{2F2917AC-EB37-4324-AD4E-5DD8C200BD13}">
      <x15:tableSlicerCache tableId="5"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1" xr10:uid="{E532FFBD-23F6-4C80-847D-8F94ACD5E6BF}" sourceName="Product">
  <extLst>
    <x:ext xmlns:x15="http://schemas.microsoft.com/office/spreadsheetml/2010/11/main" uri="{2F2917AC-EB37-4324-AD4E-5DD8C200BD13}">
      <x15:tableSlicerCache tableId="10"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xr10:uid="{AA1DBF85-2C8E-43BC-A859-919224366A30}" cache="Slicer_Product" caption="Product"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1" xr10:uid="{032631A6-F1F3-427C-9CB3-EB1DDC5AF82C}" cache="Slicer_Product1" caption="Product" style="SlicerStyleOther1" rowHeight="241300"/>
</slicers>
</file>

<file path=xl/tables/_rels/table6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6.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54A4E50-9271-43E4-938E-CCE743B8924E}" name="Invoer_Ontwerp" displayName="Invoer_Ontwerp" ref="B4:AH41" totalsRowShown="0" headerRowDxfId="1345" dataDxfId="1344">
  <autoFilter ref="B4:AH41" xr:uid="{0E678168-5B31-420A-AABF-8EC1EFE6FB7E}"/>
  <tableColumns count="33">
    <tableColumn id="10" xr3:uid="{48F1D2DC-15A6-4663-B651-A17174EE385F}" name="Product-/ Projectvariant" dataDxfId="1343"/>
    <tableColumn id="1" xr3:uid="{B2446DFD-C2B7-4B13-882C-6FEAE85E122C}" name="Bestaande Situatie of Nieuw Sitautie?" dataDxfId="1342"/>
    <tableColumn id="14" xr3:uid="{519169D9-C349-4AC6-A614-5FF9BADFD03B}" name="Kosten [€]" dataDxfId="1341"/>
    <tableColumn id="12" xr3:uid="{100D400C-2456-4582-98BE-C3BDF1C617C8}" name="Productgroep" dataDxfId="1340"/>
    <tableColumn id="2" xr3:uid="{437C669A-1E95-4473-8B84-2CE7DEAA2E8B}" name="Product" dataDxfId="1339"/>
    <tableColumn id="29" xr3:uid="{C9B4EE62-701D-4A71-B0A8-83E9A1BAB65E}" name="Eenheid" dataDxfId="1338">
      <calculatedColumnFormula>VLOOKUP(Invoer_Ontwerp[[#This Row],[Product]],Database_Productkaarten[[#All],[Product]:[Eenheid]],4,FALSE)</calculatedColumnFormula>
    </tableColumn>
    <tableColumn id="30" xr3:uid="{ACA81A2F-67F8-4CCB-8C17-19A12FE8921D}" name="Hoeveelheid" dataDxfId="1337"/>
    <tableColumn id="22" xr3:uid="{B607A5EB-6F90-478F-B999-381F57110D68}" name="Producttype" dataDxfId="1336"/>
    <tableColumn id="26" xr3:uid="{5CA5ABBE-A571-43AB-A44D-219FD6239C44}" name="Lengte[m]" dataDxfId="1335"/>
    <tableColumn id="25" xr3:uid="{C8425EDE-EB76-4A52-9785-F866482D958C}" name="Breedte [m]" dataDxfId="1334"/>
    <tableColumn id="3" xr3:uid="{A2E13457-4C51-4E14-905A-D3816A54F86A}" name="Oppervlakte [m2]" dataDxfId="1333">
      <calculatedColumnFormula>Invoer_Ontwerp[[#This Row],[Lengte'[m']]]*Invoer_Ontwerp[[#This Row],[Breedte '[m']]]</calculatedColumnFormula>
    </tableColumn>
    <tableColumn id="4" xr3:uid="{72A29519-E7F5-455D-AA9D-72BCCC8C4321}" name="Dikte [m]" dataDxfId="1332"/>
    <tableColumn id="5" xr3:uid="{AF378CA7-7521-4F64-88D0-2D3849C40519}" name="Soortelijk gewicht [ton / eenheid]" dataDxfId="1331"/>
    <tableColumn id="6" xr3:uid="{B3247B39-0302-413A-B2FD-DBBCB3E2D1CF}" name="Hoeveelheid [m3]" dataDxfId="1330">
      <calculatedColumnFormula>L5*M5</calculatedColumnFormula>
    </tableColumn>
    <tableColumn id="7" xr3:uid="{1E9285E5-80ED-4E25-9C2D-69FC86E03C07}" name="Hoeveelheid [ton]" dataDxfId="1329"/>
    <tableColumn id="27" xr3:uid="{99F6D237-8289-4492-9112-A1AA082FE3B7}" name="Product levensduur [jaar]" dataDxfId="1328"/>
    <tableColumn id="28" xr3:uid="{8C34C927-EA75-4115-B1D0-8BF3D9EDFA38}" name="Vervangingen" dataDxfId="1327"/>
    <tableColumn id="33" xr3:uid="{E1DDB25E-5CF4-4B12-9029-AAD430741367}" name="Onderhoudscylus [jaar]" dataDxfId="1326"/>
    <tableColumn id="35" xr3:uid="{649EBC9F-7A8B-4782-8551-20F203ABEA0C}" name="Onderhoudsbeurten" dataDxfId="1325">
      <calculatedColumnFormula>MAX(IFERROR(Invoer_Ontwerp[[#This Row],[Product levensduur '[jaar']]]/Invoer_Ontwerp[[#This Row],[Onderhoudscylus '[jaar']]]-1,0),0)</calculatedColumnFormula>
    </tableColumn>
    <tableColumn id="8" xr3:uid="{39DA31A9-75E1-4938-BF27-9887812F41D4}" name="A4 - Transportafstand naar bouwplaats [km]" dataDxfId="1324"/>
    <tableColumn id="11" xr3:uid="{F553F02E-3480-4AB9-97A8-AF2F5D4931AB}" name="A4 - Transportmiddel naar bouwplaats" dataDxfId="1323"/>
    <tableColumn id="15" xr3:uid="{62DFB73E-BF6A-4059-BC5C-00749A1E489E}" name="A5 - Asfalt Aanlegset" dataDxfId="1322"/>
    <tableColumn id="16" xr3:uid="{6C96247B-37A7-4C43-9102-4BB8F3F72D7D}" name="A5 - Overig Materieel tbv Aanleg" dataDxfId="1321"/>
    <tableColumn id="17" xr3:uid="{988058C7-3F2F-4432-80AF-2E0BD6BC3878}" name="C1 - Asfalt Verwijderset" dataDxfId="1320"/>
    <tableColumn id="18" xr3:uid="{3437395F-4A05-47BD-94BE-B509CD46810A}" name="C1 - Overig Materieel tbv Verwijderen" dataDxfId="1319"/>
    <tableColumn id="19" xr3:uid="{E3DF045D-FCE9-4CEA-AE63-24B5534295AD}" name="C2 - Transportafstand naar verwerker [km]" dataDxfId="1318"/>
    <tableColumn id="20" xr3:uid="{57431EFA-D1D6-4C76-A05A-99D754B37B3D}" name="C2 - Transportmiddel naar verwerker" dataDxfId="1317"/>
    <tableColumn id="34" xr3:uid="{B7426B71-87F5-45B1-AA4F-D0ABD60A26E3}" name="C3 - % Verbranding" dataDxfId="1316"/>
    <tableColumn id="32" xr3:uid="{2D63F841-14E2-4FD0-9221-4B16DAD4992A}" name="C3 - % Recycling" dataDxfId="1315"/>
    <tableColumn id="21" xr3:uid="{2E72960E-1214-4260-85E4-212DEE60C917}" name="C3 - Verwerkingsset" dataDxfId="1314"/>
    <tableColumn id="24" xr3:uid="{D05D6AD7-E29C-4473-B33F-6CDF5B173600}" name="C4 - % stort / verlies" dataDxfId="1313"/>
    <tableColumn id="23" xr3:uid="{5E4C3731-77A7-44A6-9DD0-33AF02823D63}" name="D - % Hergebruik" dataDxfId="1312"/>
    <tableColumn id="13" xr3:uid="{42024628-D20F-4E82-AC74-EFEC6A9F9E0B}" name="Uitgangspunten" dataDxfId="1311"/>
  </tableColumns>
  <tableStyleInfo name="TableStyleMedium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6E8480C-BCF3-459E-BDBD-78FE005D6546}" name="Project_ID_Referentie" displayName="Project_ID_Referentie" ref="B1:H3" totalsRowShown="0" headerRowDxfId="1020" dataDxfId="1019">
  <autoFilter ref="B1:H3" xr:uid="{D6E8480C-BCF3-459E-BDBD-78FE005D654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79D0A8E-2B5F-42CD-A33B-8B6353AA860A}" name="Opdrachtgever" dataDxfId="1018" dataCellStyle="Standaard 2"/>
    <tableColumn id="2" xr3:uid="{DC0C4C2B-355E-4A7F-B703-4695297EC36B}" name="Opdrachtnemer" dataDxfId="1017"/>
    <tableColumn id="3" xr3:uid="{1BBDCD31-45BA-4B88-B4D4-05855BE5E830}" name="Project ID" dataDxfId="1016"/>
    <tableColumn id="4" xr3:uid="{067895B7-91A9-4DE4-9DD6-362D6C927C46}" name="Project levensduur" dataDxfId="1015"/>
    <tableColumn id="5" xr3:uid="{3948564D-5902-4510-929B-A443EEC62145}" name="Project datum" dataDxfId="1014"/>
    <tableColumn id="6" xr3:uid="{F716FA02-684A-4557-B129-6311FFF4E0B2}" name="Scope" dataDxfId="1013"/>
    <tableColumn id="7" xr3:uid="{A318060F-C1F9-4D49-BF1A-C8171C19A069}" name="Version" dataDxfId="101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F9A2857-3722-47B7-AF95-7C61007FC594}" name="Referentie_MKI_Totaal" displayName="Referentie_MKI_Totaal" ref="B3:Q35" totalsRowCount="1" headerRowDxfId="1011" dataDxfId="1010" totalsRowDxfId="1009">
  <autoFilter ref="B3:Q34" xr:uid="{3F9A2857-3722-47B7-AF95-7C61007FC594}"/>
  <tableColumns count="16">
    <tableColumn id="1" xr3:uid="{9AADEDDC-46C2-438F-A163-936C16D75DF8}" name="Bestekspost" totalsRowLabel="Totaal" dataDxfId="1008" totalsRowDxfId="1007">
      <calculatedColumnFormula>Referentieberekening!B5</calculatedColumnFormula>
    </tableColumn>
    <tableColumn id="2" xr3:uid="{51AAEBD7-B06F-46A7-BC39-3FF99344D0D6}" name="Product" dataDxfId="1006" totalsRowDxfId="1005">
      <calculatedColumnFormula>Referentieberekening!F5</calculatedColumnFormula>
    </tableColumn>
    <tableColumn id="3" xr3:uid="{BDBEC21C-B7A9-442E-B87E-54797F93A193}" name="A1" totalsRowFunction="sum" dataDxfId="1004" totalsRowDxfId="1003">
      <calculatedColumnFormula>(IF(Referentieberekening!C5="Nieuwe Situatie",(_xlfn.IFNA(VLOOKUP(Referentie_MKI_Totaal[[#This Row],[Product]]&amp;", "&amp;Referentie_MKI_Totaal[[#Headers],[A1]],Database_Productkaarten[#All],13,FALSE),0)*Referentieberekening!L5),0))</calculatedColumnFormula>
    </tableColumn>
    <tableColumn id="4" xr3:uid="{D9616AB3-4C96-4AEB-B58C-E0DCF177DC6A}" name="A2" totalsRowFunction="sum" dataDxfId="1002" totalsRowDxfId="1001">
      <calculatedColumnFormula>(IF(Referentieberekening!C5="Nieuwe Situatie",(_xlfn.IFNA(VLOOKUP(Referentie_MKI_Totaal[[#This Row],[Product]]&amp;", "&amp;Referentie_MKI_Totaal[[#Headers],[A2]],Database_Productkaarten[#All],13,FALSE),0)*Referentieberekening!L5),0))</calculatedColumnFormula>
    </tableColumn>
    <tableColumn id="5" xr3:uid="{D83E34F3-8182-4F07-A7F1-765FB5398959}" name="A3" totalsRowFunction="sum" dataDxfId="1000" totalsRowDxfId="999">
      <calculatedColumnFormula>(IF(Referentieberekening!C5="Nieuwe Situatie",(_xlfn.IFNA(VLOOKUP(Referentie_MKI_Totaal[[#This Row],[Product]]&amp;", "&amp;Referentie_MKI_Totaal[[#Headers],[A3]],Database_Productkaarten[#All],13,FALSE),0)*Referentieberekening!L5),0))</calculatedColumnFormula>
    </tableColumn>
    <tableColumn id="6" xr3:uid="{8DEA73B0-18EE-48C1-8E27-24F7F7599D60}" name="A4" totalsRowFunction="sum" dataDxfId="998" totalsRowDxfId="997">
      <calculatedColumnFormula>IF(Referentieberekening!P5=0,(IF(Referentieberekening!C5="Nieuwe Situatie",(_xlfn.IFNA(VLOOKUP(Referentie_MKI_Totaal[[#This Row],[Product]]&amp;", "&amp;Referentie_MKI_Totaal[[#Headers],[A4]],Database_Productkaarten[#All],13,FALSE),0)*Referentieberekening!L5),0)),(IF(Referentieberekening!C5="Nieuwe Situatie",_xlfn.IFNA(VLOOKUP(Referentieberekening!P5,Database_Transport[#All],7,FALSE)*(Referentieberekening!L5*Referentieberekening!O5),0))))</calculatedColumnFormula>
    </tableColumn>
    <tableColumn id="7" xr3:uid="{CCFDFD0C-E802-428B-B41A-BFB6DE7E812F}" name="A5" totalsRowFunction="sum" dataDxfId="996" totalsRowDxfId="995">
      <calculatedColumnFormula>IF(Referentieberekening!Q5=0,(IF(Referentieberekening!C5="Nieuwe Situatie",(_xlfn.IFNA(VLOOKUP(Referentie_MKI_Totaal[[#This Row],[Product]]&amp;", "&amp;Referentie_MKI_Totaal[[#Headers],[A5]],Database_Productkaarten[#All],13,FALSE),0)*Referentieberekening!L5),0)),_xlfn.IFNA((IF(Referentieberekening!C5="Nieuwe Situatie",(VLOOKUP(Referentieberekening!Q5,Database_Asfalt_Aanlegset[#All],7,FALSE)*Referentieberekening!L5)+IFERROR(((VLOOKUP(Referentieberekening!R5,Database_Overig_Materieel[#All],7,FALSE)*(Referentieberekening!L5/VLOOKUP(Referentieberekening!R5,Database_Overig_Materieel[#All],8,FALSE)))),0),0)),0))</calculatedColumnFormula>
    </tableColumn>
    <tableColumn id="8" xr3:uid="{50D9E244-B86D-4EFA-A664-6BB239E76F9A}" name="B1" totalsRowFunction="sum" dataDxfId="994" totalsRowDxfId="993">
      <calculatedColumnFormula>(IF(Referentieberekening!C5="Nieuwe Situatie",(_xlfn.IFNA(VLOOKUP(Referentie_MKI_Totaal[[#This Row],[Product]]&amp;", "&amp;Referentie_MKI_Totaal[[#Headers],[B1]],Database_Productkaarten[#All],13,FALSE),0)*Referentieberekening!L5),0))</calculatedColumnFormula>
    </tableColumn>
    <tableColumn id="9" xr3:uid="{889F44BF-EF0F-43C3-AE57-6093DDB1B566}" name="B4" totalsRowFunction="sum" dataDxfId="992" totalsRowDxfId="991">
      <calculatedColumnFormula>(IF(Referentieberekening!C5="Nieuwe Situatie",(SUM(Referentie_MKI_Totaal[[#This Row],[A1]:[B1]],Referentie_MKI_Totaal[[#This Row],[C1]:[D2]])*Referentieberekening!N5),0))</calculatedColumnFormula>
    </tableColumn>
    <tableColumn id="10" xr3:uid="{4F2628B2-BAA1-43CA-AE97-8F3AAB0E28F7}" name="C1" totalsRowFunction="sum" dataDxfId="990" totalsRowDxfId="989">
      <calculatedColumnFormula>(IF(Referentieberekening!C5="Bestaande Situatie",(_xlfn.IFNA(VLOOKUP(Referentie_MKI_Totaal[[#This Row],[Product]]&amp;", "&amp;Referentie_MKI_Totaal[[#Headers],[C1]],Database_Productkaarten[#All],13,FALSE),0)*Referentieberekening!L5),0))</calculatedColumnFormula>
    </tableColumn>
    <tableColumn id="11" xr3:uid="{19E87939-7F04-4F2E-8315-ECEC4096529E}" name="C2" totalsRowFunction="sum" dataDxfId="988" totalsRowDxfId="987">
      <calculatedColumnFormula>(IF(Referentieberekening!C5="Bestaande Situatie",(_xlfn.IFNA(VLOOKUP(Referentie_MKI_Totaal[[#This Row],[Product]]&amp;", "&amp;Referentie_MKI_Totaal[[#Headers],[C2]],Database_Productkaarten[#All],13,FALSE),0)*Referentieberekening!L5),0))</calculatedColumnFormula>
    </tableColumn>
    <tableColumn id="12" xr3:uid="{D0E46600-84A9-42DA-B0AB-56076A6D0FA2}" name="C3" totalsRowFunction="sum" dataDxfId="986" totalsRowDxfId="985">
      <calculatedColumnFormula>(IF(Referentieberekening!C5="Bestaande Situatie",(_xlfn.IFNA(VLOOKUP(Referentie_MKI_Totaal[[#This Row],[Product]]&amp;", "&amp;Referentie_MKI_Totaal[[#Headers],[C3]],Database_Productkaarten[#All],13,FALSE),0)*Referentieberekening!L5),0))</calculatedColumnFormula>
    </tableColumn>
    <tableColumn id="13" xr3:uid="{206CEC40-A782-4DE0-9142-4D8200D2CAEC}" name="C4" totalsRowFunction="sum" dataDxfId="984" totalsRowDxfId="983">
      <calculatedColumnFormula>(IF(Referentieberekening!C5="Bestaande Situatie",(_xlfn.IFNA(VLOOKUP(Referentie_MKI_Totaal[[#This Row],[Product]]&amp;", "&amp;Referentie_MKI_Totaal[[#Headers],[C4]],Database_Productkaarten[#All],13,FALSE),0)*Referentieberekening!L5),0))</calculatedColumnFormula>
    </tableColumn>
    <tableColumn id="14" xr3:uid="{DD696F53-4ABF-4F13-BBE3-A459F75D5110}" name="D1" totalsRowFunction="sum" dataDxfId="982" totalsRowDxfId="981">
      <calculatedColumnFormula>(IF(Referentieberekening!C5="Bestaande Situatie",(_xlfn.IFNA(VLOOKUP(Referentie_MKI_Totaal[[#This Row],[Product]]&amp;", "&amp;Referentie_MKI_Totaal[[#Headers],[D1]],Database_Productkaarten[#All],13,FALSE),0)*Referentieberekening!L5),0))</calculatedColumnFormula>
    </tableColumn>
    <tableColumn id="15" xr3:uid="{E140FBEC-10F6-4863-BD29-C8E677D0850A}" name="D2" totalsRowFunction="sum" dataDxfId="980" totalsRowDxfId="979">
      <calculatedColumnFormula>(IF(Referentieberekening!C5="Bestaande Situatie",_xlfn.IFNA(VLOOKUP(Referentie_MKI_Totaal[[#This Row],[Product]]&amp;", "&amp;Referentie_MKI_Totaal[[#Headers],[D2]],Database_Productkaarten[#All],13,FALSE),0)*Referentieberekening!L5,0))</calculatedColumnFormula>
    </tableColumn>
    <tableColumn id="16" xr3:uid="{A0B1C316-28D7-4785-93EE-278965008931}" name="Totaal" totalsRowFunction="sum" dataDxfId="978" totalsRowDxfId="977">
      <calculatedColumnFormula>SUM(Referentie_MKI_Totaal[[#This Row],[A1]:[D2]])</calculatedColumnFormula>
    </tableColumn>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9299BC0-FCB3-4896-8BF8-BE1D4BCC9128}" name="Referentie_CO2_Totaal" displayName="Referentie_CO2_Totaal" ref="B39:Q71" totalsRowCount="1" headerRowDxfId="976" dataDxfId="975" totalsRowDxfId="974">
  <autoFilter ref="B39:Q70" xr:uid="{E9299BC0-FCB3-4896-8BF8-BE1D4BCC9128}"/>
  <tableColumns count="16">
    <tableColumn id="1" xr3:uid="{A7BF7145-69BD-415B-BA64-B32DA75A6B0B}" name="Bestekspost" totalsRowLabel="Totaal" dataDxfId="973" totalsRowDxfId="972">
      <calculatedColumnFormula>Referentieberekening!B5</calculatedColumnFormula>
    </tableColumn>
    <tableColumn id="2" xr3:uid="{26278E78-CEF2-4D83-80E0-EC765C40C70C}" name="Product" dataDxfId="971" totalsRowDxfId="970">
      <calculatedColumnFormula>Referentieberekening!F5</calculatedColumnFormula>
    </tableColumn>
    <tableColumn id="3" xr3:uid="{E917CD7C-F95C-451C-B904-0B9F23EF6310}" name="A1" totalsRowFunction="sum" dataDxfId="969" totalsRowDxfId="968">
      <calculatedColumnFormula>(IF(Referentieberekening!C5="Nieuwe Situatie",(_xlfn.IFNA(VLOOKUP(Referentie_CO2_Totaal[[#This Row],[Product]]&amp;", "&amp;Referentie_CO2_Totaal[[#Headers],[A1]],Database_Productkaarten[#All],17,FALSE),0)*Referentieberekening!L5),0))</calculatedColumnFormula>
    </tableColumn>
    <tableColumn id="4" xr3:uid="{4AD7C9D7-0C3F-4E74-A53A-CE85C08F3E0D}" name="A2" totalsRowFunction="sum" dataDxfId="967" totalsRowDxfId="966">
      <calculatedColumnFormula>(IF(Referentieberekening!C5="Nieuwe Situatie",(_xlfn.IFNA(VLOOKUP(Referentie_CO2_Totaal[[#This Row],[Product]]&amp;", "&amp;Referentie_CO2_Totaal[[#Headers],[A2]],Database_Productkaarten[#All],17,FALSE),0)*Referentieberekening!L5),0))</calculatedColumnFormula>
    </tableColumn>
    <tableColumn id="5" xr3:uid="{C4B62E5B-2002-413B-9826-58429E541654}" name="A3" totalsRowFunction="sum" dataDxfId="965" totalsRowDxfId="964">
      <calculatedColumnFormula>(IF(Referentieberekening!C5="Nieuwe Situatie",(_xlfn.IFNA(VLOOKUP(Referentie_CO2_Totaal[[#This Row],[Product]]&amp;", "&amp;Referentie_CO2_Totaal[[#Headers],[A3]],Database_Productkaarten[#All],17,FALSE),0)*Referentieberekening!L5),0))</calculatedColumnFormula>
    </tableColumn>
    <tableColumn id="6" xr3:uid="{F660C505-7082-49BB-A833-FB3874F9DA92}" name="A4" totalsRowFunction="sum" dataDxfId="963" totalsRowDxfId="962">
      <calculatedColumnFormula>IF(Referentieberekening!P5=0,(IF(Referentieberekening!C5="Nieuwe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Situatie",_xlfn.IFNA(VLOOKUP(Inschrijfberekening!O6,Database_Transport[#All],12,FALSE)*(Inschrijfberekening!K6*Inschrijfberekening!N6),Referentie_Backlog!G40),0))</calculatedColumnFormula>
    </tableColumn>
    <tableColumn id="7" xr3:uid="{65FEB39F-2060-4C6E-8B93-21E36F7B2756}" name="A5" totalsRowFunction="sum" dataDxfId="961" totalsRowDxfId="960">
      <calculatedColumnFormula>(IF(Referentieberekening!C5="Nieuwe Situatie",(_xlfn.IFNA(VLOOKUP(Referentie_CO2_Totaal[[#This Row],[Product]]&amp;", "&amp;Referentie_CO2_Totaal[[#Headers],[A5]],Database_Productkaarten[#All],17,FALSE),0)*Referentieberekening!L5),0))</calculatedColumnFormula>
    </tableColumn>
    <tableColumn id="8" xr3:uid="{5982C9DB-32C4-4E0C-AFDD-668B5BE30A63}" name="B1" totalsRowFunction="sum" dataDxfId="959" totalsRowDxfId="958">
      <calculatedColumnFormula>(IF(Referentieberekening!C5="Nieuwe Situatie",(_xlfn.IFNA(VLOOKUP(Referentie_CO2_Totaal[[#This Row],[Product]]&amp;", "&amp;Referentie_CO2_Totaal[[#Headers],[B1]],Database_Productkaarten[#All],17,FALSE),0)*Referentieberekening!L5),0))</calculatedColumnFormula>
    </tableColumn>
    <tableColumn id="9" xr3:uid="{FDB895CC-5EA5-401B-BE27-F972C89517C8}" name="B4" totalsRowFunction="sum" dataDxfId="957" totalsRowDxfId="956">
      <calculatedColumnFormula>(IF(Referentieberekening!C5="Nieuwe Situatie",(SUM(Referentie_CO2_Totaal[[#This Row],[A1]:[B1]],Referentie_CO2_Totaal[[#This Row],[C1]:[D2]])*Referentieberekening!N5),0))</calculatedColumnFormula>
    </tableColumn>
    <tableColumn id="10" xr3:uid="{8A323C88-8011-4E78-A543-7EE1B4DE456C}" name="C1" totalsRowFunction="sum" dataDxfId="955" totalsRowDxfId="954">
      <calculatedColumnFormula>(IF(Referentieberekening!C5="Bestaande Situatie",(_xlfn.IFNA(VLOOKUP(Referentie_CO2_Totaal[[#This Row],[Product]]&amp;", "&amp;Referentie_CO2_Totaal[[#Headers],[C1]],Database_Productkaarten[#All],17,FALSE),0)*Referentieberekening!L5),0))</calculatedColumnFormula>
    </tableColumn>
    <tableColumn id="11" xr3:uid="{4AE2B197-514E-406F-B2BF-EF7EFE125408}" name="C2" totalsRowFunction="sum" dataDxfId="953" totalsRowDxfId="952">
      <calculatedColumnFormula>(IF(Referentieberekening!C5="Bestaande Situatie",(_xlfn.IFNA(VLOOKUP(Referentie_CO2_Totaal[[#This Row],[Product]]&amp;", "&amp;Referentie_CO2_Totaal[[#Headers],[C2]],Database_Productkaarten[#All],17,FALSE),0)*Referentieberekening!L5),0))</calculatedColumnFormula>
    </tableColumn>
    <tableColumn id="12" xr3:uid="{0019E73F-CDE6-4C7E-8E76-EE2D9F15B795}" name="C3" totalsRowFunction="sum" dataDxfId="951" totalsRowDxfId="950">
      <calculatedColumnFormula>(IF(Referentieberekening!C5="Bestaande Situatie",(_xlfn.IFNA(VLOOKUP(Referentie_CO2_Totaal[[#This Row],[Product]]&amp;", "&amp;Referentie_CO2_Totaal[[#Headers],[C3]],Database_Productkaarten[#All],17,FALSE),0)*Referentieberekening!L5),0))</calculatedColumnFormula>
    </tableColumn>
    <tableColumn id="13" xr3:uid="{B1608BD0-18A6-4B57-8094-A23E5CA98889}" name="C4" totalsRowFunction="sum" dataDxfId="949" totalsRowDxfId="948">
      <calculatedColumnFormula>(IF(Referentieberekening!C5="Bestaande Situatie",(_xlfn.IFNA(VLOOKUP(Referentie_CO2_Totaal[[#This Row],[Product]]&amp;", "&amp;Referentie_CO2_Totaal[[#Headers],[C4]],Database_Productkaarten[#All],17,FALSE),0)*Referentieberekening!L5),0))</calculatedColumnFormula>
    </tableColumn>
    <tableColumn id="14" xr3:uid="{0235BDD1-A191-4A2A-8909-974B5F9E493B}" name="D1" totalsRowFunction="sum" dataDxfId="947" totalsRowDxfId="946">
      <calculatedColumnFormula>(IF(Referentieberekening!C5="Bestaande Situatie",(_xlfn.IFNA(VLOOKUP(Referentie_CO2_Totaal[[#This Row],[Product]]&amp;", "&amp;Referentie_CO2_Totaal[[#Headers],[D1]],Database_Productkaarten[#All],17,FALSE),0)*Referentieberekening!L5),0))</calculatedColumnFormula>
    </tableColumn>
    <tableColumn id="15" xr3:uid="{D789DE15-1979-4ED4-9E6D-48CFD72CC4AA}" name="D2" totalsRowFunction="sum" dataDxfId="945" totalsRowDxfId="944">
      <calculatedColumnFormula>(IF(Referentieberekening!C5="Bestaande Situatie",_xlfn.IFNA(VLOOKUP(Referentie_CO2_Totaal[[#This Row],[Product]]&amp;", "&amp;Referentie_CO2_Totaal[[#Headers],[D2]],Database_Productkaarten[#All],17,FALSE),0)*Referentieberekening!L5,0))</calculatedColumnFormula>
    </tableColumn>
    <tableColumn id="16" xr3:uid="{1F6859C5-E9BE-49F1-A7B2-A0F808A394CF}" name="Totaal" totalsRowFunction="sum" dataDxfId="943" totalsRowDxfId="942">
      <calculatedColumnFormula>SUM(Referentie_CO2_Totaal[[#This Row],[A1]:[D2]])</calculatedColumnFormula>
    </tableColumn>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DA2D3C8-8DB0-4CE1-81EA-5F645BA9A3E3}" name="Referentie_Materiaal_Totaal" displayName="Referentie_Materiaal_Totaal" ref="B75:M107" totalsRowCount="1" dataDxfId="940" headerRowBorderDxfId="941" tableBorderDxfId="939">
  <autoFilter ref="B75:M106" xr:uid="{ADA2D3C8-8DB0-4CE1-81EA-5F645BA9A3E3}"/>
  <tableColumns count="12">
    <tableColumn id="1" xr3:uid="{D4EAD9D2-35A3-4E77-98A9-52A8F1E278A7}" name="Bestekspost" totalsRowLabel="Totaal" dataDxfId="938" totalsRowDxfId="937">
      <calculatedColumnFormula>Referentieberekening!B5</calculatedColumnFormula>
    </tableColumn>
    <tableColumn id="2" xr3:uid="{31A76680-4543-4958-AF45-A886429DEF01}" name="Product" dataDxfId="936" totalsRowDxfId="935">
      <calculatedColumnFormula>Referentieberekening!F5</calculatedColumnFormula>
    </tableColumn>
    <tableColumn id="3" xr3:uid="{4A9876A4-4F3C-4E0E-BF4C-1FCDAEF6F4A6}" name="Hoeveelheid [ton]" totalsRowFunction="sum" dataDxfId="934" totalsRowDxfId="933">
      <calculatedColumnFormula>Referentieberekening!L5</calculatedColumnFormula>
    </tableColumn>
    <tableColumn id="4" xr3:uid="{3695416C-585E-4A97-9C4F-1236683BCD8C}" name="% Secundair" dataDxfId="932" totalsRowDxfId="931">
      <calculatedColumnFormula>_xlfn.IFNA(VLOOKUP(Referentie_Materiaal_Totaal[[#This Row],[Product]]&amp;", "&amp;"Totaal",Database_Productkaarten[#All],63,FALSE),0)</calculatedColumnFormula>
    </tableColumn>
    <tableColumn id="5" xr3:uid="{26D41342-9C12-40C1-95C1-1D347EF27734}" name="Primair materiaalverbruik [ton]" totalsRowFunction="sum" dataDxfId="930" totalsRowDxfId="929">
      <calculatedColumnFormula>Referentie_Materiaal_Totaal[[#This Row],[Hoeveelheid '[ton']]]*(1-Referentie_Materiaal_Totaal[[#This Row],[% Secundair]])</calculatedColumnFormula>
    </tableColumn>
    <tableColumn id="6" xr3:uid="{1743A402-AA1B-4C72-A493-5B637B8AADEB}" name="Secundair materiaalverbruik [ton]" totalsRowFunction="sum" dataDxfId="928" totalsRowDxfId="927">
      <calculatedColumnFormula>Referentie_Materiaal_Totaal[[#This Row],[Hoeveelheid '[ton']]]*Referentie_Materiaal_Totaal[[#This Row],[% Secundair]]</calculatedColumnFormula>
    </tableColumn>
    <tableColumn id="7" xr3:uid="{32E74351-833F-4D8D-8343-57D8FCD91BF8}" name="Hoeveelheid Vervaningen [ton]" totalsRowFunction="sum" dataDxfId="926" totalsRowDxfId="925">
      <calculatedColumnFormula>Referentieberekening!L5*Referentieberekening!N5</calculatedColumnFormula>
    </tableColumn>
    <tableColumn id="8" xr3:uid="{87048039-316E-4433-994D-E662D671B43B}" name="Primair materiaalverbruik Vervangingen [ton]" totalsRowFunction="sum" dataDxfId="924" totalsRowDxfId="923">
      <calculatedColumnFormula>Referentie_Materiaal_Totaal[[#This Row],[Hoeveelheid Vervaningen '[ton']]]*(1-Referentie_Materiaal_Totaal[[#This Row],[% Secundair]])</calculatedColumnFormula>
    </tableColumn>
    <tableColumn id="9" xr3:uid="{A40B9795-3DE5-4C9B-A319-3AB6075C3B82}" name="Secundair materiaalverbruik Vervangingen [ton]" totalsRowFunction="sum" dataDxfId="922" totalsRowDxfId="921">
      <calculatedColumnFormula>Referentie_Materiaal_Totaal[[#This Row],[Hoeveelheid Vervaningen '[ton']]]*Referentie_Materiaal_Totaal[[#This Row],[% Secundair]]</calculatedColumnFormula>
    </tableColumn>
    <tableColumn id="10" xr3:uid="{754F33A4-6FE6-4078-866E-90CD3CA70434}" name="Totaal Primair Materieelgebruik" dataDxfId="920" totalsRowDxfId="919"/>
    <tableColumn id="11" xr3:uid="{7DEBC0A6-4D4F-4876-9671-FCF2ADA4C75E}" name="Totaal Secundair Materieelgebruik" dataDxfId="918" totalsRowDxfId="917"/>
    <tableColumn id="12" xr3:uid="{0E62E186-2E6C-474D-93D7-43250F8DA3D1}" name="Totaal Materieelgebruik" dataDxfId="916" totalsRowDxfId="915"/>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0AA3D09-0E06-534E-9C14-B5A2BDDB2846}" name="Referentie_Hernieuwbare_Energie_Totaal" displayName="Referentie_Hernieuwbare_Energie_Totaal" ref="B111:Q143" totalsRowCount="1" headerRowDxfId="914" dataDxfId="913" totalsRowDxfId="912">
  <autoFilter ref="B111:Q142" xr:uid="{40AA3D09-0E06-534E-9C14-B5A2BDDB2846}"/>
  <tableColumns count="16">
    <tableColumn id="1" xr3:uid="{F5AF6289-4A19-BE49-881B-53D499E64185}" name="Bestekspost" totalsRowLabel="Totaal" dataDxfId="911" totalsRowDxfId="910">
      <calculatedColumnFormula>Referentieberekening!B5</calculatedColumnFormula>
    </tableColumn>
    <tableColumn id="2" xr3:uid="{83D1AEEB-2442-5D4D-9918-FB7C2141E007}" name="Product" dataDxfId="909" totalsRowDxfId="908">
      <calculatedColumnFormula>Referentieberekening!F5</calculatedColumnFormula>
    </tableColumn>
    <tableColumn id="3" xr3:uid="{68874378-4DB2-EE4B-B0FE-A32F9091F8BE}" name="A1" totalsRowFunction="sum" dataDxfId="907" totalsRowDxfId="906">
      <calculatedColumnFormula>(IF(Referentieberekening!C5="Nieuwe Situatie",(_xlfn.IFNA(VLOOKUP(Referentie_Hernieuwbare_Energie_Totaal[[#This Row],[Product]]&amp;", "&amp;Referentie_Hernieuwbare_Energie_Totaal[[#Headers],[A1]],Database_Productkaarten[#All],47,FALSE),0)*Referentieberekening!L5),0))</calculatedColumnFormula>
    </tableColumn>
    <tableColumn id="4" xr3:uid="{5D880E1A-B2BA-194E-BC22-07BA08FA460C}" name="A2" totalsRowFunction="sum" dataDxfId="905" totalsRowDxfId="904">
      <calculatedColumnFormula>(IF(Referentieberekening!C5="Nieuwe Situatie",(_xlfn.IFNA(VLOOKUP(Referentie_Hernieuwbare_Energie_Totaal[[#This Row],[Product]]&amp;", "&amp;Referentie_Hernieuwbare_Energie_Totaal[[#Headers],[A2]],Database_Productkaarten[#All],47,FALSE),0)*Referentieberekening!L5),0))</calculatedColumnFormula>
    </tableColumn>
    <tableColumn id="5" xr3:uid="{91ADB927-8567-8A46-B105-6339D325196E}" name="A3" totalsRowFunction="sum" dataDxfId="903" totalsRowDxfId="902">
      <calculatedColumnFormula>(IF(Referentieberekening!C5="Nieuwe Situatie",(_xlfn.IFNA(VLOOKUP(Referentie_Hernieuwbare_Energie_Totaal[[#This Row],[Product]]&amp;", "&amp;Referentie_Hernieuwbare_Energie_Totaal[[#Headers],[A3]],Database_Productkaarten[#All],47,FALSE),0)*Referentieberekening!L5),0))</calculatedColumnFormula>
    </tableColumn>
    <tableColumn id="6" xr3:uid="{AE56006F-612E-DE43-89CF-16DB32B6D98C}" name="A4" totalsRowFunction="sum" dataDxfId="901" totalsRowDxfId="900">
      <calculatedColumnFormula>IF(Referentieberekening!P5=0,(IF(Referentieberekening!C5="Nieuwe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calculatedColumnFormula>
    </tableColumn>
    <tableColumn id="7" xr3:uid="{8FEE8657-6B3A-E640-BBAC-CC469365CFFF}" name="A5" totalsRowFunction="sum" dataDxfId="899" totalsRowDxfId="898">
      <calculatedColumnFormula>(IF(Referentieberekening!C5="Nieuwe Situatie",(_xlfn.IFNA(VLOOKUP(Referentie_Hernieuwbare_Energie_Totaal[[#This Row],[Product]]&amp;", "&amp;Referentie_Hernieuwbare_Energie_Totaal[[#Headers],[A5]],Database_Productkaarten[#All],47,FALSE),0)*Referentieberekening!L5),0))</calculatedColumnFormula>
    </tableColumn>
    <tableColumn id="8" xr3:uid="{9DE136E9-2834-EE44-9BBE-A0B9EF69AF04}" name="B1" totalsRowFunction="sum" dataDxfId="897" totalsRowDxfId="896">
      <calculatedColumnFormula>(IF(Referentieberekening!C5="Nieuwe Situatie",(_xlfn.IFNA(VLOOKUP(Referentie_Hernieuwbare_Energie_Totaal[[#This Row],[Product]]&amp;", "&amp;Referentie_Hernieuwbare_Energie_Totaal[[#Headers],[B1]],Database_Productkaarten[#All],47,FALSE),0)*Referentieberekening!L5),0))</calculatedColumnFormula>
    </tableColumn>
    <tableColumn id="9" xr3:uid="{B5342E05-81C2-464E-B7DF-246F862CEA54}" name="B4" totalsRowFunction="sum" dataDxfId="895" totalsRowDxfId="894">
      <calculatedColumnFormula>(IF(Referentieberekening!C5="Nieuwe Situatie",(SUM(Referentie_Hernieuwbare_Energie_Totaal[[#This Row],[A1]:[B1]],Referentie_Hernieuwbare_Energie_Totaal[[#This Row],[C1]:[D2]])*Referentieberekening!N5),0))</calculatedColumnFormula>
    </tableColumn>
    <tableColumn id="10" xr3:uid="{E3A587EF-4E81-2E41-AC06-1A4D76CFDC40}" name="C1" totalsRowFunction="sum" dataDxfId="893" totalsRowDxfId="892">
      <calculatedColumnFormula>(IF(Referentieberekening!C5="Bestaande Situatie",(_xlfn.IFNA(VLOOKUP(Referentie_Hernieuwbare_Energie_Totaal[[#This Row],[Product]]&amp;", "&amp;Referentie_Hernieuwbare_Energie_Totaal[[#Headers],[C1]],Database_Productkaarten[#All],47,FALSE),0)*Referentieberekening!L5),0))</calculatedColumnFormula>
    </tableColumn>
    <tableColumn id="11" xr3:uid="{2843C622-F9B0-C440-A819-3101B1FEBE9F}" name="C2" totalsRowFunction="sum" dataDxfId="891" totalsRowDxfId="890">
      <calculatedColumnFormula>(IF(Referentieberekening!C5="Bestaande Situatie",(_xlfn.IFNA(VLOOKUP(Referentie_Hernieuwbare_Energie_Totaal[[#This Row],[Product]]&amp;", "&amp;Referentie_Hernieuwbare_Energie_Totaal[[#Headers],[C2]],Database_Productkaarten[#All],47,FALSE),0)*Referentieberekening!L5),0))</calculatedColumnFormula>
    </tableColumn>
    <tableColumn id="12" xr3:uid="{ECB1812B-F92B-5642-8F33-6FB429B14B95}" name="C3" totalsRowFunction="sum" dataDxfId="889" totalsRowDxfId="888">
      <calculatedColumnFormula>(IF(Referentieberekening!C5="Bestaande Situatie",(_xlfn.IFNA(VLOOKUP(Referentie_Hernieuwbare_Energie_Totaal[[#This Row],[Product]]&amp;", "&amp;Referentie_Hernieuwbare_Energie_Totaal[[#Headers],[C3]],Database_Productkaarten[#All],47,FALSE),0)*Referentieberekening!L5),0))</calculatedColumnFormula>
    </tableColumn>
    <tableColumn id="13" xr3:uid="{2E1022F6-660F-3642-9284-722BCAD2DFB0}" name="C4" totalsRowFunction="sum" dataDxfId="887" totalsRowDxfId="886">
      <calculatedColumnFormula>(IF(Referentieberekening!C5="Bestaande Situatie",(_xlfn.IFNA(VLOOKUP(Referentie_Hernieuwbare_Energie_Totaal[[#This Row],[Product]]&amp;", "&amp;Referentie_Hernieuwbare_Energie_Totaal[[#Headers],[C4]],Database_Productkaarten[#All],47,FALSE),0)*Referentieberekening!L5),0))</calculatedColumnFormula>
    </tableColumn>
    <tableColumn id="14" xr3:uid="{F7AC05EB-B341-F24F-8D9E-1F278EF041CA}" name="D1" totalsRowFunction="sum" dataDxfId="885" totalsRowDxfId="884">
      <calculatedColumnFormula>(IF(Referentieberekening!C5="Bestaande Situatie",(_xlfn.IFNA(VLOOKUP(Referentie_Hernieuwbare_Energie_Totaal[[#This Row],[Product]]&amp;", "&amp;Referentie_Hernieuwbare_Energie_Totaal[[#Headers],[D1]],Database_Productkaarten[#All],47,FALSE),0)*Referentieberekening!L5),0))</calculatedColumnFormula>
    </tableColumn>
    <tableColumn id="15" xr3:uid="{20C9AF48-5C09-9849-B92A-B871AA87AC40}" name="D2" totalsRowFunction="sum" dataDxfId="883" totalsRowDxfId="882">
      <calculatedColumnFormula>(IF(Referentieberekening!C5="Bestaande Situatie",_xlfn.IFNA(VLOOKUP(Referentie_Hernieuwbare_Energie_Totaal[[#This Row],[Product]]&amp;", "&amp;Referentie_Hernieuwbare_Energie_Totaal[[#Headers],[D2]],Database_Productkaarten[#All],47,FALSE),0)*Referentieberekening!L5,0))</calculatedColumnFormula>
    </tableColumn>
    <tableColumn id="16" xr3:uid="{0ED20A74-0600-4420-BFB5-B2C8F86BFE96}" name="Totaal" totalsRowFunction="sum" dataDxfId="881" totalsRowDxfId="880">
      <calculatedColumnFormula>SUM(Referentie_Hernieuwbare_Energie_Totaal[[#This Row],[A1]:[D2]])</calculatedColumnFormula>
    </tableColumn>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930D990-5012-4A8A-971B-F37B69769CFA}" name="Referentie_Fossiele_Energie_Totaal" displayName="Referentie_Fossiele_Energie_Totaal" ref="B147:Q179" totalsRowCount="1" headerRowDxfId="879" dataDxfId="878" totalsRowDxfId="877">
  <autoFilter ref="B147:Q178" xr:uid="{7930D990-5012-4A8A-971B-F37B69769CFA}"/>
  <tableColumns count="16">
    <tableColumn id="1" xr3:uid="{81C8D225-0F90-4BD9-9B4F-07158B2A8293}" name="Bestekspost" totalsRowLabel="Totaal" dataDxfId="876" totalsRowDxfId="875">
      <calculatedColumnFormula>Referentieberekening!B5</calculatedColumnFormula>
    </tableColumn>
    <tableColumn id="2" xr3:uid="{BCDD74B6-AEC9-4DAE-91F3-8183DB5F9F49}" name="Product" dataDxfId="874" totalsRowDxfId="873">
      <calculatedColumnFormula>Referentieberekening!F5</calculatedColumnFormula>
    </tableColumn>
    <tableColumn id="3" xr3:uid="{EC435E85-6AA5-428A-8F5A-841DC3418F5E}" name="A1" totalsRowFunction="sum" dataDxfId="872" totalsRowDxfId="871">
      <calculatedColumnFormula>(IF(Referentieberekening!C5="Nieuwe Situatie",(_xlfn.IFNA(VLOOKUP(Referentie_Fossiele_Energie_Totaal[[#This Row],[Product]]&amp;", "&amp;Referentie_Fossiele_Energie_Totaal[[#Headers],[A1]],Database_Productkaarten[#All],50,FALSE),0)*Referentieberekening!L5),0))</calculatedColumnFormula>
    </tableColumn>
    <tableColumn id="4" xr3:uid="{A7A1F281-74FC-4DF2-9D21-F6DC4B85F633}" name="A2" totalsRowFunction="sum" dataDxfId="870" totalsRowDxfId="869">
      <calculatedColumnFormula>(IF(Referentieberekening!C5="Nieuwe Situatie",(_xlfn.IFNA(VLOOKUP(Referentie_Fossiele_Energie_Totaal[[#This Row],[Product]]&amp;", "&amp;Referentie_Fossiele_Energie_Totaal[[#Headers],[A2]],Database_Productkaarten[#All],50,FALSE),0)*Referentieberekening!L5),0))</calculatedColumnFormula>
    </tableColumn>
    <tableColumn id="5" xr3:uid="{06D143F5-CF1E-45E6-A05A-FC7F7251936F}" name="A3" totalsRowFunction="sum" dataDxfId="868" totalsRowDxfId="867">
      <calculatedColumnFormula>(IF(Referentieberekening!C5="Nieuwe Situatie",(_xlfn.IFNA(VLOOKUP(Referentie_Fossiele_Energie_Totaal[[#This Row],[Product]]&amp;", "&amp;Referentie_Fossiele_Energie_Totaal[[#Headers],[A3]],Database_Productkaarten[#All],50,FALSE),0)*Referentieberekening!L5),0))</calculatedColumnFormula>
    </tableColumn>
    <tableColumn id="6" xr3:uid="{8128BF63-50A7-41BD-8FE5-1CD7AAA0DAE0}" name="A4" totalsRowFunction="sum" dataDxfId="866" totalsRowDxfId="865">
      <calculatedColumnFormula>IF(Referentieberekening!P5=0,(IF(Referentieberekening!C5="Nieuwe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calculatedColumnFormula>
    </tableColumn>
    <tableColumn id="7" xr3:uid="{F3500095-6CD4-42FE-9824-C319C9262E16}" name="A5" totalsRowFunction="sum" dataDxfId="864" totalsRowDxfId="863">
      <calculatedColumnFormula>(IF(Referentieberekening!C5="Nieuwe Situatie",(_xlfn.IFNA(VLOOKUP(Referentie_Fossiele_Energie_Totaal[[#This Row],[Product]]&amp;", "&amp;Referentie_Fossiele_Energie_Totaal[[#Headers],[A5]],Database_Productkaarten[#All],50,FALSE),0)*Referentieberekening!L5),0))</calculatedColumnFormula>
    </tableColumn>
    <tableColumn id="8" xr3:uid="{70E85376-0F47-4004-B58A-D191282DEE7A}" name="B1" totalsRowFunction="sum" dataDxfId="862" totalsRowDxfId="861">
      <calculatedColumnFormula>(IF(Referentieberekening!C5="Nieuwe Situatie",(_xlfn.IFNA(VLOOKUP(Referentie_Fossiele_Energie_Totaal[[#This Row],[Product]]&amp;", "&amp;Referentie_Fossiele_Energie_Totaal[[#Headers],[B1]],Database_Productkaarten[#All],50,FALSE),0)*Referentieberekening!L5),0))</calculatedColumnFormula>
    </tableColumn>
    <tableColumn id="9" xr3:uid="{C517DBF9-137F-4993-AF78-C89F260430A2}" name="B4" totalsRowFunction="sum" dataDxfId="860" totalsRowDxfId="859">
      <calculatedColumnFormula>(IF(Referentieberekening!C5="Nieuwe Situatie",(SUM(Referentie_Fossiele_Energie_Totaal[[#This Row],[A1]:[B1]],Referentie_Fossiele_Energie_Totaal[[#This Row],[C1]:[D2]])*Referentieberekening!N5),0))</calculatedColumnFormula>
    </tableColumn>
    <tableColumn id="10" xr3:uid="{ED3B291D-5136-4602-88DD-23266E51A104}" name="C1" totalsRowFunction="sum" dataDxfId="858" totalsRowDxfId="857">
      <calculatedColumnFormula>(IF(Referentieberekening!C5="Bestaande Situatie",(_xlfn.IFNA(VLOOKUP(Referentie_Fossiele_Energie_Totaal[[#This Row],[Product]]&amp;", "&amp;Referentie_Fossiele_Energie_Totaal[[#Headers],[C1]],Database_Productkaarten[#All],50,FALSE),0)*Referentieberekening!L5),0))</calculatedColumnFormula>
    </tableColumn>
    <tableColumn id="11" xr3:uid="{C6930C7B-8177-4161-85FF-B02AECD7293D}" name="C2" totalsRowFunction="sum" dataDxfId="856" totalsRowDxfId="855">
      <calculatedColumnFormula>(IF(Referentieberekening!C5="Bestaande Situatie",(_xlfn.IFNA(VLOOKUP(Referentie_Fossiele_Energie_Totaal[[#This Row],[Product]]&amp;", "&amp;Referentie_Fossiele_Energie_Totaal[[#Headers],[C2]],Database_Productkaarten[#All],50,FALSE),0)*Referentieberekening!L5),0))</calculatedColumnFormula>
    </tableColumn>
    <tableColumn id="12" xr3:uid="{F2DCDD08-AED4-4468-B26E-964D18DB70B8}" name="C3" totalsRowFunction="sum" dataDxfId="854" totalsRowDxfId="853">
      <calculatedColumnFormula>(IF(Referentieberekening!C5="Bestaande Situatie",(_xlfn.IFNA(VLOOKUP(Referentie_Fossiele_Energie_Totaal[[#This Row],[Product]]&amp;", "&amp;Referentie_Fossiele_Energie_Totaal[[#Headers],[C3]],Database_Productkaarten[#All],50,FALSE),0)*Referentieberekening!L5),0))</calculatedColumnFormula>
    </tableColumn>
    <tableColumn id="13" xr3:uid="{9822DB1B-6434-4B7D-ACD5-1C1078E26C60}" name="C4" totalsRowFunction="sum" dataDxfId="852" totalsRowDxfId="851">
      <calculatedColumnFormula>(IF(Referentieberekening!C5="Bestaande Situatie",(_xlfn.IFNA(VLOOKUP(Referentie_Fossiele_Energie_Totaal[[#This Row],[Product]]&amp;", "&amp;Referentie_Fossiele_Energie_Totaal[[#Headers],[C4]],Database_Productkaarten[#All],50,FALSE),0)*Referentieberekening!L5),0))</calculatedColumnFormula>
    </tableColumn>
    <tableColumn id="14" xr3:uid="{C85B0B4C-29B9-4D41-A27A-3E716D009F74}" name="D1" totalsRowFunction="sum" dataDxfId="850" totalsRowDxfId="849">
      <calculatedColumnFormula>(IF(Referentieberekening!C5="Bestaande Situatie",(_xlfn.IFNA(VLOOKUP(Referentie_Fossiele_Energie_Totaal[[#This Row],[Product]]&amp;", "&amp;Referentie_Fossiele_Energie_Totaal[[#Headers],[D1]],Database_Productkaarten[#All],50,FALSE),0)*Referentieberekening!L5),0))</calculatedColumnFormula>
    </tableColumn>
    <tableColumn id="15" xr3:uid="{69BD03E7-E4DB-4C91-AC75-AEDF0DE2389A}" name="D2" totalsRowFunction="sum" dataDxfId="848" totalsRowDxfId="847">
      <calculatedColumnFormula>(IF(Referentieberekening!C5="Bestaande Situatie",_xlfn.IFNA(VLOOKUP(Referentie_Fossiele_Energie_Totaal[[#This Row],[Product]]&amp;", "&amp;Referentie_Fossiele_Energie_Totaal[[#Headers],[D2]],Database_Productkaarten[#All],50,FALSE),0)*Referentieberekening!L5,0))</calculatedColumnFormula>
    </tableColumn>
    <tableColumn id="16" xr3:uid="{82A2E988-0BC0-42CD-80DC-9B0D02807D57}" name="Totaal" totalsRowFunction="sum" dataDxfId="846" totalsRowDxfId="845">
      <calculatedColumnFormula>SUM(Referentie_Fossiele_Energie_Totaal[[#This Row],[A1]:[D2]])</calculatedColumnFormula>
    </tableColumn>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EBC1538-A809-42FF-B9CA-72FFEA92DD06}" name="Referentie_Transport_Totaal" displayName="Referentie_Transport_Totaal" ref="B183:N215" totalsRowCount="1" dataDxfId="843" headerRowBorderDxfId="844" tableBorderDxfId="842">
  <autoFilter ref="B183:N214" xr:uid="{2EBC1538-A809-42FF-B9CA-72FFEA92DD06}"/>
  <tableColumns count="13">
    <tableColumn id="1" xr3:uid="{898A6C45-A945-4232-AD31-AA1DA53AC22B}" name="Bestekspost" totalsRowLabel="Totaal" dataDxfId="841" totalsRowDxfId="840">
      <calculatedColumnFormula>Referentieberekening!B5</calculatedColumnFormula>
    </tableColumn>
    <tableColumn id="2" xr3:uid="{D2BDB328-44A7-45D3-AE71-45618EB1C14A}" name="Product" dataDxfId="839" totalsRowDxfId="838">
      <calculatedColumnFormula>Referentieberekening!F5</calculatedColumnFormula>
    </tableColumn>
    <tableColumn id="3" xr3:uid="{32D3E0DB-16BB-4695-8FA5-9080E0BA5D47}" name="Transport naar bouwplaats [tkm]" totalsRowFunction="sum" dataDxfId="837" totalsRowDxfId="836">
      <calculatedColumnFormula array="1">_xlfn.IFNA((_xlfn.IFS(Referentieberekening!C5="Nieuwe Situatie",(50),Referentieberekening!C5="Bestaande Situatie",(0))),0)*Referentieberekening!L5</calculatedColumnFormula>
    </tableColumn>
    <tableColumn id="4" xr3:uid="{A5A8EC77-2494-48CF-B64D-2C282A0D81A4}" name="Transport naar verwerker [tkm]" totalsRowFunction="sum" dataDxfId="835" totalsRowDxfId="834">
      <calculatedColumnFormula array="1">(_xlfn.IFNA((_xlfn.IFS(Referentieberekening!C5="Nieuwe Situatie",(50),Referentieberekening!C5="Bestaande Situatie",(50))),0)*Referentieberekening!L5)</calculatedColumnFormula>
    </tableColumn>
    <tableColumn id="5" xr3:uid="{EA6C6A4E-B068-4E46-850D-D5276EE45B04}" name="Emissieloos Transport naar bouwplaats?" totalsRowFunction="sum" dataDxfId="833" totalsRowDxfId="832"/>
    <tableColumn id="6" xr3:uid="{897B10C8-38A1-4785-8180-420DA54C208A}" name="Emissieloos Transport naar verwerker?" totalsRowFunction="sum" dataDxfId="831" totalsRowDxfId="830"/>
    <tableColumn id="7" xr3:uid="{487E6056-FF28-4173-8531-65C8C8E61BCD}" name="Emissieloos Transport" totalsRowFunction="sum" dataDxfId="829" totalsRowDxfId="828">
      <calculatedColumnFormula>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calculatedColumnFormula>
    </tableColumn>
    <tableColumn id="8" xr3:uid="{FF82059C-13F1-4F3B-8840-E9EC504796D0}" name="Transport naar bouwplaats Vervangingen [tkm]" totalsRowFunction="sum" dataDxfId="827" totalsRowDxfId="826">
      <calculatedColumnFormula array="1">_xlfn.IFNA((_xlfn.IFS(Referentieberekening!C5="Nieuwe Situatie",(50),Referentieberekening!C5="Bestaande Situatie",(0))),0)*Referentieberekening!L5*Referentieberekening!N5</calculatedColumnFormula>
    </tableColumn>
    <tableColumn id="9" xr3:uid="{3DA8538C-BE0B-401D-AC64-FD4047B438F2}" name="Transport naar verwerker Vervangingen [tkm]" totalsRowFunction="sum" dataDxfId="825" totalsRowDxfId="824">
      <calculatedColumnFormula array="1">(_xlfn.IFNA((_xlfn.IFS(Referentieberekening!C5="Nieuwe Situatie",(50),Referentieberekening!C5="Bestaande Situatie",(50))),0)*Referentieberekening!L5)*Referentieberekening!N5</calculatedColumnFormula>
    </tableColumn>
    <tableColumn id="10" xr3:uid="{0AC5159E-3CD1-4B4B-959A-CC68917215C9}" name="Emissieloos Transport Vervangingen" totalsRowFunction="sum" dataDxfId="823" totalsRowDxfId="822">
      <calculatedColumnFormula>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calculatedColumnFormula>
    </tableColumn>
    <tableColumn id="11" xr3:uid="{F52564BD-159E-4185-9292-70EC60D7C4DC}" name="Totaal Emissieloos Transport" dataDxfId="821" totalsRowDxfId="820"/>
    <tableColumn id="12" xr3:uid="{CE75FDCD-59CE-4446-9FFF-6A33240A1434}" name="Totaal Niet Emissieloos Transport" dataDxfId="819" totalsRowDxfId="818"/>
    <tableColumn id="13" xr3:uid="{8981293F-8B94-470A-907A-A88CD4D01BAE}" name="Totaal Transport" dataDxfId="817" totalsRowDxfId="816"/>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A43CBAC-F7A2-405D-B423-4679C1E621D1}" name="Referentie_Bouwplaats_Totaal" displayName="Referentie_Bouwplaats_Totaal" ref="B219:N251" totalsRowCount="1" dataDxfId="814" headerRowBorderDxfId="815" tableBorderDxfId="813">
  <autoFilter ref="B219:N250" xr:uid="{4A43CBAC-F7A2-405D-B423-4679C1E621D1}"/>
  <tableColumns count="13">
    <tableColumn id="1" xr3:uid="{2707CA3C-67F4-470C-A7A4-FABDDF0ECD8A}" name="Bestekspost" totalsRowLabel="Totaal" dataDxfId="812" totalsRowDxfId="811">
      <calculatedColumnFormula>Referentieberekening!B5</calculatedColumnFormula>
    </tableColumn>
    <tableColumn id="2" xr3:uid="{78313C08-6B97-4388-86A8-C0E64CB570D6}" name="Product" dataDxfId="810" totalsRowDxfId="809">
      <calculatedColumnFormula>Referentieberekening!F5</calculatedColumnFormula>
    </tableColumn>
    <tableColumn id="3" xr3:uid="{CAC5E57A-A3F2-4A2B-A6DD-F20542B5D1E2}" name="Draaiuren Bouw" totalsRowFunction="sum" dataDxfId="808" totalsRowDxfId="807">
      <calculatedColumnFormula array="1">_xlfn.IFNA((_xlfn.IFS(Referentieberekening!C5="Bestaande situatie",0,Referentieberekening!E5="Funderingslagen",(Referentieberekening!K5/60),Referentieberekening!E5="Grondwerken",(Referentieberekening!K5/60),Referentieberekening!E5="Bitumineuze_verhardingen",(Referentieberekening!L5/(1000/8)))),0)</calculatedColumnFormula>
    </tableColumn>
    <tableColumn id="4" xr3:uid="{C275B642-82EF-4DC7-BDF7-12FDBED8A81C}" name="Draaiuren Sloop" totalsRowFunction="sum" dataDxfId="806" totalsRowDxfId="805">
      <calculatedColumnFormula array="1">_xlfn.IFNA((_xlfn.IFS(Referentieberekening!E5="Funderingslagen",(Referentieberekening!K5/60),Referentieberekening!E5="Grondwerken",(Referentieberekening!K5/60),Referentieberekening!E5="Bitumineuze_verhardingen",(Referentieberekening!L5/(1000/8)))),0)</calculatedColumnFormula>
    </tableColumn>
    <tableColumn id="5" xr3:uid="{3971E55A-BA11-4256-8A18-5E85AFC97DF3}" name="Emissieloos Bouwmaterieel" totalsRowFunction="sum" dataDxfId="804" totalsRowDxfId="803"/>
    <tableColumn id="6" xr3:uid="{A499D668-4142-4CD2-98E7-F09F339CEA40}" name="Emissieloos Sloopmaterieel" totalsRowFunction="sum" dataDxfId="802" totalsRowDxfId="801"/>
    <tableColumn id="7" xr3:uid="{F0A502B2-7628-484D-AB86-A291128974CD}" name="Emissieloos bouwplaats" totalsRowFunction="sum" dataDxfId="800" totalsRowDxfId="799">
      <calculatedColumnFormula>IF(Referentie_Bouwplaats_Totaal[[#This Row],[Emissieloos Bouwmaterieel]]="JA",Referentie_Bouwplaats_Totaal[[#This Row],[Draaiuren Bouw]],0)+IF(Referentie_Bouwplaats_Totaal[[#This Row],[Emissieloos Sloopmaterieel]]="JA",Referentie_Bouwplaats_Totaal[[#This Row],[Draaiuren Sloop]],0)</calculatedColumnFormula>
    </tableColumn>
    <tableColumn id="8" xr3:uid="{CEB62726-BAE5-4A27-A3AB-88B2D394D6CC}" name="Draaiuren Bouw Vervangingen" totalsRowFunction="sum" dataDxfId="798" totalsRowDxfId="797">
      <calculatedColumnFormula array="1">_xlfn.IFNA((_xlfn.IFS(Referentieberekening!C5="Bestaande situatie",0,Referentieberekening!E5="Funderingslagen",(Referentieberekening!K5/60),Referentieberekening!E5="Grondwerken",(Referentieberekening!K5/60),Referentieberekening!E5="Bitumineuze_verhardingen",(Referentieberekening!L5/(1000/8)))),0)*Referentieberekening!N5</calculatedColumnFormula>
    </tableColumn>
    <tableColumn id="9" xr3:uid="{8BE01DF6-70F8-4A31-9C0B-2A2AD70FF43E}" name="Draaiuren Sloop Vervangingen" totalsRowFunction="sum" dataDxfId="796" totalsRowDxfId="795">
      <calculatedColumnFormula array="1">_xlfn.IFNA((_xlfn.IFS(Referentieberekening!E5="Funderingslagen",(Referentieberekening!K5/60),Referentieberekening!E5="Grondwerken",(Referentieberekening!K5/60),Referentieberekening!E5="Bitumineuze_verhardingen",(Referentieberekening!L5/(1000/8)))),0)*Referentieberekening!N5</calculatedColumnFormula>
    </tableColumn>
    <tableColumn id="10" xr3:uid="{16702A65-8496-48C9-88CE-F4C777AC3C66}" name="Emissieloos bouwplaats Vervangingen" totalsRowFunction="sum" dataDxfId="794" totalsRowDxfId="793">
      <calculatedColumnFormula>IF(Referentie_Bouwplaats_Totaal[[#This Row],[Emissieloos Bouwmaterieel]]="JA",Referentie_Bouwplaats_Totaal[[#This Row],[Draaiuren Bouw Vervangingen]],0)+IF(Referentie_Bouwplaats_Totaal[[#This Row],[Emissieloos Sloopmaterieel]]="JA",Referentie_Bouwplaats_Totaal[[#This Row],[Draaiuren Sloop Vervangingen]],0)</calculatedColumnFormula>
    </tableColumn>
    <tableColumn id="11" xr3:uid="{A2A029AD-B496-4AF3-B79D-0BE6EA821F97}" name="Totaal Emissieloos Bouwplaats" totalsRowFunction="sum" dataDxfId="792" totalsRowDxfId="791">
      <calculatedColumnFormula>Referentie_Bouwplaats_Totaal[[#This Row],[Emissieloos bouwplaats]]+Referentie_Bouwplaats_Totaal[[#This Row],[Emissieloos bouwplaats Vervangingen]]</calculatedColumnFormula>
    </tableColumn>
    <tableColumn id="12" xr3:uid="{94960191-E4C9-45CD-9949-E1F5533DADDB}" name="Totaal Niet Emissieloos Bouwplaats" totalsRowFunction="sum" dataDxfId="790" totalsRowDxfId="789">
      <calculatedColumnFormula>(Referentie_Bouwplaats_Totaal[[#This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calculatedColumnFormula>
    </tableColumn>
    <tableColumn id="13" xr3:uid="{91D37DB0-99AD-4D50-8CCB-FB1245A35314}" name="Totaal Bouwplaats" totalsRowFunction="sum" dataDxfId="788" totalsRowDxfId="787">
      <calculatedColumnFormula>Referentie_Bouwplaats_Totaal[[#This Row],[Totaal Emissieloos Bouwplaats]]+Referentie_Bouwplaats_Totaal[[#This Row],[Totaal Niet Emissieloos Bouwplaats]]</calculatedColumnFormula>
    </tableColumn>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E1BF7A-C681-46CD-85D0-22C4DE91FCCF}" name="Invoer_Inschrijf" displayName="Invoer_Inschrijf" ref="B5:W17" totalsRowShown="0" headerRowDxfId="773" dataDxfId="772">
  <autoFilter ref="B5:W17" xr:uid="{A5E1BF7A-C681-46CD-85D0-22C4DE91FCCF}"/>
  <tableColumns count="22">
    <tableColumn id="14" xr3:uid="{1336BF3B-F352-4CA7-90E2-BDC87A364013}" name="Bestekspost" dataDxfId="771"/>
    <tableColumn id="15" xr3:uid="{91209028-3271-4F9A-9049-99D8B83E8C27}" name="Bestaande Situatie of Nieuw Sitautie?" dataDxfId="770"/>
    <tableColumn id="19" xr3:uid="{AD9C5537-DD92-4178-B2B7-A0FBE1D29A5B}" name="Inschrijfprijs [€]" dataDxfId="769"/>
    <tableColumn id="1" xr3:uid="{9937FB14-71BA-48E2-94EB-0F1438F17C7B}" name="Productgroep" dataDxfId="768"/>
    <tableColumn id="2" xr3:uid="{BBB240F4-1AEE-47AE-A0B2-2AB599A4A38F}" name="Product" dataDxfId="767"/>
    <tableColumn id="20" xr3:uid="{48A625D3-23E9-4B77-9D3A-634E58C91909}" name="Poducttype" dataDxfId="766"/>
    <tableColumn id="22" xr3:uid="{345E8CA4-9C35-4EA5-B20C-B6650121F8BC}" name="Oppervlakte [m2]" dataDxfId="765">
      <calculatedColumnFormula>Invoer_Inschrijf[[#This Row],[Hoeveelheid '[m3']]]/Invoer_Inschrijf[[#This Row],[Dikte '[m']]]</calculatedColumnFormula>
    </tableColumn>
    <tableColumn id="21" xr3:uid="{E3157543-E0B6-4B85-BE0A-7A71F799AEC4}" name="Dikte [m]" dataDxfId="764"/>
    <tableColumn id="16" xr3:uid="{FFD0143F-19BF-436B-B450-26FFA0600BC3}" name="Soortelijk gewicht [ton / m3]" dataDxfId="763">
      <calculatedColumnFormula>_xlfn.IFNA(IF(Invoer_Inschrijf[[#This Row],[Productgroep]]="Categorie_1_LCA_Producten",VLOOKUP(F6,Categorie_1_Producten[#All],5,FALSE),VLOOKUP(F6&amp;", "&amp;"Totaal",Database_Productkaarten[#All],12,FALSE)),0)</calculatedColumnFormula>
    </tableColumn>
    <tableColumn id="7" xr3:uid="{1C55E373-975D-411E-A581-F1D1660C3BF1}" name="Hoeveelheid [ton]" dataDxfId="762"/>
    <tableColumn id="3" xr3:uid="{F4DDB624-A2D3-4602-8983-B0CFFDEBEB58}" name="Hoeveelheid [m3]" dataDxfId="761">
      <calculatedColumnFormula>IFERROR(Invoer_Inschrijf[[#This Row],[Hoeveelheid '[ton']]]/Invoer_Inschrijf[[#This Row],[Soortelijk gewicht '[ton / m3']]],0)</calculatedColumnFormula>
    </tableColumn>
    <tableColumn id="8" xr3:uid="{138A68E1-B36B-4F1E-A22B-E102C7341112}" name="Vervangingen" dataDxfId="760"/>
    <tableColumn id="5" xr3:uid="{E84FE5D9-D7ED-402D-8473-C01F9C994ED8}" name="A4 - Transportafstand naar bouwplaats [km]" dataDxfId="759"/>
    <tableColumn id="6" xr3:uid="{F82B4EF4-64C0-4865-A29A-DCB15F55B6FE}" name="A4 - Transportmiddel naar bouwplaats" dataDxfId="758"/>
    <tableColumn id="9" xr3:uid="{8D09AB2B-E071-4A9C-992D-4879B6A0E0ED}" name="A5 - Asfalt Aanlegset" dataDxfId="757"/>
    <tableColumn id="17" xr3:uid="{9389A774-DCCA-4F76-9C6F-650AD8483AD3}" name="A5 - Overig Materieel tbv Aanleg" dataDxfId="756"/>
    <tableColumn id="10" xr3:uid="{16BA7BB5-051E-48DD-BFAF-08C6DB8EA856}" name="C1 - Asfalt Verwijderset" dataDxfId="755"/>
    <tableColumn id="18" xr3:uid="{AE85E740-2399-4B9A-8311-7D0E8EC52F0C}" name="C1 - Overig Materieel tbv Verwijderen" dataDxfId="754"/>
    <tableColumn id="13" xr3:uid="{BDFDA924-FD77-497A-8BA0-45E0337C581A}" name="C2 - Transportafstand naar verwerker [km]" dataDxfId="753"/>
    <tableColumn id="11" xr3:uid="{930ADEC6-5251-497F-942C-B31A8D9CCC7E}" name="C2 - Transportmiddel naar verwerker" dataDxfId="752"/>
    <tableColumn id="12" xr3:uid="{0B2F65FF-A829-40C0-9AD8-400903028A9D}" name="C3 - Verwerkingsset" dataDxfId="751"/>
    <tableColumn id="4" xr3:uid="{6AEF181D-1DAF-4147-A34D-2D70BD3579D8}" name="Uitgangspunten" dataDxfId="750"/>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D39FC7E-6E41-45BA-A60A-64C138BBF5CB}" name="Project_ID_Inschrijver" displayName="Project_ID_Inschrijver" ref="C1:I2" totalsRowShown="0" headerRowDxfId="749" dataDxfId="748">
  <autoFilter ref="C1:I2" xr:uid="{8D39FC7E-6E41-45BA-A60A-64C138BBF5C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5" xr3:uid="{875238F9-75A4-44EC-AF10-074ACFC99164}" name="Opdrachtgever" dataDxfId="747">
      <calculatedColumnFormula>Project_ID_Referentie[[#This Row],[Opdrachtgever]]</calculatedColumnFormula>
    </tableColumn>
    <tableColumn id="1" xr3:uid="{BE36A66F-E95A-437E-AF8C-006D36B149E0}" name="Project ID" dataDxfId="746" dataCellStyle="Standaard 2">
      <calculatedColumnFormula>Project_ID_Referentie[[#This Row],[Project ID]]</calculatedColumnFormula>
    </tableColumn>
    <tableColumn id="2" xr3:uid="{EEF6B1EE-EF01-46C3-B02F-89650056599E}" name="Project levensduur" dataDxfId="745">
      <calculatedColumnFormula>Project_ID_Referentie[[#This Row],[Project levensduur]]</calculatedColumnFormula>
    </tableColumn>
    <tableColumn id="3" xr3:uid="{185C4B49-393F-45D3-9F42-9A4B32236295}" name="Inschrijver" dataDxfId="744"/>
    <tableColumn id="4" xr3:uid="{DE4C37EE-B696-44A4-B355-2A2B0B0FCBBE}" name="Project datum [DD-MM-YY]" dataDxfId="743"/>
    <tableColumn id="6" xr3:uid="{394EC377-4015-4DD5-A2B3-3F54297CAE0F}" name="Scope" dataDxfId="742"/>
    <tableColumn id="7" xr3:uid="{B9FB2946-0B33-4D59-B646-F6E06F3C349A}" name="Version" dataDxfId="741">
      <calculatedColumnFormula>Project_ID_Referentie[[#This Row],[Version]]</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0E8FF47-90A4-496E-A407-EAF75E6FDDC4}" name="Ontwerp_MKI_Totaal" displayName="Ontwerp_MKI_Totaal" ref="B3:R41" totalsRowCount="1" headerRowDxfId="1309" dataDxfId="1308" totalsRowDxfId="1307">
  <autoFilter ref="B3:R40" xr:uid="{3F9A2857-3722-47B7-AF95-7C61007FC594}"/>
  <tableColumns count="17">
    <tableColumn id="1" xr3:uid="{7166F91B-6D84-4320-9725-923D36B0F62B}" name="Bestekspost" totalsRowLabel="Totaal" dataDxfId="1306" totalsRowDxfId="1305">
      <calculatedColumnFormula>Ontwerpberekening!B5</calculatedColumnFormula>
    </tableColumn>
    <tableColumn id="2" xr3:uid="{085BBFE7-5B63-4E94-BAC6-075ABB0F1B11}" name="Product" dataDxfId="1304" totalsRowDxfId="1303">
      <calculatedColumnFormula>Ontwerpberekening!F5</calculatedColumnFormula>
    </tableColumn>
    <tableColumn id="3" xr3:uid="{574B5CB5-8476-4FC6-9711-776C6F52A6D7}" name="A1" totalsRowFunction="sum" dataDxfId="1302" totalsRowDxfId="1301">
      <calculatedColumnFormula>(IF(Ontwerpberekening!C5="Nieuwe Situatie",(_xlfn.IFNA(VLOOKUP(Ontwerp_MKI_Totaal[[#This Row],[Product]]&amp;", "&amp;Ontwerp_MKI_Totaal[[#Headers],[A1]],Database_Productkaarten[#All],13,FALSE),0)*Ontwerpberekening!H5),0))/Ontwerpberekening!$A$2</calculatedColumnFormula>
    </tableColumn>
    <tableColumn id="4" xr3:uid="{98CE04B4-50BA-4423-B7F6-8B23C9FB3E1A}" name="A2" totalsRowFunction="sum" dataDxfId="1300" totalsRowDxfId="1299">
      <calculatedColumnFormula>(IF(Ontwerpberekening!C5="Nieuwe Situatie",(_xlfn.IFNA(VLOOKUP(Ontwerp_MKI_Totaal[[#This Row],[Product]]&amp;", "&amp;Ontwerp_MKI_Totaal[[#Headers],[A2]],Database_Productkaarten[#All],13,FALSE),0)*Ontwerpberekening!H5),0))/Ontwerpberekening!$A$2</calculatedColumnFormula>
    </tableColumn>
    <tableColumn id="5" xr3:uid="{76472148-98A9-4B54-A5E3-B56D99ED4839}" name="A3" totalsRowFunction="sum" dataDxfId="1298" totalsRowDxfId="1297">
      <calculatedColumnFormula>(IF(Ontwerpberekening!C5="Nieuwe Situatie",(_xlfn.IFNA(VLOOKUP(Ontwerp_MKI_Totaal[[#This Row],[Product]]&amp;", "&amp;Ontwerp_MKI_Totaal[[#Headers],[A3]],Database_Productkaarten[#All],13,FALSE),0)*Ontwerpberekening!H5),0))/Ontwerpberekening!$A$2</calculatedColumnFormula>
    </tableColumn>
    <tableColumn id="6" xr3:uid="{BEDFA501-F2AB-45B6-A6C2-E00ADA86C525}" name="A4" totalsRowFunction="sum" dataDxfId="1296" totalsRowDxfId="1295">
      <calculatedColumnFormula>(IF(Ontwerpberekening!C5="Nieuwe Situatie",(_xlfn.IFNA(VLOOKUP(Ontwerp_MKI_Totaal[[#This Row],[Product]]&amp;", "&amp;Ontwerp_MKI_Totaal[[#Headers],[A4]],Database_Productkaarten[#All],13,FALSE),0)*Ontwerpberekening!H5),0))/Ontwerpberekening!$A$2</calculatedColumnFormula>
    </tableColumn>
    <tableColumn id="7" xr3:uid="{320A5968-9004-4A02-907A-2365844B0947}" name="A5" totalsRowFunction="sum" dataDxfId="1294" totalsRowDxfId="1293">
      <calculatedColumnFormula>(IF(Ontwerpberekening!C5="Nieuwe Situatie",(_xlfn.IFNA(VLOOKUP(Ontwerp_MKI_Totaal[[#This Row],[Product]]&amp;", "&amp;Ontwerp_MKI_Totaal[[#Headers],[A5]],Database_Productkaarten[#All],13,FALSE),0)*Ontwerpberekening!H5),0))/Ontwerpberekening!$A$2</calculatedColumnFormula>
    </tableColumn>
    <tableColumn id="8" xr3:uid="{4EC0FDAF-A864-4A1A-A2E9-2565ECF93652}" name="B1" totalsRowFunction="sum" dataDxfId="1292" totalsRowDxfId="1291">
      <calculatedColumnFormula>(IF(Ontwerpberekening!C5="Nieuwe Situatie",(_xlfn.IFNA(VLOOKUP(Ontwerp_MKI_Totaal[[#This Row],[Product]]&amp;", "&amp;Ontwerp_MKI_Totaal[[#Headers],[B1]],Database_Productkaarten[#All],13,FALSE),0)*Ontwerpberekening!H5),0))/Ontwerpberekening!$A$2</calculatedColumnFormula>
    </tableColumn>
    <tableColumn id="17" xr3:uid="{FDA113B4-58DC-40E9-9495-1BB4A2728150}" name="B3" totalsRowFunction="sum" dataDxfId="1290" totalsRowDxfId="1289">
      <calculatedColumnFormula>(IF(Ontwerpberekening!C5="Nieuwe Situatie",(_xlfn.IFNA(VLOOKUP(Ontwerp_MKI_Totaal[[#This Row],[Product]]&amp;", "&amp;Ontwerp_MKI_Totaal[[#Headers],[B3]],Database_Productkaarten[#All],13,FALSE),0)*Ontwerpberekening!H5),0))/Ontwerpberekening!$A$2</calculatedColumnFormula>
    </tableColumn>
    <tableColumn id="9" xr3:uid="{6F1E8DFB-D39D-4A74-95CA-D98F3E381C9F}" name="B4" totalsRowFunction="sum" dataDxfId="1288" totalsRowDxfId="1287">
      <calculatedColumnFormula>(IF(Ontwerpberekening!C5="Nieuwe Situatie",(SUM(Ontwerp_MKI_Totaal[[#This Row],[A1]:[B1]],Ontwerp_MKI_Totaal[[#This Row],[C1]:[D2]])*Ontwerpberekening!R5),0))</calculatedColumnFormula>
    </tableColumn>
    <tableColumn id="10" xr3:uid="{7576B0C9-5638-45A7-A537-5328565C9A6F}" name="C1" totalsRowFunction="sum" dataDxfId="1286" totalsRowDxfId="1285">
      <calculatedColumnFormula>_xlfn.IFNA(VLOOKUP(Ontwerp_MKI_Totaal[[#This Row],[Product]]&amp;", "&amp;Ontwerp_MKI_Totaal[[#Headers],[C1]],Database_Productkaarten[#All],13,FALSE)*Ontwerpberekening!H5,0)/Ontwerpberekening!$A$2</calculatedColumnFormula>
    </tableColumn>
    <tableColumn id="11" xr3:uid="{B902E692-16FB-4DCF-9729-9E0B1712D05A}" name="C2" totalsRowFunction="sum" dataDxfId="1284" totalsRowDxfId="1283">
      <calculatedColumnFormula>_xlfn.IFNA(VLOOKUP(Ontwerp_MKI_Totaal[[#This Row],[Product]]&amp;", "&amp;Ontwerp_MKI_Totaal[[#Headers],[C2]],Database_Productkaarten[#All],13,FALSE)*Ontwerpberekening!H5,0)/Ontwerpberekening!$A$2</calculatedColumnFormula>
    </tableColumn>
    <tableColumn id="12" xr3:uid="{01BC9BC4-AD04-4412-8D1F-69231E8A7894}" name="C3" totalsRowFunction="sum" dataDxfId="1282" totalsRowDxfId="1281">
      <calculatedColumnFormula>_xlfn.IFNA(VLOOKUP(Ontwerp_MKI_Totaal[[#This Row],[Product]]&amp;", "&amp;Ontwerp_MKI_Totaal[[#Headers],[C3]],Database_Productkaarten[#All],13,FALSE)*Ontwerpberekening!H5,0)/Ontwerpberekening!$A$2</calculatedColumnFormula>
    </tableColumn>
    <tableColumn id="13" xr3:uid="{7CFAF1E9-88DC-4C90-AC99-F191FDD78D27}" name="C4" totalsRowFunction="sum" dataDxfId="1280" totalsRowDxfId="1279">
      <calculatedColumnFormula>_xlfn.IFNA(VLOOKUP(Ontwerp_MKI_Totaal[[#This Row],[Product]]&amp;", "&amp;Ontwerp_MKI_Totaal[[#Headers],[C4]],Database_Productkaarten[#All],13,FALSE)*Ontwerpberekening!H5,0)/Ontwerpberekening!$A$2</calculatedColumnFormula>
    </tableColumn>
    <tableColumn id="14" xr3:uid="{2386DF77-5F7B-4D93-A40D-F2A18A6ADA5B}" name="D1" totalsRowFunction="sum" dataDxfId="1278" totalsRowDxfId="1277">
      <calculatedColumnFormula>(IF(Ontwerpberekening!C5="Nieuwe Situatie",(_xlfn.IFNA(VLOOKUP(Ontwerp_MKI_Totaal[[#This Row],[Product]]&amp;", "&amp;Ontwerp_MKI_Totaal[[#Headers],[D1]],Database_Productkaarten[#All],13,FALSE),0)*Ontwerpberekening!H5),0))/Ontwerpberekening!$A$2</calculatedColumnFormula>
    </tableColumn>
    <tableColumn id="15" xr3:uid="{F8726287-B776-49AC-8150-E58CCF3A54AF}" name="D2" totalsRowFunction="sum" dataDxfId="1276" totalsRowDxfId="1275">
      <calculatedColumnFormula>(IF(Ontwerpberekening!C5="Nieuwe Situatie",_xlfn.IFNA(VLOOKUP(Ontwerp_MKI_Totaal[[#This Row],[Product]]&amp;", "&amp;Ontwerp_MKI_Totaal[[#Headers],[D2]],Database_Productkaarten[#All],13,FALSE),0)*Ontwerpberekening!H5,0))/Ontwerpberekening!$A$2</calculatedColumnFormula>
    </tableColumn>
    <tableColumn id="16" xr3:uid="{AE22DBDB-A10F-4BC7-9BA5-7052EAB4F8CD}" name="Totaal" totalsRowFunction="sum" dataDxfId="1274" totalsRowDxfId="1273">
      <calculatedColumnFormula>SUM(Ontwerp_MKI_Totaal[[#This Row],[A1]:[D2]])</calculatedColumnFormula>
    </tableColumn>
  </tableColumns>
  <tableStyleInfo name="TableStyleMedium1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BB5B20A-71D9-4F32-BFDE-23BFB50CDB3C}" name="Categorie_1_Producten" displayName="Categorie_1_Producten" ref="A3:AF26" totalsRowShown="0" headerRowDxfId="740" dataDxfId="739" headerRowCellStyle="Standaard 2" dataCellStyle="Standaard 2">
  <autoFilter ref="A3:AF26" xr:uid="{BBB5B20A-71D9-4F32-BFDE-23BFB50CDB3C}"/>
  <tableColumns count="32">
    <tableColumn id="1" xr3:uid="{C4C9EA8D-03BA-4F3C-AEE6-21C3A94F02FF}" name="Product" dataDxfId="738" dataCellStyle="Standaard 2"/>
    <tableColumn id="16" xr3:uid="{C573AC55-3C31-4519-9104-2800B44240EE}" name="Productgroep" dataDxfId="737" dataCellStyle="Standaard 2"/>
    <tableColumn id="15" xr3:uid="{AC619A22-0182-4F9B-90D3-1C4A416B845B}" name="Producttype" dataDxfId="736" dataCellStyle="Standaard 2"/>
    <tableColumn id="2" xr3:uid="{50F92EE3-0335-4C88-BE37-29EFF346B994}" name="Eenheid" dataDxfId="735" dataCellStyle="Standaard 2"/>
    <tableColumn id="3" xr3:uid="{0F2487E1-F15B-45AC-A2E5-FD9EFE73416E}" name="Soortelijk gewicht [ton / m3]" dataDxfId="734" dataCellStyle="Standaard 2"/>
    <tableColumn id="6" xr3:uid="{74EBBFEE-106F-451D-8C60-0C48BFD16797}" name="% Secundair materiaal" dataDxfId="733"/>
    <tableColumn id="14" xr3:uid="{F1FC5EED-5B54-414D-A8FA-461B59A3500B}" name="Levensduur" dataDxfId="732" dataCellStyle="Standaard 2"/>
    <tableColumn id="7" xr3:uid="{143BD3E1-44F8-4958-AEF8-AE64C1BF821B}" name="A1 - Milieu Kosten Indicator (MKI) - euro" dataDxfId="731" dataCellStyle="Standaard 2"/>
    <tableColumn id="8" xr3:uid="{FD10404B-8FDA-4E36-AEA5-CC85FA3F6F05}" name="A2 - Milieu Kosten Indicator (MKI) - euro" dataDxfId="730" dataCellStyle="Standaard 2"/>
    <tableColumn id="9" xr3:uid="{3E0062BD-0BFC-426E-9540-A7E7F2FE398F}" name="A3 - Milieu Kosten Indicator (MKI) - euro" dataDxfId="729" dataCellStyle="Standaard 2"/>
    <tableColumn id="10" xr3:uid="{DEB40BEE-EDCE-427D-B63F-7F18950490FC}" name="B1 - Milieu Kosten Indicator (MKI) - euro2" dataDxfId="728" dataCellStyle="Standaard 2"/>
    <tableColumn id="11" xr3:uid="{5CF1FC7F-D149-46BE-B8B4-67B98C237B46}" name="D1 - Milieu Kosten Indicator (MKI) - euro" dataDxfId="727" dataCellStyle="Standaard 2"/>
    <tableColumn id="12" xr3:uid="{DDD3BB26-1954-422D-9BA9-23FE5A6A2EF1}" name="D2 - Milieu Kosten Indicator (MKI) - euro" dataDxfId="726" dataCellStyle="Standaard 2"/>
    <tableColumn id="19" xr3:uid="{BFEE69D2-1266-4F50-837C-A9595E75E5CE}" name="A1 - Klimaatverandering /_x000a_Global warming (GWP) - kg CO2-eq" dataDxfId="725" dataCellStyle="Standaard 2"/>
    <tableColumn id="20" xr3:uid="{081FF74C-7C99-4D69-AD69-8DCDC3961CC8}" name="A2 - Klimaatverandering /_x000a_Global warming (GWP) - kg CO2-eq" dataDxfId="724" dataCellStyle="Standaard 2"/>
    <tableColumn id="21" xr3:uid="{D87A9539-4D9D-42D5-BE1D-79BF9AAFC2E0}" name="A3 - Klimaatverandering /_x000a_Global warming (GWP) - kg CO2-eq" dataDxfId="723" dataCellStyle="Standaard 2"/>
    <tableColumn id="24" xr3:uid="{16B234FE-40E4-4588-9FE2-3B9068B695D2}" name="B1 - Klimaatverandering /_x000a_Global warming (GWP) - kg CO2-eq" dataDxfId="722" dataCellStyle="Standaard 2"/>
    <tableColumn id="26" xr3:uid="{F5F07F95-F778-418B-870D-A88B38429EC7}" name="D1 - Klimaatverandering /_x000a_Global warming (GWP) - kg CO2-eq" dataDxfId="721" dataCellStyle="Standaard 2">
      <calculatedColumnFormula>R3/1.8</calculatedColumnFormula>
    </tableColumn>
    <tableColumn id="27" xr3:uid="{C7506F80-76EC-4171-B97E-FB5CAD537578}" name="D2 - Klimaatverandering /_x000a_Global warming (GWP) - kg CO2-eq" dataDxfId="720" dataCellStyle="Standaard 2">
      <calculatedColumnFormula>S3/1.8</calculatedColumnFormula>
    </tableColumn>
    <tableColumn id="22" xr3:uid="{34985222-BBD1-4180-9830-D9542486EFE3}" name="A1 - Totaal gebruik van hernieuwbare primaire energie / _x000a_Energy, primary, renewable (MJ)" dataDxfId="719" dataCellStyle="Standaard 2"/>
    <tableColumn id="28" xr3:uid="{05954A96-73D4-4A03-B205-47B09999E154}" name="A2 - Totaal gebruik van hernieuwbare primaire energie / _x000a_Energy, primary, renewable (MJ)" dataDxfId="718" dataCellStyle="Standaard 2"/>
    <tableColumn id="29" xr3:uid="{9AEC1408-5CA0-4A6D-BB4E-6D47315D1C1D}" name="A3 - Totaal gebruik van hernieuwbare primaire energie / _x000a_Energy, primary, renewable (MJ)" dataDxfId="717" dataCellStyle="Standaard 2"/>
    <tableColumn id="30" xr3:uid="{0E22757E-9C9E-4FAF-AD32-E3EDE482DF01}" name="B1 - Totaal gebruik van hernieuwbare primaire energie / _x000a_Energy, primary, renewable (MJ)" dataDxfId="716" dataCellStyle="Standaard 2">
      <calculatedColumnFormula>W3/1.8</calculatedColumnFormula>
    </tableColumn>
    <tableColumn id="31" xr3:uid="{EAF97F06-9364-46CC-A53B-9F15E4C71123}" name="D1 - Totaal gebruik van hernieuwbare primaire energie / _x000a_Energy, primary, renewable (MJ)" dataDxfId="715" dataCellStyle="Standaard 2">
      <calculatedColumnFormula>X3/1.8</calculatedColumnFormula>
    </tableColumn>
    <tableColumn id="32" xr3:uid="{0A76E324-D754-4AF4-94B3-BF94D55A6DFD}" name="D2 - Totaal gebruik van hernieuwbare primaire energie / _x000a_Energy, primary, renewable (MJ)" dataDxfId="714" dataCellStyle="Standaard 2">
      <calculatedColumnFormula>Y3/1.8</calculatedColumnFormula>
    </tableColumn>
    <tableColumn id="33" xr3:uid="{E4CA4F1B-B8E1-4982-BF5C-3025C0E798BC}" name="A1 - Totaal gebruik van niet hernieuwbare primaire  energie / _x000a_Energy, primary, non-renewable (MJ)" dataDxfId="713" dataCellStyle="Standaard 2"/>
    <tableColumn id="34" xr3:uid="{2DCD7FA0-3230-4344-93B9-1B81124A0D91}" name="A2 - Totaal gebruik van niet hernieuwbare primaire  energie / _x000a_Energy, primary, non-renewable (MJ)" dataDxfId="712" dataCellStyle="Standaard 2"/>
    <tableColumn id="35" xr3:uid="{38979E52-E591-4B69-A29A-59F79BEC8668}" name="A3 - Totaal gebruik van niet hernieuwbare primaire  energie / _x000a_Energy, primary, non-renewable (MJ)" dataDxfId="711" dataCellStyle="Standaard 2"/>
    <tableColumn id="37" xr3:uid="{F81EB843-22EC-44F5-9E23-635C577E2B76}" name="B1 - Totaal gebruik van niet hernieuwbare primaire  energie / _x000a_Energy, primary, non-renewable (MJ)" dataDxfId="710" dataCellStyle="Standaard 2"/>
    <tableColumn id="38" xr3:uid="{053E1F5F-DCED-4A7C-8902-A40C1F589B2F}" name="D1 - Totaal gebruik van niet hernieuwbare primaire  energie / _x000a_Energy, primary, non-renewable (MJ)" dataDxfId="709" dataCellStyle="Standaard 2"/>
    <tableColumn id="36" xr3:uid="{97F5B8E4-65CB-486A-A3B3-457A52CC9083}" name="D2 - Totaal gebruik van niet hernieuwbare primaire  energie / _x000a_Energy, primary, non-renewable (MJ)" dataDxfId="708" dataCellStyle="Standaard 2"/>
    <tableColumn id="23" xr3:uid="{37233C24-966E-4C07-ABA5-4DAA0A38F0B3}" name="Bron (LCA Dossier)" dataDxfId="707" dataCellStyle="Standaard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0FC9AF0-AA4B-415A-9D45-2A58D0117CEE}" name="Inschrijf_MKI_Totaal" displayName="Inschrijf_MKI_Totaal" ref="B3:Q19" totalsRowCount="1" headerRowDxfId="706" dataDxfId="705" totalsRowDxfId="704">
  <autoFilter ref="B3:Q18" xr:uid="{60FC9AF0-AA4B-415A-9D45-2A58D0117CEE}"/>
  <tableColumns count="16">
    <tableColumn id="1" xr3:uid="{4F622A01-7B5A-4640-969B-99C5366215E0}" name="Bestekspost" totalsRowLabel="Totaal" dataDxfId="703" totalsRowDxfId="702">
      <calculatedColumnFormula>Inschrijfberekening!B6</calculatedColumnFormula>
    </tableColumn>
    <tableColumn id="2" xr3:uid="{EAD7F702-0EEB-44D2-ADB0-576EDCD9AEC1}" name="Product" dataDxfId="701" totalsRowDxfId="700">
      <calculatedColumnFormula>Inschrijfberekening!F6</calculatedColumnFormula>
    </tableColumn>
    <tableColumn id="3" xr3:uid="{B7530B55-2385-4C3D-8AA6-E8C5C817D300}" name="A1" totalsRowFunction="sum" dataDxfId="699" totalsRowDxfId="698">
      <calculatedColumnFormula array="1">(IF(Inschrijfberekening!C6="Nieuwe Situatie",_xlfn.IFNA(_xlfn.IFS(Inschrijfberekening!E6="Bitumineuze_verhardingen",VLOOKUP(Inschrijf_MKI_Totaal[[#This Row],[Product]]&amp;", "&amp;Inschrijf_MKI_Totaal[[#Headers],[A1]],Database_Productkaarten[#All],13,FALSE)*Inschrijfberekening!K6,Inschrijfberekening!E6="Funderingslagen",VLOOKUP(Inschrijf_MKI_Totaal[[#This Row],[Product]]&amp;", "&amp;Inschrijf_MKI_Totaal[[#Headers],[A1]],Database_Productkaarten[#All],13,FALSE)*Inschrijfberekening!K6,Inschrijfberekening!E6="Grondwerken",VLOOKUP(Inschrijf_MKI_Totaal[[#This Row],[Product]]&amp;", "&amp;Inschrijf_MKI_Totaal[[#Headers],[A1]],Database_Productkaarten[#All],13,FALSE)*Inschrijfberekening!K6,Inschrijfberekening!E6="Categorie_1_LCA_Producten",VLOOKUP(Inschrijf_MKI_Totaal[[#This Row],[Product]],Categorie_1_Producten[#All],8,FALSE)*(Inschrijfberekening!K6)),Referentie_Backlog!D4),0))</calculatedColumnFormula>
    </tableColumn>
    <tableColumn id="4" xr3:uid="{8AAE83A7-1AA3-4F3A-9C98-95D13FCD9030}" name="A2" totalsRowFunction="sum" dataDxfId="697" totalsRowDxfId="696">
      <calculatedColumnFormula array="1">(IF(Inschrijfberekening!C6="Nieuwe Situatie",_xlfn.IFNA(_xlfn.IFS(Inschrijfberekening!E6="Bitumineuze_verhardingen",VLOOKUP(Inschrijf_MKI_Totaal[[#This Row],[Product]]&amp;", "&amp;Inschrijf_MKI_Totaal[[#Headers],[A2]],Database_Productkaarten[#All],13,FALSE)*Inschrijfberekening!K6,Inschrijfberekening!E6="Funderingslagen",VLOOKUP(Inschrijf_MKI_Totaal[[#This Row],[Product]]&amp;", "&amp;Inschrijf_MKI_Totaal[[#Headers],[A2]],Database_Productkaarten[#All],13,FALSE)*Inschrijfberekening!K6,Inschrijfberekening!E6="Grondwerken",VLOOKUP(Inschrijf_MKI_Totaal[[#This Row],[Product]]&amp;", "&amp;Inschrijf_MKI_Totaal[[#Headers],[A2]],Database_Productkaarten[#All],13,FALSE)*Inschrijfberekening!K6,Inschrijfberekening!E6="Categorie_1_LCA_Producten",VLOOKUP(Inschrijf_MKI_Totaal[[#This Row],[Product]],Categorie_1_Producten[#All],9,FALSE)*(Inschrijfberekening!K6)),Referentie_Backlog!E4),0))</calculatedColumnFormula>
    </tableColumn>
    <tableColumn id="5" xr3:uid="{5CDAE197-412C-4A06-929C-31274C7F11DA}" name="A3" totalsRowFunction="sum" dataDxfId="695" totalsRowDxfId="694">
      <calculatedColumnFormula array="1">(IF(Inschrijfberekening!C6="Nieuwe Situatie",_xlfn.IFNA(_xlfn.IFS(Inschrijfberekening!E6="Bitumineuze_verhardingen",VLOOKUP(Inschrijf_MKI_Totaal[[#This Row],[Product]]&amp;", "&amp;Inschrijf_MKI_Totaal[[#Headers],[A3]],Database_Productkaarten[#All],13,FALSE)*Inschrijfberekening!K6,Inschrijfberekening!E6="Funderingslagen",VLOOKUP(Inschrijf_MKI_Totaal[[#This Row],[Product]]&amp;", "&amp;Inschrijf_MKI_Totaal[[#Headers],[A3]],Database_Productkaarten[#All],13,FALSE)*Inschrijfberekening!K6,Inschrijfberekening!E6="Grondwerken",VLOOKUP(Inschrijf_MKI_Totaal[[#This Row],[Product]]&amp;", "&amp;Inschrijf_MKI_Totaal[[#Headers],[A3]],Database_Productkaarten[#All],13,FALSE)*Inschrijfberekening!K6,Inschrijfberekening!E6="Categorie_1_LCA_Producten",VLOOKUP(Inschrijf_MKI_Totaal[[#This Row],[Product]],Categorie_1_Producten[#All],10,FALSE)*(Inschrijfberekening!K6)),Referentie_Backlog!F4),0))</calculatedColumnFormula>
    </tableColumn>
    <tableColumn id="6" xr3:uid="{C67F147F-2412-457B-8DD6-7210F5AAAA5A}" name="A4" totalsRowFunction="sum" dataDxfId="693" totalsRowDxfId="692">
      <calculatedColumnFormula>(IF(Inschrijfberekening!C6="Nieuwe Situatie",_xlfn.IFNA(VLOOKUP(Inschrijfberekening!O6,Database_Transport[#All],7,FALSE)*(Inschrijfberekening!K6*Inschrijfberekening!N6),Referentie_Backlog!G4),0))</calculatedColumnFormula>
    </tableColumn>
    <tableColumn id="7" xr3:uid="{2A314B42-0C48-476D-8772-4085432A0A2D}" name="A5" totalsRowFunction="sum" dataDxfId="691" totalsRowDxfId="690">
      <calculatedColumnFormula>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calculatedColumnFormula>
    </tableColumn>
    <tableColumn id="8" xr3:uid="{2F7F3F24-1345-4BEF-896A-86B89F4ED472}" name="B1" totalsRowFunction="sum" dataDxfId="689" totalsRowDxfId="688">
      <calculatedColumnFormula array="1">_xlfn.IFNA((IF(Inschrijfberekening!C6="Nieuwe Situatie",_xlfn.IFS(Inschrijfberekening!E6="Bitumineuze_verhardingen",VLOOKUP(Inschrijf_MKI_Totaal[[#This Row],[Product]]&amp;", "&amp;Inschrijf_MKI_Totaal[[#Headers],[B1]],Database_Productkaarten[#All],13,FALSE)*Inschrijfberekening!K6,Inschrijfberekening!E6="Funderingslagen",VLOOKUP(Inschrijf_MKI_Totaal[[#This Row],[Product]]&amp;", "&amp;Inschrijf_MKI_Totaal[[#Headers],[B1]],Database_Productkaarten[#All],13,FALSE)*Inschrijfberekening!K6,Inschrijfberekening!E6="Grondwerken",VLOOKUP(Inschrijf_MKI_Totaal[[#This Row],[Product]]&amp;", "&amp;Inschrijf_MKI_Totaal[[#Headers],[B1]],Database_Productkaarten[#All],13,FALSE)*Inschrijfberekening!K6,Inschrijfberekening!E6="Categorie_1_LCA_Producten",VLOOKUP(Inschrijf_MKI_Totaal[[#This Row],[Product]],Categorie_1_Producten[#All],11,FALSE)*(Inschrijfberekening!K6)),0)),Referentie_Backlog!I4)</calculatedColumnFormula>
    </tableColumn>
    <tableColumn id="9" xr3:uid="{D955EA69-9283-41EF-B498-43EE99246176}" name="B4" totalsRowFunction="sum" dataDxfId="687" totalsRowDxfId="686">
      <calculatedColumnFormula>(IF(Inschrijfberekening!C6="Nieuwe Situatie",_xlfn.IFNA(SUM(Inschrijf_MKI_Totaal[[#This Row],[A1]:[B1]],Inschrijf_MKI_Totaal[[#This Row],[C1]:[D2]])*Inschrijfberekening!M6,0),0))</calculatedColumnFormula>
    </tableColumn>
    <tableColumn id="10" xr3:uid="{763B6B15-08E0-40AF-BD3E-61BEF18F26B0}" name="C1" totalsRowFunction="sum" dataDxfId="685" totalsRowDxfId="684" dataCellStyle="Standaard 2">
      <calculatedColumnFormula>(IF(Inschrijfberekening!C6="Bestaande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calculatedColumnFormula>
    </tableColumn>
    <tableColumn id="11" xr3:uid="{4300020F-29F9-4001-984D-F7863CE3F90C}" name="C2" totalsRowFunction="sum" dataDxfId="683" totalsRowDxfId="682">
      <calculatedColumnFormula>(IF(Inschrijfberekening!C6="Bestaande Situatie",_xlfn.IFNA(VLOOKUP(Inschrijfberekening!U6,Database_Transport[#All],7,FALSE)*(Inschrijfberekening!K6*Inschrijfberekening!T6),Referentie_Backlog!L4),0))</calculatedColumnFormula>
    </tableColumn>
    <tableColumn id="12" xr3:uid="{BBC9A24A-34DA-4FB8-8C68-EFB545134D99}" name="C3" totalsRowFunction="sum" dataDxfId="681" totalsRowDxfId="680">
      <calculatedColumnFormula>(IF(Inschrijfberekening!C6="Bestaande Situatie",_xlfn.IFNA(VLOOKUP(Inschrijfberekening!V6,Database_Asfalt_Verwerkingsset[#All],7,FALSE)*(Inschrijfberekening!K6/VLOOKUP(Inschrijfberekening!V6,Database_Asfalt_Verwerkingsset[#All],8,FALSE)),Referentie_Backlog!M4),0))</calculatedColumnFormula>
    </tableColumn>
    <tableColumn id="13" xr3:uid="{66D24165-D725-4963-9D76-0C3093DD978B}" name="C4" totalsRowFunction="sum" dataDxfId="679" totalsRowDxfId="678">
      <calculatedColumnFormula>(IF(Inschrijfberekening!C6="Bestaande Situatie",_xlfn.IFNA(VLOOKUP(Inschrijf_MKI_Totaal[[#This Row],[Product]]&amp;", "&amp;Inschrijf_MKI_Totaal[[#Headers],[C4]],Database_Productkaarten[#All],13,FALSE)*Inschrijfberekening!K6,Referentie_Backlog!N4),0))</calculatedColumnFormula>
    </tableColumn>
    <tableColumn id="14" xr3:uid="{5600C9A6-5DB6-44EC-A58F-137911C66D15}" name="D1" totalsRowFunction="sum" dataDxfId="677" totalsRowDxfId="676">
      <calculatedColumnFormula array="1">_xlfn.IFNA((IF(Inschrijfberekening!C6="Bestaande Situatie",_xlfn.IFS(Inschrijfberekening!E6="Bitumineuze_verhardingen",VLOOKUP(Inschrijf_MKI_Totaal[[#This Row],[Product]]&amp;", "&amp;Inschrijf_MKI_Totaal[[#Headers],[D1]],Database_Productkaarten[#All],13,FALSE)*Inschrijfberekening!K6,Inschrijfberekening!E6="Funderingslagen",VLOOKUP(Inschrijf_MKI_Totaal[[#This Row],[Product]]&amp;", "&amp;Inschrijf_MKI_Totaal[[#Headers],[D1]],Database_Productkaarten[#All],13,FALSE)*Inschrijfberekening!K6,Inschrijfberekening!E6="Grondwerken",VLOOKUP(Inschrijf_MKI_Totaal[[#This Row],[Product]]&amp;", "&amp;Inschrijf_MKI_Totaal[[#Headers],[D1]],Database_Productkaarten[#All],13,FALSE)*Inschrijfberekening!K6,Inschrijfberekening!E6="Categorie_1_LCA_Producten",VLOOKUP(Inschrijf_MKI_Totaal[[#This Row],[Product]],Categorie_1_Producten[#All],12,FALSE)*(Inschrijfberekening!K6)),0)),Referentie_Backlog!O4)</calculatedColumnFormula>
    </tableColumn>
    <tableColumn id="15" xr3:uid="{5E65004F-9A6D-4FA5-8FC0-8AFFB9FC8CB2}" name="D2" totalsRowFunction="sum" dataDxfId="675" totalsRowDxfId="674">
      <calculatedColumnFormula array="1">_xlfn.IFNA((IF(Inschrijfberekening!C6="Bestaande Situatie",_xlfn.IFS(Inschrijfberekening!E6="Bitumineuze_verhardingen",VLOOKUP(Inschrijf_MKI_Totaal[[#This Row],[Product]]&amp;", "&amp;Inschrijf_MKI_Totaal[[#Headers],[D2]],Database_Productkaarten[#All],13,FALSE)*Inschrijfberekening!K6,Inschrijfberekening!E6="Funderingslagen",VLOOKUP(Inschrijf_MKI_Totaal[[#This Row],[Product]]&amp;", "&amp;Inschrijf_MKI_Totaal[[#Headers],[D2]],Database_Productkaarten[#All],13,FALSE)*Inschrijfberekening!K6,Inschrijfberekening!E6="Grondwerken",VLOOKUP(Inschrijf_MKI_Totaal[[#This Row],[Product]]&amp;", "&amp;Inschrijf_MKI_Totaal[[#Headers],[D2]],Database_Productkaarten[#All],13,FALSE)*Inschrijfberekening!K6,Inschrijfberekening!E6="Categorie_1_LCA_Producten",VLOOKUP(Inschrijf_MKI_Totaal[[#This Row],[Product]],Categorie_1_Producten[#All],13,FALSE)*(Inschrijfberekening!K6)),0)),Referentie_Backlog!P4)</calculatedColumnFormula>
    </tableColumn>
    <tableColumn id="16" xr3:uid="{EBD27826-43F8-4F7C-B271-3753F481BC9A}" name="Totaal" totalsRowFunction="sum" dataDxfId="673" totalsRowDxfId="672">
      <calculatedColumnFormula>SUM(Inschrijf_MKI_Totaal[[#This Row],[A1]:[D2]])</calculatedColumnFormula>
    </tableColumn>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381C64-8573-45A9-A1EA-8F241D8EF283}" name="Inschrijf_CO2_Totaal" displayName="Inschrijf_CO2_Totaal" ref="B23:Q39" totalsRowCount="1" headerRowDxfId="671" dataDxfId="670" totalsRowDxfId="669">
  <autoFilter ref="B23:Q38" xr:uid="{21381C64-8573-45A9-A1EA-8F241D8EF283}"/>
  <tableColumns count="16">
    <tableColumn id="1" xr3:uid="{03AA0B56-A7D0-4CDF-BE56-B2E9D9C08A07}" name="Bestekspost" totalsRowLabel="Totaal" dataDxfId="668" totalsRowDxfId="667">
      <calculatedColumnFormula>Inschrijfberekening!B6</calculatedColumnFormula>
    </tableColumn>
    <tableColumn id="2" xr3:uid="{BA3583AD-D84B-426C-ABEC-3142F4BD8478}" name="Product" dataDxfId="666" totalsRowDxfId="665">
      <calculatedColumnFormula>Inschrijfberekening!F6</calculatedColumnFormula>
    </tableColumn>
    <tableColumn id="3" xr3:uid="{7BC26F36-AF1D-4E36-ADED-8B0DC5134457}" name="A1" totalsRowFunction="sum" dataDxfId="664" totalsRowDxfId="663">
      <calculatedColumnFormula array="1">(IF(Inschrijfberekening!C6="Nieuwe Situatie",_xlfn.IFNA(_xlfn.IFS(Inschrijfberekening!E6="Bitumineuze_verhardingen",VLOOKUP(Inschrijf_CO2_Totaal[[#This Row],[Product]]&amp;", "&amp;Inschrijf_CO2_Totaal[[#Headers],[A1]],Database_Productkaarten[#All],17,FALSE)*Inschrijfberekening!K6,Inschrijfberekening!E6="Funderingslagen",VLOOKUP(Inschrijf_CO2_Totaal[[#This Row],[Product]]&amp;", "&amp;Inschrijf_CO2_Totaal[[#Headers],[A1]],Database_Productkaarten[#All],17,FALSE)*Inschrijfberekening!K6,Inschrijfberekening!E6="Grondwerken",VLOOKUP(Inschrijf_CO2_Totaal[[#This Row],[Product]]&amp;", "&amp;Inschrijf_CO2_Totaal[[#Headers],[A1]],Database_Productkaarten[#All],17,FALSE)*Inschrijfberekening!K6,Inschrijfberekening!E6="Categorie_1_LCA_Producten",VLOOKUP(Inschrijf_CO2_Totaal[[#This Row],[Product]],Categorie_1_Producten[#All],14,FALSE)*(Inschrijfberekening!K6)),Referentie_Backlog!D40),0))</calculatedColumnFormula>
    </tableColumn>
    <tableColumn id="4" xr3:uid="{EC959197-4823-403E-9361-769A67077B0A}" name="A2" totalsRowFunction="sum" dataDxfId="662" totalsRowDxfId="661">
      <calculatedColumnFormula array="1">(IF(Inschrijfberekening!C6="Nieuwe Situatie",_xlfn.IFNA(_xlfn.IFS(Inschrijfberekening!E6="Bitumineuze_verhardingen",VLOOKUP(Inschrijf_CO2_Totaal[[#This Row],[Product]]&amp;", "&amp;Inschrijf_CO2_Totaal[[#Headers],[A2]],Database_Productkaarten[#All],17,FALSE)*Inschrijfberekening!K6,Inschrijfberekening!E6="Funderingslagen",VLOOKUP(Inschrijf_CO2_Totaal[[#This Row],[Product]]&amp;", "&amp;Inschrijf_CO2_Totaal[[#Headers],[A2]],Database_Productkaarten[#All],17,FALSE)*Inschrijfberekening!K6,Inschrijfberekening!E6="Grondwerken",VLOOKUP(Inschrijf_CO2_Totaal[[#This Row],[Product]]&amp;", "&amp;Inschrijf_CO2_Totaal[[#Headers],[A2]],Database_Productkaarten[#All],17,FALSE)*Inschrijfberekening!K6,Inschrijfberekening!E6="Categorie_1_LCA_Producten",VLOOKUP(Inschrijf_CO2_Totaal[[#This Row],[Product]],Categorie_1_Producten[#All],15,FALSE)*(Inschrijfberekening!K6)),Referentie_Backlog!E40),0))</calculatedColumnFormula>
    </tableColumn>
    <tableColumn id="5" xr3:uid="{C1922DFC-47B4-4BB5-99E2-913B7406ED6C}" name="A3" totalsRowFunction="sum" dataDxfId="660" totalsRowDxfId="659">
      <calculatedColumnFormula array="1">(IF(Inschrijfberekening!C6="Nieuwe Situatie",_xlfn.IFNA(_xlfn.IFS(Inschrijfberekening!E6="Bitumineuze_verhardingen",VLOOKUP(Inschrijf_CO2_Totaal[[#This Row],[Product]]&amp;", "&amp;Inschrijf_CO2_Totaal[[#Headers],[A3]],Database_Productkaarten[#All],17,FALSE)*Inschrijfberekening!K6,Inschrijfberekening!E6="Funderingslagen",VLOOKUP(Inschrijf_CO2_Totaal[[#This Row],[Product]]&amp;", "&amp;Inschrijf_CO2_Totaal[[#Headers],[A3]],Database_Productkaarten[#All],17,FALSE)*Inschrijfberekening!K6,Inschrijfberekening!E6="Grondwerken",VLOOKUP(Inschrijf_CO2_Totaal[[#This Row],[Product]]&amp;", "&amp;Inschrijf_CO2_Totaal[[#Headers],[A3]],Database_Productkaarten[#All],17,FALSE)*Inschrijfberekening!K6,Inschrijfberekening!E6="Categorie_1_LCA_Producten",VLOOKUP(Inschrijf_CO2_Totaal[[#This Row],[Product]],Categorie_1_Producten[#All],16,FALSE)*(Inschrijfberekening!K6)),Referentie_Backlog!F40),0))</calculatedColumnFormula>
    </tableColumn>
    <tableColumn id="6" xr3:uid="{9DEECFDA-84AA-41C9-91F2-787FC956D20A}" name="A4" totalsRowFunction="sum" dataDxfId="658" totalsRowDxfId="657">
      <calculatedColumnFormula>(IF(Inschrijfberekening!C6="Nieuwe Situatie",_xlfn.IFNA(VLOOKUP(Inschrijfberekening!O6,Database_Transport[#All],12,FALSE)*(Inschrijfberekening!K6*Inschrijfberekening!N6),Referentie_Backlog!G40),0))</calculatedColumnFormula>
    </tableColumn>
    <tableColumn id="7" xr3:uid="{65EC7337-60EF-40D7-8EF6-70C0FA713EBB}" name="A5" totalsRowFunction="sum" dataDxfId="656" totalsRowDxfId="655">
      <calculatedColumnFormula>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40)</calculatedColumnFormula>
    </tableColumn>
    <tableColumn id="8" xr3:uid="{EDDCE063-7573-41C3-BDC3-162A551D43C9}" name="B1" totalsRowFunction="sum" dataDxfId="654" totalsRowDxfId="653">
      <calculatedColumnFormula array="1">(IF(Inschrijfberekening!C6="Nieuwe Situatie",_xlfn.IFNA(_xlfn.IFS(Inschrijfberekening!E6="Bitumineuze_verhardingen",VLOOKUP(Inschrijf_CO2_Totaal[[#This Row],[Product]]&amp;", "&amp;Inschrijf_CO2_Totaal[[#Headers],[B1]],Database_Productkaarten[#All],17,FALSE)*Inschrijfberekening!K6,Inschrijfberekening!E6="Funderingslagen",VLOOKUP(Inschrijf_CO2_Totaal[[#This Row],[Product]]&amp;", "&amp;Inschrijf_CO2_Totaal[[#Headers],[B1]],Database_Productkaarten[#All],17,FALSE)*Inschrijfberekening!K6,Inschrijfberekening!E6="Grondwerken",VLOOKUP(Inschrijf_CO2_Totaal[[#This Row],[Product]]&amp;", "&amp;Inschrijf_CO2_Totaal[[#Headers],[B1]],Database_Productkaarten[#All],17,FALSE)*Inschrijfberekening!K6,Inschrijfberekening!E6="Categorie_1_LCA_Producten",VLOOKUP(Inschrijf_CO2_Totaal[[#This Row],[Product]],Categorie_1_Producten[#All],17,FALSE)*(Inschrijfberekening!K6)),Referentie_Backlog!I40),0))</calculatedColumnFormula>
    </tableColumn>
    <tableColumn id="9" xr3:uid="{BAA70382-4ED8-4190-B510-724D8D29F25B}" name="B4" totalsRowFunction="sum" dataDxfId="652" totalsRowDxfId="651">
      <calculatedColumnFormula>(IF(Inschrijfberekening!C6="Nieuwe Situatie",_xlfn.IFNA(SUM(Inschrijf_CO2_Totaal[[#This Row],[A1]:[B1]],Inschrijf_CO2_Totaal[[#This Row],[C1]:[D2]])*Inschrijfberekening!M6,0),0))</calculatedColumnFormula>
    </tableColumn>
    <tableColumn id="10" xr3:uid="{5A7432B2-338E-43B0-8388-24C56AD1F83F}" name="C1" totalsRowFunction="sum" dataDxfId="650" totalsRowDxfId="649">
      <calculatedColumnFormula>(IF(Inschrijfberekening!C6="Bestaande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40,IFERROR((VLOOKUP(Inschrijfberekening!R6,Database_Asfalt_Verwijderset[#All],12,FALSE)*Inschrijfberekening!K6),0)+IFERROR((VLOOKUP(Inschrijfberekening!S6,Database_Overig_Materieel[#All],12,FALSE)*(Inschrijfberekening!L6/VLOOKUP(Inschrijfberekening!S6,Database_Overig_Materieel[#All],12,FALSE))),0)),0))</calculatedColumnFormula>
    </tableColumn>
    <tableColumn id="11" xr3:uid="{99404562-2D96-4768-B57E-D48FE1026E2D}" name="C2" totalsRowFunction="sum" dataDxfId="648" totalsRowDxfId="647">
      <calculatedColumnFormula>(IF(Inschrijfberekening!C6="Bestaande Situatie",_xlfn.IFNA(VLOOKUP(Inschrijfberekening!U6,Database_Transport[#All],12,FALSE)*(Inschrijfberekening!K6*Inschrijfberekening!T6),Referentie_Backlog!L40),0))</calculatedColumnFormula>
    </tableColumn>
    <tableColumn id="12" xr3:uid="{B462124E-5916-4D4A-82B1-711B440C3280}" name="C3" totalsRowFunction="sum" dataDxfId="646" totalsRowDxfId="645">
      <calculatedColumnFormula>(IF(Inschrijfberekening!C6="Bestaande Situatie",_xlfn.IFNA(VLOOKUP(Inschrijfberekening!V6,Database_Asfalt_Verwerkingsset[#All],12,FALSE)*(Inschrijfberekening!K6/VLOOKUP(Inschrijfberekening!V6,Database_Asfalt_Verwerkingsset[#All],12,FALSE)),Referentie_Backlog!M40),0))</calculatedColumnFormula>
    </tableColumn>
    <tableColumn id="13" xr3:uid="{B5DC7F9E-3BDE-4240-A0B7-AC2966928971}" name="C4" totalsRowFunction="sum" dataDxfId="644" totalsRowDxfId="643">
      <calculatedColumnFormula>(IF(Inschrijfberekening!C6="Bestaande Situatie",_xlfn.IFNA(VLOOKUP(Inschrijf_CO2_Totaal[[#This Row],[Product]]&amp;", "&amp;Inschrijf_MKI_Totaal[[#Headers],[C4]],Database_Productkaarten[#All],12,FALSE)*Inschrijfberekening!K6,Referentie_Backlog!N40),0))</calculatedColumnFormula>
    </tableColumn>
    <tableColumn id="14" xr3:uid="{3B5BC588-5DA2-4497-AA5A-2DDD9E1E0E82}" name="D1" totalsRowFunction="sum" dataDxfId="642" totalsRowDxfId="641">
      <calculatedColumnFormula array="1">_xlfn.IFNA((IF(Inschrijfberekening!C6="Bestaande Situatie",_xlfn.IFS(Inschrijfberekening!E6="Bitumineuze_verhardingen",VLOOKUP(Inschrijf_CO2_Totaal[[#This Row],[Product]]&amp;", "&amp;Inschrijf_CO2_Totaal[[#Headers],[D1]],Database_Productkaarten[#All],17,FALSE)*Inschrijfberekening!K6,Inschrijfberekening!E6="Funderingslagen",VLOOKUP(Inschrijf_CO2_Totaal[[#This Row],[Product]]&amp;", "&amp;Inschrijf_CO2_Totaal[[#Headers],[D1]],Database_Productkaarten[#All],17,FALSE)*Inschrijfberekening!K6,Inschrijfberekening!E6="Grondwerken",VLOOKUP(Inschrijf_CO2_Totaal[[#This Row],[Product]]&amp;", "&amp;Inschrijf_CO2_Totaal[[#Headers],[D1]],Database_Productkaarten[#All],17,FALSE)*Inschrijfberekening!K6,Inschrijfberekening!E6="Categorie_1_LCA_Producten",VLOOKUP(Inschrijf_CO2_Totaal[[#This Row],[Product]],Categorie_1_Producten[#All],18,FALSE)*(Inschrijfberekening!K6)),0)),Referentie_Backlog!O40)</calculatedColumnFormula>
    </tableColumn>
    <tableColumn id="15" xr3:uid="{49A66DA4-68E9-41EB-8C1A-3EB4EA56F326}" name="D2" totalsRowFunction="sum" dataDxfId="640" totalsRowDxfId="639">
      <calculatedColumnFormula array="1">_xlfn.IFNA((IF(Inschrijfberekening!C6="Bestaande Situatie",_xlfn.IFS(Inschrijfberekening!E6="Bitumineuze_verhardingen",VLOOKUP(Inschrijf_CO2_Totaal[[#This Row],[Product]]&amp;", "&amp;Inschrijf_CO2_Totaal[[#Headers],[D2]],Database_Productkaarten[#All],17,FALSE)*Inschrijfberekening!K6,Inschrijfberekening!E6="Funderingslagen",VLOOKUP(Inschrijf_CO2_Totaal[[#This Row],[Product]]&amp;", "&amp;Inschrijf_CO2_Totaal[[#Headers],[D2]],Database_Productkaarten[#All],17,FALSE)*Inschrijfberekening!K6,Inschrijfberekening!E6="Grondwerken",VLOOKUP(Inschrijf_CO2_Totaal[[#This Row],[Product]]&amp;", "&amp;Inschrijf_CO2_Totaal[[#Headers],[D2]],Database_Productkaarten[#All],17,FALSE)*Inschrijfberekening!K6,Inschrijfberekening!E6="Categorie_1_LCA_Producten",VLOOKUP(Inschrijf_CO2_Totaal[[#This Row],[Product]],Categorie_1_Producten[#All],19,FALSE)*(Inschrijfberekening!K6)),0)),Referentie_Backlog!P40)</calculatedColumnFormula>
    </tableColumn>
    <tableColumn id="16" xr3:uid="{70A58394-A5ED-4C7E-A220-F8060B33021B}" name="Totaal" totalsRowFunction="sum" dataDxfId="638" totalsRowDxfId="637">
      <calculatedColumnFormula>SUM(Inschrijf_CO2_Totaal[[#This Row],[A1]:[D2]])</calculatedColumnFormula>
    </tableColumn>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DB88F3A-2BEC-4219-820B-1A6DCA9CD0D0}" name="Inschrijf_Materiaal_Totaal" displayName="Inschrijf_Materiaal_Totaal" ref="B43:M59" totalsRowCount="1" dataDxfId="635" headerRowBorderDxfId="636" tableBorderDxfId="634">
  <autoFilter ref="B43:M58" xr:uid="{CDB88F3A-2BEC-4219-820B-1A6DCA9CD0D0}"/>
  <tableColumns count="12">
    <tableColumn id="1" xr3:uid="{FEE4F92E-ADAA-46E6-B606-2EA13C813900}" name="Bestekspost" totalsRowLabel="Totaal" dataDxfId="633" totalsRowDxfId="632">
      <calculatedColumnFormula>Inschrijfberekening!B6</calculatedColumnFormula>
    </tableColumn>
    <tableColumn id="2" xr3:uid="{1BF20A56-E1B7-454B-AE33-610DE486208A}" name="Product" dataDxfId="631" totalsRowDxfId="630">
      <calculatedColumnFormula>Inschrijfberekening!F6</calculatedColumnFormula>
    </tableColumn>
    <tableColumn id="3" xr3:uid="{9F377F15-529D-460D-A204-6716E8FF940B}" name="Hoeveelheid [ton]" totalsRowFunction="sum" dataDxfId="629" totalsRowDxfId="628">
      <calculatedColumnFormula>Inschrijfberekening!K6</calculatedColumnFormula>
    </tableColumn>
    <tableColumn id="4" xr3:uid="{36515E0C-BE63-4130-8654-2353F9A423CC}" name="% Secundair" dataDxfId="627" totalsRowDxfId="626">
      <calculatedColumnFormula>_xlfn.IFNA(IF(Inschrijfberekening!E6="Categorie_1_LCA_Producten",VLOOKUP(Inschrijfberekening!F6,Categorie_1_Producten[#All],6,FALSE),VLOOKUP(Inschrijfberekening!F6&amp;", "&amp;"Totaal",Database_Productkaarten[#All],63,FALSE)),0)</calculatedColumnFormula>
    </tableColumn>
    <tableColumn id="5" xr3:uid="{3F4DA813-0CD0-4969-9272-2AD8A29C5C1E}" name="Primair materiaalverbruik" totalsRowFunction="sum" dataDxfId="625" totalsRowDxfId="624">
      <calculatedColumnFormula>Inschrijf_Materiaal_Totaal[[#This Row],[Hoeveelheid '[ton']]]*(1-Inschrijf_Materiaal_Totaal[[#This Row],[% Secundair]])</calculatedColumnFormula>
    </tableColumn>
    <tableColumn id="6" xr3:uid="{11FA650F-EDAE-4F2A-BE3F-EC6D1FCE8D65}" name="Secundair Materiaalverbruik" totalsRowFunction="sum" dataDxfId="623" totalsRowDxfId="622">
      <calculatedColumnFormula>Inschrijf_Materiaal_Totaal[[#This Row],[Hoeveelheid '[ton']]]*Inschrijf_Materiaal_Totaal[[#This Row],[% Secundair]]</calculatedColumnFormula>
    </tableColumn>
    <tableColumn id="7" xr3:uid="{1AD3D038-4877-49FF-B589-8EAED9DA3F36}" name="Hoeveelheid Vervangingen [ton]" totalsRowFunction="sum" dataDxfId="621" totalsRowDxfId="620">
      <calculatedColumnFormula>Inschrijfberekening!K6*Inschrijfberekening!M6</calculatedColumnFormula>
    </tableColumn>
    <tableColumn id="8" xr3:uid="{1CECEE5A-BBE8-44D9-B1E2-54481274780D}" name="Primair materiaalverbruik Vervangingen" totalsRowFunction="sum" dataDxfId="619" totalsRowDxfId="618">
      <calculatedColumnFormula>Inschrijf_Materiaal_Totaal[[#This Row],[Hoeveelheid Vervangingen '[ton']]]*(1-Inschrijf_Materiaal_Totaal[[#This Row],[% Secundair]])</calculatedColumnFormula>
    </tableColumn>
    <tableColumn id="9" xr3:uid="{AB5D9550-3F9B-42B2-A7DC-83C0A8B9C67E}" name="Secundair Materiaalverbruik Vervangingen" totalsRowFunction="sum" dataDxfId="617" totalsRowDxfId="616">
      <calculatedColumnFormula>Inschrijf_Materiaal_Totaal[[#This Row],[Primair materiaalverbruik Vervangingen]]*Inschrijf_Materiaal_Totaal[[#This Row],[% Secundair]]</calculatedColumnFormula>
    </tableColumn>
    <tableColumn id="11" xr3:uid="{AD10A8BA-BC1D-40CE-AA0F-55379DE76DD2}" name="Totaal Primair Materieelgebruik" totalsRowFunction="sum" dataDxfId="615" totalsRowDxfId="614">
      <calculatedColumnFormula>Inschrijf_Materiaal_Totaal[[#This Row],[Primair materiaalverbruik]]+Inschrijf_Materiaal_Totaal[[#This Row],[Secundair Materiaalverbruik Vervangingen]]</calculatedColumnFormula>
    </tableColumn>
    <tableColumn id="12" xr3:uid="{2A98C6CC-C27A-470D-95EC-F1C3256BA805}" name="Totaal Secundair Materieelgebruik" totalsRowFunction="sum" dataDxfId="613" totalsRowDxfId="612">
      <calculatedColumnFormula>Inschrijf_Materiaal_Totaal[[#This Row],[Secundair Materiaalverbruik]]+Inschrijf_Materiaal_Totaal[[#This Row],[Secundair Materiaalverbruik Vervangingen]]</calculatedColumnFormula>
    </tableColumn>
    <tableColumn id="13" xr3:uid="{3C5F54C0-A94C-4C2D-B197-4A21845BD3F0}" name="Totaal Materieelgebruik" totalsRowFunction="sum" dataDxfId="611" totalsRowDxfId="610">
      <calculatedColumnFormula>Inschrijf_Materiaal_Totaal[[#This Row],[Totaal Primair Materieelgebruik]]+Inschrijf_Materiaal_Totaal[[#This Row],[Totaal Secundair Materieelgebruik]]</calculatedColumnFormula>
    </tableColumn>
  </tableColumns>
  <tableStyleInfo name="TableStyleMedium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0F71F05-BD68-4C96-B5E8-8A15FE7A1016}" name="Inschrijf_Hernieuwbare_Energie_Totaal" displayName="Inschrijf_Hernieuwbare_Energie_Totaal" ref="B63:Q79" totalsRowCount="1" headerRowDxfId="609" dataDxfId="608" totalsRowDxfId="607">
  <autoFilter ref="B63:Q78" xr:uid="{A0F71F05-BD68-4C96-B5E8-8A15FE7A1016}"/>
  <tableColumns count="16">
    <tableColumn id="1" xr3:uid="{D258EB6F-1D23-4713-B774-285036B273FD}" name="Bestekspost" totalsRowLabel="Totaal" dataDxfId="606" totalsRowDxfId="605">
      <calculatedColumnFormula>Inschrijfberekening!B6</calculatedColumnFormula>
    </tableColumn>
    <tableColumn id="2" xr3:uid="{D465E8D9-3080-42C0-B524-67713ADD0C56}" name="Product" dataDxfId="604" totalsRowDxfId="603">
      <calculatedColumnFormula>Inschrijfberekening!F6</calculatedColumnFormula>
    </tableColumn>
    <tableColumn id="3" xr3:uid="{FCC973B1-FB7B-42AA-B44F-BF6C917C502B}" name="A1" totalsRowFunction="sum" dataDxfId="602" totalsRowDxfId="601">
      <calculatedColumnFormula array="1">(IF(Inschrijfberekening!C6="Nieuwe Situatie",_xlfn.IFNA(_xlfn.IFS(Inschrijfberekening!E6="Bitumineuze_verhardingen",VLOOKUP(Inschrijf_Hernieuwbare_Energie_Totaal[[#This Row],[Product]]&amp;", "&amp;Inschrijf_Hernieuwbare_Energie_Totaal[[#Headers],[A1]],Database_Productkaarten[#All],47,FALSE)*Inschrijfberekening!K6,Inschrijfberekening!E6="Funderingslagen",VLOOKUP(Inschrijf_Hernieuwbare_Energie_Totaal[[#This Row],[Product]]&amp;", "&amp;Inschrijf_Hernieuwbare_Energie_Totaal[[#Headers],[A1]],Database_Productkaarten[#All],47,FALSE)*Inschrijfberekening!K6,Inschrijfberekening!E6="Grondwerken",VLOOKUP(Inschrijf_Hernieuwbare_Energie_Totaal[[#This Row],[Product]]&amp;", "&amp;Inschrijf_Hernieuwbare_Energie_Totaal[[#Headers],[A1]],Database_Productkaarten[#All],47,FALSE)*Inschrijfberekening!K6,Inschrijfberekening!E6="Categorie_1_LCA_Producten",VLOOKUP(Inschrijf_Hernieuwbare_Energie_Totaal[[#This Row],[Product]],Categorie_1_Producten[#All],20,FALSE)*(Inschrijfberekening!K6)),Referentie_Backlog!D112),0))</calculatedColumnFormula>
    </tableColumn>
    <tableColumn id="4" xr3:uid="{74FBFDE5-01EE-42D7-87E8-B5A95F710CEC}" name="A2" totalsRowFunction="sum" dataDxfId="600" totalsRowDxfId="599">
      <calculatedColumnFormula array="1">(IF(Inschrijfberekening!C6="Nieuwe Situatie",_xlfn.IFNA(_xlfn.IFS(Inschrijfberekening!E6="Bitumineuze_verhardingen",VLOOKUP(Inschrijf_Hernieuwbare_Energie_Totaal[[#This Row],[Product]]&amp;", "&amp;Inschrijf_Hernieuwbare_Energie_Totaal[[#Headers],[A2]],Database_Productkaarten[#All],47,FALSE)*Inschrijfberekening!K6,Inschrijfberekening!E6="Funderingslagen",VLOOKUP(Inschrijf_Hernieuwbare_Energie_Totaal[[#This Row],[Product]]&amp;", "&amp;Inschrijf_Hernieuwbare_Energie_Totaal[[#Headers],[A2]],Database_Productkaarten[#All],47,FALSE)*Inschrijfberekening!K6,Inschrijfberekening!E6="Grondwerken",VLOOKUP(Inschrijf_Hernieuwbare_Energie_Totaal[[#This Row],[Product]]&amp;", "&amp;Inschrijf_Hernieuwbare_Energie_Totaal[[#Headers],[A2]],Database_Productkaarten[#All],47,FALSE)*Inschrijfberekening!K6,Inschrijfberekening!E6="Categorie_1_LCA_Producten",VLOOKUP(Inschrijf_Hernieuwbare_Energie_Totaal[[#This Row],[Product]],Categorie_1_Producten[#All],21,FALSE)*(Inschrijfberekening!K6)),Referentie_Backlog!E112),0))</calculatedColumnFormula>
    </tableColumn>
    <tableColumn id="5" xr3:uid="{FAA6C160-FA0E-4C2D-A3DA-B4BE7C024528}" name="A3" totalsRowFunction="sum" dataDxfId="598" totalsRowDxfId="597">
      <calculatedColumnFormula array="1">(IF(Inschrijfberekening!C6="Nieuwe Situatie",_xlfn.IFNA(_xlfn.IFS(Inschrijfberekening!E6="Bitumineuze_verhardingen",VLOOKUP(Inschrijf_Hernieuwbare_Energie_Totaal[[#This Row],[Product]]&amp;", "&amp;Inschrijf_Hernieuwbare_Energie_Totaal[[#Headers],[A3]],Database_Productkaarten[#All],47,FALSE)*Inschrijfberekening!K6,Inschrijfberekening!E6="Funderingslagen",VLOOKUP(Inschrijf_Hernieuwbare_Energie_Totaal[[#This Row],[Product]]&amp;", "&amp;Inschrijf_Hernieuwbare_Energie_Totaal[[#Headers],[A3]],Database_Productkaarten[#All],47,FALSE)*Inschrijfberekening!K6,Inschrijfberekening!E6="Grondwerken",VLOOKUP(Inschrijf_Hernieuwbare_Energie_Totaal[[#This Row],[Product]]&amp;", "&amp;Inschrijf_Hernieuwbare_Energie_Totaal[[#Headers],[A3]],Database_Productkaarten[#All],47,FALSE)*Inschrijfberekening!K6,Inschrijfberekening!E6="Categorie_1_LCA_Producten",VLOOKUP(Inschrijf_Hernieuwbare_Energie_Totaal[[#This Row],[Product]],Categorie_1_Producten[#All],22,FALSE)*(Inschrijfberekening!K6)),Referentie_Backlog!D112),0))</calculatedColumnFormula>
    </tableColumn>
    <tableColumn id="6" xr3:uid="{038687F1-50DC-4965-9153-9AB075108C05}" name="A4" totalsRowFunction="sum" dataDxfId="596" totalsRowDxfId="595">
      <calculatedColumnFormula>(IF(Inschrijfberekening!C6="Nieuwe Situatie",_xlfn.IFNA(VLOOKUP(Inschrijfberekening!O6,Database_Transport[#All],42,FALSE)*(Inschrijfberekening!K6*Inschrijfberekening!N6),Referentie_Backlog!G112),0))</calculatedColumnFormula>
    </tableColumn>
    <tableColumn id="7" xr3:uid="{EE364DB4-F495-490C-95EB-CE5EC17C09DB}" name="A5" totalsRowFunction="sum" dataDxfId="594" totalsRowDxfId="593">
      <calculatedColumnFormula>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112)</calculatedColumnFormula>
    </tableColumn>
    <tableColumn id="8" xr3:uid="{A5402612-78A0-402C-96A5-74329D1C32BD}" name="B1" totalsRowFunction="sum" dataDxfId="592" totalsRowDxfId="591">
      <calculatedColumnFormula array="1">(IF(Inschrijfberekening!C6="Nieuwe Situatie",_xlfn.IFNA(_xlfn.IFS(Inschrijfberekening!E6="Bitumineuze_verhardingen",VLOOKUP(Inschrijf_Hernieuwbare_Energie_Totaal[[#This Row],[Product]]&amp;", "&amp;Inschrijf_Hernieuwbare_Energie_Totaal[[#Headers],[B1]],Database_Productkaarten[#All],47,FALSE)*Inschrijfberekening!K6,Inschrijfberekening!E6="Funderingslagen",VLOOKUP(Inschrijf_Hernieuwbare_Energie_Totaal[[#This Row],[Product]]&amp;", "&amp;Inschrijf_Hernieuwbare_Energie_Totaal[[#Headers],[B1]],Database_Productkaarten[#All],47,FALSE)*Inschrijfberekening!K6,Inschrijfberekening!E6="Grondwerken",VLOOKUP(Inschrijf_Hernieuwbare_Energie_Totaal[[#This Row],[Product]]&amp;", "&amp;Inschrijf_Hernieuwbare_Energie_Totaal[[#Headers],[B1]],Database_Productkaarten[#All],47,FALSE)*Inschrijfberekening!K6,Inschrijfberekening!E6="Categorie_1_LCA_Producten",VLOOKUP(Inschrijf_Hernieuwbare_Energie_Totaal[[#This Row],[Product]],Categorie_1_Producten[#All],23,FALSE)*(Inschrijfberekening!K6)),Referentie_Backlog!D112),0))</calculatedColumnFormula>
    </tableColumn>
    <tableColumn id="9" xr3:uid="{6A7F9BA2-3732-472B-97FC-D6990B9DC9EC}" name="B4" totalsRowFunction="sum" dataDxfId="590" totalsRowDxfId="589">
      <calculatedColumnFormula>(IF(Inschrijfberekening!C6="Nieuwe Situatie",_xlfn.IFNA(SUM(Inschrijf_Hernieuwbare_Energie_Totaal[[#This Row],[A1]:[B1]],Inschrijf_Hernieuwbare_Energie_Totaal[[#This Row],[C1]:[D2]])*Inschrijfberekening!M6,0),0))</calculatedColumnFormula>
    </tableColumn>
    <tableColumn id="10" xr3:uid="{6106D5CF-989C-4144-BE76-B66AFCDE5748}" name="C1" totalsRowFunction="sum" dataDxfId="588" totalsRowDxfId="587">
      <calculatedColumnFormula>(IF(Inschrijfberekening!C6="Bestaande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112,IFERROR((VLOOKUP(Inschrijfberekening!R6,Database_Asfalt_Verwijderset[#All],42,FALSE)*Inschrijfberekening!K6),0)+IFERROR((VLOOKUP(Inschrijfberekening!S6,Database_Overig_Materieel[#All],42,FALSE)*(Inschrijfberekening!L6/VLOOKUP(Inschrijfberekening!S6,Database_Overig_Materieel[#All],42,FALSE))),0)),0))</calculatedColumnFormula>
    </tableColumn>
    <tableColumn id="11" xr3:uid="{739CF28F-79A5-4E8B-BB61-FB8BAD1A298D}" name="C2" totalsRowFunction="sum" dataDxfId="586" totalsRowDxfId="585">
      <calculatedColumnFormula>(IF(Inschrijfberekening!C6="Bestaande Situatie",_xlfn.IFNA(VLOOKUP(Inschrijfberekening!U6,Database_Transport[#All],42,FALSE)*(Inschrijfberekening!K6*Inschrijfberekening!T6),Referentie_Backlog!L112),0))</calculatedColumnFormula>
    </tableColumn>
    <tableColumn id="12" xr3:uid="{9B4DCE17-6195-4B4D-95D9-FD22CEE44742}" name="C3" totalsRowFunction="sum" dataDxfId="584" totalsRowDxfId="583">
      <calculatedColumnFormula>(IF(Inschrijfberekening!C6="Bestaande Situatie",_xlfn.IFNA(VLOOKUP(Inschrijfberekening!V6,Database_Asfalt_Verwerkingsset[#All],42,FALSE)*(Inschrijfberekening!K6/VLOOKUP(Inschrijfberekening!V6,Database_Asfalt_Verwerkingsset[#All],42,FALSE)),Referentie_Backlog!M112),0))</calculatedColumnFormula>
    </tableColumn>
    <tableColumn id="13" xr3:uid="{E0456EE4-0FB1-47A1-A025-8F0FFC4F04D1}" name="C4" totalsRowFunction="sum" dataDxfId="582" totalsRowDxfId="581">
      <calculatedColumnFormula>(IF(Inschrijfberekening!C6="Bestaande Situatie",_xlfn.IFNA(VLOOKUP(Inschrijf_Hernieuwbare_Energie_Totaal[[#This Row],[Product]]&amp;", "&amp;Inschrijf_MKI_Totaal[[#Headers],[C4]],Database_Productkaarten[#All],47,FALSE)*Inschrijfberekening!K6,Referentie_Backlog!N112),0))</calculatedColumnFormula>
    </tableColumn>
    <tableColumn id="14" xr3:uid="{DE7908D5-CA26-447D-B96E-70B9D627CEF5}" name="D1" totalsRowFunction="sum" dataDxfId="580" totalsRowDxfId="579">
      <calculatedColumnFormula array="1">_xlfn.IFNA((IF(Inschrijfberekening!C6="Bestaande Situatie",_xlfn.IFS(Inschrijfberekening!E6="Bitumineuze_verhardingen",VLOOKUP(Inschrijf_Hernieuwbare_Energie_Totaal[[#This Row],[Product]]&amp;", "&amp;Inschrijf_Hernieuwbare_Energie_Totaal[[#Headers],[D1]],Database_Productkaarten[#All],47,FALSE)*Inschrijfberekening!K6,Inschrijfberekening!E6="Funderingslagen",VLOOKUP(Inschrijf_Hernieuwbare_Energie_Totaal[[#This Row],[Product]]&amp;", "&amp;Inschrijf_Hernieuwbare_Energie_Totaal[[#Headers],[D1]],Database_Productkaarten[#All],47,FALSE)*Inschrijfberekening!K6,Inschrijfberekening!E6="Grondwerken",VLOOKUP(Inschrijf_Hernieuwbare_Energie_Totaal[[#This Row],[Product]]&amp;", "&amp;Inschrijf_Hernieuwbare_Energie_Totaal[[#Headers],[D1]],Database_Productkaarten[#All],47,FALSE)*Inschrijfberekening!K6,Inschrijfberekening!E6="Categorie_1_LCA_Producten",VLOOKUP(Inschrijf_Hernieuwbare_Energie_Totaal[[#This Row],[Product]],Categorie_1_Producten[#All],24,FALSE)*(Inschrijfberekening!K6)),0)),Referentie_Backlog!O112)</calculatedColumnFormula>
    </tableColumn>
    <tableColumn id="15" xr3:uid="{66D5F26D-DCAA-4343-8895-169579838D83}" name="D2" totalsRowFunction="sum" dataDxfId="578" totalsRowDxfId="577">
      <calculatedColumnFormula array="1">_xlfn.IFNA((IF(Inschrijfberekening!C6="Bestaande Situatie",_xlfn.IFS(Inschrijfberekening!E6="Bitumineuze_verhardingen",VLOOKUP(Inschrijf_Hernieuwbare_Energie_Totaal[[#This Row],[Product]]&amp;", "&amp;Inschrijf_Hernieuwbare_Energie_Totaal[[#Headers],[D2]],Database_Productkaarten[#All],47,FALSE)*Inschrijfberekening!K6,Inschrijfberekening!E6="Funderingslagen",VLOOKUP(Inschrijf_Hernieuwbare_Energie_Totaal[[#This Row],[Product]]&amp;", "&amp;Inschrijf_Hernieuwbare_Energie_Totaal[[#Headers],[D2]],Database_Productkaarten[#All],47,FALSE)*Inschrijfberekening!K6,Inschrijfberekening!E6="Grondwerken",VLOOKUP(Inschrijf_Hernieuwbare_Energie_Totaal[[#This Row],[Product]]&amp;", "&amp;Inschrijf_Hernieuwbare_Energie_Totaal[[#Headers],[D2]],Database_Productkaarten[#All],47,FALSE)*Inschrijfberekening!K6,Inschrijfberekening!E6="Categorie_1_LCA_Producten",VLOOKUP(Inschrijf_Hernieuwbare_Energie_Totaal[[#This Row],[Product]],Categorie_1_Producten[#All],25,FALSE)*(Inschrijfberekening!K6)),0)),Referentie_Backlog!P112)</calculatedColumnFormula>
    </tableColumn>
    <tableColumn id="16" xr3:uid="{41FF71B5-4C5C-4940-8E4C-6F60BF1144FC}" name="Totaal" totalsRowFunction="sum" dataDxfId="576" totalsRowDxfId="575">
      <calculatedColumnFormula>SUM(Inschrijf_Hernieuwbare_Energie_Totaal[[#This Row],[A1]:[D2]])</calculatedColumnFormula>
    </tableColumn>
  </tableColumns>
  <tableStyleInfo name="TableStyleMedium1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19E1BE6-68A0-4A91-9E5A-672DFADF89D7}" name="Inschrijf_Fossiele_Energie_Totaal" displayName="Inschrijf_Fossiele_Energie_Totaal" ref="B83:Q99" totalsRowCount="1" headerRowDxfId="574" dataDxfId="573" totalsRowDxfId="572">
  <autoFilter ref="B83:Q98" xr:uid="{919E1BE6-68A0-4A91-9E5A-672DFADF89D7}"/>
  <tableColumns count="16">
    <tableColumn id="1" xr3:uid="{B695A6BC-C831-42C5-856E-78621199F481}" name="Bestekspost" totalsRowLabel="Totaal" dataDxfId="571" totalsRowDxfId="570">
      <calculatedColumnFormula>Inschrijfberekening!B6</calculatedColumnFormula>
    </tableColumn>
    <tableColumn id="2" xr3:uid="{C7ADBC2A-FBC1-48A7-84A1-CDFCD213D771}" name="Product" dataDxfId="569" totalsRowDxfId="568">
      <calculatedColumnFormula>Inschrijfberekening!F6</calculatedColumnFormula>
    </tableColumn>
    <tableColumn id="3" xr3:uid="{A41ACABA-6B3C-4022-947B-C44A27B43AC2}" name="A1" totalsRowFunction="sum" dataDxfId="567" totalsRowDxfId="566">
      <calculatedColumnFormula array="1">(IF(Inschrijfberekening!C6="Nieuwe Situatie",_xlfn.IFNA(_xlfn.IFS(Inschrijfberekening!E6="Bitumineuze_verhardingen",VLOOKUP(Inschrijf_Fossiele_Energie_Totaal[[#This Row],[Product]]&amp;", "&amp;Inschrijf_Fossiele_Energie_Totaal[[#Headers],[A1]],Database_Productkaarten[#All],50,FALSE)*Inschrijfberekening!K6,Inschrijfberekening!E6="Funderingslagen",VLOOKUP(Inschrijf_Fossiele_Energie_Totaal[[#This Row],[Product]]&amp;", "&amp;Inschrijf_Fossiele_Energie_Totaal[[#Headers],[A1]],Database_Productkaarten[#All],22,FALSE)*Inschrijfberekening!K6,Inschrijfberekening!E6="Grondwerken",VLOOKUP(Inschrijf_Fossiele_Energie_Totaal[[#This Row],[Product]]&amp;", "&amp;Inschrijf_Fossiele_Energie_Totaal[[#Headers],[A1]],Database_Productkaarten[#All],22,FALSE)*Inschrijfberekening!K6,Inschrijfberekening!E6="Categorie_1_LCA_Producten",VLOOKUP(Inschrijf_Fossiele_Energie_Totaal[[#This Row],[Product]],Categorie_1_Producten[#All],26,FALSE)*(Inschrijfberekening!K6)),Referentie_Backlog!D148),0))</calculatedColumnFormula>
    </tableColumn>
    <tableColumn id="4" xr3:uid="{C9B96C60-8DCE-4380-BE95-9AC21C8D211D}" name="A2" totalsRowFunction="sum" dataDxfId="565" totalsRowDxfId="564">
      <calculatedColumnFormula array="1">(IF(Inschrijfberekening!C6="Nieuwe Situatie",_xlfn.IFNA(_xlfn.IFS(Inschrijfberekening!E6="Bitumineuze_verhardingen",VLOOKUP(Inschrijf_Fossiele_Energie_Totaal[[#This Row],[Product]]&amp;", "&amp;Inschrijf_Fossiele_Energie_Totaal[[#Headers],[A2]],Database_Productkaarten[#All],50,FALSE)*Inschrijfberekening!K6,Inschrijfberekening!E6="Funderingslagen",VLOOKUP(Inschrijf_Fossiele_Energie_Totaal[[#This Row],[Product]]&amp;", "&amp;Inschrijf_Fossiele_Energie_Totaal[[#Headers],[A2]],Database_Productkaarten[#All],50,FALSE)*Inschrijfberekening!K6,Inschrijfberekening!E6="Grondwerken",VLOOKUP(Inschrijf_Fossiele_Energie_Totaal[[#This Row],[Product]]&amp;", "&amp;Inschrijf_Fossiele_Energie_Totaal[[#Headers],[A2]],Database_Productkaarten[#All],50,FALSE)*Inschrijfberekening!K6,Inschrijfberekening!E6="Categorie_1_LCA_Producten",VLOOKUP(Inschrijf_Fossiele_Energie_Totaal[[#This Row],[Product]],Categorie_1_Producten[#All],27,FALSE)*(Inschrijfberekening!K6)),Referentie_Backlog!D148),0))</calculatedColumnFormula>
    </tableColumn>
    <tableColumn id="5" xr3:uid="{73363623-7747-4BAF-B7ED-1FC63D8074FD}" name="A3" totalsRowFunction="sum" dataDxfId="563" totalsRowDxfId="562">
      <calculatedColumnFormula array="1">(IF(Inschrijfberekening!C6="Nieuwe Situatie",_xlfn.IFNA(_xlfn.IFS(Inschrijfberekening!E6="Bitumineuze_verhardingen",VLOOKUP(Inschrijf_Fossiele_Energie_Totaal[[#This Row],[Product]]&amp;", "&amp;Inschrijf_Fossiele_Energie_Totaal[[#Headers],[A3]],Database_Productkaarten[#All],50,FALSE)*Inschrijfberekening!K6,Inschrijfberekening!E6="Funderingslagen",VLOOKUP(Inschrijf_Fossiele_Energie_Totaal[[#This Row],[Product]]&amp;", "&amp;Inschrijf_Fossiele_Energie_Totaal[[#Headers],[A3]],Database_Productkaarten[#All],50,FALSE)*Inschrijfberekening!K6,Inschrijfberekening!E6="Grondwerken",VLOOKUP(Inschrijf_Fossiele_Energie_Totaal[[#This Row],[Product]]&amp;", "&amp;Inschrijf_Fossiele_Energie_Totaal[[#Headers],[A3]],Database_Productkaarten[#All],50,FALSE)*Inschrijfberekening!K6,Inschrijfberekening!E6="Categorie_1_LCA_Producten",VLOOKUP(Inschrijf_Fossiele_Energie_Totaal[[#This Row],[Product]],Categorie_1_Producten[#All],28,FALSE)*(Inschrijfberekening!K6)),Referentie_Backlog!D148),0))</calculatedColumnFormula>
    </tableColumn>
    <tableColumn id="6" xr3:uid="{2C6D05E0-20CF-41E3-A22E-EA933A3C9046}" name="A4" totalsRowFunction="sum" dataDxfId="561" totalsRowDxfId="560">
      <calculatedColumnFormula>(IF(Inschrijfberekening!C6="Nieuwe Situatie",_xlfn.IFNA(VLOOKUP(Inschrijfberekening!K38,Database_Transport[#All],45,FALSE)*(Inschrijfberekening!K6*Inschrijfberekening!N6),Referentie_Backlog!G148),0))</calculatedColumnFormula>
    </tableColumn>
    <tableColumn id="7" xr3:uid="{0EC19A9E-CFB1-44F9-AFBB-DDEA2540BD67}" name="A5" totalsRowFunction="sum" dataDxfId="559" totalsRowDxfId="558">
      <calculatedColumnFormula>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148)</calculatedColumnFormula>
    </tableColumn>
    <tableColumn id="8" xr3:uid="{F0D6C022-E33C-40BF-BF68-F1DFED969340}" name="B1" totalsRowFunction="sum" dataDxfId="557" totalsRowDxfId="556">
      <calculatedColumnFormula array="1">(IF(Inschrijfberekening!C6="Nieuwe Situatie",_xlfn.IFNA(_xlfn.IFS(Inschrijfberekening!E6="Bitumineuze_verhardingen",VLOOKUP(Inschrijf_Fossiele_Energie_Totaal[[#This Row],[Product]]&amp;", "&amp;Inschrijf_Fossiele_Energie_Totaal[[#Headers],[B1]],Database_Productkaarten[#All],50,FALSE)*Inschrijfberekening!K6,Inschrijfberekening!E6="Funderingslagen",VLOOKUP(Inschrijf_Fossiele_Energie_Totaal[[#This Row],[Product]]&amp;", "&amp;Inschrijf_Fossiele_Energie_Totaal[[#Headers],[B1]],Database_Productkaarten[#All],50,FALSE)*Inschrijfberekening!K6,Inschrijfberekening!E6="Grondwerken",VLOOKUP(Inschrijf_Fossiele_Energie_Totaal[[#This Row],[Product]]&amp;", "&amp;Inschrijf_Fossiele_Energie_Totaal[[#Headers],[B1]],Database_Productkaarten[#All],50,FALSE)*Inschrijfberekening!K6,Inschrijfberekening!E6="Categorie_1_LCA_Producten",VLOOKUP(Inschrijf_Fossiele_Energie_Totaal[[#This Row],[Product]],Categorie_1_Producten[#All],29,FALSE)*(Inschrijfberekening!K6)),Referentie_Backlog!D148),0))</calculatedColumnFormula>
    </tableColumn>
    <tableColumn id="9" xr3:uid="{BF26AFB5-3F59-4499-B45E-F787B7141786}" name="B4" totalsRowFunction="sum" dataDxfId="555" totalsRowDxfId="554">
      <calculatedColumnFormula>(IF(Inschrijfberekening!C6="Nieuwe Situatie",_xlfn.IFNA(SUM(Inschrijf_Fossiele_Energie_Totaal[[#This Row],[A1]:[B1]],Inschrijf_Fossiele_Energie_Totaal[[#This Row],[C1]:[D2]])*Inschrijfberekening!M6,0),0))</calculatedColumnFormula>
    </tableColumn>
    <tableColumn id="10" xr3:uid="{039CCAE9-D435-4F1B-AD1A-DF50ACB0A5AB}" name="C1" totalsRowFunction="sum" dataDxfId="553" totalsRowDxfId="552">
      <calculatedColumnFormula>(IF(Inschrijfberekening!C6="Bestaande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148,IFERROR((VLOOKUP(Inschrijfberekening!R6,Database_Asfalt_Verwijderset[#All],45,FALSE)*Inschrijfberekening!K6),0)+IFERROR((VLOOKUP(Inschrijfberekening!S6,Database_Overig_Materieel[#All],45,FALSE)*(Inschrijfberekening!L6/VLOOKUP(Inschrijfberekening!S6,Database_Overig_Materieel[#All],45,FALSE))),0)),0))</calculatedColumnFormula>
    </tableColumn>
    <tableColumn id="11" xr3:uid="{903B9715-3059-4205-8BE6-B47E32B27BB6}" name="C2" totalsRowFunction="sum" dataDxfId="551" totalsRowDxfId="550">
      <calculatedColumnFormula>(IF(Inschrijfberekening!C6="Bestaande Situatie",_xlfn.IFNA(VLOOKUP(Inschrijfberekening!U6,Database_Transport[#All],45,FALSE)*(Inschrijfberekening!K6*Inschrijfberekening!T6),Referentie_Backlog!L148),0))</calculatedColumnFormula>
    </tableColumn>
    <tableColumn id="12" xr3:uid="{FF7EFFE5-5429-4B23-A969-C951F608E981}" name="C3" totalsRowFunction="sum" dataDxfId="549" totalsRowDxfId="548">
      <calculatedColumnFormula>(IF(Inschrijfberekening!C6="Bestaande Situatie",_xlfn.IFNA(VLOOKUP(Inschrijfberekening!V6,Database_Asfalt_Verwerkingsset[#All],45,FALSE)*(Inschrijfberekening!K6/VLOOKUP(Inschrijfberekening!V6,Database_Asfalt_Verwerkingsset[#All],45,FALSE)),Referentie_Backlog!M148),0))</calculatedColumnFormula>
    </tableColumn>
    <tableColumn id="13" xr3:uid="{4353E183-7C57-43E9-A988-093DB34536FA}" name="C4" totalsRowFunction="sum" dataDxfId="547" totalsRowDxfId="546">
      <calculatedColumnFormula>(IF(Inschrijfberekening!C6="Bestaande Situatie",_xlfn.IFNA(VLOOKUP(Inschrijf_Fossiele_Energie_Totaal[[#This Row],[Product]]&amp;", "&amp;Inschrijf_MKI_Totaal[[#Headers],[C4]],Database_Productkaarten[#All],50,FALSE)*Inschrijfberekening!K6,Referentie_Backlog!N148),0))</calculatedColumnFormula>
    </tableColumn>
    <tableColumn id="14" xr3:uid="{A64CEFEF-8BE8-4C85-8DA8-BAA6DB938A7D}" name="D1" totalsRowFunction="sum" dataDxfId="545" totalsRowDxfId="544">
      <calculatedColumnFormula array="1">(IF(Inschrijfberekening!C6="Bestaande Situatie",_xlfn.IFNA((IF(Inschrijfberekening!C6="Nieuwe Situatie",_xlfn.IFS(Inschrijfberekening!E6="Bitumineuze_verhardingen",VLOOKUP(Inschrijf_Fossiele_Energie_Totaal[[#This Row],[Product]]&amp;", "&amp;Inschrijf_Fossiele_Energie_Totaal[[#Headers],[D1]],Database_Productkaarten[#All],50,FALSE)*Inschrijfberekening!K6,Inschrijfberekening!E6="Funderingslagen",VLOOKUP(Inschrijf_Fossiele_Energie_Totaal[[#This Row],[Product]]&amp;", "&amp;Inschrijf_Fossiele_Energie_Totaal[[#Headers],[D1]],Database_Productkaarten[#All],50,FALSE)*Inschrijfberekening!K6,Inschrijfberekening!E6="Grondwerken",VLOOKUP(Inschrijf_Fossiele_Energie_Totaal[[#This Row],[Product]]&amp;", "&amp;Inschrijf_Fossiele_Energie_Totaal[[#Headers],[D1]],Database_Productkaarten[#All],50,FALSE)*Inschrijfberekening!K6,Inschrijfberekening!E6="Categorie_1_LCA_Producten",VLOOKUP(Inschrijf_Fossiele_Energie_Totaal[[#This Row],[Product]],Categorie_1_Producten[#All],30,FALSE)*(Inschrijfberekening!K6)),0)),Referentie_Backlog!P148),0))</calculatedColumnFormula>
    </tableColumn>
    <tableColumn id="15" xr3:uid="{F2A0309E-F8B8-4DF9-9D5A-76AB336CBEA6}" name="D2" totalsRowFunction="sum" dataDxfId="543" totalsRowDxfId="542">
      <calculatedColumnFormula array="1">(IF(Inschrijfberekening!C6="Bestaande Situatie",_xlfn.IFNA((IF(Inschrijfberekening!C6="Nieuwe Situatie",_xlfn.IFS(Inschrijfberekening!E6="Bitumineuze_verhardingen",VLOOKUP(Inschrijf_Fossiele_Energie_Totaal[[#This Row],[Product]]&amp;", "&amp;Inschrijf_Fossiele_Energie_Totaal[[#Headers],[D2]],Database_Productkaarten[#All],50,FALSE)*Inschrijfberekening!K6,Inschrijfberekening!E6="Funderingslagen",VLOOKUP(Inschrijf_Fossiele_Energie_Totaal[[#This Row],[Product]]&amp;", "&amp;Inschrijf_Fossiele_Energie_Totaal[[#Headers],[D2]],Database_Productkaarten[#All],50,FALSE)*Inschrijfberekening!K6,Inschrijfberekening!E6="Grondwerken",VLOOKUP(Inschrijf_Fossiele_Energie_Totaal[[#This Row],[Product]]&amp;", "&amp;Inschrijf_Fossiele_Energie_Totaal[[#Headers],[D2]],Database_Productkaarten[#All],50,FALSE)*Inschrijfberekening!K6,Inschrijfberekening!E6="Categorie_1_LCA_Producten",VLOOKUP(Inschrijf_Fossiele_Energie_Totaal[[#This Row],[Product]],Categorie_1_Producten[#All],31,FALSE)*(Inschrijfberekening!K6)),0)),Referentie_Backlog!P148),0))</calculatedColumnFormula>
    </tableColumn>
    <tableColumn id="16" xr3:uid="{5A90C467-1BFA-42F5-9779-04B4173F71CA}" name="Totaal" totalsRowFunction="sum" dataDxfId="541" totalsRowDxfId="540">
      <calculatedColumnFormula>SUM(Inschrijf_Fossiele_Energie_Totaal[[#This Row],[A1]:[D2]])</calculatedColumnFormula>
    </tableColumn>
  </tableColumns>
  <tableStyleInfo name="TableStyleMedium1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FB10AA4-2C83-4389-A7A5-94AE34C46460}" name="Inschrijf_Transport_Totaal" displayName="Inschrijf_Transport_Totaal" ref="B103:N119" totalsRowCount="1" dataDxfId="538" headerRowBorderDxfId="539" tableBorderDxfId="537">
  <autoFilter ref="B103:N118" xr:uid="{FFB10AA4-2C83-4389-A7A5-94AE34C46460}"/>
  <tableColumns count="13">
    <tableColumn id="1" xr3:uid="{089D363E-34B4-4256-A559-047703DAFA6D}" name="Bestekspost" totalsRowLabel="Totaal" dataDxfId="536" totalsRowDxfId="535">
      <calculatedColumnFormula>Inschrijfberekening!B6</calculatedColumnFormula>
    </tableColumn>
    <tableColumn id="2" xr3:uid="{F84AA0A0-99BD-4E30-8439-F8E2B8741CF5}" name="Product" dataDxfId="534" totalsRowDxfId="533">
      <calculatedColumnFormula>Inschrijfberekening!F6</calculatedColumnFormula>
    </tableColumn>
    <tableColumn id="3" xr3:uid="{4EA2D403-6B48-4ABD-A300-4FDF48F936C0}" name="Transport naar bouwplaats [tkm]" totalsRowFunction="sum" dataDxfId="532" totalsRowDxfId="531">
      <calculatedColumnFormula>(IF(Inschrijfberekening!C6="Nieuwe Situatie",(Inschrijfberekening!N6),0)*Inschrijfberekening!K6)</calculatedColumnFormula>
    </tableColumn>
    <tableColumn id="4" xr3:uid="{B9CB135F-F401-4D18-97F7-89A00F670EF1}" name="Transport naar verwerker [tkm]" totalsRowFunction="sum" dataDxfId="530" totalsRowDxfId="529">
      <calculatedColumnFormula>(IF(Inschrijfberekening!C6="Nieuwe Situatie",(Inschrijfberekening!T6),(Inschrijfberekening!T6))*Inschrijfberekening!K6)</calculatedColumnFormula>
    </tableColumn>
    <tableColumn id="5" xr3:uid="{CA65D621-FFB5-4172-B602-6D045BDD72C6}" name="Emissieloos Transport naar bouwplaats?" totalsRowFunction="sum" dataDxfId="528" totalsRowDxfId="527">
      <calculatedColumnFormula array="1">_xlfn.IFNA(_xlfn.IFS(Inschrijfberekening!O6="Vrachtwagen (&gt;32 ton), elektrisch groen","Ja",Inschrijfberekening!O6="Vrachtwagen (&gt;32 ton), elektrisch grijs","Ja"),"Nee")</calculatedColumnFormula>
    </tableColumn>
    <tableColumn id="6" xr3:uid="{B9B1747C-5608-4AB5-87B6-389DAD63B834}" name="Emissieloos Transport naar verwerker?" totalsRowFunction="sum" dataDxfId="526" totalsRowDxfId="525">
      <calculatedColumnFormula array="1">_xlfn.IFNA(_xlfn.IFS(Inschrijfberekening!U6="Vrachtwagen (&gt;32 ton), elektrisch groen","Ja",Inschrijfberekening!U6="Vrachtwagen (&gt;32 ton), elektrisch grijs","Ja"),"Nee")</calculatedColumnFormula>
    </tableColumn>
    <tableColumn id="7" xr3:uid="{04FC3552-9DF9-4115-BB07-2407C10C7066}" name="Emissieloos Transport" totalsRowFunction="sum" dataDxfId="524" totalsRowDxfId="523">
      <calculatedColumnFormula>IF(Inschrijf_Transport_Totaal[[#This Row],[Emissieloos Transport naar bouwplaats?]]="JA",Inschrijf_Transport_Totaal[[#This Row],[Transport naar bouwplaats '[tkm']]],0)+IF(Inschrijf_Transport_Totaal[[#This Row],[Emissieloos Transport naar verwerker?]]="JA",Inschrijf_Transport_Totaal[[#This Row],[Transport naar verwerker '[tkm']]],0)</calculatedColumnFormula>
    </tableColumn>
    <tableColumn id="9" xr3:uid="{BBA81D8E-4DB5-4C48-8748-E97844B9E7E7}" name="Transport naar bouwplaats Vervangingen [tkm]" totalsRowFunction="sum" dataDxfId="522" totalsRowDxfId="521">
      <calculatedColumnFormula>(IF(Inschrijfberekening!C6="Nieuwe Situatie",(Inschrijfberekening!N6),0)*Inschrijfberekening!K6)*Inschrijfberekening!M6</calculatedColumnFormula>
    </tableColumn>
    <tableColumn id="8" xr3:uid="{1C198CF7-1613-4A82-9472-2B507D3F9A02}" name="Transport naar verwerker Vervangingen [tkm]" totalsRowFunction="sum" dataDxfId="520" totalsRowDxfId="519">
      <calculatedColumnFormula>(IF(Inschrijfberekening!C6="Nieuwe Situatie",(Inschrijfberekening!T6),(Inschrijfberekening!T6))*Inschrijfberekening!K6)*Inschrijfberekening!M6</calculatedColumnFormula>
    </tableColumn>
    <tableColumn id="10" xr3:uid="{4CE6A70B-0F16-426A-ACB6-D48A54FD9361}" name="Emissieloos Transport Vervangingen" totalsRowFunction="sum" dataDxfId="518" totalsRowDxfId="517">
      <calculatedColumnFormula>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calculatedColumnFormula>
    </tableColumn>
    <tableColumn id="11" xr3:uid="{20258A10-8831-4A03-A2DF-AED8EB0FF928}" name="Totaal Emissieloos Transport" totalsRowFunction="sum" dataDxfId="516" totalsRowDxfId="515">
      <calculatedColumnFormula>Inschrijf_Transport_Totaal[[#This Row],[Emissieloos Transport]]+Inschrijf_Transport_Totaal[[#This Row],[Emissieloos Transport Vervangingen]]</calculatedColumnFormula>
    </tableColumn>
    <tableColumn id="12" xr3:uid="{0FFD727B-C5F6-4F38-B21F-242300A53950}" name="Totaal Niet Emissieloos Transport" totalsRowFunction="sum" dataDxfId="514" totalsRowDxfId="513">
      <calculatedColumnFormula>(Inschrijf_Transport_Totaal[[#This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calculatedColumnFormula>
    </tableColumn>
    <tableColumn id="13" xr3:uid="{EBA447B9-0211-496F-A4C0-42C86020DC34}" name="Totaal Transport" totalsRowFunction="sum" dataDxfId="512" totalsRowDxfId="511">
      <calculatedColumnFormula>Inschrijf_Transport_Totaal[[#This Row],[Totaal Emissieloos Transport]]+Inschrijf_Transport_Totaal[[#This Row],[Totaal Niet Emissieloos Transport]]</calculatedColumnFormula>
    </tableColumn>
  </tableColumns>
  <tableStyleInfo name="TableStyleMedium1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DA17722-7282-45E0-9416-69E65A00AD2E}" name="Inschrijf_Bouwplaats_Totaal" displayName="Inschrijf_Bouwplaats_Totaal" ref="B123:T139" totalsRowCount="1" dataDxfId="509" headerRowBorderDxfId="510" tableBorderDxfId="508">
  <autoFilter ref="B123:T138" xr:uid="{8DA17722-7282-45E0-9416-69E65A00AD2E}"/>
  <tableColumns count="19">
    <tableColumn id="1" xr3:uid="{133B4394-52AE-4EAE-AC48-DCA3321FC4BC}" name="Bestekspost" totalsRowLabel="Totaal" dataDxfId="507" totalsRowDxfId="506">
      <calculatedColumnFormula>Inschrijfberekening!B6</calculatedColumnFormula>
    </tableColumn>
    <tableColumn id="2" xr3:uid="{482124C4-09E1-49EE-9C41-CA2104A6C047}" name="Product" dataDxfId="505" totalsRowDxfId="504">
      <calculatedColumnFormula>Inschrijfberekening!F6</calculatedColumnFormula>
    </tableColumn>
    <tableColumn id="3" xr3:uid="{036DEA3D-1C95-4FC9-A83A-6C6934ABB33E}" name="Draaiuren Bouw Asfalt" totalsRowFunction="sum" dataDxfId="503" totalsRowDxfId="502">
      <calculatedColumnFormula array="1">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calculatedColumnFormula>
    </tableColumn>
    <tableColumn id="11" xr3:uid="{DB254DA3-D2C3-4170-B1E6-C839F6019767}" name="Draaiuren Bouw Overig" totalsRowFunction="sum" dataDxfId="501" totalsRowDxfId="500">
      <calculatedColumnFormula array="1">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calculatedColumnFormula>
    </tableColumn>
    <tableColumn id="4" xr3:uid="{26CB9A2D-19DA-4DC4-A12A-23F47E1A8192}" name="Draaiuren Verwijder Asfalt" totalsRowFunction="sum" dataDxfId="499" totalsRowDxfId="498">
      <calculatedColumnFormula array="1">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calculatedColumnFormula>
    </tableColumn>
    <tableColumn id="12" xr3:uid="{02AE46FE-AA10-4294-815A-A83835BFE79D}" name="Draaiuren Verwijder Overig" totalsRowFunction="sum" dataDxfId="497" totalsRowDxfId="496">
      <calculatedColumnFormula array="1">_xlfn.IFNA((_xlfn.IFS(Inschrijfberekening!E6="Funderingslagen",(Inschrijfberekening!L6/VLOOKUP(Inschrijfberekening!S6,Database_Overig_Materieel[#All],8,FALSE)),Inschrijfberekening!E6="Grondwerken",(Inschrijfberekening!L6/VLOOKUP(Inschrijfberekening!S6,Database_Overig_Materieel[#All],8,FALSE)))),0)</calculatedColumnFormula>
    </tableColumn>
    <tableColumn id="5" xr3:uid="{AFCBB19F-0760-4756-B3ED-93507105FD40}" name="Emissieloos Asfalt Aanlegset" totalsRowFunction="sum" dataDxfId="495" totalsRowDxfId="494">
      <calculatedColumnFormula array="1">_xlfn.IFNA(_xlfn.IFS(Inschrijfberekening!P6="400 ton/dag - Elektrisch groen","Ja",Inschrijfberekening!P6="1000 ton/dag - Elektrisch groen","Ja",Inschrijfberekening!P6="2000 ton/dag - Elektrisch groen","Ja",Inschrijfberekening!P6="400 ton/dag - Elektrisch grijs","Ja",Inschrijfberekening!P6="1000 ton/dag - Elektrisch grijs","Ja",Inschrijfberekening!P6="2000 ton/dag - Elektrisch grijs","Ja"),"Nee")</calculatedColumnFormula>
    </tableColumn>
    <tableColumn id="8" xr3:uid="{C4020CA7-CA0F-4D04-8990-1285374DFC49}" name="Emissieloos Bouwmaterieel" dataDxfId="493" totalsRowDxfId="492">
      <calculatedColumnFormula array="1">_xlfn.IFNA(_xlfn.IFS(Inschrijfberekening!Q6="Graafmachine, Elektrisch groen","Ja",Inschrijfberekening!Q6="Graafmachine, Elektrisch grijs","Ja",Inschrijfberekening!Q6="Wiellader, Elektrisch groen","Ja",Inschrijfberekening!Q6="Wiellader, Elektrisch grijs","Ja",Inschrijfberekening!Q6="Bulldozer, Elektrisch groen","Ja",Inschrijfberekening!Q6="Bulldozer, Elektrisch groen","Ja"),"Nee")</calculatedColumnFormula>
    </tableColumn>
    <tableColumn id="6" xr3:uid="{807FCFE3-D2F3-4AF2-A1E8-8D72651EDABC}" name="Emissieloos Asfalt Verwijderset" totalsRowFunction="sum" dataDxfId="491" totalsRowDxfId="490">
      <calculatedColumnFormula array="1">_xlfn.IFNA(_xlfn.IFS(Inschrijfberekening!R6="400 ton/dag - Elektrisch groen","Ja",Inschrijfberekening!R6="1000 ton/dag - Elektrisch groen","Ja",Inschrijfberekening!R6="2000 ton/dag - Elektrisch groen","Ja",Inschrijfberekening!R6="400 ton/dag - Elektrisch grijs","Ja",Inschrijfberekening!R6="1000 ton/dag - Elektrisch grijs","Ja",Inschrijfberekening!R6="2000 ton/dag - Elektrisch grijs","Ja"),"Nee")</calculatedColumnFormula>
    </tableColumn>
    <tableColumn id="10" xr3:uid="{43CCF251-8AD5-466F-8B5A-08E38CED30DF}" name="Emissieloos Sloopmaterieel" dataDxfId="489" totalsRowDxfId="488">
      <calculatedColumnFormula array="1">_xlfn.IFNA(_xlfn.IFS(Inschrijfberekening!S6="Graafmachine, Elektrisch groen","Ja",Inschrijfberekening!S6="Graafmachine, Elektrisch grijs","Ja",Inschrijfberekening!S6="Wiellader, Elektrisch groen","Ja",Inschrijfberekening!S6="Wiellader, Elektrisch grijs","Ja",Inschrijfberekening!S6="Bulldozer, Elektrisch groen","Ja",Inschrijfberekening!S6="Bulldozer, Elektrisch groen","Ja"),"Nee")</calculatedColumnFormula>
    </tableColumn>
    <tableColumn id="7" xr3:uid="{6D1DD374-DB3A-42C0-BB8F-293572E34394}" name="Emissieloos bouwplaats" totalsRowFunction="sum" dataDxfId="487" totalsRowDxfId="486">
      <calculatedColumnFormula>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calculatedColumnFormula>
    </tableColumn>
    <tableColumn id="9" xr3:uid="{1375E42C-5582-49F0-89DC-660BEFC91363}" name="Draaiuren Bouw Asfalt Vervangingen" totalsRowFunction="sum" dataDxfId="485" totalsRowDxfId="484">
      <calculatedColumnFormula array="1">(_xlfn.IFNA((_xlfn.IFS(Inschrijfberekening!C6="Bestaande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situatie",0,Inschrijfberekening!E6="Bitumineuze_verhardingen",(Inschrijfberekening!K6/(VLOOKUP(Inschrijfberekening!P6,Database_Asfalt_Aanlegset[#All],60,FALSE)/8)))),0)*Inschrijfberekening!M6)*Inschrijfberekening!M6</calculatedColumnFormula>
    </tableColumn>
    <tableColumn id="13" xr3:uid="{CDBE9ADC-67D5-48CB-AB20-52E58A53A39B}" name="Draaiuren Bouw Overig Vervangingen" totalsRowFunction="sum" dataDxfId="483" totalsRowDxfId="482">
      <calculatedColumnFormula array="1">(_xlfn.IFNA((_xlfn.IFS(Inschrijfberekening!C6="Bestaande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Inschrijfberekening!M6</calculatedColumnFormula>
    </tableColumn>
    <tableColumn id="14" xr3:uid="{F773AF1B-7EDD-4F30-BAA9-57A77DB26D66}" name="Draaiuren Verwijder Asfalt Vervangingen" totalsRowFunction="sum" dataDxfId="481" totalsRowDxfId="480">
      <calculatedColumnFormula array="1">(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Inschrijfberekening!M6</calculatedColumnFormula>
    </tableColumn>
    <tableColumn id="15" xr3:uid="{32994B01-B8C5-4365-9DCB-B768E3EB70B4}" name="Draaiuren Verwijder Overig Vervangingen" totalsRowFunction="sum" dataDxfId="479" totalsRowDxfId="478">
      <calculatedColumnFormula array="1">(_xlfn.IFNA((_xlfn.IFS(Inschrijfberekening!E6="Funderingslagen",(Inschrijfberekening!L6/VLOOKUP(Inschrijfberekening!S6,Database_Overig_Materieel[#All],8,FALSE)),Inschrijfberekening!E6="Grondwerken",(Inschrijfberekening!L6/VLOOKUP(Inschrijfberekening!S6,Database_Overig_Materieel[#All],8,FALSE)))),0))*Inschrijfberekening!M6</calculatedColumnFormula>
    </tableColumn>
    <tableColumn id="16" xr3:uid="{96223E47-63D0-4305-A457-536D89184CD0}" name="Emissieloos bouwplaats Vervangingen" totalsRowFunction="sum" dataDxfId="477" totalsRowDxfId="476">
      <calculatedColumnFormula>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calculatedColumnFormula>
    </tableColumn>
    <tableColumn id="17" xr3:uid="{603E5717-7703-4A09-89ED-7E9FC9DAD8B5}" name="Totaal Emissieloos Bouwplaats" totalsRowFunction="sum" dataDxfId="475" totalsRowDxfId="474">
      <calculatedColumnFormula>Inschrijf_Bouwplaats_Totaal[[#This Row],[Emissieloos bouwplaats]]+Inschrijf_Bouwplaats_Totaal[[#This Row],[Emissieloos bouwplaats Vervangingen]]</calculatedColumnFormula>
    </tableColumn>
    <tableColumn id="18" xr3:uid="{521CADFF-92D9-4C25-BA9A-6003F46ECE63}" name="Totaal Niet Emissieloos Bouwplaats" totalsRowFunction="sum" dataDxfId="473" totalsRowDxfId="472">
      <calculatedColumnFormula>(Inschrijf_Bouwplaats_Totaal[[#This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calculatedColumnFormula>
    </tableColumn>
    <tableColumn id="19" xr3:uid="{C14BEF00-55D2-4069-8FD0-DA702CC4924E}" name="Totaal Bouwplaats" totalsRowFunction="sum" dataDxfId="471" totalsRowDxfId="470">
      <calculatedColumnFormula>Inschrijf_Bouwplaats_Totaal[[#This Row],[Totaal Emissieloos Bouwplaats]]+Inschrijf_Bouwplaats_Totaal[[#This Row],[Totaal Niet Emissieloos Bouwplaats]]</calculatedColumnFormula>
    </tableColumn>
  </tableColumns>
  <tableStyleInfo name="TableStyleMedium1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1A2AFDB-48A0-E74C-BD01-6BC301DBAA98}" name="Invoer_As_Built" displayName="Invoer_As_Built" ref="B4:Q15" totalsRowShown="0" headerRowDxfId="467" dataDxfId="466">
  <autoFilter ref="B4:Q15" xr:uid="{F1A2AFDB-48A0-E74C-BD01-6BC301DBAA98}"/>
  <tableColumns count="16">
    <tableColumn id="14" xr3:uid="{41D1EF6C-6AAE-5249-A2B6-BD86550ABCF0}" name="Bestekspost" dataDxfId="465">
      <calculatedColumnFormula>Invoer_Referentie[[#This Row],[Omschrijving]]</calculatedColumnFormula>
    </tableColumn>
    <tableColumn id="15" xr3:uid="{813633E4-2B08-0F42-9423-3E1ED3325C6A}" name="Bestaande Situatie of Nieuw Sitautie?" dataDxfId="464"/>
    <tableColumn id="1" xr3:uid="{747CAE3A-8B4A-6B45-9326-3EE3CBC66018}" name="Productgroep" dataDxfId="463"/>
    <tableColumn id="2" xr3:uid="{5BADC645-CDDC-124E-ACC3-97D71BA6CDF4}" name="Werkelijk geleverd Product" dataDxfId="462"/>
    <tableColumn id="16" xr3:uid="{BE6650D6-8C1F-3D4B-9816-37EE3994D6F8}" name="Werkelijke hoeveelheid geleverd Product [ton]" dataDxfId="461">
      <calculatedColumnFormula>_xlfn.IFNA(VLOOKUP(E5&amp;", "&amp;"Totaal",Database_Productkaarten[#All],7,FALSE),0)</calculatedColumnFormula>
    </tableColumn>
    <tableColumn id="9" xr3:uid="{F4282589-CFCE-584B-A234-4896F0C7C7E3}" name="Werkelijke hoeveelheid geleverd Product [m3]" dataDxfId="460">
      <calculatedColumnFormula>_xlfn.IFNA(VLOOKUP(F5&amp;", "&amp;"Totaal",Database_Productkaarten[#All],7,FALSE),0)</calculatedColumnFormula>
    </tableColumn>
    <tableColumn id="3" xr3:uid="{F521F996-2CA7-ED49-A0EB-A5D493983BFD}" name="A4 - Transportafstand naar bouwplaats [km]" dataDxfId="459"/>
    <tableColumn id="4" xr3:uid="{52AA4B57-C3D6-3041-BF56-A77F03A41B90}" name="A4 - Transportmiddel naar bouwplaats" dataDxfId="458"/>
    <tableColumn id="5" xr3:uid="{207B4D0D-05C2-7745-B702-30AE1D04EC4C}" name="A5 - Asfalt Aanlegset" dataDxfId="457"/>
    <tableColumn id="6" xr3:uid="{1B9D31B5-36A7-AC4D-AC79-53D6578F253C}" name="A5 - Overig Materieel tbv Aanleg" dataDxfId="456"/>
    <tableColumn id="7" xr3:uid="{EE150D24-2E06-8842-9AB7-1BFE22CB525C}" name="C1 - Asfalt Verwijderset" dataDxfId="455"/>
    <tableColumn id="8" xr3:uid="{CD90B372-628E-974B-964E-28043250449B}" name="C1 - Overig Materieel tbv Verwijderen" dataDxfId="454"/>
    <tableColumn id="10" xr3:uid="{BB8706B3-BA05-234B-97A2-D0083E64E509}" name="C2 - Transportafstand naar verwerker [km]" dataDxfId="453"/>
    <tableColumn id="11" xr3:uid="{631DB66B-C4F4-2041-B652-A36D2698B273}" name="C2 - Transportmiddel naar verwerker" dataDxfId="452"/>
    <tableColumn id="12" xr3:uid="{738D7184-5EEA-5840-858A-48E4F47AB75F}" name="C3 - Verwerkingsset" dataDxfId="451"/>
    <tableColumn id="13" xr3:uid="{9588E78D-5866-DC4C-8B2F-2257D014C71F}" name="Uitgangspunten" dataDxfId="450"/>
  </tableColumns>
  <tableStyleInfo name="TableStyleMedium1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C1F0907-D38E-4148-80ED-2B7556FA24E4}" name="Monitoring_Totaal" displayName="Monitoring_Totaal" ref="B2:J14" totalsRowShown="0" headerRowDxfId="379" dataDxfId="377" headerRowBorderDxfId="378" tableBorderDxfId="376" totalsRowBorderDxfId="375">
  <autoFilter ref="B2:J14" xr:uid="{1C1F0907-D38E-4148-80ED-2B7556FA24E4}"/>
  <tableColumns count="9">
    <tableColumn id="1" xr3:uid="{7085B10E-462E-42B6-862A-2441F527056B}" name="Bestekspost" dataDxfId="374">
      <calculatedColumnFormula>Referentieberekening!B5</calculatedColumnFormula>
    </tableColumn>
    <tableColumn id="8" xr3:uid="{0A7639BB-9B14-41EB-944B-5575D615253D}" name="Meerprijs [€]" dataDxfId="373">
      <calculatedColumnFormula>Inschrijfberekening!D6-Referentieberekening!D5</calculatedColumnFormula>
    </tableColumn>
    <tableColumn id="2" xr3:uid="{9FADFE35-E2AD-488F-8E10-604F6BA2FE27}" name="MKI Reductie [€]" dataDxfId="372">
      <calculatedColumnFormula>SUM(Inschrijf_Backlog!D4:P4)-SUM(Referentie_Backlog!D4:P4)</calculatedColumnFormula>
    </tableColumn>
    <tableColumn id="3" xr3:uid="{598C3888-EF52-4235-B7F7-79057BFFDF66}" name="CO2 Reductie [kg]" dataDxfId="371">
      <calculatedColumnFormula>SUM(Inschrijf_Backlog!D24:P24)-SUM(Referentie_Backlog!D40:P40)</calculatedColumnFormula>
    </tableColumn>
    <tableColumn id="4" xr3:uid="{F039F274-E025-44DE-93ED-F4DBAEBD02C4}" name="Primaire grondstoffen gebruik [ton]" dataDxfId="370">
      <calculatedColumnFormula>Inschrijf_Backlog!F44-Referentie_Backlog!F76</calculatedColumnFormula>
    </tableColumn>
    <tableColumn id="5" xr3:uid="{37F0244B-A96D-40AF-8539-368A54CD9386}" name="Secundaire grondstoffen gebruik [ton]" dataDxfId="369">
      <calculatedColumnFormula>Inschrijf_Backlog!G44-Referentie_Backlog!G76</calculatedColumnFormula>
    </tableColumn>
    <tableColumn id="6" xr3:uid="{B2512C8A-08BB-4D1E-885C-958D60D07B5A}" name="Hernieuwbare energie [MJ]" dataDxfId="368">
      <calculatedColumnFormula>SUM(Inschrijf_Backlog!D64:P64)-SUM(Referentie_Backlog!D112:P112)</calculatedColumnFormula>
    </tableColumn>
    <tableColumn id="7" xr3:uid="{CAE3E314-D259-4D8A-9E19-734B2C0E4F4B}" name="Niet hernieuwbare energie [MJ]" dataDxfId="367">
      <calculatedColumnFormula>SUM(Inschrijf_Backlog!D84:P84)-SUM(Referentie_Backlog!D148:P148)</calculatedColumnFormula>
    </tableColumn>
    <tableColumn id="9" xr3:uid="{55C44786-71D6-4F9A-A0D9-8C490B2C3746}" name="€ / MKI" dataDxfId="366">
      <calculatedColumnFormula>IFERROR(Monitoring_Totaal[[#This Row],[Meerprijs '[€']]]/Monitoring_Totaal[[#This Row],[MKI Reductie '[€']]],0)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80BD084-6A7E-4F3B-8A65-F73298FCDD17}" name="Ontwerp_CO2_Totaal" displayName="Ontwerp_CO2_Totaal" ref="B45:R83" totalsRowCount="1" headerRowDxfId="1272" dataDxfId="1271" totalsRowDxfId="1270">
  <autoFilter ref="B45:R82" xr:uid="{E9299BC0-FCB3-4896-8BF8-BE1D4BCC9128}"/>
  <tableColumns count="17">
    <tableColumn id="1" xr3:uid="{370E457E-7F0D-4801-8851-B9CCBFE2A5B8}" name="Bestekspost" totalsRowLabel="Totaal" dataDxfId="1269" totalsRowDxfId="1268">
      <calculatedColumnFormula>Ontwerpberekening!B5</calculatedColumnFormula>
    </tableColumn>
    <tableColumn id="2" xr3:uid="{1A70479E-E2E1-439D-B91C-1DC87C023839}" name="Product" dataDxfId="1267" totalsRowDxfId="1266">
      <calculatedColumnFormula>Ontwerpberekening!F5</calculatedColumnFormula>
    </tableColumn>
    <tableColumn id="3" xr3:uid="{650526FE-B997-4585-9DBB-687BC4A90635}" name="A1" totalsRowFunction="sum" dataDxfId="1265" totalsRowDxfId="1264">
      <calculatedColumnFormula>(IF(Ontwerpberekening!C5="Nieuwe Situatie",(_xlfn.IFNA(VLOOKUP(Ontwerp_CO2_Totaal[[#This Row],[Product]]&amp;", "&amp;Ontwerp_CO2_Totaal[[#Headers],[A1]],Database_Productkaarten[#All],17,FALSE),0)*Ontwerpberekening!H5),0))/Ontwerpberekening!$A$2</calculatedColumnFormula>
    </tableColumn>
    <tableColumn id="4" xr3:uid="{F461B003-FAE6-493D-9C6F-D09CE516EF77}" name="A2" totalsRowFunction="sum" dataDxfId="1263" totalsRowDxfId="1262">
      <calculatedColumnFormula>(IF(Ontwerpberekening!C5="Nieuwe Situatie",(_xlfn.IFNA(VLOOKUP(Ontwerp_CO2_Totaal[[#This Row],[Product]]&amp;", "&amp;Ontwerp_CO2_Totaal[[#Headers],[A2]],Database_Productkaarten[#All],17,FALSE),0)*Ontwerpberekening!H5),0))/Ontwerpberekening!$A$2</calculatedColumnFormula>
    </tableColumn>
    <tableColumn id="5" xr3:uid="{736C939B-C2D0-48AB-AF06-F53A82D61FC3}" name="A3" totalsRowFunction="sum" dataDxfId="1261" totalsRowDxfId="1260">
      <calculatedColumnFormula>(IF(Ontwerpberekening!C5="Nieuwe Situatie",(_xlfn.IFNA(VLOOKUP(Ontwerp_CO2_Totaal[[#This Row],[Product]]&amp;", "&amp;Ontwerp_CO2_Totaal[[#Headers],[A3]],Database_Productkaarten[#All],17,FALSE),0)*Ontwerpberekening!H5),0))/Ontwerpberekening!$A$2</calculatedColumnFormula>
    </tableColumn>
    <tableColumn id="6" xr3:uid="{7A34F3A3-57C8-4F86-A875-87F33CA25D5B}" name="A4" totalsRowFunction="sum" dataDxfId="1259" totalsRowDxfId="1258">
      <calculatedColumnFormula>(IF(Ontwerpberekening!C5="Nieuwe Situatie",(_xlfn.IFNA(VLOOKUP(Ontwerp_CO2_Totaal[[#This Row],[Product]]&amp;", "&amp;Ontwerp_CO2_Totaal[[#Headers],[A4]],Database_Productkaarten[#All],17,FALSE),0)*Ontwerpberekening!H5),0))/Ontwerpberekening!$A$2</calculatedColumnFormula>
    </tableColumn>
    <tableColumn id="7" xr3:uid="{033EA927-037D-447D-8795-528DAD143021}" name="A5" totalsRowFunction="sum" dataDxfId="1257" totalsRowDxfId="1256">
      <calculatedColumnFormula>(IF(Ontwerpberekening!C5="Nieuwe Situatie",(_xlfn.IFNA(VLOOKUP(Ontwerp_CO2_Totaal[[#This Row],[Product]]&amp;", "&amp;Ontwerp_CO2_Totaal[[#Headers],[A5]],Database_Productkaarten[#All],17,FALSE),0)*Ontwerpberekening!H5),0))/Ontwerpberekening!$A$2</calculatedColumnFormula>
    </tableColumn>
    <tableColumn id="8" xr3:uid="{5A3E8FD4-6E86-4015-9931-3D4D4A25E5E3}" name="B1" totalsRowFunction="sum" dataDxfId="1255" totalsRowDxfId="1254">
      <calculatedColumnFormula>(IF(Ontwerpberekening!C5="Nieuwe Situatie",(_xlfn.IFNA(VLOOKUP(Ontwerp_CO2_Totaal[[#This Row],[Product]]&amp;", "&amp;Ontwerp_CO2_Totaal[[#Headers],[B1]],Database_Productkaarten[#All],17,FALSE),0)*Ontwerpberekening!H5),0))/Ontwerpberekening!$A$2</calculatedColumnFormula>
    </tableColumn>
    <tableColumn id="17" xr3:uid="{CD1B95D9-96F5-4D26-9BD3-8B4A40121C2D}" name="B3" dataDxfId="1253" totalsRowDxfId="1252">
      <calculatedColumnFormula>(IF(Ontwerpberekening!C5="Nieuwe Situatie",(_xlfn.IFNA(VLOOKUP(Ontwerp_CO2_Totaal[[#This Row],[Product]]&amp;", "&amp;Ontwerp_CO2_Totaal[[#Headers],[B3]],Database_Productkaarten[#All],17,FALSE),0)*Ontwerpberekening!H5),0))/Ontwerpberekening!$A$2</calculatedColumnFormula>
    </tableColumn>
    <tableColumn id="9" xr3:uid="{92B26A09-36E9-4AAE-B5B7-1AD3FE24F342}" name="B4" totalsRowFunction="sum" dataDxfId="1251" totalsRowDxfId="1250">
      <calculatedColumnFormula>(IF(Ontwerpberekening!C5="Nieuwe Situatie",(SUM(Ontwerp_CO2_Totaal[[#This Row],[A1]:[B1]],Ontwerp_CO2_Totaal[[#This Row],[C1]:[D2]])*Ontwerpberekening!R5),0))</calculatedColumnFormula>
    </tableColumn>
    <tableColumn id="10" xr3:uid="{A5329DD1-08D2-4D43-BB91-D023C5A990E3}" name="C1" totalsRowFunction="sum" dataDxfId="1249" totalsRowDxfId="1248">
      <calculatedColumnFormula>_xlfn.IFNA(VLOOKUP(Ontwerp_CO2_Totaal[[#This Row],[Product]]&amp;", "&amp;Ontwerp_CO2_Totaal[[#Headers],[C1]],Database_Productkaarten[#All],17,FALSE)*Ontwerpberekening!H5,0)/Ontwerpberekening!$A$2</calculatedColumnFormula>
    </tableColumn>
    <tableColumn id="11" xr3:uid="{50A80A7F-B319-49F9-B7D2-90BD325E7527}" name="C2" totalsRowFunction="sum" dataDxfId="1247" totalsRowDxfId="1246">
      <calculatedColumnFormula>_xlfn.IFNA(VLOOKUP(Ontwerp_CO2_Totaal[[#This Row],[Product]]&amp;", "&amp;Ontwerp_CO2_Totaal[[#Headers],[C2]],Database_Productkaarten[#All],17,FALSE)*Ontwerpberekening!H5,0)/Ontwerpberekening!$A$2</calculatedColumnFormula>
    </tableColumn>
    <tableColumn id="12" xr3:uid="{4E6D8250-E811-4F3F-B046-48DFC31C596E}" name="C3" totalsRowFunction="sum" dataDxfId="1245" totalsRowDxfId="1244">
      <calculatedColumnFormula>_xlfn.IFNA(VLOOKUP(Ontwerp_CO2_Totaal[[#This Row],[Product]]&amp;", "&amp;Ontwerp_CO2_Totaal[[#Headers],[C3]],Database_Productkaarten[#All],17,FALSE)*Ontwerpberekening!H5,0)/Ontwerpberekening!$A$2</calculatedColumnFormula>
    </tableColumn>
    <tableColumn id="13" xr3:uid="{3A8F3680-2475-48B4-9D5A-7E560091C63F}" name="C4" totalsRowFunction="sum" dataDxfId="1243" totalsRowDxfId="1242">
      <calculatedColumnFormula>_xlfn.IFNA(VLOOKUP(Ontwerp_CO2_Totaal[[#This Row],[Product]]&amp;", "&amp;Ontwerp_CO2_Totaal[[#Headers],[C4]],Database_Productkaarten[#All],17,FALSE)*Ontwerpberekening!H5,0)/Ontwerpberekening!$A$2</calculatedColumnFormula>
    </tableColumn>
    <tableColumn id="14" xr3:uid="{BFE452D0-0B7E-423F-9BD0-52CAC882EE74}" name="D1" totalsRowFunction="sum" dataDxfId="1241" totalsRowDxfId="1240">
      <calculatedColumnFormula>(IF(Ontwerpberekening!C5="Nieuwe Situatie",(_xlfn.IFNA(VLOOKUP(Ontwerp_CO2_Totaal[[#This Row],[Product]]&amp;", "&amp;Ontwerp_CO2_Totaal[[#Headers],[D1]],Database_Productkaarten[#All],17,FALSE),0)*Ontwerpberekening!H5),0))/Ontwerpberekening!$A$2</calculatedColumnFormula>
    </tableColumn>
    <tableColumn id="15" xr3:uid="{F31D6C4B-C73D-4FAF-8CC0-3397AC6BA074}" name="D2" totalsRowFunction="sum" dataDxfId="1239" totalsRowDxfId="1238">
      <calculatedColumnFormula>(IF(Ontwerpberekening!C5="Nieuwe Situatie",_xlfn.IFNA(VLOOKUP(Ontwerp_CO2_Totaal[[#This Row],[Product]]&amp;", "&amp;Ontwerp_CO2_Totaal[[#Headers],[D2]],Database_Productkaarten[#All],17,FALSE),0)*Ontwerpberekening!H5,0))/Ontwerpberekening!$A$2</calculatedColumnFormula>
    </tableColumn>
    <tableColumn id="16" xr3:uid="{C289BF46-64C4-4595-8666-E122641FD961}" name="Totaal" totalsRowFunction="sum" dataDxfId="1237" totalsRowDxfId="1236">
      <calculatedColumnFormula>SUM(Ontwerp_CO2_Totaal[[#This Row],[A1]:[D2]])</calculatedColumnFormula>
    </tableColumn>
  </tableColumns>
  <tableStyleInfo name="TableStyleMedium1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4B1EE6-248C-412E-B9E3-518289D5A408}" name="Database_Productkaarten" displayName="Database_Productkaarten" ref="A2:BM1040" totalsRowShown="0" headerRowBorderDxfId="349" tableBorderDxfId="348" headerRowCellStyle="Standaard 2" dataCellStyle="Standaard 2">
  <autoFilter ref="A2:BM1040" xr:uid="{384B1EE6-248C-412E-B9E3-518289D5A408}"/>
  <tableColumns count="65">
    <tableColumn id="24" xr3:uid="{6221686A-205B-4EA4-9148-604B93BD06E3}" name="Zoeksleutel" dataCellStyle="Standaard 2">
      <calculatedColumnFormula>Database_Productkaarten[[#This Row],[Product]]&amp;", "&amp;Database_Productkaarten[[#This Row],[Levensfase]]</calculatedColumnFormula>
    </tableColumn>
    <tableColumn id="1" xr3:uid="{0A4FCF34-6490-44B5-9A5A-DE8D9DB7DB7A}" name="Product" dataCellStyle="Standaard 2"/>
    <tableColumn id="29" xr3:uid="{BD9691E7-527E-4A3B-86F0-4E2340DA556D}" name="Productgroep" dataCellStyle="Standaard 2"/>
    <tableColumn id="28" xr3:uid="{06B82A07-0451-4E14-BB8A-256813A1B081}" name="Producttype" dataCellStyle="Standaard 2"/>
    <tableColumn id="27" xr3:uid="{D82C488D-C58D-4F20-B11D-57AD5862E831}" name="Eenheid" dataCellStyle="Standaard 2"/>
    <tableColumn id="23" xr3:uid="{CB57BB41-FFD3-4EF6-BCB1-73BCF36E5DB5}" name="Levensfase" dataCellStyle="Standaard 2"/>
    <tableColumn id="61" xr3:uid="{F4B03D42-0C0B-4322-A392-EDED9CCF602E}" name="Lengte(m)" dataCellStyle="Standaard 2"/>
    <tableColumn id="62" xr3:uid="{DEED98EF-3FAF-4A8D-91B1-8E47A200FFFD}" name="Breedte(m)" dataCellStyle="Standaard 2"/>
    <tableColumn id="63" xr3:uid="{720B8613-5499-4746-95FC-756B98E0525D}" name="Hoogte(m)" dataCellStyle="Standaard 2"/>
    <tableColumn id="64" xr3:uid="{6DF8E2A0-CC50-415E-A62F-1CD2F96EF7B7}" name="Diameter(m)" dataCellStyle="Standaard 2"/>
    <tableColumn id="65" xr3:uid="{F35EDD09-19FA-4E18-9656-616CC99BBB0A}" name="Wanddikte(m)" dataCellStyle="Standaard 2"/>
    <tableColumn id="21" xr3:uid="{467D0B7E-8140-4D77-9048-5C564C17EC3E}" name="Soortelijk Gewicht [ton / m3]" dataCellStyle="Standaard 2"/>
    <tableColumn id="2" xr3:uid="{7594A379-9538-4DDD-A132-D6168B1670C5}" name="Milieu Kosten Indicator (euro) - Euro" dataDxfId="347" dataCellStyle="Standaard 2"/>
    <tableColumn id="22" xr3:uid="{D5B7B969-91BB-43D0-9929-CE97D1518A8D}" name="Levensduur" dataCellStyle="Standaard 2"/>
    <tableColumn id="3" xr3:uid="{E4A49E8C-79B5-4523-8E51-738CB794800F}" name="001. abiotic depletion, non fuel (AD)" dataCellStyle="Standaard 2"/>
    <tableColumn id="4" xr3:uid="{6C8B0A93-35DC-4242-9D4D-927414757419}" name="002. abiotic depletion, fuel (AD)" dataCellStyle="Standaard 2"/>
    <tableColumn id="5" xr3:uid="{0400F954-BA19-4620-AC17-D8AD0F885DB0}" name="004. global warming (GWP)" dataCellStyle="Standaard 2"/>
    <tableColumn id="6" xr3:uid="{91E49620-901C-4F2D-8921-DF47CB8E7F31}" name="005. ozone layer depletion (ODP)" dataCellStyle="Standaard 2"/>
    <tableColumn id="7" xr3:uid="{650526F9-15D6-4411-93C5-600434AB34C4}" name="006. photochemical oxidation (POCP)" dataCellStyle="Standaard 2"/>
    <tableColumn id="8" xr3:uid="{E41379FC-EC9E-4272-8865-366C51593756}" name="007. acidification (AP)" dataCellStyle="Standaard 2"/>
    <tableColumn id="9" xr3:uid="{8D4BDB8F-DE6F-4652-A820-A8663FC0DD7A}" name="008. eutrophication (EP)" dataCellStyle="Standaard 2"/>
    <tableColumn id="10" xr3:uid="{6B1F956E-2555-4889-94E3-D0ACEA8ACC8F}" name="009. human toxicity (HT)" dataCellStyle="Standaard 2"/>
    <tableColumn id="11" xr3:uid="{A7CB1897-F87D-42D3-AB01-B43C1ABDA919}" name="010. Ecotoxicity, fresh water (FAETP)" dataCellStyle="Standaard 2"/>
    <tableColumn id="12" xr3:uid="{B7091DC8-9F82-4688-B93F-B1C86EF0E1E2}" name="012. Ecotoxcity, marine water (MAETP)" dataCellStyle="Standaard 2"/>
    <tableColumn id="13" xr3:uid="{487DBD96-143B-434A-8F88-D0DA015EB88E}" name="014. Ecotoxicity, terrestric (TETP)" dataCellStyle="Standaard 2"/>
    <tableColumn id="31" xr3:uid="{64F75EBA-6C4D-44EA-89DC-7715FD0AD03A}" name="051. Climate change" dataCellStyle="Standaard 2"/>
    <tableColumn id="32" xr3:uid="{7E14C484-2675-47B2-A57B-BC9B6066B28B}" name="052. Climate change - Fossil" dataCellStyle="Standaard 2"/>
    <tableColumn id="33" xr3:uid="{FE67243E-961E-44CF-8B63-5B86B347DF0B}" name="053. Climate change - Biogenic" dataCellStyle="Standaard 2"/>
    <tableColumn id="34" xr3:uid="{654D97C2-9040-4A18-B3E7-392EF619BAE1}" name="054. Climate change - Land use and LU ch" dataCellStyle="Standaard 2"/>
    <tableColumn id="35" xr3:uid="{9543EDFB-1BA8-41C7-90EA-0EF20E86E7E1}" name="055. Ozone depletion" dataCellStyle="Standaard 2"/>
    <tableColumn id="36" xr3:uid="{1E8539C8-5050-4C22-9575-6203191B9FBC}" name="056. Acidification" dataCellStyle="Standaard 2"/>
    <tableColumn id="37" xr3:uid="{48E73484-2EFC-44BC-99E3-DF9E01D6E49C}" name="057. Eutrophication, freshwater" dataCellStyle="Standaard 2"/>
    <tableColumn id="38" xr3:uid="{2759F4C2-4A73-4A10-A49D-EABF2D3B90E7}" name="058. Eutrophication, marine" dataCellStyle="Standaard 2"/>
    <tableColumn id="39" xr3:uid="{07C1CA1A-9FB9-4CF0-A496-E2235F0AD3A6}" name="059. Eutrophication, terrestrial" dataCellStyle="Standaard 2"/>
    <tableColumn id="40" xr3:uid="{9A1B969C-19BD-4D1A-9137-43002E8973AE}" name="060. Photochemical ozone formation" dataCellStyle="Standaard 2"/>
    <tableColumn id="41" xr3:uid="{173CE162-1090-4287-B556-073DA3C1EB39}" name="061. Resource use, minerals and metals" dataCellStyle="Standaard 2"/>
    <tableColumn id="42" xr3:uid="{C338DCDE-B31C-41D3-82DE-405B54F2578F}" name="062. Resource use, fossils" dataCellStyle="Standaard 2"/>
    <tableColumn id="43" xr3:uid="{1154A903-43C1-4B43-960E-DC577743A839}" name="063. Water use" dataCellStyle="Standaard 2"/>
    <tableColumn id="44" xr3:uid="{DA663797-1D4C-4770-9973-44790502B541}" name="064. Particulate matter" dataCellStyle="Standaard 2"/>
    <tableColumn id="45" xr3:uid="{6C3941A1-2BF9-4DEC-AD74-33FF60B8CAD2}" name="065. Ionising radiation" dataCellStyle="Standaard 2"/>
    <tableColumn id="46" xr3:uid="{E634408A-3134-47A5-B882-A7F990B1B08D}" name="066. Ecotoxicity, freshwater" dataCellStyle="Standaard 2"/>
    <tableColumn id="47" xr3:uid="{870016B2-688B-4BAB-BF6C-BEAACF678C7E}" name="067. Human toxicity, cancer" dataCellStyle="Standaard 2"/>
    <tableColumn id="48" xr3:uid="{5A4D9BAC-7F2E-4AE7-A73A-89B01B4124EB}" name="068. Human toxicity, non-cancer" dataCellStyle="Standaard 2"/>
    <tableColumn id="49" xr3:uid="{F59EE3C2-AE40-4BD7-A2B2-127E9329E9D9}" name="069. Land use" dataCellStyle="Standaard 2"/>
    <tableColumn id="50" xr3:uid="{83ED28FF-B469-4521-93AA-2CB1AC904C1B}" name="111. Energy, primary, renewable, excludi" dataCellStyle="Standaard 2"/>
    <tableColumn id="51" xr3:uid="{E55A419F-4488-4F7D-B259-72766F06E4AB}" name="113. Energy, primary, renewable, materia" dataCellStyle="Standaard 2"/>
    <tableColumn id="14" xr3:uid="{7C24FD99-718E-42F7-8831-3EC68201CC81}" name="101. Energy, primary, renewable (MJ)" dataCellStyle="Standaard 2"/>
    <tableColumn id="52" xr3:uid="{8CD6333B-EF4D-4FE5-9660-8F0BBE9B49AC}" name="112. Energy, primary, non-renewable, exc" dataCellStyle="Standaard 2"/>
    <tableColumn id="53" xr3:uid="{1E99C840-B3DB-49C9-9357-88ED9295A3C0}" name="114. Energy, primary, non-renewable, mat" dataCellStyle="Standaard 2"/>
    <tableColumn id="15" xr3:uid="{3626A198-C2D0-475F-83CE-C84B2A9F66DB}" name="102. Energy, primary, non-renewable (MJ)" dataCellStyle="Standaard 2"/>
    <tableColumn id="16" xr3:uid="{EE0B7BA4-5AD0-4413-A5FC-969008155E9A}" name="108. Secondary material (kg)" dataCellStyle="Standaard 2"/>
    <tableColumn id="54" xr3:uid="{66C4110B-DCF6-49BF-8A5E-CCD25A745597}" name="109. Secondary fuel, renewable (kg)" dataCellStyle="Standaard 2"/>
    <tableColumn id="55" xr3:uid="{28F00D93-2373-4ED7-A191-E5F3B7C9C8CE}" name="110. Secondary fuel, non-renewable (kg)" dataCellStyle="Standaard 2"/>
    <tableColumn id="17" xr3:uid="{686B7FCE-D199-47AA-AAA9-B30A627143D1}" name="104. Water, fresh water use (m3)" dataCellStyle="Standaard 2"/>
    <tableColumn id="18" xr3:uid="{8394B1D8-5CD3-46AE-8227-452019A33F0F}" name="106. Waste, hazardous (kg)" dataCellStyle="Standaard 2"/>
    <tableColumn id="19" xr3:uid="{FDFF4413-09C2-4BDC-A107-CDA361317BFB}" name="105. Waste, non hazardous (kg)" dataCellStyle="Standaard 2"/>
    <tableColumn id="20" xr3:uid="{A330A0CA-63A2-42B7-BA3F-07B1B92E4E93}" name="107. Waste, radioactive (kg)" dataCellStyle="Standaard 2"/>
    <tableColumn id="56" xr3:uid="{712CD815-4E71-4ACC-BE86-9B3B58F625C2}" name="120. Components for re-use (kg)" dataCellStyle="Standaard 2"/>
    <tableColumn id="57" xr3:uid="{009B32F9-1D83-43BD-B0DF-458A2A671A6B}" name="121. Materials for recycling (kg)" dataCellStyle="Standaard 2"/>
    <tableColumn id="58" xr3:uid="{CEC0379C-459B-4565-AE81-7861B886D761}" name="122. Materials for energy recovery (kg)" dataCellStyle="Standaard 2"/>
    <tableColumn id="59" xr3:uid="{812BCC30-49D6-43E1-B620-C1D8B657BFD6}" name="123. Exported energy, electric (MJ)" dataCellStyle="Standaard 2"/>
    <tableColumn id="60" xr3:uid="{1D32D18D-9441-4711-BFD8-916D051A95AE}" name="124. Exported energy, thermal (MJ)" dataCellStyle="Standaard 2"/>
    <tableColumn id="25" xr3:uid="{6C9E5673-0498-4DDC-9046-972C0FD71F4F}" name="Secundair Materiaal [%]"/>
    <tableColumn id="26" xr3:uid="{927BE522-B384-4643-80D6-A32720BE98F2}" name="Milieuprofiel / Bron" dataCellStyle="Standaard 2"/>
    <tableColumn id="30" xr3:uid="{26FC3836-B820-4FB3-8D00-F3D2990B55DC}" name="Comment" dataCellStyle="Standaard 2"/>
  </tableColumns>
  <tableStyleInfo name="TableStyleMedium1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68F81F-1728-4347-80E7-5BD85A62CA4E}" name="Database_Transport" displayName="Database_Transport" ref="A1048:BG1082" totalsRowShown="0" tableBorderDxfId="346" headerRowCellStyle="Standaard 2" dataCellStyle="Standaard 2">
  <autoFilter ref="A1048:BG1082" xr:uid="{7E68F81F-1728-4347-80E7-5BD85A62CA4E}"/>
  <tableColumns count="59">
    <tableColumn id="1" xr3:uid="{417216C0-0ADE-4144-8238-BCA9E9F51054}" name="Milieuprofiel" dataCellStyle="Standaard 2"/>
    <tableColumn id="3" xr3:uid="{8EBDAD8C-BD6C-48C9-AEB6-D629DCA79814}" name="Eenheid" dataCellStyle="Standaard 2"/>
    <tableColumn id="5" xr3:uid="{F749B7D7-1E52-44B6-88B6-6263E57AEBCA}" name="Productgroep" dataCellStyle="Standaard 2"/>
    <tableColumn id="4" xr3:uid="{7DEB159F-09CA-4525-8F90-177401398678}" name="Producttype" dataCellStyle="Standaard 2"/>
    <tableColumn id="6" xr3:uid="{DAE5D7BA-59D5-4354-BF46-695FA6985829}" name="Life cycle stage" dataCellStyle="Standaard 2"/>
    <tableColumn id="32" xr3:uid="{7B178CD3-CDDF-4521-A45B-8A5506CD212D}" name="Verbruik [liter/kWh/kg per uur]" dataCellStyle="Standaard 2"/>
    <tableColumn id="31" xr3:uid="{97C2B486-E015-4C79-AA32-B22560938641}" name="Milieu Kosten Indicator (euro) - Euro" dataDxfId="345" dataCellStyle="Standaard 2"/>
    <tableColumn id="33" xr3:uid="{4275F76C-FA18-4AF9-B878-BCD9A6159E0E}" name="Dichtheid [kg/liter]" dataCellStyle="Standaard 2"/>
    <tableColumn id="2" xr3:uid="{D6A25AE9-4EFD-4D86-98EA-73B1E09F3A4E}" name="Stookwaarde [MJ/liter]" dataDxfId="344" dataCellStyle="Standaard 2"/>
    <tableColumn id="7" xr3:uid="{9A492B71-76BA-4DB5-9692-9A0E825C6634}" name="001. abiotic depletion, non fuel (AD)" dataCellStyle="Standaard 2"/>
    <tableColumn id="8" xr3:uid="{957CCE89-DD34-4FD0-9D05-40869D796AA5}" name="002. abiotic depletion, fuel (AD)" dataCellStyle="Standaard 2"/>
    <tableColumn id="9" xr3:uid="{6F33F2DB-005F-4493-A99C-06171C5734DB}" name="004. global warming (GWP)" dataCellStyle="Standaard 2"/>
    <tableColumn id="10" xr3:uid="{DB6A5E20-88B3-47E9-BF75-62A82F42977D}" name="005. ozone layer depletion (ODP)" dataCellStyle="Standaard 2"/>
    <tableColumn id="11" xr3:uid="{934F6DB4-5779-417A-8008-CD6A70CB51E8}" name="006. photochemical oxidation (POCP)" dataCellStyle="Standaard 2"/>
    <tableColumn id="12" xr3:uid="{F9017E1D-24FF-4D79-9034-6805AEE56D0A}" name="007. acidification (AP)" dataCellStyle="Standaard 2"/>
    <tableColumn id="13" xr3:uid="{BC1AF608-64FB-4E1C-B8BB-C3F4248F64FF}" name="008. eutrophication (EP)" dataCellStyle="Standaard 2"/>
    <tableColumn id="14" xr3:uid="{87108564-8187-4BED-B342-355FB108037C}" name="009. human toxicity (HT)" dataCellStyle="Standaard 2"/>
    <tableColumn id="15" xr3:uid="{26667552-2AA1-44BF-A0A5-9AD3255328FB}" name="010. Ecotoxicity, fresh water (FAETP)" dataCellStyle="Standaard 2"/>
    <tableColumn id="16" xr3:uid="{4BD9E89A-DEAD-41BE-ADF7-C6591CCE3C67}" name="012. Ecotoxcity, marine water (MAETP)" dataCellStyle="Standaard 2"/>
    <tableColumn id="17" xr3:uid="{9680644C-CB0E-46D4-BAFA-BEA1D29B9177}" name="014. Ecotoxicity, terrestric (TETP)" dataCellStyle="Standaard 2"/>
    <tableColumn id="26" xr3:uid="{06761FF0-4B03-4D41-9764-37F9870964CE}" name="051. Climate change" dataDxfId="343" dataCellStyle="Standaard 2"/>
    <tableColumn id="27" xr3:uid="{F29E40C5-CAB6-4383-A701-4D1F567674B4}" name="052. Climate change - Fossil" dataDxfId="342" dataCellStyle="Standaard 2"/>
    <tableColumn id="28" xr3:uid="{D7BE526D-AB60-4A77-B43F-48409F4ABA9F}" name="053. Climate change - Biogenic" dataDxfId="341" dataCellStyle="Standaard 2"/>
    <tableColumn id="29" xr3:uid="{06BA8B1D-EED3-4CBC-BD3D-71A33E66FEC6}" name="054. Climate change - Land use and LU ch" dataDxfId="340" dataCellStyle="Standaard 2"/>
    <tableColumn id="34" xr3:uid="{05271CC4-51B8-400A-B34B-CCD601D5F7FA}" name="055. Ozone depletion" dataDxfId="339" dataCellStyle="Standaard 2"/>
    <tableColumn id="35" xr3:uid="{12477274-B937-43B7-ABF2-DAAD1B52F8CF}" name="056. Acidification" dataDxfId="338" dataCellStyle="Standaard 2"/>
    <tableColumn id="36" xr3:uid="{747EA919-A39B-456F-9C44-2D9D0CED3B84}" name="057. Eutrophication, freshwater" dataDxfId="337" dataCellStyle="Standaard 2"/>
    <tableColumn id="37" xr3:uid="{7727AE0D-1A68-4D46-A98B-1A0E8F4C1CBD}" name="058. Eutrophication, marine" dataDxfId="336" dataCellStyle="Standaard 2"/>
    <tableColumn id="38" xr3:uid="{ABA259AD-B75C-4235-8C38-6DDDD34D9FCD}" name="059. Eutrophication, terrestrial" dataDxfId="335" dataCellStyle="Standaard 2"/>
    <tableColumn id="39" xr3:uid="{3E1BF60D-FAD5-43C2-B54B-E1D4F6CEF900}" name="060. Photochemical ozone formation" dataDxfId="334" dataCellStyle="Standaard 2"/>
    <tableColumn id="40" xr3:uid="{57EB232D-6E16-4757-A192-57C810220101}" name="061. Resource use, minerals and metals" dataDxfId="333" dataCellStyle="Standaard 2"/>
    <tableColumn id="41" xr3:uid="{5E008541-B104-4324-82A1-F4D4E32502C3}" name="062. Resource use, fossils" dataDxfId="332" dataCellStyle="Standaard 2"/>
    <tableColumn id="42" xr3:uid="{77559D62-0288-4B61-9C34-B75B1FB3FC6C}" name="063. Water use" dataDxfId="331" dataCellStyle="Standaard 2"/>
    <tableColumn id="43" xr3:uid="{8FC5694D-23D5-4DE6-A75E-CE4F8FD19424}" name="064. Particulate matter" dataDxfId="330" dataCellStyle="Standaard 2"/>
    <tableColumn id="44" xr3:uid="{A8154AE8-D34A-46D2-9272-FDE668991E1F}" name="065. Ionising radiation" dataDxfId="329" dataCellStyle="Standaard 2"/>
    <tableColumn id="45" xr3:uid="{3270AA60-4CC2-4614-AB9A-5E6CF55873A4}" name="066. Ecotoxicity, freshwater" dataDxfId="328" dataCellStyle="Standaard 2"/>
    <tableColumn id="46" xr3:uid="{C6101C5A-8A22-4BF4-8372-D54D8D05F039}" name="067. Human toxicity, cancer" dataDxfId="327" dataCellStyle="Standaard 2"/>
    <tableColumn id="47" xr3:uid="{53957B04-F267-4D8A-B598-DD6BCC521C87}" name="068. Human toxicity, non-cancer" dataDxfId="326" dataCellStyle="Standaard 2"/>
    <tableColumn id="48" xr3:uid="{19FC7F5E-1FC9-46C2-99D3-157E1690C8ED}" name="069. Land use" dataDxfId="325" dataCellStyle="Standaard 2"/>
    <tableColumn id="49" xr3:uid="{319158EC-6BE8-465A-A114-6A543D30911F}" name="111. Energy, primary, renewable, excludi" dataDxfId="324" dataCellStyle="Standaard 2"/>
    <tableColumn id="50" xr3:uid="{F1DCD3E6-09A5-4C0A-B6B6-37C44A7F62AA}" name="113. Energy, primary, renewable, materia" dataDxfId="323" dataCellStyle="Standaard 2"/>
    <tableColumn id="18" xr3:uid="{272BE154-81EC-4EB6-948B-597D83A66609}" name="101. Energy, primary, renewable (MJ)" dataCellStyle="Standaard 2"/>
    <tableColumn id="51" xr3:uid="{427CCDFA-44B3-4F5F-802A-D40926155C77}" name="112. Energy, primary, non-renewable, exc" dataDxfId="322" dataCellStyle="Standaard 2"/>
    <tableColumn id="52" xr3:uid="{E4CFC970-2D8B-48FA-AD0A-5FCC6694B2C4}" name="114. Energy, primary, non-renewable, mat" dataDxfId="321" dataCellStyle="Standaard 2"/>
    <tableColumn id="19" xr3:uid="{9C6D57FC-E28E-4BD7-AE76-59C53B9C2960}" name="102. Energy, primary, non-renewable (MJ)" dataCellStyle="Standaard 2"/>
    <tableColumn id="53" xr3:uid="{2D80438E-D1D4-409A-BC8D-919E3D04E9C5}" name="108. Secondary material (kg)" dataDxfId="320" dataCellStyle="Standaard 2"/>
    <tableColumn id="54" xr3:uid="{38FFD61D-40E1-4202-A70B-795D9782ED09}" name="109. Secondary fuel, renewable (kg)" dataDxfId="319" dataCellStyle="Standaard 2"/>
    <tableColumn id="20" xr3:uid="{7B8C57C9-85A0-4BA6-918E-D39A7949B088}" name="110. Secondary fuel, non-renewable (kg)" dataCellStyle="Standaard 2"/>
    <tableColumn id="21" xr3:uid="{1D06A749-FB31-4AB0-9CBC-FF2579005F44}" name="104. Water, fresh water use (m3)" dataCellStyle="Standaard 2"/>
    <tableColumn id="22" xr3:uid="{17B41895-8D5B-488C-952C-89C314CD8CF1}" name="106. Waste, hazardous (kg)" dataCellStyle="Standaard 2"/>
    <tableColumn id="23" xr3:uid="{9EA8CC4E-89A9-416F-84BE-EB8459510FA3}" name="105. Waste, non hazardous (kg)" dataCellStyle="Standaard 2"/>
    <tableColumn id="24" xr3:uid="{4F3B2EFB-77C8-4133-BCBB-1190C06DDD2C}" name="107. Waste, radioactive (kg)" dataCellStyle="Standaard 2"/>
    <tableColumn id="55" xr3:uid="{405F1455-6CD5-4CFE-BE2E-B832A9D206B2}" name="120. Components for re-use (kg)" dataDxfId="318" dataCellStyle="Standaard 2"/>
    <tableColumn id="56" xr3:uid="{6387C066-F5B3-4151-B68D-E12DFFF3B6EE}" name="121. Materials for recycling (kg)" dataDxfId="317" dataCellStyle="Standaard 2"/>
    <tableColumn id="57" xr3:uid="{08F8923C-A2C5-4B50-B265-43007B523763}" name="122. Materials for energy recovery (kg)" dataDxfId="316" dataCellStyle="Standaard 2"/>
    <tableColumn id="58" xr3:uid="{5982D6A0-323E-4190-A5ED-325BF99DDEF8}" name="123. Exported energy, electric (MJ)" dataDxfId="315" dataCellStyle="Standaard 2"/>
    <tableColumn id="59" xr3:uid="{BD4AE6FE-981B-4D20-831B-5CF37D55900F}" name="124. Exported energy, thermal (MJ)" dataDxfId="314" dataCellStyle="Standaard 2"/>
    <tableColumn id="25" xr3:uid="{078386A2-4257-417A-9402-16CAA6C51AFE}" name="Milieuprofiel / Bron" dataCellStyle="Standaard 2"/>
    <tableColumn id="30" xr3:uid="{149DBF1A-A140-4953-81CE-91E712F0196C}" name="Comment" dataCellStyle="Standaard 2"/>
  </tableColumns>
  <tableStyleInfo name="TableStyleMedium1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EEC78EF-4263-4080-A73B-BFE257A8A270}" name="Database_Asfalt_Aanlegset" displayName="Database_Asfalt_Aanlegset" ref="A1086:BH1111" totalsRowShown="0" headerRowCellStyle="Standaard 2" dataCellStyle="Standaard 2">
  <autoFilter ref="A1086:BH1111" xr:uid="{DEEC78EF-4263-4080-A73B-BFE257A8A270}"/>
  <tableColumns count="60">
    <tableColumn id="1" xr3:uid="{E998755B-576B-4572-99FE-0702AFB93E50}" name="Milieuprofiel" dataCellStyle="Standaard 2"/>
    <tableColumn id="2" xr3:uid="{CFC0506D-6062-4175-844E-A65B3856FC8A}" name="Eenheid" dataCellStyle="Standaard 2"/>
    <tableColumn id="29" xr3:uid="{B5BB94F6-8572-4995-A211-88743247769C}" name="Productgroep" dataDxfId="313" dataCellStyle="Standaard 2"/>
    <tableColumn id="30" xr3:uid="{719311C2-7B89-4384-B07D-3B0319D3120B}" name="Producttype" dataDxfId="312" dataCellStyle="Standaard 2"/>
    <tableColumn id="3" xr3:uid="{8632D876-0779-48E1-ADF3-02B86F67A355}" name="Life cycle stage" dataCellStyle="Standaard 2"/>
    <tableColumn id="4" xr3:uid="{C7F0936D-9B28-407A-B1C7-3C98202D67BC}" name="Verbruik [liter/kWh/kg per uur]" dataCellStyle="Standaard 2"/>
    <tableColumn id="5" xr3:uid="{A451E95F-360D-45D2-9EAA-52E4DB421725}" name="Milieu Kosten Indicator (euro) - Euro" dataDxfId="311" dataCellStyle="Standaard 2"/>
    <tableColumn id="6" xr3:uid="{5B92D9B1-EDC5-4865-9149-9C395AE865B7}" name="Dichtheid [kg/liter]" dataCellStyle="Standaard 2"/>
    <tableColumn id="27" xr3:uid="{2471D701-0634-4686-A532-377E58447B06}" name="Stookwaarde [MJ/liter]" dataDxfId="310"/>
    <tableColumn id="7" xr3:uid="{0FB79064-F806-42ED-A868-E6B38E95A899}" name="001. abiotic depletion, non fuel (AD)" dataCellStyle="Standaard 2"/>
    <tableColumn id="8" xr3:uid="{F9633924-B29B-41E3-AD1E-1BBFE2DFC917}" name="002. abiotic depletion, fuel (AD)" dataCellStyle="Standaard 2"/>
    <tableColumn id="9" xr3:uid="{119CE3E4-9789-4406-AFFB-1C9CA6D7D2C1}" name="004. global warming (GWP)" dataCellStyle="Standaard 2"/>
    <tableColumn id="10" xr3:uid="{A2D51897-5ABB-4D7E-B6EC-2AEA7252FA4A}" name="005. ozone layer depletion (ODP)" dataCellStyle="Standaard 2"/>
    <tableColumn id="11" xr3:uid="{391E7DCA-5C4F-4EE9-958E-94FD8477A470}" name="006. photochemical oxidation (POCP)" dataCellStyle="Standaard 2"/>
    <tableColumn id="12" xr3:uid="{30A1BE04-68C0-481F-A5A6-399471E6F957}" name="007. acidification (AP)" dataCellStyle="Standaard 2"/>
    <tableColumn id="13" xr3:uid="{DB9EDBE2-FE26-4AEA-A174-629CCDCCA714}" name="008. eutrophication (EP)" dataCellStyle="Standaard 2"/>
    <tableColumn id="14" xr3:uid="{AC8769CE-25C8-46DF-BF8B-8B5A74CF1419}" name="009. human toxicity (HT)" dataCellStyle="Standaard 2"/>
    <tableColumn id="15" xr3:uid="{367EA655-0D7F-4759-8009-074060BF1770}" name="010. Ecotoxicity, fresh water (FAETP)" dataCellStyle="Standaard 2"/>
    <tableColumn id="16" xr3:uid="{20D13669-CADA-4D36-BAF5-69B4274ED4A9}" name="012. Ecotoxcity, marine water (MAETP)" dataCellStyle="Standaard 2"/>
    <tableColumn id="17" xr3:uid="{9091AFB8-83B5-47C4-9092-D6E9326E4A33}" name="014. Ecotoxicity, terrestric (TETP)" dataCellStyle="Standaard 2"/>
    <tableColumn id="31" xr3:uid="{DBC10E7B-9681-4E0D-A010-AB51C9530DEC}" name="051. Climate change" dataDxfId="309" dataCellStyle="Standaard 2"/>
    <tableColumn id="32" xr3:uid="{86EFC878-45AC-4A31-A5D5-56B3A9296FCD}" name="052. Climate change - Fossil" dataDxfId="308" dataCellStyle="Standaard 2"/>
    <tableColumn id="33" xr3:uid="{B12EFE7E-8D57-4D33-A4D4-8CF48C71FA9A}" name="053. Climate change - Biogenic" dataDxfId="307" dataCellStyle="Standaard 2"/>
    <tableColumn id="34" xr3:uid="{B6C3AFEB-4B0E-4A1E-97E4-DAA304508DA4}" name="054. Climate change - Land use and LU ch" dataDxfId="306" dataCellStyle="Standaard 2"/>
    <tableColumn id="35" xr3:uid="{D33C61A7-4EBB-42F1-8542-C788F2F8E91A}" name="055. Ozone depletion" dataDxfId="305" dataCellStyle="Standaard 2"/>
    <tableColumn id="36" xr3:uid="{21977BEE-C535-40AC-9768-0B511DB5710B}" name="056. Acidification" dataDxfId="304" dataCellStyle="Standaard 2"/>
    <tableColumn id="37" xr3:uid="{3AA804F3-A34D-4472-84B4-858E081F1D14}" name="057. Eutrophication, freshwater" dataDxfId="303" dataCellStyle="Standaard 2"/>
    <tableColumn id="38" xr3:uid="{A21DBF46-76C7-4309-876C-DD0DCD9661CF}" name="058. Eutrophication, marine" dataDxfId="302" dataCellStyle="Standaard 2"/>
    <tableColumn id="39" xr3:uid="{061F9D3E-6058-489A-A74C-1464BC4F560D}" name="059. Eutrophication, terrestrial" dataDxfId="301" dataCellStyle="Standaard 2"/>
    <tableColumn id="40" xr3:uid="{AFE9B1D3-42DE-4511-BF73-B256C3A41993}" name="060. Photochemical ozone formation" dataDxfId="300" dataCellStyle="Standaard 2"/>
    <tableColumn id="41" xr3:uid="{1ED5492C-8A31-48B6-8253-DFD45A592F03}" name="061. Resource use, minerals and metals" dataDxfId="299" dataCellStyle="Standaard 2"/>
    <tableColumn id="42" xr3:uid="{AAC7032C-27AD-45D9-B3DD-27642543F1A2}" name="062. Resource use, fossils" dataDxfId="298" dataCellStyle="Standaard 2"/>
    <tableColumn id="43" xr3:uid="{8112C6DD-09EE-444D-AB0C-6D23B860EE21}" name="063. Water use" dataDxfId="297" dataCellStyle="Standaard 2"/>
    <tableColumn id="44" xr3:uid="{9FA9253B-1FF8-45A3-B60C-069644E9E431}" name="064. Particulate matter" dataDxfId="296" dataCellStyle="Standaard 2"/>
    <tableColumn id="45" xr3:uid="{C83D9346-6F3A-4A05-A002-90397F3CA427}" name="065. Ionising radiation" dataDxfId="295" dataCellStyle="Standaard 2"/>
    <tableColumn id="46" xr3:uid="{978AC726-559F-4A99-913F-3CA99EE7BD6D}" name="066. Ecotoxicity, freshwater" dataDxfId="294" dataCellStyle="Standaard 2"/>
    <tableColumn id="47" xr3:uid="{5371E71C-8360-4C98-B60B-6BBDFD21AA03}" name="067. Human toxicity, cancer" dataDxfId="293" dataCellStyle="Standaard 2"/>
    <tableColumn id="48" xr3:uid="{716F6CD9-A331-4AF9-93EE-9CF914E35F9C}" name="068. Human toxicity, non-cancer" dataDxfId="292" dataCellStyle="Standaard 2"/>
    <tableColumn id="49" xr3:uid="{B4E0EAA3-F022-4A58-A111-3EB52CA20D64}" name="069. Land use" dataDxfId="291" dataCellStyle="Standaard 2"/>
    <tableColumn id="50" xr3:uid="{FE9ADECA-8A74-4AD1-8F42-694E0179BABA}" name="111. Energy, primary, renewable, excludi" dataDxfId="290" dataCellStyle="Standaard 2"/>
    <tableColumn id="51" xr3:uid="{4DDFCCB7-2023-443B-8E1E-D86959797657}" name="113. Energy, primary, renewable, materia" dataDxfId="289" dataCellStyle="Standaard 2"/>
    <tableColumn id="18" xr3:uid="{8783F6E3-8AC4-41B7-AE2E-11A3E4A3649F}" name="101. Energy, primary, renewable (MJ)" dataCellStyle="Standaard 2"/>
    <tableColumn id="52" xr3:uid="{A2C96753-5397-43AA-BF59-E77007D530B0}" name="112. Energy, primary, non-renewable, exc" dataDxfId="288" dataCellStyle="Standaard 2"/>
    <tableColumn id="53" xr3:uid="{E41310AC-0AEC-49C5-BE1A-DBB9ADDBE568}" name="114. Energy, primary, non-renewable, mat" dataDxfId="287" dataCellStyle="Standaard 2"/>
    <tableColumn id="19" xr3:uid="{ED4DACE6-ED61-4FF6-B54F-4F2589483861}" name="102. Energy, primary, non-renewable (MJ)" dataCellStyle="Standaard 2"/>
    <tableColumn id="54" xr3:uid="{F2ED28C2-BFDE-49F9-B90E-77EB30162C8D}" name="108. Secondary material (kg)" dataDxfId="286" dataCellStyle="Standaard 2"/>
    <tableColumn id="55" xr3:uid="{44C80D7B-564E-41AA-A5A3-15FAF5FD0E0E}" name="109. Secondary fuel, renewable (kg)" dataDxfId="285" dataCellStyle="Standaard 2"/>
    <tableColumn id="20" xr3:uid="{BE0CBE5F-04DB-4484-8829-5AB600C560A1}" name="110. Secondary fuel, non-renewable (kg)" dataCellStyle="Standaard 2"/>
    <tableColumn id="21" xr3:uid="{4734302F-1789-40B2-ADE7-041D7D956622}" name="104. Water, fresh water use (m3)" dataCellStyle="Standaard 2"/>
    <tableColumn id="22" xr3:uid="{D3904C67-79C0-4F27-BD5C-DF81F794F352}" name="106. Waste, hazardous (kg)" dataCellStyle="Standaard 2"/>
    <tableColumn id="23" xr3:uid="{6B2E4C3C-9DF9-4A80-AA62-181A4A457326}" name="105. Waste, non hazardous (kg)" dataCellStyle="Standaard 2"/>
    <tableColumn id="24" xr3:uid="{6757E1BA-2CFC-46EE-9188-514ED118D988}" name="107. Waste, radioactive (kg)" dataCellStyle="Standaard 2"/>
    <tableColumn id="56" xr3:uid="{93362F56-A686-417B-84B1-93432FC798E4}" name="120. Components for re-use (kg)" dataDxfId="284" dataCellStyle="Standaard 2"/>
    <tableColumn id="57" xr3:uid="{59E923B6-35E9-4A11-ACD4-62B771364922}" name="121. Materials for recycling (kg)" dataDxfId="283" dataCellStyle="Standaard 2"/>
    <tableColumn id="58" xr3:uid="{54F28C55-E9C9-412B-93AA-3982436AD35C}" name="122. Materials for energy recovery (kg)" dataDxfId="282" dataCellStyle="Standaard 2"/>
    <tableColumn id="59" xr3:uid="{6516E2F0-9FA3-4F99-8FAD-23644E3566B1}" name="123. Exported energy, electric (MJ)" dataDxfId="281" dataCellStyle="Standaard 2"/>
    <tableColumn id="60" xr3:uid="{EEF6DC15-C17C-42EC-AEEB-11A9AED3B5D1}" name="124. Exported energy, thermal (MJ)" dataDxfId="280" dataCellStyle="Standaard 2"/>
    <tableColumn id="25" xr3:uid="{A29778D5-CB95-4846-8051-EB97D2FBFD8A}" name="Milieuprofiel / Bron" dataCellStyle="Standaard 2"/>
    <tableColumn id="26" xr3:uid="{21ADA0B4-061E-4656-8A45-2A1384E3779D}" name="Comment" dataCellStyle="Standaard 2"/>
    <tableColumn id="28" xr3:uid="{318BDD28-2DE6-4961-A540-6AD5C36B7F63}" name="Capaciteit" dataCellStyle="Standaard 2"/>
  </tableColumns>
  <tableStyleInfo name="TableStyleMedium1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17C4231-04F1-47D6-98AC-C3493889333C}" name="Database_Asfalt_Verwijderset" displayName="Database_Asfalt_Verwijderset" ref="A1116:BG1141" totalsRowShown="0" headerRowCellStyle="Standaard 2" dataCellStyle="Standaard 2">
  <autoFilter ref="A1116:BG1141" xr:uid="{917C4231-04F1-47D6-98AC-C3493889333C}"/>
  <tableColumns count="59">
    <tableColumn id="1" xr3:uid="{7FF5F83E-4334-469F-9A45-71619763E4D7}" name="Milieuprofiel" dataCellStyle="Standaard 2"/>
    <tableColumn id="2" xr3:uid="{9967FEA1-DBD4-4005-997F-70F65743424F}" name="Eenheid" dataCellStyle="Standaard 2"/>
    <tableColumn id="28" xr3:uid="{C642B6A8-1B54-435A-B033-0948029B06CE}" name="Productgroep" dataDxfId="279" dataCellStyle="Standaard 2"/>
    <tableColumn id="29" xr3:uid="{4072C703-27CA-4D0E-953C-9F82F22F5198}" name="Producttype" dataDxfId="278" dataCellStyle="Standaard 2"/>
    <tableColumn id="3" xr3:uid="{5469AC27-DB00-4822-830B-432982A72EE8}" name="Life cycle stage" dataCellStyle="Standaard 2"/>
    <tableColumn id="4" xr3:uid="{1B4DDAE5-A974-4A84-8FF3-D87523D7673B}" name="Verbruik [liter/kWh/kg per uur]" dataCellStyle="Standaard 2"/>
    <tableColumn id="5" xr3:uid="{88434E69-D67D-42B3-9236-B0739C632E03}" name="Milieu Kosten Indicator (euro) - Euro" dataDxfId="277" dataCellStyle="Standaard 2"/>
    <tableColumn id="6" xr3:uid="{B4A860B2-492E-4282-8ED7-85B64C43D67C}" name="Dichtheid [kg/liter]" dataCellStyle="Standaard 2"/>
    <tableColumn id="27" xr3:uid="{1BB39C66-B916-4211-AD68-D59E1A6E967A}" name="Stookwaarde [MJ/liter]" dataDxfId="276"/>
    <tableColumn id="7" xr3:uid="{E8A9B772-ECBA-4216-90AC-AB957EE29BC8}" name="001. abiotic depletion, non fuel (AD)" dataCellStyle="Standaard 2"/>
    <tableColumn id="8" xr3:uid="{C3C29BD1-B1CA-4742-BC3F-C9BCDFA2097A}" name="002. abiotic depletion, fuel (AD)" dataCellStyle="Standaard 2"/>
    <tableColumn id="9" xr3:uid="{E9FE38FD-FD58-4BA2-BA56-DC001B19BDF1}" name="004. global warming (GWP)" dataCellStyle="Standaard 2"/>
    <tableColumn id="10" xr3:uid="{D2F7E157-5AE1-40CF-BF80-DD719622D7B6}" name="005. ozone layer depletion (ODP)" dataCellStyle="Standaard 2"/>
    <tableColumn id="11" xr3:uid="{3353465D-4947-42DF-BD35-A6285502BC96}" name="006. photochemical oxidation (POCP)" dataCellStyle="Standaard 2"/>
    <tableColumn id="12" xr3:uid="{8CC7FB82-7428-43CD-AC0F-B14085F15C97}" name="007. acidification (AP)" dataCellStyle="Standaard 2"/>
    <tableColumn id="13" xr3:uid="{C757B1BE-3E2E-4AE2-A335-03959150B133}" name="008. eutrophication (EP)" dataCellStyle="Standaard 2"/>
    <tableColumn id="14" xr3:uid="{4B42326E-D21F-4242-AE68-5F30D636C778}" name="009. human toxicity (HT)" dataCellStyle="Standaard 2"/>
    <tableColumn id="15" xr3:uid="{217B1919-D825-4482-8A70-8211A2078F98}" name="010. Ecotoxicity, fresh water (FAETP)" dataCellStyle="Standaard 2"/>
    <tableColumn id="16" xr3:uid="{18989F0E-4F23-45B4-A229-81167B2C78BF}" name="012. Ecotoxcity, marine water (MAETP)" dataCellStyle="Standaard 2"/>
    <tableColumn id="17" xr3:uid="{6B658357-2E50-4206-9992-3D7100CC24FD}" name="014. Ecotoxicity, terrestric (TETP)" dataCellStyle="Standaard 2"/>
    <tableColumn id="30" xr3:uid="{53334C17-14DB-40D7-B1B7-CEB962DC704C}" name="051. Climate change" dataDxfId="275" dataCellStyle="Standaard 2"/>
    <tableColumn id="31" xr3:uid="{602E3E34-D09C-4300-A58B-911FF0DE9BBA}" name="052. Climate change - Fossil" dataDxfId="274" dataCellStyle="Standaard 2"/>
    <tableColumn id="32" xr3:uid="{E1A37262-FFC0-4AED-B613-FA743ACABA2C}" name="053. Climate change - Biogenic" dataDxfId="273" dataCellStyle="Standaard 2"/>
    <tableColumn id="33" xr3:uid="{D1C40BEA-C6B5-4F80-83CF-1997F465CF24}" name="054. Climate change - Land use and LU ch" dataDxfId="272" dataCellStyle="Standaard 2"/>
    <tableColumn id="34" xr3:uid="{674CC7F6-02F3-4EDC-A386-B946A50DA1F9}" name="055. Ozone depletion" dataDxfId="271" dataCellStyle="Standaard 2"/>
    <tableColumn id="35" xr3:uid="{F4E114E2-463F-4528-847D-1BBF115390A4}" name="056. Acidification" dataDxfId="270" dataCellStyle="Standaard 2"/>
    <tableColumn id="36" xr3:uid="{A1AAB3AC-6E2F-4DA1-985A-7FD854CE2037}" name="057. Eutrophication, freshwater" dataDxfId="269" dataCellStyle="Standaard 2"/>
    <tableColumn id="37" xr3:uid="{C5C69DF5-1AC4-4AE6-9C07-EF8CE5F7E9FF}" name="058. Eutrophication, marine" dataDxfId="268" dataCellStyle="Standaard 2"/>
    <tableColumn id="38" xr3:uid="{C76D401D-C947-4A89-B51C-3BD8EFA3988D}" name="059. Eutrophication, terrestrial" dataDxfId="267" dataCellStyle="Standaard 2"/>
    <tableColumn id="39" xr3:uid="{69117CAD-C4BA-4BCB-A1A2-8C2A4FEB0F4B}" name="060. Photochemical ozone formation" dataDxfId="266" dataCellStyle="Standaard 2"/>
    <tableColumn id="40" xr3:uid="{0DF7A8A7-E3C7-431E-9DB1-25FE3AF3D1A7}" name="061. Resource use, minerals and metals" dataDxfId="265" dataCellStyle="Standaard 2"/>
    <tableColumn id="41" xr3:uid="{889CB08B-A0A7-430F-BA0C-3A0188406486}" name="062. Resource use, fossils" dataDxfId="264" dataCellStyle="Standaard 2"/>
    <tableColumn id="42" xr3:uid="{8865AA76-9D05-442C-A3AB-1C509F0E9EFD}" name="063. Water use" dataDxfId="263" dataCellStyle="Standaard 2"/>
    <tableColumn id="43" xr3:uid="{A1EF5B86-97DE-4590-91DC-B64615D6A8DD}" name="064. Particulate matter" dataDxfId="262" dataCellStyle="Standaard 2"/>
    <tableColumn id="44" xr3:uid="{12AA5B4D-19DB-4B19-83D2-22EEF915F13D}" name="065. Ionising radiation" dataDxfId="261" dataCellStyle="Standaard 2"/>
    <tableColumn id="45" xr3:uid="{7CC6DE50-E4F6-457A-A4D1-7DF1A2B3961B}" name="066. Ecotoxicity, freshwater" dataDxfId="260" dataCellStyle="Standaard 2"/>
    <tableColumn id="46" xr3:uid="{AB32D2DF-3937-4915-83AE-168CE0673FFC}" name="067. Human toxicity, cancer" dataDxfId="259" dataCellStyle="Standaard 2"/>
    <tableColumn id="47" xr3:uid="{4FBD7618-97A3-46EA-9DFC-92D01A539FB8}" name="068. Human toxicity, non-cancer" dataDxfId="258" dataCellStyle="Standaard 2"/>
    <tableColumn id="48" xr3:uid="{FAA48144-065A-4C07-B972-1D5BC64DD4DC}" name="069. Land use" dataDxfId="257" dataCellStyle="Standaard 2"/>
    <tableColumn id="49" xr3:uid="{1C8D0939-47A2-403E-813C-D27164930593}" name="111. Energy, primary, renewable, excludi" dataDxfId="256" dataCellStyle="Standaard 2"/>
    <tableColumn id="50" xr3:uid="{90283DE6-48CC-43DB-ABDF-AF5D7D6B9F19}" name="113. Energy, primary, renewable, materia" dataDxfId="255" dataCellStyle="Standaard 2"/>
    <tableColumn id="18" xr3:uid="{3517AFB6-3185-4D48-A928-A86E3CEC4935}" name="101. Energy, primary, renewable (MJ)" dataCellStyle="Standaard 2"/>
    <tableColumn id="51" xr3:uid="{0AE56B99-E9A2-4528-AA00-4A53918FB0DE}" name="112. Energy, primary, non-renewable, exc" dataDxfId="254" dataCellStyle="Standaard 2"/>
    <tableColumn id="52" xr3:uid="{BC15B496-EA10-4F5E-9948-F072DCB30EAF}" name="114. Energy, primary, non-renewable, mat" dataDxfId="253" dataCellStyle="Standaard 2"/>
    <tableColumn id="19" xr3:uid="{B802C652-C8A2-441F-8AF0-0C28A2D6BA10}" name="102. Energy, primary, non-renewable (MJ)" dataCellStyle="Standaard 2"/>
    <tableColumn id="54" xr3:uid="{C9D47D75-73CF-4013-A843-8E43EDBDDB06}" name="108. Secondary material (kg)" dataDxfId="252" dataCellStyle="Standaard 2"/>
    <tableColumn id="53" xr3:uid="{D7F832E2-4FF2-45F6-8F5C-AF84FDFC028B}" name="109. Secondary fuel, renewable (kg)" dataDxfId="251" dataCellStyle="Standaard 2"/>
    <tableColumn id="20" xr3:uid="{DC5AAF79-CECA-42AB-866C-813CA685DE3D}" name="110. Secondary fuel, non-renewable (kg)" dataCellStyle="Standaard 2"/>
    <tableColumn id="21" xr3:uid="{0E30928D-B9FE-4932-9F5F-0E633C2B7E43}" name="104. Water, fresh water use (m3)" dataCellStyle="Standaard 2"/>
    <tableColumn id="22" xr3:uid="{D4964975-77B6-4900-9CB2-673871C35224}" name="106. Waste, hazardous (kg)" dataCellStyle="Standaard 2"/>
    <tableColumn id="23" xr3:uid="{E4692342-8DBB-4E67-9C62-2E05B3FFDC04}" name="105. Waste, non hazardous (kg)" dataCellStyle="Standaard 2"/>
    <tableColumn id="24" xr3:uid="{C760F3CB-E359-4489-B48A-3CF148954F4C}" name="107. Waste, radioactive (kg)" dataCellStyle="Standaard 2"/>
    <tableColumn id="55" xr3:uid="{B4A36417-229F-4461-98CB-448B21D0F97F}" name="120. Components for re-use (kg)" dataDxfId="250" dataCellStyle="Standaard 2"/>
    <tableColumn id="56" xr3:uid="{85D11E7D-D54D-467D-9065-358D5771D870}" name="121. Materials for recycling (kg)" dataDxfId="249" dataCellStyle="Standaard 2"/>
    <tableColumn id="57" xr3:uid="{9B3F61D7-27A0-4FCC-800F-E11BA702CB29}" name="122. Materials for energy recovery (kg)" dataDxfId="248" dataCellStyle="Standaard 2"/>
    <tableColumn id="58" xr3:uid="{0DC65FE4-EC6B-4C29-AA7E-C953E6E625B8}" name="123. Exported energy, electric (MJ)" dataDxfId="247" dataCellStyle="Standaard 2"/>
    <tableColumn id="59" xr3:uid="{1B2CF010-4C76-4733-851B-78169F94C72B}" name="124. Exported energy, thermal (MJ)" dataDxfId="246" dataCellStyle="Standaard 2"/>
    <tableColumn id="25" xr3:uid="{3D43695A-7FB1-4B17-A65D-0DEBD9122B58}" name="Milieuprofiel / Bron" dataCellStyle="Standaard 2"/>
    <tableColumn id="26" xr3:uid="{538CE169-E1AF-44C4-B2BB-49A5CB073503}" name="Comment" dataCellStyle="Standaard 2"/>
  </tableColumns>
  <tableStyleInfo name="TableStyleMedium1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49796DA-EF60-49F3-A753-B779D7D69D4F}" name="Database_Asfalt_Verwerkingsset" displayName="Database_Asfalt_Verwerkingsset" ref="A1145:BH1158" totalsRowShown="0" headerRowCellStyle="Standaard 2" dataCellStyle="Standaard 2">
  <autoFilter ref="A1145:BH1158" xr:uid="{249796DA-EF60-49F3-A753-B779D7D69D4F}"/>
  <tableColumns count="60">
    <tableColumn id="1" xr3:uid="{30CBD624-90EA-43D4-B410-823B1DC77A3B}" name="Milieuprofiel" dataCellStyle="Standaard 2"/>
    <tableColumn id="2" xr3:uid="{B7C83135-664B-4D34-864E-B1021C84744F}" name="Eenheid" dataCellStyle="Standaard 2"/>
    <tableColumn id="29" xr3:uid="{397B1E40-6244-47EB-A6AA-5B2287EFD691}" name="Productgroep" dataCellStyle="Standaard 2"/>
    <tableColumn id="30" xr3:uid="{ADF4F9CB-3561-4F38-B7C5-E488C8DE2EE5}" name="Producttype" dataCellStyle="Standaard 2"/>
    <tableColumn id="3" xr3:uid="{B7A46429-BB05-47A2-A71E-C3E171478F46}" name="Life cycle stage" dataCellStyle="Standaard 2"/>
    <tableColumn id="4" xr3:uid="{F61EA03D-6225-4F95-9738-B83C233AE82D}" name="Verbruik [liter/kWh/kg per uur]" dataCellStyle="Standaard 2"/>
    <tableColumn id="5" xr3:uid="{96B9EC55-6718-40CD-B8EE-F91100EF69CF}" name="Milieu Kosten Indicator (euro) - Euro" dataCellStyle="Standaard 2"/>
    <tableColumn id="6" xr3:uid="{F9E0F797-B11B-433C-9BD0-EFEDDA0D07F4}" name="Dichtheid [kg/liter]" dataCellStyle="Standaard 2"/>
    <tableColumn id="27" xr3:uid="{FF0EA754-7630-47FB-AE66-AC2D161E3E08}" name="Stookwaarde [MJ/liter]" dataDxfId="245"/>
    <tableColumn id="7" xr3:uid="{08A32DF3-880E-4894-8F15-AF31EDEE0923}" name="001. abiotic depletion, non fuel (AD)" dataDxfId="244" dataCellStyle="Standaard 2"/>
    <tableColumn id="8" xr3:uid="{5E55A102-AC66-41A1-8D57-F6DCFAAF34BF}" name="002. abiotic depletion, fuel (AD)" dataDxfId="243" dataCellStyle="Standaard 2"/>
    <tableColumn id="9" xr3:uid="{13604472-4A86-4167-88C8-BFA56D6C09D5}" name="004. global warming (GWP)" dataDxfId="242" dataCellStyle="Standaard 2"/>
    <tableColumn id="10" xr3:uid="{F310E188-1CC2-4E9D-AB30-665B04F68960}" name="005. ozone layer depletion (ODP)" dataDxfId="241" dataCellStyle="Standaard 2"/>
    <tableColumn id="11" xr3:uid="{803EDC8B-2DEE-4C57-8B01-755DD309F3BC}" name="006. photochemical oxidation (POCP)" dataDxfId="240" dataCellStyle="Standaard 2"/>
    <tableColumn id="12" xr3:uid="{BC76C183-210A-4ECD-98D3-73304D3B0F94}" name="007. acidification (AP)" dataDxfId="239" dataCellStyle="Standaard 2"/>
    <tableColumn id="13" xr3:uid="{D671A5DA-FD2D-415F-BF1F-F8CBBD6BEA07}" name="008. eutrophication (EP)" dataDxfId="238" dataCellStyle="Standaard 2"/>
    <tableColumn id="14" xr3:uid="{79C3E39B-46D9-46E5-8D67-3BF7D778C806}" name="009. human toxicity (HT)" dataDxfId="237" dataCellStyle="Standaard 2"/>
    <tableColumn id="15" xr3:uid="{EC013DE2-8F98-4C65-9087-AB75173B4AA1}" name="010. Ecotoxicity, fresh water (FAETP)" dataDxfId="236" dataCellStyle="Standaard 2"/>
    <tableColumn id="16" xr3:uid="{C2264E53-ADE5-43B6-8723-8ED042A29346}" name="012. Ecotoxcity, marine water (MAETP)" dataDxfId="235" dataCellStyle="Standaard 2"/>
    <tableColumn id="17" xr3:uid="{DB1432E1-FA4A-4946-8AB4-39E8EFCBB36E}" name="014. Ecotoxicity, terrestric (TETP)" dataDxfId="234" dataCellStyle="Standaard 2"/>
    <tableColumn id="31" xr3:uid="{21A012C7-2371-4270-A505-D1DDD80E9B94}" name="051. Climate change" dataDxfId="233" dataCellStyle="Standaard 2"/>
    <tableColumn id="32" xr3:uid="{1A8E36FE-F35F-4E3B-853C-6BAC844E5AA7}" name="052. Climate change - Fossil" dataDxfId="232" dataCellStyle="Standaard 2"/>
    <tableColumn id="33" xr3:uid="{4941DF02-FD21-4D98-AF94-A0E0098246CB}" name="053. Climate change - Biogenic" dataDxfId="231" dataCellStyle="Standaard 2"/>
    <tableColumn id="34" xr3:uid="{6B9B7804-2BDE-4D59-8EC5-C97EA0410B6D}" name="054. Climate change - Land use and LU ch" dataDxfId="230" dataCellStyle="Standaard 2"/>
    <tableColumn id="35" xr3:uid="{FB679B1E-4CC3-4B0E-9595-C795376226F7}" name="055. Ozone depletion" dataDxfId="229" dataCellStyle="Standaard 2"/>
    <tableColumn id="36" xr3:uid="{6B6CD412-493C-4517-8431-0CD04BB42727}" name="056. Acidification" dataDxfId="228" dataCellStyle="Standaard 2"/>
    <tableColumn id="37" xr3:uid="{AF05067A-CDAB-4943-B19B-FB721B57191A}" name="057. Eutrophication, freshwater" dataDxfId="227" dataCellStyle="Standaard 2"/>
    <tableColumn id="38" xr3:uid="{A70EE32D-14A6-4EF6-B300-BAA437985C30}" name="058. Eutrophication, marine" dataDxfId="226" dataCellStyle="Standaard 2"/>
    <tableColumn id="39" xr3:uid="{AB728975-9CDF-44DE-9D29-CD58A9E37655}" name="059. Eutrophication, terrestrial" dataDxfId="225" dataCellStyle="Standaard 2"/>
    <tableColumn id="40" xr3:uid="{B544A210-2AAD-40FC-9F16-819FB87D9CFE}" name="060. Photochemical ozone formation" dataDxfId="224" dataCellStyle="Standaard 2"/>
    <tableColumn id="41" xr3:uid="{6DCE91B6-592F-4B0D-9DD6-E513C518CD2C}" name="061. Resource use, minerals and metals" dataDxfId="223" dataCellStyle="Standaard 2"/>
    <tableColumn id="42" xr3:uid="{B55B755E-495C-4426-8228-84D6B8D26C75}" name="062. Resource use, fossils" dataDxfId="222" dataCellStyle="Standaard 2"/>
    <tableColumn id="43" xr3:uid="{1F4BA17B-1045-4529-B07F-BEAD73F9AA9B}" name="063. Water use" dataDxfId="221" dataCellStyle="Standaard 2"/>
    <tableColumn id="44" xr3:uid="{213A976B-166D-4674-9FC4-FCFAECC4D83B}" name="064. Particulate matter" dataDxfId="220" dataCellStyle="Standaard 2"/>
    <tableColumn id="45" xr3:uid="{D6E4C0A7-4FC9-4C24-86A8-A8E477DAE5C7}" name="065. Ionising radiation" dataDxfId="219" dataCellStyle="Standaard 2"/>
    <tableColumn id="46" xr3:uid="{8CB39275-B96B-46BF-9B2D-92049941473C}" name="066. Ecotoxicity, freshwater" dataDxfId="218" dataCellStyle="Standaard 2"/>
    <tableColumn id="47" xr3:uid="{ADF1D8F4-DA27-43C5-BAAF-5A80A5159057}" name="067. Human toxicity, cancer" dataDxfId="217" dataCellStyle="Standaard 2"/>
    <tableColumn id="48" xr3:uid="{47E04118-A1F6-4D9A-A246-9F75DBFD4710}" name="068. Human toxicity, non-cancer" dataDxfId="216" dataCellStyle="Standaard 2"/>
    <tableColumn id="49" xr3:uid="{DEB0A5A1-AAFD-4C47-AE2A-2ACB9DFB3E6E}" name="069. Land use" dataDxfId="215" dataCellStyle="Standaard 2"/>
    <tableColumn id="50" xr3:uid="{52B00AB6-A77D-49E1-9D8D-4406D3152E48}" name="111. Energy, primary, renewable, excludi" dataDxfId="214" dataCellStyle="Standaard 2"/>
    <tableColumn id="51" xr3:uid="{9587666E-7A7A-4D11-8912-DDE59B47794D}" name="113. Energy, primary, renewable, materia" dataDxfId="213" dataCellStyle="Standaard 2"/>
    <tableColumn id="18" xr3:uid="{E64A7D6A-6424-40D5-AFAA-8BBB3641F10B}" name="Totaal gebruik van hernieuwbare primaire energie (MJ)" dataDxfId="212" dataCellStyle="Standaard 2"/>
    <tableColumn id="52" xr3:uid="{F3320D05-0412-4D53-84D1-B1D2AE13CE49}" name="Kolom1" dataDxfId="211" dataCellStyle="Standaard 2"/>
    <tableColumn id="53" xr3:uid="{4A772C40-6580-4EBB-90A8-36D845E8F9B3}" name="Kolom2" dataDxfId="210" dataCellStyle="Standaard 2"/>
    <tableColumn id="19" xr3:uid="{230BB230-F5EC-412D-AA82-E321B361BADD}" name="Totaal gebruik van niet hernieuwbare primaire energie (MJ)" dataDxfId="209" dataCellStyle="Standaard 2"/>
    <tableColumn id="54" xr3:uid="{63ADD1D0-49F4-47CD-B73E-9D2C5FEF95FE}" name="Kolom3" dataDxfId="208" dataCellStyle="Standaard 2"/>
    <tableColumn id="55" xr3:uid="{7A1851DA-A4B1-4F2A-BCD9-97DC180F0EB1}" name="Kolom4" dataDxfId="207" dataCellStyle="Standaard 2"/>
    <tableColumn id="20" xr3:uid="{3D90D155-8F08-445F-9EC2-44DF0C136C01}" name="Energie, primair (MJ)" dataDxfId="206" dataCellStyle="Standaard 2"/>
    <tableColumn id="21" xr3:uid="{5FC47ACA-97A9-4651-AD17-91ABC542563B}" name="Waterverbruik (m3)" dataDxfId="205" dataCellStyle="Standaard 2"/>
    <tableColumn id="22" xr3:uid="{8E0C31DE-5C20-46E1-96F9-F56F67C4828F}" name="Gevaarlijk afval (kg)" dataDxfId="204" dataCellStyle="Standaard 2"/>
    <tableColumn id="23" xr3:uid="{22F92946-CC18-477B-A78E-6D4A4F617782}" name="Niet-gevaarlijk afval (kg)" dataDxfId="203" dataCellStyle="Standaard 2"/>
    <tableColumn id="24" xr3:uid="{C671B34D-6BB3-49A3-A15B-8DF7C2704975}" name="Radioactief afval (kg)" dataDxfId="202" dataCellStyle="Standaard 2"/>
    <tableColumn id="56" xr3:uid="{2B966114-A182-467C-93C6-B70E898C21EF}" name="Kolom5" dataDxfId="201" dataCellStyle="Standaard 2"/>
    <tableColumn id="57" xr3:uid="{90EA8F33-9724-4CF3-AAD8-A5A4B5A1B963}" name="Kolom6" dataDxfId="200" dataCellStyle="Standaard 2"/>
    <tableColumn id="58" xr3:uid="{A5579A7E-55EA-42A4-86E9-95A7417C32EB}" name="Kolom7" dataDxfId="199" dataCellStyle="Standaard 2"/>
    <tableColumn id="59" xr3:uid="{630B9634-6E4E-4C91-B0CE-F30E2F82C13D}" name="Kolom8" dataDxfId="198" dataCellStyle="Standaard 2"/>
    <tableColumn id="60" xr3:uid="{EDD0B961-92A2-4784-8CC7-4B5ECE43E412}" name="Kolom9" dataDxfId="197" dataCellStyle="Standaard 2"/>
    <tableColumn id="25" xr3:uid="{C6F64634-20EC-45FE-83E8-272C3A5A2FB0}" name="Milieuprofiel / Bron" dataCellStyle="Standaard 2"/>
    <tableColumn id="26" xr3:uid="{5F60BABC-0C7C-4470-8DB8-971813C01171}" name="Comment" dataCellStyle="Standaard 2"/>
    <tableColumn id="28" xr3:uid="{54FB5497-F155-4832-93C8-C7C1A4389EE4}" name="Capaciteit" dataDxfId="196" dataCellStyle="Standaard 2"/>
  </tableColumns>
  <tableStyleInfo name="TableStyleMedium1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3D44CEB-1628-46C2-B1E1-9E7D93276ABC}" name="Database_Overig_Materieel" displayName="Database_Overig_Materieel" ref="A1162:BG1265" totalsRowShown="0" headerRowCellStyle="Standaard 2" dataCellStyle="Standaard 2">
  <autoFilter ref="A1162:BG1265" xr:uid="{53D44CEB-1628-46C2-B1E1-9E7D93276ABC}"/>
  <tableColumns count="59">
    <tableColumn id="1" xr3:uid="{55F5B9E6-0BF1-4B58-9DF9-20B5C32216F9}" name="Milieuprofiel" dataCellStyle="Standaard 2"/>
    <tableColumn id="2" xr3:uid="{7D256049-0F17-4E23-A6FC-63CF0F506D30}" name="Eenheid" dataCellStyle="Standaard 2"/>
    <tableColumn id="28" xr3:uid="{0D538E41-1A74-429D-84EE-5FA9D285BF1B}" name="Productgroep" dataDxfId="195" dataCellStyle="Standaard 2"/>
    <tableColumn id="29" xr3:uid="{536BD33D-6145-41DE-8756-ABB066686C01}" name="Producttype" dataDxfId="194" dataCellStyle="Standaard 2"/>
    <tableColumn id="3" xr3:uid="{3230FA76-7F37-4463-9C2A-C5163CC52233}" name="Life cycle stage" dataCellStyle="Standaard 2"/>
    <tableColumn id="4" xr3:uid="{B1D5B94C-7644-493C-8A48-11079459F5A2}" name="Verbruik [liter/kWh/kg per uur]" dataCellStyle="Standaard 2"/>
    <tableColumn id="5" xr3:uid="{5C85F56B-499E-4B2E-A367-D1E2BB329EF4}" name="Milieu Kosten Indicator (euro) - Euro" dataDxfId="193" dataCellStyle="Standaard 2">
      <calculatedColumnFormula>Database_Overig_Materieel[[#This Row],[Verbruik '[liter/kWh/kg per uur']]]*$G$1269</calculatedColumnFormula>
    </tableColumn>
    <tableColumn id="6" xr3:uid="{5EA4FD06-7747-4B00-9E44-B4396EA33FB3}" name="Capaciteit [m3/uur]" dataCellStyle="Standaard 2"/>
    <tableColumn id="27" xr3:uid="{475740BA-FB9F-4EB2-A401-ED6066AE2242}" name="Stookwaarde [MJ/liter]" dataDxfId="192" dataCellStyle="Standaard 2"/>
    <tableColumn id="7" xr3:uid="{2B24D4E9-D5F1-4FFF-B0B9-6BFC4480C85A}" name="001. abiotic depletion, non fuel (AD)" dataDxfId="191" dataCellStyle="Standaard 2"/>
    <tableColumn id="8" xr3:uid="{730526F9-69CE-4404-B2A3-05A58DADD171}" name="002. abiotic depletion, fuel (AD)" dataCellStyle="Standaard 2"/>
    <tableColumn id="9" xr3:uid="{5982D0D6-1D01-4677-BE0D-8FC591A4BD74}" name="004. global warming (GWP)" dataCellStyle="Standaard 2"/>
    <tableColumn id="10" xr3:uid="{6C13FB4A-8222-4AE6-B20E-6ECF0B645AB5}" name="005. ozone layer depletion (ODP)" dataCellStyle="Standaard 2"/>
    <tableColumn id="11" xr3:uid="{0688D447-197A-4E22-BBEF-E589BDC24A16}" name="006. photochemical oxidation (POCP)" dataCellStyle="Standaard 2"/>
    <tableColumn id="12" xr3:uid="{7C38C17A-0BD9-4464-A74F-0A88DD4CF4E5}" name="007. acidification (AP)" dataCellStyle="Standaard 2"/>
    <tableColumn id="13" xr3:uid="{924B100C-5335-4203-A3FB-B58BED36E4B6}" name="008. eutrophication (EP)" dataCellStyle="Standaard 2"/>
    <tableColumn id="14" xr3:uid="{A4D3F008-C4F5-4B0E-80C5-BEFFCEE08739}" name="009. human toxicity (HT)" dataCellStyle="Standaard 2"/>
    <tableColumn id="15" xr3:uid="{F8A7ABAB-D7C6-4155-8C00-27F29AC5650E}" name="010. Ecotoxicity, fresh water (FAETP)" dataCellStyle="Standaard 2"/>
    <tableColumn id="16" xr3:uid="{273E6941-49B4-4C54-8481-56A6C2034CD8}" name="012. Ecotoxcity, marine water (MAETP)" dataCellStyle="Standaard 2"/>
    <tableColumn id="17" xr3:uid="{A13802A8-64BC-4545-B32C-3256EFC5A46D}" name="014. Ecotoxicity, terrestric (TETP)" dataCellStyle="Standaard 2"/>
    <tableColumn id="30" xr3:uid="{56F9D633-CCB2-4DCF-989B-5990BB085D85}" name="051. Climate change" dataDxfId="190" dataCellStyle="Standaard 2"/>
    <tableColumn id="31" xr3:uid="{B4F19D1E-BA67-4558-9B0D-71C265956E27}" name="052. Climate change - Fossil" dataDxfId="189" dataCellStyle="Standaard 2"/>
    <tableColumn id="32" xr3:uid="{89D56050-82B6-47E4-B300-1273628B64FE}" name="053. Climate change - Biogenic" dataDxfId="188" dataCellStyle="Standaard 2"/>
    <tableColumn id="33" xr3:uid="{1476287D-795A-42B2-956C-7E93D0925345}" name="054. Climate change - Land use and LU ch" dataDxfId="187" dataCellStyle="Standaard 2"/>
    <tableColumn id="34" xr3:uid="{0672A6C6-71C4-420A-9C0F-4F7735457C2E}" name="055. Ozone depletion" dataDxfId="186" dataCellStyle="Standaard 2"/>
    <tableColumn id="35" xr3:uid="{43467A51-BE51-4B00-8DBA-A35FADA4A49C}" name="056. Acidification" dataDxfId="185" dataCellStyle="Standaard 2"/>
    <tableColumn id="36" xr3:uid="{E0C833E3-CD13-495F-A4EE-FC9A46049E1E}" name="057. Eutrophication, freshwater" dataDxfId="184" dataCellStyle="Standaard 2"/>
    <tableColumn id="37" xr3:uid="{B3B29B37-1468-427E-BB8D-8BC650A6AAF6}" name="058. Eutrophication, marine" dataDxfId="183" dataCellStyle="Standaard 2"/>
    <tableColumn id="38" xr3:uid="{064D8ED8-B776-4917-82A6-EFDA41BB6A9F}" name="059. Eutrophication, terrestrial" dataDxfId="182" dataCellStyle="Standaard 2"/>
    <tableColumn id="39" xr3:uid="{F36E223A-D2AB-428F-A8C4-7057E1D89366}" name="060. Photochemical ozone formation" dataDxfId="181" dataCellStyle="Standaard 2"/>
    <tableColumn id="40" xr3:uid="{7F12EAB3-43E2-4DFC-90B1-EC7F1E2A648F}" name="061. Resource use, minerals and metals" dataDxfId="180" dataCellStyle="Standaard 2"/>
    <tableColumn id="41" xr3:uid="{5E551EF2-4663-4F9A-9596-0D82D9B6EAFE}" name="062. Resource use, fossils" dataDxfId="179" dataCellStyle="Standaard 2"/>
    <tableColumn id="42" xr3:uid="{31CED5EC-9932-4B36-A63F-0FFD3E2E1C1E}" name="063. Water use" dataDxfId="178" dataCellStyle="Standaard 2"/>
    <tableColumn id="43" xr3:uid="{AB2432E0-10BF-49F4-B068-8E2B3CA4D5DD}" name="064. Particulate matter" dataDxfId="177" dataCellStyle="Standaard 2"/>
    <tableColumn id="44" xr3:uid="{99905C45-4355-4D0E-B791-0663039E6870}" name="065. Ionising radiation" dataDxfId="176" dataCellStyle="Standaard 2"/>
    <tableColumn id="45" xr3:uid="{B4B5A474-F064-4B1E-8AE7-F3024EEFD954}" name="066. Ecotoxicity, freshwater" dataDxfId="175" dataCellStyle="Standaard 2"/>
    <tableColumn id="46" xr3:uid="{B9DA0C1B-73F7-463F-9C97-81808B457374}" name="067. Human toxicity, cancer" dataDxfId="174" dataCellStyle="Standaard 2"/>
    <tableColumn id="47" xr3:uid="{2E968306-D8F6-46CE-9AD1-67CBE47FE3A2}" name="068. Human toxicity, non-cancer" dataDxfId="173" dataCellStyle="Standaard 2"/>
    <tableColumn id="48" xr3:uid="{DD3B772F-B95F-4987-A12D-BDD5A2F4B2FB}" name="069. Land use" dataDxfId="172" dataCellStyle="Standaard 2"/>
    <tableColumn id="49" xr3:uid="{ED72E50E-AA43-4D70-AAE7-E80DC29BBE05}" name="111. Energy, primary, renewable, excludi" dataDxfId="171" dataCellStyle="Standaard 2"/>
    <tableColumn id="50" xr3:uid="{687293BA-816B-4CA5-A6F1-900220056A7D}" name="113. Energy, primary, renewable, materia" dataDxfId="170" dataCellStyle="Standaard 2"/>
    <tableColumn id="18" xr3:uid="{8E698119-35F0-4E1A-A414-EDC1756C795D}" name="101. Energy, primary, renewable (MJ)" dataCellStyle="Standaard 2"/>
    <tableColumn id="51" xr3:uid="{5C394C25-0236-433F-93D2-C65D97E2EA92}" name="112. Energy, primary, non-renewable, exc" dataDxfId="169" dataCellStyle="Standaard 2"/>
    <tableColumn id="52" xr3:uid="{A29FFB7A-38D6-47DA-A87F-080B7C98B98A}" name="114. Energy, primary, non-renewable, mat" dataDxfId="168" dataCellStyle="Standaard 2"/>
    <tableColumn id="19" xr3:uid="{8D5090BE-A439-44BA-AC3F-911B73FF0801}" name="102. Energy, primary, non-renewable (MJ)" dataCellStyle="Standaard 2"/>
    <tableColumn id="56" xr3:uid="{A66BB22F-5BC0-459D-9EAC-931FC5976300}" name="108. Secondary material (kg)" dataDxfId="167" dataCellStyle="Standaard 2"/>
    <tableColumn id="57" xr3:uid="{BFCA894A-5BFE-4B2F-94A9-9BF7AA4AFAF1}" name="109. Secondary fuel, renewable (kg)" dataDxfId="166" dataCellStyle="Standaard 2"/>
    <tableColumn id="20" xr3:uid="{B6797E54-65E6-4D63-B7AE-CE773EEC557A}" name="110. Secondary fuel, non-renewable (kg)" dataCellStyle="Standaard 2"/>
    <tableColumn id="21" xr3:uid="{20E7F2DA-7AE9-4BC5-B25A-DD2E7E0B6C29}" name="104. Water, fresh water use (m3)" dataCellStyle="Standaard 2"/>
    <tableColumn id="22" xr3:uid="{68B7FBDD-AE2F-4BAE-9652-C223D33CE62C}" name="106. Waste, hazardous (kg)" dataCellStyle="Standaard 2"/>
    <tableColumn id="23" xr3:uid="{1F8FC27E-D7D3-40B8-8206-EEAB84C7002B}" name="105. Waste, non hazardous (kg)" dataCellStyle="Standaard 2"/>
    <tableColumn id="24" xr3:uid="{327A7570-EF31-41DA-BC9D-C3F1879E7372}" name="107. Waste, radioactive (kg)" dataCellStyle="Standaard 2"/>
    <tableColumn id="58" xr3:uid="{D15CEA4D-F189-4AA4-9109-7F3644198EA5}" name="120. Components for re-use (kg)" dataDxfId="165" dataCellStyle="Standaard 2"/>
    <tableColumn id="59" xr3:uid="{79608426-A6CB-4DF8-80AC-8760D29067B8}" name="121. Materials for recycling (kg)" dataDxfId="164" dataCellStyle="Standaard 2"/>
    <tableColumn id="60" xr3:uid="{EF5E4C82-B21B-4609-A520-102DD0AAE7B7}" name="122. Materials for energy recovery (kg)" dataDxfId="163" dataCellStyle="Standaard 2"/>
    <tableColumn id="61" xr3:uid="{0770A076-9F18-45CB-AA87-750FD79F16F1}" name="123. Exported energy, electric (MJ)" dataDxfId="162" dataCellStyle="Standaard 2"/>
    <tableColumn id="62" xr3:uid="{BB67FCCE-31CB-4BCC-83E0-ADB87D208D09}" name="124. Exported energy, thermal (MJ)" dataDxfId="161" dataCellStyle="Standaard 2"/>
    <tableColumn id="25" xr3:uid="{B33D3838-4B25-4EF2-BADB-B4E0F3D27C93}" name="Milieuprofiel / Bron" dataCellStyle="Standaard 2"/>
    <tableColumn id="26" xr3:uid="{4D8471A2-3C6A-470C-AFD2-FDDDD544B90E}" name="Comment" dataCellStyle="Standaard 2"/>
  </tableColumns>
  <tableStyleInfo name="TableStyleMedium1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B981199-87E5-4ECF-98E1-2E8F603DA955}" name="Database_Brandstoffen" displayName="Database_Brandstoffen" ref="A1269:BG1286" totalsRowShown="0" dataDxfId="160" headerRowCellStyle="Standaard 2" dataCellStyle="Standaard 2">
  <autoFilter ref="A1269:BG1286" xr:uid="{7B981199-87E5-4ECF-98E1-2E8F603DA955}"/>
  <tableColumns count="59">
    <tableColumn id="1" xr3:uid="{19A5AC99-CB7B-4F69-8807-C1A4FC3549B7}" name="Milieuprofiel" dataDxfId="159" dataCellStyle="Standaard 2"/>
    <tableColumn id="2" xr3:uid="{C2452744-B9EF-4389-8348-3748A69BAB57}" name="Eenheid" dataDxfId="158" dataCellStyle="Standaard 2"/>
    <tableColumn id="28" xr3:uid="{2DFBD221-2908-4CC4-8475-A80D2B9B2BA8}" name="Productgroep" dataDxfId="157" dataCellStyle="Standaard 2"/>
    <tableColumn id="29" xr3:uid="{A9ABC0B7-7AE6-4EBE-A519-B9B58B082D37}" name="Producttype" dataDxfId="156" dataCellStyle="Standaard 2"/>
    <tableColumn id="3" xr3:uid="{CB51C818-0B6A-4BB7-A42E-B316241113C5}" name="Life cycle stage" dataDxfId="155" dataCellStyle="Standaard 2"/>
    <tableColumn id="4" xr3:uid="{05F69318-0545-465B-A6C4-5C43ED69B0E6}" name="Verbruik [liter/kWh/kg per uur]" dataDxfId="154" dataCellStyle="Standaard 2"/>
    <tableColumn id="5" xr3:uid="{FD3AF10D-CEC4-416B-8477-A6FC66E09750}" name="Milieu Kosten Indicator (euro) - Euro" dataDxfId="153" dataCellStyle="Standaard 2"/>
    <tableColumn id="6" xr3:uid="{051A9173-DF8B-49AF-B5B7-C27349B7E05F}" name="Capaciteit" dataDxfId="152" dataCellStyle="Standaard 2"/>
    <tableColumn id="27" xr3:uid="{6B300DEB-1BFE-4D6A-900A-02DC9DDA2F1D}" name="Stookwaarde [MJ/liter]" dataDxfId="151" dataCellStyle="Standaard 2"/>
    <tableColumn id="7" xr3:uid="{05C87061-F20A-4DCA-BC2B-EE7B3968AE92}" name="001. abiotic depletion, non fuel (AD)" dataDxfId="150" dataCellStyle="Standaard 2"/>
    <tableColumn id="8" xr3:uid="{AC281A13-D386-439B-814C-DAFDB4231203}" name="002. abiotic depletion, fuel (AD)" dataDxfId="149" dataCellStyle="Standaard 2"/>
    <tableColumn id="9" xr3:uid="{848A6501-07BE-4D42-82FA-13DCC30789F3}" name="004. global warming (GWP)" dataDxfId="148" dataCellStyle="Standaard 2"/>
    <tableColumn id="10" xr3:uid="{301378CC-BFCA-4F09-A486-597347252B7A}" name="005. ozone layer depletion (ODP)" dataDxfId="147" dataCellStyle="Standaard 2"/>
    <tableColumn id="11" xr3:uid="{807527D0-08F0-4377-92EE-17206FFCFF11}" name="006. photochemical oxidation (POCP)" dataDxfId="146" dataCellStyle="Standaard 2"/>
    <tableColumn id="12" xr3:uid="{E3F876FB-D568-4011-9BF8-96263D95A1AE}" name="007. acidification (AP)" dataDxfId="145" dataCellStyle="Standaard 2"/>
    <tableColumn id="13" xr3:uid="{5EE77DD2-AF25-4FB6-9B20-3E956FDA9F12}" name="008. eutrophication (EP)" dataDxfId="144" dataCellStyle="Standaard 2"/>
    <tableColumn id="14" xr3:uid="{08BD9204-1A88-4FE5-93A9-7E7893317579}" name="009. human toxicity (HT)" dataDxfId="143" dataCellStyle="Standaard 2"/>
    <tableColumn id="15" xr3:uid="{C85E50CF-E036-4296-A95A-20A94351EF9C}" name="010. Ecotoxicity, fresh water (FAETP)" dataDxfId="142" dataCellStyle="Standaard 2"/>
    <tableColumn id="16" xr3:uid="{2D172679-83B5-4012-9C88-361304CBB0DB}" name="012. Ecotoxcity, marine water (MAETP)" dataDxfId="141" dataCellStyle="Standaard 2"/>
    <tableColumn id="17" xr3:uid="{BCAB13D9-1410-4B9E-A738-7C6EC337FF0D}" name="014. Ecotoxicity, terrestric (TETP)" dataDxfId="140" dataCellStyle="Standaard 2"/>
    <tableColumn id="30" xr3:uid="{665A3741-4504-4814-9340-3AA83F651785}" name="051. Climate change" dataDxfId="139" dataCellStyle="Standaard 2"/>
    <tableColumn id="31" xr3:uid="{B4ED29BC-5CAE-4C75-9CE6-7C7E0C796244}" name="052. Climate change - Fossil" dataDxfId="138" dataCellStyle="Standaard 2"/>
    <tableColumn id="32" xr3:uid="{C5757DDD-B612-4E75-B2AB-C7DE4490F25E}" name="053. Climate change - Biogenic" dataDxfId="137" dataCellStyle="Standaard 2"/>
    <tableColumn id="33" xr3:uid="{C719DD66-8D0F-46F4-B13E-02EBCC0C5E98}" name="054. Climate change - Land use and LU ch" dataDxfId="136" dataCellStyle="Standaard 2"/>
    <tableColumn id="34" xr3:uid="{F55F1E7C-42FA-4C62-AB7C-40614B5698A2}" name="055. Ozone depletion" dataDxfId="135" dataCellStyle="Standaard 2"/>
    <tableColumn id="35" xr3:uid="{461D3F91-6177-4E92-8F41-492B66A2F707}" name="056. Acidification" dataDxfId="134" dataCellStyle="Standaard 2"/>
    <tableColumn id="36" xr3:uid="{3C453AE1-34DA-4CBA-804E-14FFB583AF7A}" name="057. Eutrophication, freshwater" dataDxfId="133" dataCellStyle="Standaard 2"/>
    <tableColumn id="37" xr3:uid="{767F94BB-9E52-4B23-A938-85EF006B59B9}" name="058. Eutrophication, marine" dataDxfId="132" dataCellStyle="Standaard 2"/>
    <tableColumn id="38" xr3:uid="{0A1C69DD-6CBA-4A05-8D85-AC1EA4BC6D3D}" name="059. Eutrophication, terrestrial" dataDxfId="131" dataCellStyle="Standaard 2"/>
    <tableColumn id="39" xr3:uid="{8845429B-9B34-4D26-8CC6-DB80EACC0DB4}" name="060. Photochemical ozone formation" dataDxfId="130" dataCellStyle="Standaard 2"/>
    <tableColumn id="40" xr3:uid="{25193C39-028F-49B5-9885-B0E41F8B332E}" name="061. Resource use, minerals and metals" dataDxfId="129" dataCellStyle="Standaard 2"/>
    <tableColumn id="41" xr3:uid="{528BC4C3-FE76-4FAC-8E43-29524070E790}" name="062. Resource use, fossils" dataDxfId="128" dataCellStyle="Standaard 2"/>
    <tableColumn id="42" xr3:uid="{B5708005-40AC-4971-8938-1214CBD8A4E9}" name="063. Water use" dataDxfId="127" dataCellStyle="Standaard 2"/>
    <tableColumn id="43" xr3:uid="{D0562868-F305-411B-9993-E2554B4DA0B1}" name="064. Particulate matter" dataDxfId="126" dataCellStyle="Standaard 2"/>
    <tableColumn id="44" xr3:uid="{D9BEA55A-6A12-40E8-A95E-A5A7FEF9B998}" name="065. Ionising radiation" dataDxfId="125" dataCellStyle="Standaard 2"/>
    <tableColumn id="45" xr3:uid="{C7B65AD9-4F6C-46D3-88FA-7C8336F79988}" name="066. Ecotoxicity, freshwater" dataDxfId="124" dataCellStyle="Standaard 2"/>
    <tableColumn id="46" xr3:uid="{B2E1F6E2-7137-4192-A334-33BDF20D4256}" name="067. Human toxicity, cancer" dataDxfId="123" dataCellStyle="Standaard 2"/>
    <tableColumn id="47" xr3:uid="{78F5D798-101E-4FF0-A3CE-0E14E67722CC}" name="068. Human toxicity, non-cancer" dataDxfId="122" dataCellStyle="Standaard 2"/>
    <tableColumn id="48" xr3:uid="{F73C49F0-7922-4271-803B-F73B44474F1C}" name="069. Land use" dataDxfId="121" dataCellStyle="Standaard 2"/>
    <tableColumn id="49" xr3:uid="{9B94697D-1A70-4050-ACBE-68F850928377}" name="111. Energy, primary, renewable, excludi" dataDxfId="120" dataCellStyle="Standaard 2"/>
    <tableColumn id="50" xr3:uid="{697C152D-80E7-4327-AB89-CBCA66446212}" name="113. Energy, primary, renewable, materia" dataDxfId="119" dataCellStyle="Standaard 2"/>
    <tableColumn id="18" xr3:uid="{9C81FAB0-FDEF-4497-8EAB-6B3D2820970C}" name="101. Energy, primary, renewable (MJ)" dataDxfId="118" dataCellStyle="Standaard 2"/>
    <tableColumn id="51" xr3:uid="{A9169CE4-FE2F-4BD3-908C-61E96B492690}" name="112. Energy, primary, non-renewable, exc" dataDxfId="117" dataCellStyle="Standaard 2"/>
    <tableColumn id="52" xr3:uid="{CD76A537-8722-4919-B233-F7348D21C079}" name="114. Energy, primary, non-renewable, mat" dataDxfId="116" dataCellStyle="Standaard 2"/>
    <tableColumn id="19" xr3:uid="{6B4F7CB1-24C7-4CFD-B91D-6A2E905DB54B}" name="102. Energy, primary, non-renewable (MJ)" dataDxfId="115" dataCellStyle="Standaard 2"/>
    <tableColumn id="53" xr3:uid="{68A36EB3-B70A-46AE-90F1-BAB99C38E6F1}" name="108. Secondary material (kg)" dataDxfId="114" dataCellStyle="Standaard 2"/>
    <tableColumn id="54" xr3:uid="{91A3A131-D125-432E-9644-DC23F113363D}" name="109. Secondary fuel, renewable (kg)" dataDxfId="113" dataCellStyle="Standaard 2"/>
    <tableColumn id="20" xr3:uid="{57190C97-6210-45E9-85A1-8EF927573B31}" name="110. Secondary fuel, non-renewable (kg)" dataDxfId="112" dataCellStyle="Standaard 2"/>
    <tableColumn id="21" xr3:uid="{B2F479A1-F56D-4BB9-821A-73A036E80218}" name="104. Water, fresh water use (m3)" dataDxfId="111" dataCellStyle="Standaard 2"/>
    <tableColumn id="22" xr3:uid="{30B0B57C-18EA-469D-BBDA-482C74B3A417}" name="106. Waste, hazardous (kg)" dataDxfId="110" dataCellStyle="Standaard 2"/>
    <tableColumn id="23" xr3:uid="{3199CE38-DB23-4FED-8317-D4E109FACD78}" name="105. Waste, non hazardous (kg)" dataDxfId="109" dataCellStyle="Standaard 2"/>
    <tableColumn id="24" xr3:uid="{388A5FE7-41EC-4F8C-A914-A59D93508CD5}" name="107. Waste, radioactive (kg)" dataDxfId="108" dataCellStyle="Standaard 2"/>
    <tableColumn id="55" xr3:uid="{BB2663F5-E416-46AC-A3E7-7AB63933B2D0}" name="120. Components for re-use (kg)" dataDxfId="107" dataCellStyle="Standaard 2"/>
    <tableColumn id="56" xr3:uid="{27E37A0C-D6B5-417F-A036-FFDE0AB6AC28}" name="121. Materials for recycling (kg)" dataDxfId="106" dataCellStyle="Standaard 2"/>
    <tableColumn id="57" xr3:uid="{F2D0DDEC-C77F-45AF-8113-D58F07DBA822}" name="122. Materials for energy recovery (kg)" dataDxfId="105" dataCellStyle="Standaard 2"/>
    <tableColumn id="58" xr3:uid="{3A91629F-8252-48F1-B462-072EF59409F3}" name="123. Exported energy, electric (MJ)" dataDxfId="104" dataCellStyle="Standaard 2"/>
    <tableColumn id="59" xr3:uid="{F41830D8-CC2F-4682-B1E7-05232A31BD50}" name="124. Exported energy, thermal (MJ)" dataDxfId="103" dataCellStyle="Standaard 2"/>
    <tableColumn id="25" xr3:uid="{0E7FE428-1A4A-437C-A956-8109BDAD00C2}" name="Milieuprofiel / Bron" dataDxfId="102" dataCellStyle="Standaard 2"/>
    <tableColumn id="26" xr3:uid="{37F73860-421B-4E84-BC04-84596B1BFEE4}" name="Comment" dataDxfId="101" dataCellStyle="Standaard 2"/>
  </tableColumns>
  <tableStyleInfo name="TableStyleMedium1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5FE84F-E61A-4202-A1E2-06FDFDFF0E87}" name="Bitumineuze_verhardingen" displayName="Bitumineuze_verhardingen" ref="B1:B46" totalsRowShown="0" tableBorderDxfId="91">
  <autoFilter ref="B1:B46" xr:uid="{9A5FE84F-E61A-4202-A1E2-06FDFDFF0E87}"/>
  <tableColumns count="1">
    <tableColumn id="1" xr3:uid="{38DCC750-EE43-4538-AE51-2B2D12B18E90}" name="Bitumineuze_verhardingen"/>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769692-2D5E-4C86-8F0D-54033F995A12}" name="Productgroep" displayName="Productgroep" ref="A1:A3" totalsRowShown="0" headerRowDxfId="90" headerRowBorderDxfId="89" tableBorderDxfId="88">
  <autoFilter ref="A1:A3" xr:uid="{0C769692-2D5E-4C86-8F0D-54033F995A12}"/>
  <tableColumns count="1">
    <tableColumn id="1" xr3:uid="{8D51972A-B246-4103-9CE2-A1758DF1BA99}" name="Productgroep"/>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FCDA06-4EEF-4CD5-A08F-C9A4EAA60BA3}" name="Keuzelijst_Transport" displayName="Keuzelijst_Transport" ref="M1:M10" totalsRowShown="0" dataDxfId="87" tableBorderDxfId="86" dataCellStyle="Standaard 2">
  <autoFilter ref="M1:M10" xr:uid="{05FCDA06-4EEF-4CD5-A08F-C9A4EAA60BA3}"/>
  <tableColumns count="1">
    <tableColumn id="1" xr3:uid="{F698BA4C-C4A5-453E-AA14-7549EBFE2505}" name="Transport" dataDxfId="85" dataCellStyle="Standaard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52351D6-B6F1-4C14-8F5D-076398EB732E}" name="Referentie_Materiaal_Totaal46" displayName="Referentie_Materiaal_Totaal46" ref="B87:M125" totalsRowCount="1" dataDxfId="1234" headerRowBorderDxfId="1235" tableBorderDxfId="1233">
  <autoFilter ref="B87:M124" xr:uid="{ADA2D3C8-8DB0-4CE1-81EA-5F645BA9A3E3}"/>
  <tableColumns count="12">
    <tableColumn id="1" xr3:uid="{240F56F6-58AA-48B0-847A-3D5DB55E8572}" name="Bestekspost" totalsRowLabel="Totaal" dataDxfId="1232" totalsRowDxfId="1231">
      <calculatedColumnFormula>Ontwerpberekening!B5</calculatedColumnFormula>
    </tableColumn>
    <tableColumn id="2" xr3:uid="{371F3A27-3FF0-4FF1-A5C5-711C0DF86470}" name="Product" dataDxfId="1230" totalsRowDxfId="1229">
      <calculatedColumnFormula>Ontwerpberekening!F5</calculatedColumnFormula>
    </tableColumn>
    <tableColumn id="3" xr3:uid="{4DD2BE2C-792E-4DD0-B637-DAE7B52FE171}" name="Hoeveelheid [ton]" totalsRowFunction="sum" dataDxfId="1228" totalsRowDxfId="1227">
      <calculatedColumnFormula>Ontwerpberekening!P5</calculatedColumnFormula>
    </tableColumn>
    <tableColumn id="4" xr3:uid="{A541B4A8-D27F-451B-896D-49383418560C}" name="% Secundair" dataDxfId="1226" totalsRowDxfId="1225">
      <calculatedColumnFormula>_xlfn.IFNA(VLOOKUP(Referentie_Materiaal_Totaal46[[#This Row],[Product]]&amp;", "&amp;"Totaal",Database_Productkaarten[#All],63,FALSE),0)</calculatedColumnFormula>
    </tableColumn>
    <tableColumn id="5" xr3:uid="{711931BD-46CF-4CCD-946D-91B7E4A68C83}" name="Primair materiaalverbruik [ton]" totalsRowFunction="sum" dataDxfId="1224" totalsRowDxfId="1223">
      <calculatedColumnFormula>Referentie_Materiaal_Totaal46[[#This Row],[Hoeveelheid '[ton']]]*(1-Referentie_Materiaal_Totaal46[[#This Row],[% Secundair]])</calculatedColumnFormula>
    </tableColumn>
    <tableColumn id="6" xr3:uid="{E35F8F4B-57BD-4EC2-A379-4CA321BC25BB}" name="Secundair materiaalverbruik [ton]" totalsRowFunction="sum" dataDxfId="1222" totalsRowDxfId="1221">
      <calculatedColumnFormula>Referentie_Materiaal_Totaal46[[#This Row],[Hoeveelheid '[ton']]]*Referentie_Materiaal_Totaal46[[#This Row],[% Secundair]]</calculatedColumnFormula>
    </tableColumn>
    <tableColumn id="7" xr3:uid="{5CDF6D76-896B-4EE3-99A0-3AD4C283F4CD}" name="Hoeveelheid Vervaningen [ton]" totalsRowFunction="sum" dataDxfId="1220" totalsRowDxfId="1219">
      <calculatedColumnFormula>Ontwerpberekening!P5*Ontwerpberekening!R5</calculatedColumnFormula>
    </tableColumn>
    <tableColumn id="8" xr3:uid="{7527DBAD-1376-4E20-8606-72BB8B49699C}" name="Primair materiaalverbruik Vervangingen [ton]" totalsRowFunction="sum" dataDxfId="1218" totalsRowDxfId="1217">
      <calculatedColumnFormula>Referentie_Materiaal_Totaal46[[#This Row],[Hoeveelheid Vervaningen '[ton']]]*(1-Referentie_Materiaal_Totaal46[[#This Row],[% Secundair]])</calculatedColumnFormula>
    </tableColumn>
    <tableColumn id="9" xr3:uid="{9F71AB00-7F9B-46F1-8793-B8C1388A6575}" name="Secundair materiaalverbruik Vervangingen [ton]" totalsRowFunction="sum" dataDxfId="1216" totalsRowDxfId="1215">
      <calculatedColumnFormula>Referentie_Materiaal_Totaal46[[#This Row],[Hoeveelheid Vervaningen '[ton']]]*Referentie_Materiaal_Totaal46[[#This Row],[% Secundair]]</calculatedColumnFormula>
    </tableColumn>
    <tableColumn id="10" xr3:uid="{F4EAEB69-1BC5-4DDA-8537-76A59BE1E9DC}" name="Totaal Primair Materieelgebruik" totalsRowFunction="sum" dataDxfId="1214" totalsRowDxfId="1213">
      <calculatedColumnFormula>Referentie_Materiaal_Totaal46[[#This Row],[Primair materiaalverbruik '[ton']]]+Referentie_Materiaal_Totaal46[[#This Row],[Primair materiaalverbruik Vervangingen '[ton']]]</calculatedColumnFormula>
    </tableColumn>
    <tableColumn id="11" xr3:uid="{0DFA3C68-E564-47CB-ABE4-39A65A3BF781}" name="Totaal Secundair Materieelgebruik" totalsRowFunction="sum" dataDxfId="1212" totalsRowDxfId="1211">
      <calculatedColumnFormula>Referentie_Materiaal_Totaal46[[#This Row],[Secundair materiaalverbruik '[ton']]]+Referentie_Materiaal_Totaal46[[#This Row],[Secundair materiaalverbruik Vervangingen '[ton']]]</calculatedColumnFormula>
    </tableColumn>
    <tableColumn id="12" xr3:uid="{890E3DCF-B1A6-4991-B58B-A82AE530E366}" name="Totaal Materieelgebruik" totalsRowFunction="sum" dataDxfId="1210" totalsRowDxfId="1209">
      <calculatedColumnFormula>Referentie_Materiaal_Totaal46[[#This Row],[Totaal Primair Materieelgebruik]]+Referentie_Materiaal_Totaal46[[#This Row],[Totaal Secundair Materieelgebruik]]</calculatedColumnFormula>
    </tableColumn>
  </tableColumns>
  <tableStyleInfo name="TableStyleMedium1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A4E467B-CA43-4951-AEE9-47116B58E225}" name="Keuzelijst_Asfaltsets" displayName="Keuzelijst_Asfaltsets" ref="O1:O22" totalsRowShown="0" headerRowDxfId="84" dataDxfId="82" headerRowBorderDxfId="83" tableBorderDxfId="81" dataCellStyle="Standaard 2">
  <autoFilter ref="O1:O22" xr:uid="{5A4E467B-CA43-4951-AEE9-47116B58E225}"/>
  <tableColumns count="1">
    <tableColumn id="1" xr3:uid="{69C1B55B-DF63-4147-9271-395D8CF11B48}" name="Aanleg &amp; Verwijder Sets" dataDxfId="80" dataCellStyle="Standaard 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BF3A1A-B303-40A9-A3D8-B93BFFAD89B9}" name="Funderingslagen" displayName="Funderingslagen" ref="D1:D4" totalsRowShown="0" dataDxfId="78" headerRowBorderDxfId="79" tableBorderDxfId="77">
  <autoFilter ref="D1:D4" xr:uid="{84BF3A1A-B303-40A9-A3D8-B93BFFAD89B9}"/>
  <tableColumns count="1">
    <tableColumn id="1" xr3:uid="{39711E23-D9D3-4E27-88D5-249245C967A9}" name="Funderingslagen" dataDxfId="7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F46C76C-AB2E-4F2C-91C6-ECFDFECE2C59}" name="Grondwerken" displayName="Grondwerken" ref="C1:C6" totalsRowShown="0" headerRowDxfId="75" dataDxfId="74">
  <autoFilter ref="C1:C6" xr:uid="{7F46C76C-AB2E-4F2C-91C6-ECFDFECE2C59}"/>
  <tableColumns count="1">
    <tableColumn id="1" xr3:uid="{289974A4-B38B-429C-A83B-6A148582443D}" name="Grondwerken" dataDxfId="7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0568C48-CC1F-4E96-ABA0-DAC4229D1DF7}" name="Betonverhardingen" displayName="Betonverhardingen" ref="E1:E3" totalsRowShown="0" headerRowDxfId="72" dataDxfId="71">
  <autoFilter ref="E1:E3" xr:uid="{E0568C48-CC1F-4E96-ABA0-DAC4229D1DF7}"/>
  <tableColumns count="1">
    <tableColumn id="1" xr3:uid="{58D0F8DB-029C-4858-A762-C8B1923CEAF3}" name="Betonverhardingen" dataDxfId="70"/>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1E6127E-7C5A-4491-B4A3-C27F5C5EE053}" name="Categorie_1_LCA_Producten" displayName="Categorie_1_LCA_Producten" ref="I1:I11" totalsRowShown="0">
  <autoFilter ref="I1:I11" xr:uid="{C1E6127E-7C5A-4491-B4A3-C27F5C5EE053}"/>
  <tableColumns count="1">
    <tableColumn id="1" xr3:uid="{A3D3129C-B75F-4E52-988D-D512C6245D75}" name="Categorie 1 LCA - Producten">
      <calculatedColumnFormula>'Inschrijf LCA''s'!A4</calculatedColumnFormula>
    </tableColumn>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AE819F7-27CC-455D-9B87-B0A189957A78}" name="Categorie_1_LCA_Processen" displayName="Categorie_1_LCA_Processen" ref="J1:J11" totalsRowShown="0">
  <autoFilter ref="J1:J11" xr:uid="{3AE819F7-27CC-455D-9B87-B0A189957A78}"/>
  <tableColumns count="1">
    <tableColumn id="1" xr3:uid="{CD194901-5C65-4F04-9965-45B356A3EF9A}" name="Categorie 1 LCA - Processen">
      <calculatedColumnFormula>'Inschrijf LCA''s'!#REF!</calculatedColumnFormula>
    </tableColumn>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9DCEF9F-6537-4817-BE84-EE91028BA0DD}" name="Tabel24" displayName="Tabel24" ref="U1:U3" totalsRowShown="0">
  <autoFilter ref="U1:U3" xr:uid="{B9DCEF9F-6537-4817-BE84-EE91028BA0DD}"/>
  <tableColumns count="1">
    <tableColumn id="1" xr3:uid="{7F4A7CDA-902F-44E1-AC0E-37C8F8A7022A}" name="Sitautie"/>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B331799-D9E2-417E-AEA2-6BCFFE2ECF82}" name="Tabel33" displayName="Tabel33" ref="W1:W3" totalsRowShown="0">
  <autoFilter ref="W1:W3" xr:uid="{DB331799-D9E2-417E-AEA2-6BCFFE2ECF82}"/>
  <tableColumns count="1">
    <tableColumn id="1" xr3:uid="{5D1AB271-740F-435D-8B4E-773461EBF517}" name="Vraag"/>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BAF0C2A-D7A2-4585-8239-874CAEA9E3B4}" name="Kunststofverhardingen" displayName="Kunststofverhardingen" ref="F1:F4" totalsRowShown="0" headerRowDxfId="69" dataDxfId="68">
  <autoFilter ref="F1:F4" xr:uid="{CBAF0C2A-D7A2-4585-8239-874CAEA9E3B4}"/>
  <tableColumns count="1">
    <tableColumn id="1" xr3:uid="{0540730E-14C6-4284-BD89-D77B30623661}" name="Kunststofverhadingen" dataDxfId="6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DA3D229-454C-4182-A690-A7F3DB77D884}" name="Elementenverhardingen" displayName="Elementenverhardingen" ref="G1:G13" totalsRowShown="0" headerRowDxfId="66" dataDxfId="65">
  <autoFilter ref="G1:G13" xr:uid="{1DA3D229-454C-4182-A690-A7F3DB77D884}"/>
  <tableColumns count="1">
    <tableColumn id="1" xr3:uid="{2339960E-6DAF-41D9-BB15-5E765AAC5081}" name="Elementenverhardingen" dataDxfId="6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D108456-263E-4848-ABE5-0D9BA4D69A74}" name="Referentie_Hernieuwbare_Energie_Totaal47" displayName="Referentie_Hernieuwbare_Energie_Totaal47" ref="B129:R167" totalsRowCount="1" headerRowDxfId="1208" dataDxfId="1207" totalsRowDxfId="1206">
  <autoFilter ref="B129:R166" xr:uid="{40AA3D09-0E06-534E-9C14-B5A2BDDB2846}"/>
  <tableColumns count="17">
    <tableColumn id="1" xr3:uid="{4449837B-4E1F-478B-A4AE-643684B77D8C}" name="Bestekspost" totalsRowLabel="Totaal" dataDxfId="1205" totalsRowDxfId="1204">
      <calculatedColumnFormula>Ontwerpberekening!B5</calculatedColumnFormula>
    </tableColumn>
    <tableColumn id="2" xr3:uid="{BCC1E924-81C2-4C1E-8FA8-6093CC52CD40}" name="Product" dataDxfId="1203" totalsRowDxfId="1202">
      <calculatedColumnFormula>Ontwerpberekening!F5</calculatedColumnFormula>
    </tableColumn>
    <tableColumn id="3" xr3:uid="{81AFE95C-70C5-4933-BF3A-6C7C6EC196B4}" name="A1" totalsRowFunction="sum" dataDxfId="1201" totalsRowDxfId="1200">
      <calculatedColumnFormula>(IF(Ontwerpberekening!C5="Nieuwe Situatie",(_xlfn.IFNA(VLOOKUP(Referentie_Hernieuwbare_Energie_Totaal47[[#This Row],[Product]]&amp;", "&amp;Referentie_Hernieuwbare_Energie_Totaal47[[#Headers],[A1]],Database_Productkaarten[#All],47,FALSE),0)*Ontwerpberekening!L5),0))/Ontwerpberekening!$A$2</calculatedColumnFormula>
    </tableColumn>
    <tableColumn id="4" xr3:uid="{6E0FBD15-1139-4BAE-82AE-448EC0DF7A49}" name="A2" totalsRowFunction="sum" dataDxfId="1199" totalsRowDxfId="1198">
      <calculatedColumnFormula>(IF(Ontwerpberekening!C5="Nieuwe Situatie",(_xlfn.IFNA(VLOOKUP(Referentie_Hernieuwbare_Energie_Totaal47[[#This Row],[Product]]&amp;", "&amp;Referentie_Hernieuwbare_Energie_Totaal47[[#Headers],[A2]],Database_Productkaarten[#All],47,FALSE),0)*Ontwerpberekening!L5),0))/Ontwerpberekening!$A$2</calculatedColumnFormula>
    </tableColumn>
    <tableColumn id="5" xr3:uid="{AE4DF76C-BBA7-478A-99B5-33DB6A566229}" name="A3" totalsRowFunction="sum" dataDxfId="1197" totalsRowDxfId="1196">
      <calculatedColumnFormula>(IF(Ontwerpberekening!C5="Nieuwe Situatie",(_xlfn.IFNA(VLOOKUP(Referentie_Hernieuwbare_Energie_Totaal47[[#This Row],[Product]]&amp;", "&amp;Referentie_Hernieuwbare_Energie_Totaal47[[#Headers],[A3]],Database_Productkaarten[#All],47,FALSE),0)*Ontwerpberekening!L5),0))/Ontwerpberekening!$A$2</calculatedColumnFormula>
    </tableColumn>
    <tableColumn id="6" xr3:uid="{80F46A29-FBCA-47CA-9570-F6A47AE88535}" name="A4" totalsRowFunction="sum" dataDxfId="1195" totalsRowDxfId="1194">
      <calculatedColumnFormula>(IF(Ontwerpberekening!C5="Nieuwe Situatie",(_xlfn.IFNA(VLOOKUP(Referentie_Hernieuwbare_Energie_Totaal47[[#This Row],[Product]]&amp;", "&amp;Referentie_Hernieuwbare_Energie_Totaal47[[#Headers],[A4]],Database_Productkaarten[#All],47,FALSE),0)*Ontwerpberekening!L5),0))/Ontwerpberekening!$A$2</calculatedColumnFormula>
    </tableColumn>
    <tableColumn id="7" xr3:uid="{6ACBFB63-1327-41F6-B471-98B7B6E20279}" name="A5" totalsRowFunction="sum" dataDxfId="1193" totalsRowDxfId="1192">
      <calculatedColumnFormula>(IF(Ontwerpberekening!C5="Nieuwe Situatie",(_xlfn.IFNA(VLOOKUP(Referentie_Hernieuwbare_Energie_Totaal47[[#This Row],[Product]]&amp;", "&amp;Referentie_Hernieuwbare_Energie_Totaal47[[#Headers],[A5]],Database_Productkaarten[#All],47,FALSE),0)*Ontwerpberekening!L5),0))/Ontwerpberekening!$A$2</calculatedColumnFormula>
    </tableColumn>
    <tableColumn id="8" xr3:uid="{6FF62F63-5C97-40C5-9E9E-3E0BF45C2A04}" name="B1" totalsRowFunction="sum" dataDxfId="1191" totalsRowDxfId="1190">
      <calculatedColumnFormula>(IF(Ontwerpberekening!C5="Nieuwe Situatie",(_xlfn.IFNA(VLOOKUP(Referentie_Hernieuwbare_Energie_Totaal47[[#This Row],[Product]]&amp;", "&amp;Referentie_Hernieuwbare_Energie_Totaal47[[#Headers],[B1]],Database_Productkaarten[#All],47,FALSE),0)*Ontwerpberekening!L5),0))/Ontwerpberekening!$A$2</calculatedColumnFormula>
    </tableColumn>
    <tableColumn id="17" xr3:uid="{EEDE1203-ED56-4971-87C7-37B3EF0FF1EF}" name="B3" dataDxfId="1189" totalsRowDxfId="1188"/>
    <tableColumn id="9" xr3:uid="{4D96517B-8AD7-4B77-9182-C2571204BCDC}" name="B4" totalsRowFunction="sum" dataDxfId="1187" totalsRowDxfId="1186">
      <calculatedColumnFormula>(IF(Ontwerpberekening!C5="Nieuwe Situatie",(SUM(Referentie_Hernieuwbare_Energie_Totaal47[[#This Row],[A1]:[B1]],Referentie_Hernieuwbare_Energie_Totaal47[[#This Row],[C1]:[D2]])*Ontwerpberekening!M5),0))/Ontwerpberekening!$A$2</calculatedColumnFormula>
    </tableColumn>
    <tableColumn id="10" xr3:uid="{53957D35-9BAB-43E4-BF92-CD7A9ACAC3AC}" name="C1" totalsRowFunction="sum" dataDxfId="1185" totalsRowDxfId="1184">
      <calculatedColumnFormula>_xlfn.IFNA(VLOOKUP(Referentie_Hernieuwbare_Energie_Totaal47[[#This Row],[Product]]&amp;", "&amp;Referentie_Hernieuwbare_Energie_Totaal47[[#Headers],[C1]],Database_Productkaarten[#All],47,FALSE)*Ontwerpberekening!L5,0)/Ontwerpberekening!$A$2</calculatedColumnFormula>
    </tableColumn>
    <tableColumn id="11" xr3:uid="{2CB28654-EAF7-4322-B52E-819E72416023}" name="C2" totalsRowFunction="sum" dataDxfId="1183" totalsRowDxfId="1182">
      <calculatedColumnFormula>_xlfn.IFNA(VLOOKUP(Referentie_Hernieuwbare_Energie_Totaal47[[#This Row],[Product]]&amp;", "&amp;Referentie_Hernieuwbare_Energie_Totaal47[[#Headers],[C2]],Database_Productkaarten[#All],47,FALSE)*Ontwerpberekening!L5,0)/Ontwerpberekening!$A$2</calculatedColumnFormula>
    </tableColumn>
    <tableColumn id="12" xr3:uid="{1B70F11D-602A-40FB-B9C1-53550F0A4352}" name="C3" totalsRowFunction="sum" dataDxfId="1181" totalsRowDxfId="1180">
      <calculatedColumnFormula>_xlfn.IFNA(VLOOKUP(Referentie_Hernieuwbare_Energie_Totaal47[[#This Row],[Product]]&amp;", "&amp;Referentie_Hernieuwbare_Energie_Totaal47[[#Headers],[C3]],Database_Productkaarten[#All],47,FALSE)*Ontwerpberekening!L5,0)/Ontwerpberekening!$A$2</calculatedColumnFormula>
    </tableColumn>
    <tableColumn id="13" xr3:uid="{519ED50E-17EE-466E-9B43-580A0013158F}" name="C4" totalsRowFunction="sum" dataDxfId="1179" totalsRowDxfId="1178">
      <calculatedColumnFormula>_xlfn.IFNA(VLOOKUP(Referentie_Hernieuwbare_Energie_Totaal47[[#This Row],[Product]]&amp;", "&amp;Referentie_Hernieuwbare_Energie_Totaal47[[#Headers],[C4]],Database_Productkaarten[#All],47,FALSE)*Ontwerpberekening!L5,0)/Ontwerpberekening!$A$2</calculatedColumnFormula>
    </tableColumn>
    <tableColumn id="14" xr3:uid="{5E704890-9A4F-4234-9141-07DCBD571281}" name="D1" totalsRowFunction="sum" dataDxfId="1177" totalsRowDxfId="1176">
      <calculatedColumnFormula>(IF(Ontwerpberekening!C5="Nieuwe Situatie",(_xlfn.IFNA(VLOOKUP(Referentie_Hernieuwbare_Energie_Totaal47[[#This Row],[Product]]&amp;", "&amp;Referentie_Hernieuwbare_Energie_Totaal47[[#Headers],[D1]],Database_Productkaarten[#All],47,FALSE),0)*Ontwerpberekening!L5),0))/Ontwerpberekening!$A$2</calculatedColumnFormula>
    </tableColumn>
    <tableColumn id="15" xr3:uid="{DB1F3093-923E-449B-A828-46520DE18006}" name="D2" totalsRowFunction="sum" dataDxfId="1175" totalsRowDxfId="1174">
      <calculatedColumnFormula>(IF(Ontwerpberekening!C5="Nieuwe Situatie",_xlfn.IFNA(VLOOKUP(Referentie_Hernieuwbare_Energie_Totaal47[[#This Row],[Product]]&amp;", "&amp;Referentie_Hernieuwbare_Energie_Totaal47[[#Headers],[D2]],Database_Productkaarten[#All],47,FALSE),0)*Ontwerpberekening!L5,0))/Ontwerpberekening!$A$2</calculatedColumnFormula>
    </tableColumn>
    <tableColumn id="16" xr3:uid="{376A9618-7D6B-4D67-BBEF-E3B324652B85}" name="Totaal" totalsRowFunction="sum" dataDxfId="1173" totalsRowDxfId="1172">
      <calculatedColumnFormula>SUM(Referentie_Hernieuwbare_Energie_Totaal47[[#This Row],[A1]:[D2]])</calculatedColumnFormula>
    </tableColumn>
  </tableColumns>
  <tableStyleInfo name="TableStyleMedium1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2E7CE8B-A806-470E-B22F-919B3932288E}" name="MKI_Weegfactoren" displayName="MKI_Weegfactoren" ref="A109:C127" totalsRowShown="0" headerRowDxfId="63" dataDxfId="62" tableBorderDxfId="61" headerRowCellStyle="Standaard 2" dataCellStyle="Standaard 2">
  <autoFilter ref="A109:C127" xr:uid="{B2E7CE8B-A806-470E-B22F-919B3932288E}"/>
  <tableColumns count="3">
    <tableColumn id="1" xr3:uid="{4FD953B0-6AA4-432F-9B77-A2A06531B66C}" name="Environmental Impact Categories" dataDxfId="60" dataCellStyle="Standaard 2"/>
    <tableColumn id="3" xr3:uid="{572F6064-2025-428B-9B19-12A604966060}" name="Eenheid" dataDxfId="59" dataCellStyle="Standaard 2"/>
    <tableColumn id="2" xr3:uid="{F85942DD-DBCB-4C72-8A10-FB47EC82936C}" name="Environmental Costs Indicator [euro]" dataDxfId="58" dataCellStyle="Standaard 2"/>
  </tableColumns>
  <tableStyleInfo name="TableStyleMedium3"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5CB2158E-8355-42AE-A3F9-A6ABDAC67867}" name="Asfalt_Producttype" displayName="Asfalt_Producttype" ref="B66:B73" totalsRowShown="0">
  <autoFilter ref="B66:B73" xr:uid="{5CB2158E-8355-42AE-A3F9-A6ABDAC67867}"/>
  <tableColumns count="1">
    <tableColumn id="1" xr3:uid="{0064C08A-624C-4DC8-BB35-E48619556BF1}" name="Asfalt_Producttype"/>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35D2DAC-BF92-470F-8266-4935528AD117}" name="Scopebepaling" displayName="Scopebepaling" ref="AA1:AA6" totalsRowShown="0">
  <autoFilter ref="AA1:AA6" xr:uid="{635D2DAC-BF92-470F-8266-4935528AD117}"/>
  <tableColumns count="1">
    <tableColumn id="1" xr3:uid="{EE16CC53-78E0-4F4F-8CE8-7B5FC24E80AD}" name="Scope"/>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6A35A4A-2F8F-4614-9289-92E994FEF46F}" name="Riolering" displayName="Riolering" ref="H1:H7" totalsRowShown="0" headerRowDxfId="57" dataDxfId="56" dataCellStyle="Standaard 2">
  <autoFilter ref="H1:H7" xr:uid="{76A35A4A-2F8F-4614-9289-92E994FEF46F}"/>
  <tableColumns count="1">
    <tableColumn id="1" xr3:uid="{1CDA959A-441E-4ACB-B1EF-79996E79666E}" name="Riolering" dataDxfId="55" dataCellStyle="Standaard 2"/>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96C662D-9F4F-4AD8-BBA8-A4287233E4B2}" name="Bitumineuze_verhardingen50" displayName="Bitumineuze_verhardingen50" ref="B1:B20" totalsRowShown="0" tableBorderDxfId="44">
  <autoFilter ref="B1:B20" xr:uid="{9A5FE84F-E61A-4202-A1E2-06FDFDFF0E87}"/>
  <tableColumns count="1">
    <tableColumn id="1" xr3:uid="{B2862501-2447-4B7E-8C9D-41FAE993144F}" name="Bitumineuze_verhardingen"/>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88A245B5-E454-42BA-BDD9-7604F76792B1}" name="Productgroep51" displayName="Productgroep51" ref="A1:A10" totalsRowShown="0" headerRowDxfId="43" headerRowBorderDxfId="42" tableBorderDxfId="41">
  <autoFilter ref="A1:A10" xr:uid="{0C769692-2D5E-4C86-8F0D-54033F995A12}"/>
  <tableColumns count="1">
    <tableColumn id="1" xr3:uid="{7F9A5A68-A6B9-41D5-898C-CAA365F52F73}" name="Productgroep"/>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03BA208-9361-499E-B42D-17FDBB2CACF3}" name="Keuzelijst_Transport52" displayName="Keuzelijst_Transport52" ref="J1:J34" totalsRowShown="0" dataDxfId="40" tableBorderDxfId="39" dataCellStyle="Standaard 2">
  <autoFilter ref="J1:J34" xr:uid="{05FCDA06-4EEF-4CD5-A08F-C9A4EAA60BA3}"/>
  <tableColumns count="1">
    <tableColumn id="1" xr3:uid="{4DBFB218-C55A-4D98-8F51-5BED9F8D59E7}" name="Transport" dataDxfId="38" dataCellStyle="Standaard 2"/>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6FF0F3C-A211-45E6-8CAC-2A9DD23EB147}" name="Keuzelijst_Asfaltsets53" displayName="Keuzelijst_Asfaltsets53" ref="L1:L25" totalsRowShown="0" headerRowDxfId="37" dataDxfId="35" headerRowBorderDxfId="36" tableBorderDxfId="34" dataCellStyle="Standaard 2">
  <autoFilter ref="L1:L25" xr:uid="{5A4E467B-CA43-4951-AEE9-47116B58E225}"/>
  <tableColumns count="1">
    <tableColumn id="1" xr3:uid="{4F1194E0-91B0-4F1B-9049-F95F94E2A68C}" name="Aanleg &amp; Verwijder Sets" dataDxfId="33" dataCellStyle="Standaard 2"/>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A649695-0EA0-493B-80B4-6AABABA5EC6C}" name="Funderingslagen54" displayName="Funderingslagen54" ref="D1:D4" totalsRowShown="0" dataDxfId="31" headerRowBorderDxfId="32" tableBorderDxfId="30">
  <autoFilter ref="D1:D4" xr:uid="{84BF3A1A-B303-40A9-A3D8-B93BFFAD89B9}"/>
  <tableColumns count="1">
    <tableColumn id="1" xr3:uid="{1E04DDD6-A1ED-4340-B98C-B03CCD58B7A3}" name="Funderingslagen" dataDxfId="2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CA7723EF-6229-4ED2-8D35-01C0A6AE772B}" name="Grondwerken55" displayName="Grondwerken55" ref="C1:C5" totalsRowShown="0" headerRowDxfId="28" dataDxfId="27">
  <autoFilter ref="C1:C5" xr:uid="{7F46C76C-AB2E-4F2C-91C6-ECFDFECE2C59}"/>
  <tableColumns count="1">
    <tableColumn id="1" xr3:uid="{2F5ACFBF-A138-45BD-8F3F-A8C6CB749F59}" name="Grondwerken" dataDxfId="2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D61FD36-6754-4DD5-BB09-F645D90DD3FE}" name="Referentie_Fossiele_Energie_Totaal48" displayName="Referentie_Fossiele_Energie_Totaal48" ref="B171:R209" totalsRowCount="1" headerRowDxfId="1171" dataDxfId="1170" totalsRowDxfId="1169">
  <autoFilter ref="B171:R208" xr:uid="{7930D990-5012-4A8A-971B-F37B69769CFA}"/>
  <tableColumns count="17">
    <tableColumn id="1" xr3:uid="{AAFB79A6-4B55-414E-9240-265B7D1F6052}" name="Bestekspost" totalsRowLabel="Totaal" dataDxfId="1168" totalsRowDxfId="1167">
      <calculatedColumnFormula>Ontwerpberekening!B5</calculatedColumnFormula>
    </tableColumn>
    <tableColumn id="2" xr3:uid="{51A30FB0-0E45-48DB-89A7-BE8BFEA41D29}" name="Product" dataDxfId="1166" totalsRowDxfId="1165">
      <calculatedColumnFormula>Ontwerpberekening!F5</calculatedColumnFormula>
    </tableColumn>
    <tableColumn id="3" xr3:uid="{FB0A1D5D-9BA5-4325-9DCD-533C54CF9CF1}" name="A1" totalsRowFunction="sum" dataDxfId="1164" totalsRowDxfId="1163">
      <calculatedColumnFormula>(IF(Ontwerpberekening!C5="Nieuwe Situatie",(_xlfn.IFNA(VLOOKUP(Referentie_Fossiele_Energie_Totaal48[[#This Row],[Product]]&amp;", "&amp;Referentie_Fossiele_Energie_Totaal48[[#Headers],[A1]],Database_Productkaarten[#All],50,FALSE),0)*Ontwerpberekening!L5),0))/Ontwerpberekening!$A$2</calculatedColumnFormula>
    </tableColumn>
    <tableColumn id="4" xr3:uid="{72E11148-AC3A-40DB-A920-29CF531CF84B}" name="A2" totalsRowFunction="sum" dataDxfId="1162" totalsRowDxfId="1161">
      <calculatedColumnFormula>(IF(Ontwerpberekening!C5="Nieuwe Situatie",(_xlfn.IFNA(VLOOKUP(Referentie_Fossiele_Energie_Totaal48[[#This Row],[Product]]&amp;", "&amp;Referentie_Fossiele_Energie_Totaal48[[#Headers],[A2]],Database_Productkaarten[#All],50,FALSE),0)*Ontwerpberekening!L5),0))/Ontwerpberekening!$A$2</calculatedColumnFormula>
    </tableColumn>
    <tableColumn id="5" xr3:uid="{A92418CE-B9EF-4832-A5DE-24EABD6036BC}" name="A3" totalsRowFunction="sum" dataDxfId="1160" totalsRowDxfId="1159">
      <calculatedColumnFormula>(IF(Ontwerpberekening!C5="Nieuwe Situatie",(_xlfn.IFNA(VLOOKUP(Referentie_Fossiele_Energie_Totaal48[[#This Row],[Product]]&amp;", "&amp;Referentie_Fossiele_Energie_Totaal48[[#Headers],[A3]],Database_Productkaarten[#All],50,FALSE),0)*Ontwerpberekening!L5),0))/Ontwerpberekening!$A$2</calculatedColumnFormula>
    </tableColumn>
    <tableColumn id="6" xr3:uid="{62633363-E6F5-4C5D-9957-827E66475DA5}" name="A4" totalsRowFunction="sum" dataDxfId="1158" totalsRowDxfId="1157">
      <calculatedColumnFormula>(IF(Ontwerpberekening!C5="Nieuwe Situatie",(_xlfn.IFNA(VLOOKUP(Referentie_Fossiele_Energie_Totaal48[[#This Row],[Product]]&amp;", "&amp;Referentie_Fossiele_Energie_Totaal48[[#Headers],[A4]],Database_Productkaarten[#All],50,FALSE),0)*Ontwerpberekening!L5),0))/Ontwerpberekening!$A$2</calculatedColumnFormula>
    </tableColumn>
    <tableColumn id="7" xr3:uid="{A0BB4FF6-A053-47DC-8555-D50708AC5417}" name="A5" totalsRowFunction="sum" dataDxfId="1156" totalsRowDxfId="1155">
      <calculatedColumnFormula>(IF(Ontwerpberekening!C5="Nieuwe Situatie",(_xlfn.IFNA(VLOOKUP(Referentie_Fossiele_Energie_Totaal48[[#This Row],[Product]]&amp;", "&amp;Referentie_Fossiele_Energie_Totaal48[[#Headers],[A5]],Database_Productkaarten[#All],50,FALSE),0)*Ontwerpberekening!L5),0))/Ontwerpberekening!$A$2</calculatedColumnFormula>
    </tableColumn>
    <tableColumn id="8" xr3:uid="{367D9A0D-A56F-41B7-8FA3-87F4208F4E4D}" name="B1" totalsRowFunction="sum" dataDxfId="1154" totalsRowDxfId="1153">
      <calculatedColumnFormula>(IF(Ontwerpberekening!C5="Nieuwe Situatie",(_xlfn.IFNA(VLOOKUP(Referentie_Fossiele_Energie_Totaal48[[#This Row],[Product]]&amp;", "&amp;Referentie_Fossiele_Energie_Totaal48[[#Headers],[B1]],Database_Productkaarten[#All],50,FALSE),0)*Ontwerpberekening!L5),0))/Ontwerpberekening!$A$2</calculatedColumnFormula>
    </tableColumn>
    <tableColumn id="17" xr3:uid="{29D0FB93-7D57-46CA-9991-920A9CE8DBC0}" name="B2" dataDxfId="1152" totalsRowDxfId="1151"/>
    <tableColumn id="9" xr3:uid="{FBF6952E-C6F9-4773-8DC8-9958EE797FDD}" name="B4" totalsRowFunction="sum" dataDxfId="1150" totalsRowDxfId="1149">
      <calculatedColumnFormula>(IF(Ontwerpberekening!C5="Nieuwe Situatie",(SUM(Referentie_Fossiele_Energie_Totaal48[[#This Row],[A1]:[B1]],Referentie_Fossiele_Energie_Totaal48[[#This Row],[C1]:[D2]])*Ontwerpberekening!M5),0))/Ontwerpberekening!$A$2</calculatedColumnFormula>
    </tableColumn>
    <tableColumn id="10" xr3:uid="{D8896D1F-6317-4C3B-99FD-EEFB6C6F7C67}" name="C1" totalsRowFunction="sum" dataDxfId="1148" totalsRowDxfId="1147">
      <calculatedColumnFormula>_xlfn.IFNA(VLOOKUP(Referentie_Fossiele_Energie_Totaal48[[#This Row],[Product]]&amp;", "&amp;Referentie_Fossiele_Energie_Totaal48[[#Headers],[C1]],Database_Productkaarten[#All],50,FALSE)*Ontwerpberekening!L5,0)/Ontwerpberekening!$A$2</calculatedColumnFormula>
    </tableColumn>
    <tableColumn id="11" xr3:uid="{ED80CC68-3FE9-400E-A8B2-5548B2452B1E}" name="C2" totalsRowFunction="sum" dataDxfId="1146" totalsRowDxfId="1145">
      <calculatedColumnFormula>_xlfn.IFNA(VLOOKUP(Referentie_Fossiele_Energie_Totaal48[[#This Row],[Product]]&amp;", "&amp;Referentie_Fossiele_Energie_Totaal48[[#Headers],[C2]],Database_Productkaarten[#All],50,FALSE)*Ontwerpberekening!L5,0)/Ontwerpberekening!$A$2</calculatedColumnFormula>
    </tableColumn>
    <tableColumn id="12" xr3:uid="{128D67BB-92F5-4908-9C94-043EA1668CD9}" name="C3" totalsRowFunction="sum" dataDxfId="1144" totalsRowDxfId="1143">
      <calculatedColumnFormula>_xlfn.IFNA(VLOOKUP(Referentie_Fossiele_Energie_Totaal48[[#This Row],[Product]]&amp;", "&amp;Referentie_Fossiele_Energie_Totaal48[[#Headers],[C3]],Database_Productkaarten[#All],50,FALSE)*Ontwerpberekening!L5,0)/Ontwerpberekening!$A$2</calculatedColumnFormula>
    </tableColumn>
    <tableColumn id="13" xr3:uid="{C56884EC-8CBD-4DF8-AC7D-485CF21E6258}" name="C4" totalsRowFunction="sum" dataDxfId="1142" totalsRowDxfId="1141">
      <calculatedColumnFormula>_xlfn.IFNA(VLOOKUP(Referentie_Fossiele_Energie_Totaal48[[#This Row],[Product]]&amp;", "&amp;Referentie_Fossiele_Energie_Totaal48[[#Headers],[C4]],Database_Productkaarten[#All],50,FALSE)*Ontwerpberekening!L5,0)/Ontwerpberekening!$A$2</calculatedColumnFormula>
    </tableColumn>
    <tableColumn id="14" xr3:uid="{1243EA10-74BF-4F0F-84CB-22E47D6CA4DF}" name="D1" totalsRowFunction="sum" dataDxfId="1140" totalsRowDxfId="1139">
      <calculatedColumnFormula>(IF(Ontwerpberekening!C5="Nieuwe Situatie",(_xlfn.IFNA(VLOOKUP(Referentie_Fossiele_Energie_Totaal48[[#This Row],[Product]]&amp;", "&amp;Referentie_Fossiele_Energie_Totaal48[[#Headers],[D1]],Database_Productkaarten[#All],50,FALSE),0)*Ontwerpberekening!L5),0))/Ontwerpberekening!$A$2</calculatedColumnFormula>
    </tableColumn>
    <tableColumn id="15" xr3:uid="{14272944-F9B9-4A10-89B3-E508E619ECF5}" name="D2" totalsRowFunction="sum" dataDxfId="1138" totalsRowDxfId="1137">
      <calculatedColumnFormula>(IF(Ontwerpberekening!C5="Nieuwe Situatie",_xlfn.IFNA(VLOOKUP(Referentie_Fossiele_Energie_Totaal48[[#This Row],[Product]]&amp;", "&amp;Referentie_Fossiele_Energie_Totaal48[[#Headers],[D2]],Database_Productkaarten[#All],50,FALSE),0)*Ontwerpberekening!L5,0))/Ontwerpberekening!$A$2</calculatedColumnFormula>
    </tableColumn>
    <tableColumn id="16" xr3:uid="{89211146-412E-45F7-9CC1-8A824C9BAD92}" name="Totaal" totalsRowFunction="sum" dataDxfId="1136" totalsRowDxfId="1135">
      <calculatedColumnFormula>SUM(Referentie_Fossiele_Energie_Totaal48[[#This Row],[A1]:[D2]])</calculatedColumnFormula>
    </tableColumn>
  </tableColumns>
  <tableStyleInfo name="TableStyleMedium1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4DC92F4-AA11-42A5-85FE-11A29AF8D300}" name="Betonverhardingen56" displayName="Betonverhardingen56" ref="E1:E2" insertRow="1" totalsRowShown="0" headerRowDxfId="25" dataDxfId="24">
  <autoFilter ref="E1:E2" xr:uid="{E0568C48-CC1F-4E96-ABA0-DAC4229D1DF7}"/>
  <tableColumns count="1">
    <tableColumn id="1" xr3:uid="{21D3B4F5-DCC9-40F0-B018-2AB684D14D70}" name="Betonverhardingen" dataDxfId="23"/>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D5F1DCB-8B7F-454A-949A-2EC7494C128F}" name="Categorie_1_LCA_Producten57" displayName="Categorie_1_LCA_Producten57" ref="F1:F11" totalsRowShown="0">
  <autoFilter ref="F1:F11" xr:uid="{C1E6127E-7C5A-4491-B4A3-C27F5C5EE053}"/>
  <tableColumns count="1">
    <tableColumn id="1" xr3:uid="{D44B105E-5CC9-403C-A647-5AED6D6BD5AD}" name="Categorie 1 LCA - Producten">
      <calculatedColumnFormula>'Inschrijf LCA''s'!A4</calculatedColumnFormula>
    </tableColumn>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59D21D8-9D94-4A3B-AE23-500AAC0616EA}" name="Categorie_1_LCA_Processen58" displayName="Categorie_1_LCA_Processen58" ref="G1:G11" totalsRowShown="0">
  <autoFilter ref="G1:G11" xr:uid="{3AE819F7-27CC-455D-9B87-B0A189957A78}"/>
  <tableColumns count="1">
    <tableColumn id="1" xr3:uid="{9B9AB39B-2C26-4B55-8729-572E53BB8CD7}" name="Categorie 1 LCA - Processen">
      <calculatedColumnFormula>'Inschrijf LCA''s'!#REF!</calculatedColumnFormula>
    </tableColumn>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37C6995-30A5-4DD9-A8CD-23D3F457FA53}" name="Tabel2459" displayName="Tabel2459" ref="Q1:Q5" totalsRowShown="0">
  <autoFilter ref="Q1:Q5" xr:uid="{B9DCEF9F-6537-4817-BE84-EE91028BA0DD}"/>
  <tableColumns count="1">
    <tableColumn id="1" xr3:uid="{EECD3C82-C192-4645-9C3B-9459FE6E1265}" name="Werk Sitautie"/>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59199EC-0E85-44FF-80F7-718E6E0DF027}" name="Tabel3360" displayName="Tabel3360" ref="S1:S3" totalsRowShown="0">
  <autoFilter ref="S1:S3" xr:uid="{DB331799-D9E2-417E-AEA2-6BCFFE2ECF82}"/>
  <tableColumns count="1">
    <tableColumn id="1" xr3:uid="{542DA850-A7DF-494E-9804-7831FEE04969}" name="Vraag"/>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10999F0C-1502-4517-900E-5CE81A04CF6D}" name="Inschrijf_Export" displayName="Inschrijf_Export" ref="A1:DP9" tableType="queryTable" totalsRowShown="0">
  <autoFilter ref="A1:DP9" xr:uid="{10999F0C-1502-4517-900E-5CE81A04CF6D}"/>
  <tableColumns count="120">
    <tableColumn id="3" xr3:uid="{ADFF3084-AC68-4C88-A36A-E4D6AC942DDE}" uniqueName="3" name="Client" queryTableFieldId="356" dataDxfId="22"/>
    <tableColumn id="118" xr3:uid="{72C6DD98-B496-48F9-80BE-10E9CD8194F5}" uniqueName="118" name="Contractor" queryTableFieldId="656" dataDxfId="21"/>
    <tableColumn id="1" xr3:uid="{0534377F-CD14-47FF-82EE-260712506B85}" uniqueName="1" name="Project_ID" queryTableFieldId="475" dataDxfId="20"/>
    <tableColumn id="2" xr3:uid="{150D89F6-E07E-4EEB-B01C-61D77ACA98D5}" uniqueName="2" name="Project_lifespan" queryTableFieldId="476"/>
    <tableColumn id="4" xr3:uid="{2384222F-A55E-4196-BCFD-CAFECF57E140}" uniqueName="4" name="Project_date" queryTableFieldId="477" dataDxfId="19"/>
    <tableColumn id="117" xr3:uid="{9D5A5220-F84A-4F63-89AB-8C8F8743F893}" uniqueName="117" name="Version" queryTableFieldId="654"/>
    <tableColumn id="5" xr3:uid="{89B1867F-043D-44BD-8FF7-8B7A07CF518F}" uniqueName="5" name="RAW_ID" queryTableFieldId="478"/>
    <tableColumn id="8" xr3:uid="{F6FE7680-BF49-43C9-8556-C8EEF7613249}" uniqueName="8" name="Workscope" queryTableFieldId="139" dataDxfId="18" totalsRowDxfId="17"/>
    <tableColumn id="9" xr3:uid="{92AFFEE6-3E0D-432E-9A33-F3B1BF65172B}" uniqueName="9" name="Price" queryTableFieldId="140"/>
    <tableColumn id="10" xr3:uid="{A5512BB0-68D7-4719-9FAD-B7B0D76A78CD}" uniqueName="10" name="Productgroup" queryTableFieldId="141" dataDxfId="16" totalsRowDxfId="15"/>
    <tableColumn id="6" xr3:uid="{88E3C4FA-54B2-4303-95C3-FC43012FFCF5}" uniqueName="6" name="Product" queryTableFieldId="6" dataDxfId="14" totalsRowDxfId="13"/>
    <tableColumn id="115" xr3:uid="{72742F9D-2385-42A8-8872-4F9531809C34}" uniqueName="115" name="Producttype" queryTableFieldId="463"/>
    <tableColumn id="113" xr3:uid="{72F86AEA-02BA-462F-A668-5457742D8E24}" uniqueName="113" name="Surface[m2]" queryTableFieldId="461"/>
    <tableColumn id="114" xr3:uid="{C7311140-AC0C-4A7E-86D6-7FB8C9323CD4}" uniqueName="114" name="Thickness[m]" queryTableFieldId="462"/>
    <tableColumn id="7" xr3:uid="{C454E5AA-911E-41F9-AC7E-B1E882A27DD0}" uniqueName="7" name="Specific_weight[ton/m3]" queryTableFieldId="479"/>
    <tableColumn id="13" xr3:uid="{369CDC6C-9606-4707-B476-C0A15FF7BB1E}" uniqueName="13" name="Amount[m3]" queryTableFieldId="144"/>
    <tableColumn id="12" xr3:uid="{B4A89A39-FD84-4553-A1F6-9DCD2177B931}" uniqueName="12" name="Amount[ton]" queryTableFieldId="143"/>
    <tableColumn id="14" xr3:uid="{8E36BE65-E5CC-49D4-9CF6-4EF87B08204C}" uniqueName="14" name="Replacements" queryTableFieldId="145"/>
    <tableColumn id="11" xr3:uid="{359EF330-FEDB-4B58-829D-E304B40B5ED7}" uniqueName="11" name="A4_transport_distance_to_construction_site[km]" queryTableFieldId="480"/>
    <tableColumn id="15" xr3:uid="{54F93ACC-3F47-4E03-8B7F-1C54E72EA309}" uniqueName="15" name="A4_transportmode_to_construction_site" queryTableFieldId="481" dataDxfId="12"/>
    <tableColumn id="110" xr3:uid="{2DCD1986-E5E6-45D8-919B-0F9E77D3DD6A}" uniqueName="110" name="A5_asphalt_construction_set" queryTableFieldId="638" dataDxfId="11"/>
    <tableColumn id="17" xr3:uid="{9C5B9765-25EE-425D-85B4-576E080B8807}" uniqueName="17" name="A5_other_construction_equipment" queryTableFieldId="483" dataDxfId="10"/>
    <tableColumn id="18" xr3:uid="{26CE5E8A-E3D7-4EEB-AA42-2B5F733DF9D2}" uniqueName="18" name="C1_asphalt_removal_set" queryTableFieldId="484" dataDxfId="9"/>
    <tableColumn id="19" xr3:uid="{4FE7D58B-AA56-4785-BB3B-A6512698227D}" uniqueName="19" name="C1_other_removal_equipment" queryTableFieldId="485" dataDxfId="8"/>
    <tableColumn id="20" xr3:uid="{D932146A-5EC6-45D0-A06C-19994BB4D4FD}" uniqueName="20" name="C2_transportdistance_to_processor[km]" queryTableFieldId="486"/>
    <tableColumn id="21" xr3:uid="{BFCB32DA-52E8-473D-B1B7-EB4786FDDA77}" uniqueName="21" name="C2_transportmode_to_processor" queryTableFieldId="487" dataDxfId="7"/>
    <tableColumn id="22" xr3:uid="{B727FD09-51DA-4EA9-A7D1-19D784A34D7B}" uniqueName="22" name="C3_processingset" queryTableFieldId="488" dataDxfId="6"/>
    <tableColumn id="24" xr3:uid="{8EF637FE-16D0-4406-B415-20D4F98B35D9}" uniqueName="24" name="Assumptions" queryTableFieldId="155"/>
    <tableColumn id="23" xr3:uid="{D132E1A8-6417-462F-A7C2-73910BCE8C39}" uniqueName="23" name="ECI_total.A1" queryTableFieldId="489"/>
    <tableColumn id="25" xr3:uid="{15BF7C96-7067-483C-90D6-492AA892B9AB}" uniqueName="25" name="ECI_total.A2" queryTableFieldId="490"/>
    <tableColumn id="26" xr3:uid="{836C2860-C40D-4BDD-9B0C-DAD48761581F}" uniqueName="26" name="ECI_total.A3" queryTableFieldId="491"/>
    <tableColumn id="27" xr3:uid="{815D411C-27A4-4858-9B3F-D07CC1D309EB}" uniqueName="27" name="ECI_total.A4" queryTableFieldId="492"/>
    <tableColumn id="28" xr3:uid="{C6AFFC07-D235-4202-B6A3-B40A566A9B1F}" uniqueName="28" name="ECI_total.A5" queryTableFieldId="493"/>
    <tableColumn id="29" xr3:uid="{485B5370-A934-423F-AB2B-22D4C139535C}" uniqueName="29" name="ECI_total.B1" queryTableFieldId="494"/>
    <tableColumn id="30" xr3:uid="{77DA5A97-63C0-406A-8BD5-26205BB815FB}" uniqueName="30" name="ECI_total.B4" queryTableFieldId="495"/>
    <tableColumn id="31" xr3:uid="{4860D48E-567E-47A5-86EE-1FE6112B28F3}" uniqueName="31" name="ECI_total.C1" queryTableFieldId="496"/>
    <tableColumn id="32" xr3:uid="{9B09CA55-22B8-4A2C-8E90-1F3CAA3CD3CC}" uniqueName="32" name="ECI_total.C2" queryTableFieldId="497"/>
    <tableColumn id="33" xr3:uid="{DB330B7B-2865-41D1-9959-E1DB5728E39A}" uniqueName="33" name="ECI_total.C3" queryTableFieldId="498"/>
    <tableColumn id="34" xr3:uid="{975AFD2E-6F4D-4E04-B79C-AD0531892338}" uniqueName="34" name="ECI_total.C4" queryTableFieldId="499"/>
    <tableColumn id="35" xr3:uid="{E2ACBEC6-1E57-4B6D-8D9C-9D1939181749}" uniqueName="35" name="ECI_total.D1" queryTableFieldId="500"/>
    <tableColumn id="36" xr3:uid="{1133D883-D91F-41B9-ADED-1268B1B7D528}" uniqueName="36" name="ECI_total.D2" queryTableFieldId="501"/>
    <tableColumn id="37" xr3:uid="{0FE341CA-BBB8-45C2-8076-2384E46F6815}" uniqueName="37" name="ECI_total.total" queryTableFieldId="502"/>
    <tableColumn id="38" xr3:uid="{FDD74206-606B-4F86-B8E7-10434F22046B}" uniqueName="38" name="CO2_total.A1" queryTableFieldId="503"/>
    <tableColumn id="39" xr3:uid="{D419F899-E902-4B03-B216-CC21696A643C}" uniqueName="39" name="CO2_total.A2" queryTableFieldId="504"/>
    <tableColumn id="40" xr3:uid="{087BED5C-3B75-45F3-A5CD-801D7EF67006}" uniqueName="40" name="CO2_total.A3" queryTableFieldId="505"/>
    <tableColumn id="41" xr3:uid="{198B852E-7C80-4C86-BCAB-31CDC53C9AAD}" uniqueName="41" name="CO2_total.A4" queryTableFieldId="506"/>
    <tableColumn id="42" xr3:uid="{23601F79-9618-4456-BE93-3F0F126B11F9}" uniqueName="42" name="CO2_total.A5" queryTableFieldId="507"/>
    <tableColumn id="43" xr3:uid="{590F0F2C-48DB-4077-8FF1-A4231F527A35}" uniqueName="43" name="CO2_total.B1" queryTableFieldId="508"/>
    <tableColumn id="44" xr3:uid="{6729F8F4-206B-4FC3-854B-A247A5C683AF}" uniqueName="44" name="CO2_total.B4" queryTableFieldId="509"/>
    <tableColumn id="45" xr3:uid="{D9B87201-549F-46B2-9FAF-F934D94191AD}" uniqueName="45" name="CO2_total.C1" queryTableFieldId="510"/>
    <tableColumn id="46" xr3:uid="{D15DAFF2-A771-42ED-85EC-8FB3FD30B7CE}" uniqueName="46" name="CO2_total.C2" queryTableFieldId="511"/>
    <tableColumn id="47" xr3:uid="{427681BF-CFE0-4712-8D74-055FD4A438F6}" uniqueName="47" name="CO2_total.C3" queryTableFieldId="512"/>
    <tableColumn id="48" xr3:uid="{42DF1438-2B9B-44B9-99B0-A3B7223F4034}" uniqueName="48" name="CO2_total.C4" queryTableFieldId="513"/>
    <tableColumn id="49" xr3:uid="{14D980D3-C07E-4611-92FF-7B25D5671BDD}" uniqueName="49" name="CO2_total.D1" queryTableFieldId="514"/>
    <tableColumn id="50" xr3:uid="{653F96A7-88F8-41C2-9841-B53F7AD332C6}" uniqueName="50" name="CO2_total.D2" queryTableFieldId="515"/>
    <tableColumn id="51" xr3:uid="{FD7A5FDB-ABBB-4941-A8C0-AC6ACC47B776}" uniqueName="51" name="CO2_total.total" queryTableFieldId="516"/>
    <tableColumn id="52" xr3:uid="{79C3CC06-E483-47AF-A2AC-848DCAE14B5F}" uniqueName="52" name="Material_total.amount[ton]" queryTableFieldId="517"/>
    <tableColumn id="53" xr3:uid="{E85D2C70-7094-4AE6-91B9-0009E6C570DF}" uniqueName="53" name="Material_total.%secundary" queryTableFieldId="518"/>
    <tableColumn id="54" xr3:uid="{7535303C-E2FB-46B8-B769-D0A9210A0E09}" uniqueName="54" name="Material_total.primary[ton]" queryTableFieldId="519"/>
    <tableColumn id="55" xr3:uid="{C3935C78-D234-4D04-A4FA-0FC2C59DC8E4}" uniqueName="55" name="Material_total.secundary[ton]" queryTableFieldId="520"/>
    <tableColumn id="56" xr3:uid="{39F05FEF-4B2A-4D7B-9092-35E5A309B086}" uniqueName="56" name="Material_total.amount_replacements[ton]" queryTableFieldId="521"/>
    <tableColumn id="57" xr3:uid="{C0670C1E-EF0C-4FE5-9AD1-D9C8A5D556DF}" uniqueName="57" name="Material_total.primary_replacements[ton]" queryTableFieldId="522"/>
    <tableColumn id="58" xr3:uid="{CD408F24-61A1-480E-BCE9-28F03E534D9B}" uniqueName="58" name="Material_total.secundary_replacements[ton]" queryTableFieldId="523"/>
    <tableColumn id="59" xr3:uid="{869319EE-BA0F-431D-8B80-DFE68C9F87F5}" uniqueName="59" name="Material_total.total_primary[ton]" queryTableFieldId="524"/>
    <tableColumn id="60" xr3:uid="{34A0116B-1241-44CE-B8E4-61D4403BF937}" uniqueName="60" name="Material_total.total_secundary[ton]" queryTableFieldId="525"/>
    <tableColumn id="61" xr3:uid="{9DD0F171-3124-4527-BC36-D80C77FC8E90}" uniqueName="61" name="Material_total.total[ton]" queryTableFieldId="526"/>
    <tableColumn id="62" xr3:uid="{7F0CEC07-E68D-4AD3-A49B-968190F41D39}" uniqueName="62" name="Renewable_energy_total.A1" queryTableFieldId="527"/>
    <tableColumn id="63" xr3:uid="{ACD6F48A-82B1-40E4-AF73-5664074520D5}" uniqueName="63" name="Renewable_energy_total.A2" queryTableFieldId="528"/>
    <tableColumn id="64" xr3:uid="{5890A8A6-C7F6-4BB2-AC76-4AADD44E62C9}" uniqueName="64" name="Renewable_energy_total.A3" queryTableFieldId="529"/>
    <tableColumn id="65" xr3:uid="{82DAFA56-B94A-421C-B4DC-1956578D528C}" uniqueName="65" name="Renewable_energy_total.A4" queryTableFieldId="530"/>
    <tableColumn id="66" xr3:uid="{D424C483-5998-43B6-AA01-4DF7B2D8AC9E}" uniqueName="66" name="Renewable_energy_total.A5" queryTableFieldId="531"/>
    <tableColumn id="67" xr3:uid="{FDD7CEA7-C1C2-408C-841F-281F22FC970C}" uniqueName="67" name="Renewable_energy_total.B1" queryTableFieldId="532"/>
    <tableColumn id="68" xr3:uid="{D3163A1A-6628-4F9B-B22F-39A03078AC3C}" uniqueName="68" name="Renewable_energy_total.B4" queryTableFieldId="533"/>
    <tableColumn id="69" xr3:uid="{9484245A-5974-4E36-86B4-B69577E3D68A}" uniqueName="69" name="Renewable_energy_total.C1" queryTableFieldId="534"/>
    <tableColumn id="70" xr3:uid="{E6E8757D-371B-4095-81C6-7C53DE2F53DB}" uniqueName="70" name="Renewable_energy_total.C2" queryTableFieldId="535"/>
    <tableColumn id="71" xr3:uid="{0AD7EDBC-7A2B-4958-84E5-18C1F4ABA4AF}" uniqueName="71" name="Renewable_energy_total.C3" queryTableFieldId="536"/>
    <tableColumn id="72" xr3:uid="{6EE775E4-EDE6-497B-945D-BB62CD9DE13E}" uniqueName="72" name="Renewable_energy_total.C4" queryTableFieldId="537"/>
    <tableColumn id="111" xr3:uid="{CC18A487-35F0-40DB-BA6B-85618D86F0C0}" uniqueName="111" name="Renewable_energy_total.D1" queryTableFieldId="640"/>
    <tableColumn id="73" xr3:uid="{C332167C-C213-43FD-9817-0BC09C90FF3E}" uniqueName="73" name="Renewable_energy_total.D2" queryTableFieldId="538"/>
    <tableColumn id="74" xr3:uid="{2E133016-1F78-4F37-8480-9644748A9797}" uniqueName="74" name="Renewable_energy_total.total" queryTableFieldId="539"/>
    <tableColumn id="76" xr3:uid="{04E5DEB8-8D3A-4BDE-8E1A-1A2DA3225649}" uniqueName="76" name="Fossil_energy_total.A1" queryTableFieldId="540"/>
    <tableColumn id="77" xr3:uid="{51A258AE-2028-4C6F-881A-702C14FBD386}" uniqueName="77" name="Fossil_energy_total.A2" queryTableFieldId="541"/>
    <tableColumn id="78" xr3:uid="{CD80075C-6B5B-45B8-A296-C8B457F2F452}" uniqueName="78" name="Fossil_energy_total.A3" queryTableFieldId="542"/>
    <tableColumn id="79" xr3:uid="{D4E4E619-172A-44E9-88DA-152E7E8B6D36}" uniqueName="79" name="Fossil_energy_total.A4" queryTableFieldId="543"/>
    <tableColumn id="80" xr3:uid="{1A93825C-8580-44E8-8128-CD7BB22FE68E}" uniqueName="80" name="Fossil_energy_total.A5" queryTableFieldId="544"/>
    <tableColumn id="81" xr3:uid="{56E2B5E2-5D15-404D-B5EF-A3ADCD7A624A}" uniqueName="81" name="Fossil_energy_total.B1" queryTableFieldId="545"/>
    <tableColumn id="82" xr3:uid="{08416BF6-7A6B-48B5-9424-54561A890C0D}" uniqueName="82" name="Fossil_energy_total.B4" queryTableFieldId="546"/>
    <tableColumn id="83" xr3:uid="{8B9A3BDA-3AC5-4B11-81CB-4D844B839DE6}" uniqueName="83" name="Fossil_energy_total.C1" queryTableFieldId="547"/>
    <tableColumn id="84" xr3:uid="{E90F1691-0C24-49FE-ADDD-7FB9D6DC661D}" uniqueName="84" name="Fossil_energy_total.C2" queryTableFieldId="548"/>
    <tableColumn id="85" xr3:uid="{7AED6404-50A1-4454-BB0E-8F86B5E09AC9}" uniqueName="85" name="Fossil_energy_total.C3" queryTableFieldId="549"/>
    <tableColumn id="86" xr3:uid="{F310D78A-A299-4CEE-B2AE-A3D42C1E9230}" uniqueName="86" name="Fossil_energy_total.C4" queryTableFieldId="550"/>
    <tableColumn id="87" xr3:uid="{B4477E0F-0764-4522-AA44-89C9D513956F}" uniqueName="87" name="Fossil_energy_total.D1" queryTableFieldId="551"/>
    <tableColumn id="88" xr3:uid="{435F7BC5-486D-4C7E-BD25-CA8E95F21276}" uniqueName="88" name="Fossil_energy_total.D2" queryTableFieldId="552"/>
    <tableColumn id="89" xr3:uid="{CCE6C327-10FD-4159-AA46-BEAC70AA62CA}" uniqueName="89" name="Fossil_energy_total.total" queryTableFieldId="553"/>
    <tableColumn id="90" xr3:uid="{5A6ADD3E-B8ED-47DE-B40E-6F7D0E2B84AF}" uniqueName="90" name="Transport_total.transport_to_construction_site[tkm]" queryTableFieldId="554"/>
    <tableColumn id="91" xr3:uid="{973D3ED7-F0A3-4D2E-983A-202DA68B1C5D}" uniqueName="91" name="Transport_total.transport_to_processor[tkm]" queryTableFieldId="555"/>
    <tableColumn id="92" xr3:uid="{6FC369AC-4AD1-4D8C-920D-142344ED1139}" uniqueName="92" name="Transport_total.emission_free_transport_to_construction_site" queryTableFieldId="556"/>
    <tableColumn id="93" xr3:uid="{DA626BB8-11F4-49B0-A3FF-FC59ED0336B3}" uniqueName="93" name="Transport_total.emission_free_transport_to_processor" queryTableFieldId="557"/>
    <tableColumn id="94" xr3:uid="{6C0BB4BC-80E8-43C4-B33D-34655243A5E4}" uniqueName="94" name="Transport_total.emission_free_transport" queryTableFieldId="558"/>
    <tableColumn id="95" xr3:uid="{A0CCAAF2-7B65-41C0-8429-8A797D61ECEF}" uniqueName="95" name="Transport_total.transport_to_construction_site_replacements[tkm]" queryTableFieldId="559"/>
    <tableColumn id="96" xr3:uid="{549F2E11-DB3F-4F54-911B-7DAF124D9B07}" uniqueName="96" name="Transport_total.transport_to_processor_replacements[tkm]" queryTableFieldId="560"/>
    <tableColumn id="97" xr3:uid="{14C1E132-E8A7-42F3-9617-D6BEE2C271BE}" uniqueName="97" name="Transport_total.emission_free_transport_replacements[tkm]" queryTableFieldId="561"/>
    <tableColumn id="98" xr3:uid="{96A3AB5A-34A5-43FD-B00A-39D68C6C1E87}" uniqueName="98" name="Transport_total.total_emission_free_transport" queryTableFieldId="562"/>
    <tableColumn id="99" xr3:uid="{217B5017-7E22-4B91-862A-0C53244E343A}" uniqueName="99" name="Transport_total.total_non_emission_free_transport" queryTableFieldId="563"/>
    <tableColumn id="100" xr3:uid="{791BD061-0176-4343-A318-48D287F4E1A3}" uniqueName="100" name="Transport_total.total_transport" queryTableFieldId="564"/>
    <tableColumn id="101" xr3:uid="{7F8ECEBC-814D-428E-8075-C086ED00BD7C}" uniqueName="101" name="Construction_site_total.operation_hour_construction" queryTableFieldId="565"/>
    <tableColumn id="102" xr3:uid="{2FF2F006-464A-4975-9794-358C5BB931AD}" uniqueName="102" name="Construction_site_total.operation_hour_removal" queryTableFieldId="566"/>
    <tableColumn id="103" xr3:uid="{248B4381-F80D-4A82-8CE6-9A3B4BFC9927}" uniqueName="103" name="Construction_site_total.emission_free_construction" queryTableFieldId="567"/>
    <tableColumn id="104" xr3:uid="{6F8E8B6E-92DC-42BF-B8AB-E9C54A1ADD57}" uniqueName="104" name="Construction_site_total.emission_free_removal" queryTableFieldId="568"/>
    <tableColumn id="105" xr3:uid="{28DDB231-6F07-4CC3-91A3-E42E073284B2}" uniqueName="105" name="Construction_site_total.emission_free_construction_site" queryTableFieldId="569"/>
    <tableColumn id="106" xr3:uid="{AC745910-5D80-4832-80F5-B136E81BFDE9}" uniqueName="106" name="Construction_site_total.emission_free_construction_site_replacement" queryTableFieldId="570"/>
    <tableColumn id="107" xr3:uid="{F16FD940-BEA3-4CB2-94E8-525C2CC1EEF6}" uniqueName="107" name="Construction_site_total.total_emission_free_construction_site" queryTableFieldId="571"/>
    <tableColumn id="108" xr3:uid="{0D3879CF-7ADF-4B3A-9DE1-7FD852BF7133}" uniqueName="108" name="Construction_site_total.total_non_emission_free_construction_site" queryTableFieldId="572"/>
    <tableColumn id="109" xr3:uid="{72F4465C-5E87-40F6-A234-E8B405972685}" uniqueName="109" name="Construction_site_total.total_construction_site" queryTableFieldId="573"/>
    <tableColumn id="16" xr3:uid="{D14FA4D1-C8E2-4386-AC4A-C3F8F4CB3085}" uniqueName="16" name="MKI_total_ton_A1_A3" queryTableFieldId="646"/>
    <tableColumn id="75" xr3:uid="{AB2835F1-2423-4D35-AFFA-7CA73A1F0E58}" uniqueName="75" name="MKI_total_m3_A1_A3" queryTableFieldId="647"/>
    <tableColumn id="112" xr3:uid="{DDFAFCA0-24BD-45AD-BB15-95BBB08DC77B}" uniqueName="112" name="CO2_total_ton_A1_A3" queryTableFieldId="648"/>
    <tableColumn id="116" xr3:uid="{B3D63BD9-4194-4A22-BF84-1F6FF1862A6E}" uniqueName="116" name="CO2_total_m3_A1_A3" queryTableFieldId="649"/>
    <tableColumn id="119" xr3:uid="{6B4DF756-7EFF-4A13-9F98-2160EC85ED71}" uniqueName="119" name="MKI_total_A1_A3" queryTableFieldId="658"/>
    <tableColumn id="120" xr3:uid="{66868CC8-7D31-4C62-AE2D-1423F263A145}" uniqueName="120" name="CO2_total_A1_A3" queryTableFieldId="659"/>
  </tableColumns>
  <tableStyleInfo name="TableStyleMedium7"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C29DFE82-581F-4837-97F0-1E7E5BA87EE0}" name="Referentie_Export" displayName="Referentie_Export" ref="A1:DP9" tableType="queryTable" totalsRowShown="0">
  <autoFilter ref="A1:DP9" xr:uid="{C29DFE82-581F-4837-97F0-1E7E5BA87EE0}"/>
  <tableColumns count="120">
    <tableColumn id="1" xr3:uid="{00D1E580-86A2-4099-B166-2CAA9439EBE1}" uniqueName="1" name="Client" queryTableFieldId="130"/>
    <tableColumn id="110" xr3:uid="{9746F697-9B21-41F5-8AED-03BDE0BCE056}" uniqueName="110" name="Contractor" queryTableFieldId="680"/>
    <tableColumn id="2" xr3:uid="{4E4FDB13-D635-4314-8287-997ACA7CBC4F}" uniqueName="2" name="Project_ID" queryTableFieldId="549" dataDxfId="5"/>
    <tableColumn id="3" xr3:uid="{461325B0-E685-45C8-90C2-17CFAB86916F}" uniqueName="3" name="Project_lifespan" queryTableFieldId="550"/>
    <tableColumn id="4" xr3:uid="{EB26C5D0-6454-481C-AA50-B5A350B5F6AE}" uniqueName="4" name="Project_date" queryTableFieldId="551" dataDxfId="4"/>
    <tableColumn id="109" xr3:uid="{685979B6-F71D-4B3D-9C44-EBA5858542FB}" uniqueName="109" name="Version" queryTableFieldId="678"/>
    <tableColumn id="5" xr3:uid="{A1872EC4-1818-4716-8658-FA202752BD94}" uniqueName="5" name="RAW_ID" queryTableFieldId="552" dataDxfId="3"/>
    <tableColumn id="116" xr3:uid="{5ECC84B8-6AF1-40A2-9105-30BA45077E50}" uniqueName="116" name="Workscope" queryTableFieldId="137"/>
    <tableColumn id="103" xr3:uid="{202BDED7-E6BB-45E1-86C4-BDF7842603CC}" uniqueName="103" name="Price" queryTableFieldId="543"/>
    <tableColumn id="118" xr3:uid="{96DD8C2D-118F-479A-A66C-27BC5617A8B4}" uniqueName="118" name="Productgroup" queryTableFieldId="139"/>
    <tableColumn id="6" xr3:uid="{8063A05C-69AB-46E8-A1C5-54A8D49A5E3B}" uniqueName="6" name="Product" queryTableFieldId="6" dataDxfId="2" totalsRowDxfId="1"/>
    <tableColumn id="7" xr3:uid="{0DFE6EC6-5CF3-4BDE-A3B3-F0FEDAB1D0E7}" uniqueName="7" name="Producttype" queryTableFieldId="7"/>
    <tableColumn id="119" xr3:uid="{0F0EAA50-973B-412D-84B4-D4C709D519CB}" uniqueName="119" name="Surface[m2]" queryTableFieldId="140"/>
    <tableColumn id="120" xr3:uid="{DEE8864C-0DCA-4B7E-BA21-B265C3F19606}" uniqueName="120" name="Thickness[m]" queryTableFieldId="141"/>
    <tableColumn id="8" xr3:uid="{058773FB-E76A-41BE-8E64-8378C388F36B}" uniqueName="8" name="Specific_weight[ton/m3]" queryTableFieldId="553"/>
    <tableColumn id="122" xr3:uid="{DDAD8EE9-4C46-4C6B-BBC8-020A2B53379C}" uniqueName="122" name="Amount[m3]" queryTableFieldId="143"/>
    <tableColumn id="123" xr3:uid="{53733BC9-CCB4-46B3-BD6E-395C47A41D0C}" uniqueName="123" name="Amount[ton]" queryTableFieldId="144"/>
    <tableColumn id="124" xr3:uid="{E0395487-C8A7-4B66-922A-A5601174E1AE}" uniqueName="124" name="Replacements" queryTableFieldId="145"/>
    <tableColumn id="9" xr3:uid="{1FB1023C-7FA4-4339-A42A-2401A3C01A3D}" uniqueName="9" name="A4_transport_distance_to_construction_site[km]" queryTableFieldId="554"/>
    <tableColumn id="10" xr3:uid="{BA2B3281-3D18-4B3F-A636-A54627DED00C}" uniqueName="10" name="A4_transportmode_to_construction_site" queryTableFieldId="555"/>
    <tableColumn id="11" xr3:uid="{857EAA7F-4C95-469C-AFE6-22E75B3F007D}" uniqueName="11" name="A5_asphalt_construction_set" queryTableFieldId="556"/>
    <tableColumn id="12" xr3:uid="{ECBD4072-4960-4825-8001-4245290D192F}" uniqueName="12" name="A5_other_construction_equipment" queryTableFieldId="557"/>
    <tableColumn id="13" xr3:uid="{E1642C50-EA89-4C1E-92F6-CF116C356E4F}" uniqueName="13" name="C1_asphalt_removal_set" queryTableFieldId="558"/>
    <tableColumn id="14" xr3:uid="{D1940660-4DD3-4262-889B-69F7789012E9}" uniqueName="14" name="C1_other_removal_equipment" queryTableFieldId="559"/>
    <tableColumn id="15" xr3:uid="{9B813FC0-A950-4D08-B4F5-13316B790CC9}" uniqueName="15" name="C2_transportdistance_to_processor[km]" queryTableFieldId="560"/>
    <tableColumn id="16" xr3:uid="{8B87A32E-3B83-4AFF-826B-F62AA9A66EF0}" uniqueName="16" name="C2_transportmode_to_processor" queryTableFieldId="561"/>
    <tableColumn id="17" xr3:uid="{8B485036-9FE7-4AA4-8A9C-96925DA8B847}" uniqueName="17" name="C3_processingset" queryTableFieldId="562"/>
    <tableColumn id="134" xr3:uid="{BC1FC5D8-A48A-4BBD-9EF9-4C4A932AC88A}" uniqueName="134" name="Assumptions" queryTableFieldId="169"/>
    <tableColumn id="19" xr3:uid="{2FBD6AA1-078C-410B-A3AC-CC129D5A3EF4}" uniqueName="19" name="ECI_total.A1" queryTableFieldId="564"/>
    <tableColumn id="20" xr3:uid="{9AB676FF-758F-4021-AEA8-C9169BFF785D}" uniqueName="20" name="ECI_total.A2" queryTableFieldId="565"/>
    <tableColumn id="21" xr3:uid="{2C834DD1-D276-4095-AF3D-9D85AAF35895}" uniqueName="21" name="ECI_total.A3" queryTableFieldId="566"/>
    <tableColumn id="22" xr3:uid="{B3512E67-33D8-4FD6-83FC-E3A3FB0550D2}" uniqueName="22" name="ECI_total.A4" queryTableFieldId="567"/>
    <tableColumn id="23" xr3:uid="{69725D91-F983-4A61-9DC3-4D72D7475962}" uniqueName="23" name="ECI_total.A5" queryTableFieldId="568"/>
    <tableColumn id="24" xr3:uid="{390B44B2-BBFC-4AAC-8C42-90149C409BB2}" uniqueName="24" name="ECI_total.B1" queryTableFieldId="569"/>
    <tableColumn id="25" xr3:uid="{E74DB647-06C6-439D-A836-8A970B33914D}" uniqueName="25" name="ECI_total.B4" queryTableFieldId="570"/>
    <tableColumn id="26" xr3:uid="{E155031A-9D18-47FE-ABEF-792BEC914299}" uniqueName="26" name="ECI_total.C1" queryTableFieldId="571"/>
    <tableColumn id="27" xr3:uid="{D1C7AF3E-CA22-4240-A5F1-F1B6E10D8006}" uniqueName="27" name="ECI_total.C2" queryTableFieldId="572"/>
    <tableColumn id="28" xr3:uid="{C47A7013-886E-47DB-B26F-614156254CDC}" uniqueName="28" name="ECI_total.C3" queryTableFieldId="573"/>
    <tableColumn id="29" xr3:uid="{129B790C-F622-45DB-A796-917A51744D79}" uniqueName="29" name="ECI_total.C4" queryTableFieldId="574"/>
    <tableColumn id="30" xr3:uid="{B847CE79-61F9-44BC-83D1-618FBB6F7253}" uniqueName="30" name="ECI_total.D1" queryTableFieldId="575"/>
    <tableColumn id="31" xr3:uid="{A846DFB8-3B88-45D1-80A3-43FB09081CE2}" uniqueName="31" name="ECI_total.D2" queryTableFieldId="576"/>
    <tableColumn id="32" xr3:uid="{1B45F5EB-75E7-4AF7-9E98-830401BB93F3}" uniqueName="32" name="ECI_total.total" queryTableFieldId="577"/>
    <tableColumn id="33" xr3:uid="{C994A8EC-10D7-41A5-92B0-C79BDAAFDC59}" uniqueName="33" name="CO2_total.A1" queryTableFieldId="578"/>
    <tableColumn id="34" xr3:uid="{2775E6E3-5430-40C6-A05B-32AF13A210AD}" uniqueName="34" name="CO2_total.A2" queryTableFieldId="579"/>
    <tableColumn id="35" xr3:uid="{71271B40-ECD9-475E-8A90-4AE05F04B758}" uniqueName="35" name="CO2_total.A3" queryTableFieldId="580"/>
    <tableColumn id="36" xr3:uid="{C62F7E40-2D1B-4271-82BA-628166CDE456}" uniqueName="36" name="CO2_total.A4" queryTableFieldId="581"/>
    <tableColumn id="37" xr3:uid="{3E29FBDF-C4CD-4A1E-A11E-BE7877A6E35F}" uniqueName="37" name="CO2_total.A5" queryTableFieldId="582"/>
    <tableColumn id="38" xr3:uid="{BCAF48FE-BEB3-44B9-BB50-01DD212A2D45}" uniqueName="38" name="CO2_total.B1" queryTableFieldId="583"/>
    <tableColumn id="39" xr3:uid="{BEA1ABC8-A7FD-4650-A9F9-3E6757BA5794}" uniqueName="39" name="CO2_total.B4" queryTableFieldId="584"/>
    <tableColumn id="40" xr3:uid="{CE16EDB4-81E4-4842-B80B-3B985F9E2AF0}" uniqueName="40" name="CO2_total.C1" queryTableFieldId="585"/>
    <tableColumn id="41" xr3:uid="{84460961-A105-4286-8BDC-65F94FEA646A}" uniqueName="41" name="CO2_total.C2" queryTableFieldId="586"/>
    <tableColumn id="42" xr3:uid="{851D0E3F-1E13-4CD7-9B62-A992492F13B0}" uniqueName="42" name="CO2_total.C3" queryTableFieldId="587"/>
    <tableColumn id="43" xr3:uid="{9A8D6A5B-5D75-4666-937F-91BB88E851FA}" uniqueName="43" name="CO2_total.C4" queryTableFieldId="588"/>
    <tableColumn id="44" xr3:uid="{AAC3C669-5FCD-4EDE-84FF-C5047AF2BA74}" uniqueName="44" name="CO2_total.D1" queryTableFieldId="589"/>
    <tableColumn id="45" xr3:uid="{4C71A880-8432-45B6-A712-1BFBE89088B6}" uniqueName="45" name="CO2_total.D2" queryTableFieldId="590"/>
    <tableColumn id="46" xr3:uid="{EB8E893B-160A-468F-9EDF-5B55763A9A09}" uniqueName="46" name="CO2_total.total" queryTableFieldId="591"/>
    <tableColumn id="47" xr3:uid="{E1646846-862C-4134-AE8D-B9567021538A}" uniqueName="47" name="Material_total.amount[ton]" queryTableFieldId="592"/>
    <tableColumn id="48" xr3:uid="{E0856B98-8680-4454-B1C3-BF82764707B9}" uniqueName="48" name="Material_total.%secundary" queryTableFieldId="593"/>
    <tableColumn id="49" xr3:uid="{9434EE6E-3655-4A9A-ADE1-5AEDF306938C}" uniqueName="49" name="Material_total.primary[ton]" queryTableFieldId="594"/>
    <tableColumn id="50" xr3:uid="{8EE4E207-309C-4A0D-8491-40F49CC6C603}" uniqueName="50" name="Material_total.secundary[ton]" queryTableFieldId="595"/>
    <tableColumn id="51" xr3:uid="{D356B88D-5967-480C-91B5-72CE0C1B412E}" uniqueName="51" name="Material_total.amount_replacements[ton]" queryTableFieldId="596"/>
    <tableColumn id="52" xr3:uid="{AF388514-C03E-40EB-BFBC-35BB0B87908B}" uniqueName="52" name="Material_total.primary_replacements[ton]" queryTableFieldId="597"/>
    <tableColumn id="53" xr3:uid="{BB2904FB-ABCA-4502-8484-EF2CE6865A0B}" uniqueName="53" name="Material_total.secundary_replacements[ton]" queryTableFieldId="598"/>
    <tableColumn id="54" xr3:uid="{4D8A71CA-342C-47D2-9798-FC931E4F66F1}" uniqueName="54" name="Material_total.total_primary[ton]" queryTableFieldId="599"/>
    <tableColumn id="55" xr3:uid="{C703FE52-2DEE-42B4-B8ED-1C171FEC1642}" uniqueName="55" name="Material_total.total_secundary[ton]" queryTableFieldId="600"/>
    <tableColumn id="56" xr3:uid="{3693A097-1040-4BFD-962E-F8525B72F12E}" uniqueName="56" name="Material_total.total[ton]" queryTableFieldId="601"/>
    <tableColumn id="57" xr3:uid="{DE5C768D-3E7B-4DA4-8D6E-E9C6A05A58E6}" uniqueName="57" name="Renewable_energy_total.A1" queryTableFieldId="602"/>
    <tableColumn id="58" xr3:uid="{6DCEC240-702E-41AF-AA60-8DACF0788547}" uniqueName="58" name="Renewable_energy_total.A2" queryTableFieldId="603"/>
    <tableColumn id="59" xr3:uid="{FE2C74BB-2FDE-4C15-BAF5-37ECC3226B3D}" uniqueName="59" name="Renewable_energy_total.A3" queryTableFieldId="604"/>
    <tableColumn id="60" xr3:uid="{4890B17D-FE9E-4C85-B146-F61DC1C1E993}" uniqueName="60" name="Renewable_energy_total.A4" queryTableFieldId="605"/>
    <tableColumn id="61" xr3:uid="{3632A161-DA91-4F13-99B0-FE06C22BD6E9}" uniqueName="61" name="Renewable_energy_total.A5" queryTableFieldId="606"/>
    <tableColumn id="62" xr3:uid="{9F372273-4190-4D1B-80B2-3D73D4105780}" uniqueName="62" name="Renewable_energy_total.B1" queryTableFieldId="607"/>
    <tableColumn id="63" xr3:uid="{B7439745-F08F-4BB8-8119-E5656C9F21B4}" uniqueName="63" name="Renewable_energy_total.B4" queryTableFieldId="608"/>
    <tableColumn id="64" xr3:uid="{2DC283C4-DAB5-45B5-87A4-F4285FEF974A}" uniqueName="64" name="Renewable_energy_total.C1" queryTableFieldId="609"/>
    <tableColumn id="65" xr3:uid="{1C881247-1F54-444F-9EAB-65B21540C4D0}" uniqueName="65" name="Renewable_energy_total.C2" queryTableFieldId="610"/>
    <tableColumn id="66" xr3:uid="{9A9A7334-90B3-4D15-BBFE-114F12A0A54A}" uniqueName="66" name="Renewable_energy_total.C3" queryTableFieldId="611"/>
    <tableColumn id="67" xr3:uid="{BB4D09FC-8BC9-494D-9913-05ACC7A19270}" uniqueName="67" name="Renewable_energy_total.C4" queryTableFieldId="612"/>
    <tableColumn id="68" xr3:uid="{EFEA48AF-9613-44F9-9354-69F2478B64E7}" uniqueName="68" name="Renewable_energy_total.D1" queryTableFieldId="613"/>
    <tableColumn id="69" xr3:uid="{D68FE50F-B8CF-463C-9809-153D2D15FAA2}" uniqueName="69" name="Renewable_energy_total.D2" queryTableFieldId="614"/>
    <tableColumn id="70" xr3:uid="{C8BC3A34-BF03-4CB4-8665-8A1BF40D3515}" uniqueName="70" name="Renewable_energy_total.total" queryTableFieldId="615"/>
    <tableColumn id="71" xr3:uid="{1F6E40A2-31AF-4475-AC7F-9561F3DED1EC}" uniqueName="71" name="Fossil_energy_total.A1" queryTableFieldId="616"/>
    <tableColumn id="72" xr3:uid="{3547F07F-EAA8-4052-BFC2-710CDBE86BBE}" uniqueName="72" name="Fossil_energy_total.A2" queryTableFieldId="617"/>
    <tableColumn id="73" xr3:uid="{A66F2528-EE38-4213-907D-08E0A5A0478A}" uniqueName="73" name="Fossil_energy_total.A3" queryTableFieldId="618"/>
    <tableColumn id="74" xr3:uid="{D3980D4F-51B7-475B-8F33-EA721C8AF22C}" uniqueName="74" name="Fossil_energy_total.A4" queryTableFieldId="619"/>
    <tableColumn id="75" xr3:uid="{767EF406-1997-48C3-A01F-59FBC457E844}" uniqueName="75" name="Fossil_energy_total.A5" queryTableFieldId="620"/>
    <tableColumn id="76" xr3:uid="{1ADA906F-4BD1-4597-8F9B-4B252967991E}" uniqueName="76" name="Fossil_energy_total.B1" queryTableFieldId="621"/>
    <tableColumn id="77" xr3:uid="{3DEBDE0F-441C-45F4-BBD1-801CF3EDD257}" uniqueName="77" name="Fossil_energy_total.B4" queryTableFieldId="622"/>
    <tableColumn id="78" xr3:uid="{8BEA220B-5F24-42C0-963F-2D4F3DB2159F}" uniqueName="78" name="Fossil_energy_total.C1" queryTableFieldId="623"/>
    <tableColumn id="79" xr3:uid="{19F1591F-5F36-4AEC-9BFE-D23F4A35464F}" uniqueName="79" name="Fossil_energy_total.C2" queryTableFieldId="624"/>
    <tableColumn id="80" xr3:uid="{45D890DF-D0CE-43D7-AC96-1554D79F8D19}" uniqueName="80" name="Fossil_energy_total.C3" queryTableFieldId="625"/>
    <tableColumn id="81" xr3:uid="{360DF8AA-E134-4BBE-9049-3DB2B203EBDB}" uniqueName="81" name="Fossil_energy_total.C4" queryTableFieldId="626"/>
    <tableColumn id="82" xr3:uid="{00B9F3E9-9713-4E58-9043-99E04696AE17}" uniqueName="82" name="Fossil_energy_total.D1" queryTableFieldId="627"/>
    <tableColumn id="83" xr3:uid="{86F74E11-21B9-411A-99F9-449ED854B964}" uniqueName="83" name="Fossil_energy_total.D2" queryTableFieldId="628"/>
    <tableColumn id="84" xr3:uid="{1F0E976E-1CA9-4C45-905E-2710F4C8AD7E}" uniqueName="84" name="Fossil_energy_total.total" queryTableFieldId="629"/>
    <tableColumn id="85" xr3:uid="{5D29BAA4-36FD-4830-98AF-37BC8FBD164A}" uniqueName="85" name="Transport_total.transport_to_construction_site[tkm]" queryTableFieldId="630"/>
    <tableColumn id="86" xr3:uid="{FAF2FD18-3185-4F01-A6D9-A5717571CA5F}" uniqueName="86" name="Transport_total.transport_to_processor[tkm]" queryTableFieldId="631"/>
    <tableColumn id="87" xr3:uid="{CAB9D63E-B82E-4332-B0E7-8D78CBDD6B6C}" uniqueName="87" name="Transport_total.emission_free_transport_to_construction_site" queryTableFieldId="632"/>
    <tableColumn id="88" xr3:uid="{5A0D618C-CD5B-4C2E-96CA-67467920C6A8}" uniqueName="88" name="Transport_total.emission_free_transport_to_processor" queryTableFieldId="633"/>
    <tableColumn id="89" xr3:uid="{DB7C65DC-1634-48B3-AE94-2D076B5754E1}" uniqueName="89" name="Transport_total.emission_free_transport" queryTableFieldId="634"/>
    <tableColumn id="90" xr3:uid="{AA0746DA-3A4E-45B7-8315-472E90C9D6A8}" uniqueName="90" name="Transport_total.transport_to_construction_site_replacements[tkm]" queryTableFieldId="635"/>
    <tableColumn id="91" xr3:uid="{3169C84F-0851-49A2-A738-B53AA55BA211}" uniqueName="91" name="Transport_total.transport_to_processor_replacements[tkm]" queryTableFieldId="636"/>
    <tableColumn id="92" xr3:uid="{3150004B-0673-497D-A7D5-1F15504AA2FE}" uniqueName="92" name="Transport_total.emission_free_transport_replacements[tkm]" queryTableFieldId="637"/>
    <tableColumn id="93" xr3:uid="{04423160-05B5-488C-8CEC-F41F047E5205}" uniqueName="93" name="Transport_total.total_emission_free_transport" queryTableFieldId="638"/>
    <tableColumn id="94" xr3:uid="{0D4C7911-D7A6-4AB3-BA6B-79996B49AAAD}" uniqueName="94" name="Transport_total.total_non_emission_free_transport" queryTableFieldId="639"/>
    <tableColumn id="95" xr3:uid="{D0611647-43C8-4CA1-810B-73AC6A596196}" uniqueName="95" name="Transport_total.total_transport" queryTableFieldId="640"/>
    <tableColumn id="96" xr3:uid="{E14138F9-FAE9-4DDF-B964-DE5E4C7D94B2}" uniqueName="96" name="Construction_site_total.operation_hour_construction" queryTableFieldId="641"/>
    <tableColumn id="97" xr3:uid="{A22A78D8-41F5-412A-AB1E-395D2DC40DF6}" uniqueName="97" name="Construction_site_total.operation_hour_removal" queryTableFieldId="642"/>
    <tableColumn id="98" xr3:uid="{97AFD1C7-F69E-4446-BE67-986E8BCC9B2B}" uniqueName="98" name="Construction_site_total.emission_free_construction" queryTableFieldId="643"/>
    <tableColumn id="99" xr3:uid="{542A69C0-7F36-4882-873C-A9B24692E692}" uniqueName="99" name="Construction_site_total.emission_free_removal" queryTableFieldId="644"/>
    <tableColumn id="108" xr3:uid="{20BF6A7A-A097-4114-BF79-C07B29199D16}" uniqueName="108" name="Construction_site_total.emission_free_construction_site" queryTableFieldId="666" dataDxfId="0"/>
    <tableColumn id="104" xr3:uid="{FAEB4213-88ED-4CBD-B95A-60AE5D326D32}" uniqueName="104" name="Construction_site_total.emission_free_construction_site_replacement" queryTableFieldId="648"/>
    <tableColumn id="105" xr3:uid="{D4D5C571-D52A-4B70-80E2-4E707A08BD54}" uniqueName="105" name="Construction_site_total.total_emission_free_construction_site" queryTableFieldId="649"/>
    <tableColumn id="106" xr3:uid="{C4915B17-A132-46E8-BF4D-41FFD197102A}" uniqueName="106" name="Construction_site_total.total_non_emission_free_construction_site" queryTableFieldId="650"/>
    <tableColumn id="107" xr3:uid="{8057E906-B114-4804-B693-0C340C63759A}" uniqueName="107" name="Construction_site_total.total_construction_site" queryTableFieldId="651"/>
    <tableColumn id="18" xr3:uid="{C866ED50-C3A2-426E-82C0-EF2E0E225515}" uniqueName="18" name="MKI_total_ton_A1_A3" queryTableFieldId="672"/>
    <tableColumn id="100" xr3:uid="{BBB57BBC-5C4B-430E-8110-2F06CD2635E3}" uniqueName="100" name="MKI_total_m3_A1_A3" queryTableFieldId="673"/>
    <tableColumn id="101" xr3:uid="{3FFC48CC-77AB-4DD5-8F7D-3D97A3ECFAB4}" uniqueName="101" name="CO2_total_ton_A1_A3" queryTableFieldId="674"/>
    <tableColumn id="102" xr3:uid="{C88A3631-6008-43CC-B9E0-68908081F94D}" uniqueName="102" name="CO2_total_m3_A1_A3" queryTableFieldId="675"/>
    <tableColumn id="111" xr3:uid="{C0855843-6BEF-46D0-AEF7-A61253876E90}" uniqueName="111" name="MKI_total_A1_A3" queryTableFieldId="682"/>
    <tableColumn id="112" xr3:uid="{999A0EDD-AC0A-4D28-A1D5-B50D61D1FA7A}" uniqueName="112" name="CO2_total_A1_A3" queryTableFieldId="683"/>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B27CCA3-5CC0-4C03-A01C-55548767C209}" name="Ontwerp_Transport_Totaal" displayName="Ontwerp_Transport_Totaal" ref="B213:N243" totalsRowCount="1" dataDxfId="1133" headerRowBorderDxfId="1134" tableBorderDxfId="1132">
  <autoFilter ref="B213:N242" xr:uid="{2EBC1538-A809-42FF-B9CA-72FFEA92DD06}"/>
  <tableColumns count="13">
    <tableColumn id="1" xr3:uid="{91BB4210-23E2-43EE-8653-C854D784AB64}" name="Bestekspost" totalsRowLabel="Totaal" dataDxfId="1131" totalsRowDxfId="1130">
      <calculatedColumnFormula>Ontwerpberekening!B5</calculatedColumnFormula>
    </tableColumn>
    <tableColumn id="2" xr3:uid="{5CFADE2D-6ED8-443F-9C86-8AE337E7BBAF}" name="Product" dataDxfId="1129" totalsRowDxfId="1128">
      <calculatedColumnFormula>Ontwerpberekening!C5</calculatedColumnFormula>
    </tableColumn>
    <tableColumn id="3" xr3:uid="{4AE58CC1-29B2-4BF9-9738-0E3BADB4E5CA}" name="Transport naar bouwplaats [tkm]" dataDxfId="1127" totalsRowDxfId="1126"/>
    <tableColumn id="4" xr3:uid="{8E96392B-4ED7-4855-901D-738AC77EC8F2}" name="Transport naar verwerker [tkm]" dataDxfId="1125" totalsRowDxfId="1124"/>
    <tableColumn id="5" xr3:uid="{5011E81B-4723-4CC6-937A-6C88E3577B27}" name="Emissieloos Transport naar bouwplaats?" dataDxfId="1123" totalsRowDxfId="1122"/>
    <tableColumn id="6" xr3:uid="{07497326-DECE-4FC4-B9A0-7293BBF4C74A}" name="Emissieloos Transport naar verwerker?" dataDxfId="1121" totalsRowDxfId="1120"/>
    <tableColumn id="7" xr3:uid="{13AA2844-8019-4798-A66B-75ABFE524FE0}" name="Emissieloos Transport" dataDxfId="1119" totalsRowDxfId="1118">
      <calculatedColumnFormula>IF(Ontwerp_Transport_Totaal[[#This Row],[Emissieloos Transport naar bouwplaats?]]="JA",Ontwerp_Transport_Totaal[[#This Row],[Transport naar bouwplaats '[tkm']]],0)+IF(Ontwerp_Transport_Totaal[[#This Row],[Emissieloos Transport naar verwerker?]]="JA",Ontwerp_Transport_Totaal[[#This Row],[Transport naar verwerker '[tkm']]],0)</calculatedColumnFormula>
    </tableColumn>
    <tableColumn id="8" xr3:uid="{F6DEF0F6-8EB5-433B-B091-3B0B56C66736}" name="Transport naar bouwplaats Vervangingen [tkm]" dataDxfId="1117" totalsRowDxfId="1116"/>
    <tableColumn id="9" xr3:uid="{29F63910-F4F4-4E80-95A3-60A4A7D5E380}" name="Transport naar verwerker Vervangingen [tkm]" dataDxfId="1115" totalsRowDxfId="1114"/>
    <tableColumn id="10" xr3:uid="{3813EC57-302F-4C54-B3B1-7398544166F3}" name="Emissieloos Transport Vervangingen" dataDxfId="1113" totalsRowDxfId="1112">
      <calculatedColumnFormula>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calculatedColumnFormula>
    </tableColumn>
    <tableColumn id="11" xr3:uid="{2591A0CC-DF6B-4E9E-A910-DE7F48E207D6}" name="Totaal Emissieloos Transport" dataDxfId="1111" totalsRowDxfId="1110">
      <calculatedColumnFormula>Ontwerp_Transport_Totaal[[#This Row],[Emissieloos Transport]]+Ontwerp_Transport_Totaal[[#This Row],[Emissieloos Transport Vervangingen]]</calculatedColumnFormula>
    </tableColumn>
    <tableColumn id="12" xr3:uid="{7869C3E9-7F49-4E0F-B3C9-FE5635AA1794}" name="Totaal Niet Emissieloos Transport" dataDxfId="1109" totalsRowDxfId="1108">
      <calculatedColumnFormula>(Ontwerp_Transport_Totaal[[#This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calculatedColumnFormula>
    </tableColumn>
    <tableColumn id="13" xr3:uid="{519EC24E-435C-443F-BFB2-476F52CAD5B0}" name="Totaal Transport" dataDxfId="1107" totalsRowDxfId="1106">
      <calculatedColumnFormula>Ontwerp_Transport_Totaal[[#This Row],[Totaal Emissieloos Transport]]+Ontwerp_Transport_Totaal[[#This Row],[Totaal Niet Emissieloos Transport]]</calculatedColumnFormula>
    </tableColumn>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6025670-1228-4DF5-A3A3-38A6DFF0509C}" name="Referentie_Bouwplaats_Totaal61" displayName="Referentie_Bouwplaats_Totaal61" ref="B247:N277" totalsRowCount="1" dataDxfId="1104" headerRowBorderDxfId="1105" tableBorderDxfId="1103">
  <autoFilter ref="B247:N276" xr:uid="{4A43CBAC-F7A2-405D-B423-4679C1E621D1}"/>
  <tableColumns count="13">
    <tableColumn id="1" xr3:uid="{B9AF4E08-BCD0-455F-A8D0-04183C4C29AF}" name="Bestekspost" totalsRowLabel="Totaal" dataDxfId="1102" totalsRowDxfId="1101">
      <calculatedColumnFormula>Ontwerpberekening!B5</calculatedColumnFormula>
    </tableColumn>
    <tableColumn id="2" xr3:uid="{2D8EAE1C-E74A-40AC-9018-B35C94301538}" name="Product" dataDxfId="1100" totalsRowDxfId="1099">
      <calculatedColumnFormula>Ontwerpberekening!C5</calculatedColumnFormula>
    </tableColumn>
    <tableColumn id="3" xr3:uid="{7F6BC458-6B9C-4459-8FC1-7DD1DCB777D2}" name="Draaiuren Bouw" totalsRowFunction="sum" dataDxfId="1098" totalsRowDxfId="1097"/>
    <tableColumn id="4" xr3:uid="{98DF10A5-DF0D-44C0-9B9D-A7B1734D0F2A}" name="Draaiuren Sloop" totalsRowFunction="sum" dataDxfId="1096" totalsRowDxfId="1095"/>
    <tableColumn id="5" xr3:uid="{32E8A838-831D-4727-B089-6BC7C0A5911B}" name="Emissieloos Bouwmaterieel" totalsRowFunction="sum" dataDxfId="1094" totalsRowDxfId="1093"/>
    <tableColumn id="6" xr3:uid="{EEB472AD-D534-4162-AF02-3CDC656B6FD2}" name="Emissieloos Sloopmaterieel" totalsRowFunction="sum" dataDxfId="1092" totalsRowDxfId="1091"/>
    <tableColumn id="7" xr3:uid="{866EAB8E-45A6-44E1-8996-A5E3A3A22CA7}" name="Emissieloos bouwplaats" totalsRowFunction="sum" dataDxfId="1090" totalsRowDxfId="1089"/>
    <tableColumn id="8" xr3:uid="{D01A15B7-DBDC-41B7-B255-ED3BA0F37816}" name="Draaiuren Bouw Vervangingen" totalsRowFunction="sum" dataDxfId="1088" totalsRowDxfId="1087"/>
    <tableColumn id="9" xr3:uid="{E8F33F83-1864-401B-9CC1-B333BE0D9B87}" name="Draaiuren Sloop Vervangingen" totalsRowFunction="sum" dataDxfId="1086" totalsRowDxfId="1085"/>
    <tableColumn id="10" xr3:uid="{E86A2B0D-46C0-4204-BD2A-03ABC3266A4E}" name="Emissieloos bouwplaats Vervangingen" totalsRowFunction="sum" dataDxfId="1084" totalsRowDxfId="1083"/>
    <tableColumn id="11" xr3:uid="{21160198-5E4C-45BB-8AC4-88C0D823DC2B}" name="Totaal Emissieloos Bouwplaats" totalsRowFunction="sum" dataDxfId="1082" totalsRowDxfId="1081"/>
    <tableColumn id="12" xr3:uid="{C9925FEE-2249-43E1-BEBC-F520B26889C6}" name="Totaal Niet Emissieloos Bouwplaats" totalsRowFunction="sum" dataDxfId="1080" totalsRowDxfId="1079"/>
    <tableColumn id="13" xr3:uid="{35D1AF06-AA2B-4429-A19C-D80FC520B5CD}" name="Totaal Bouwplaats" totalsRowFunction="sum" dataDxfId="1078" totalsRowDxfId="1077"/>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E678168-5B31-420A-AABF-8EC1EFE6FB7E}" name="Invoer_Referentie" displayName="Invoer_Referentie" ref="B4:X35" totalsRowShown="0" headerRowDxfId="1045" dataDxfId="1044">
  <autoFilter ref="B4:X35" xr:uid="{0E678168-5B31-420A-AABF-8EC1EFE6FB7E}"/>
  <tableColumns count="23">
    <tableColumn id="10" xr3:uid="{13F0CB1B-E511-418A-8638-49905962F11A}" name="Omschrijving" dataDxfId="1043"/>
    <tableColumn id="1" xr3:uid="{4B834608-F315-4444-937F-1512654E3E13}" name="Bestaande Situatie of Nieuw Sitautie?" dataDxfId="1042"/>
    <tableColumn id="14" xr3:uid="{0FE17F31-17CD-4D01-BA20-D1C72DB1C7C4}" name="Kostenraming [€]" dataDxfId="1041"/>
    <tableColumn id="12" xr3:uid="{87B32B31-DEF6-4298-90B6-57AC4CF4A451}" name="Productgroep" dataDxfId="1040"/>
    <tableColumn id="2" xr3:uid="{EE9FEF7F-1121-483A-85D7-942DAD8EE187}" name="Product" dataDxfId="1039"/>
    <tableColumn id="22" xr3:uid="{83EDFAC5-EE8C-42B9-B7A7-F86EF8E4AF7B}" name="Producttype" dataDxfId="1038">
      <calculatedColumnFormula>VLOOKUP(Invoer_Referentie[[#This Row],[Product]],Database_Productkaarten[[Product]:[Producttype]],3,FALSE)</calculatedColumnFormula>
    </tableColumn>
    <tableColumn id="3" xr3:uid="{38B20AD1-6A85-42C4-B6D4-5F0FD840C388}" name="Oppervlakte [m2]" dataDxfId="1037"/>
    <tableColumn id="4" xr3:uid="{5202BB19-59CD-4EF2-9F4D-A0D60C9DEDAF}" name="Dikte [m]" dataDxfId="1036"/>
    <tableColumn id="5" xr3:uid="{E697436E-9E5E-4A1D-8914-21AFCE0ECD7A}" name="Soortelijk gewicht [ton / m3]" dataDxfId="1035">
      <calculatedColumnFormula>_xlfn.IFNA(VLOOKUP(F5&amp;", "&amp;"Totaal",Database_Productkaarten[#All],12,FALSE),0)</calculatedColumnFormula>
    </tableColumn>
    <tableColumn id="6" xr3:uid="{01645B2D-B3D9-4D4A-B1F9-5DCB217BD38C}" name="Hoeveelheid [m3]" dataDxfId="1034">
      <calculatedColumnFormula>IF(Invoer_Referentie[[#This Row],[Oppervlakte '[m2']]]*Invoer_Referentie[[#This Row],[Dikte '[m']]]=0,Invoer_Referentie[[#This Row],[Hoeveelheid]]/Invoer_Referentie[[#This Row],[Soortelijk gewicht '[ton / m3']]],Invoer_Referentie[[#This Row],[Oppervlakte '[m2']]]*Invoer_Referentie[[#This Row],[Dikte '[m']]])</calculatedColumnFormula>
    </tableColumn>
    <tableColumn id="7" xr3:uid="{E0B4AC62-A4CA-473C-856C-988AD7BC2ADC}" name="Hoeveelheid" dataDxfId="1033"/>
    <tableColumn id="23" xr3:uid="{E58A7962-D9E0-457B-A39E-1CAC87BC4E4B}" name="Eenheid" dataDxfId="1032">
      <calculatedColumnFormula>VLOOKUP(Invoer_Referentie[[#This Row],[Product]],Database_Productkaarten[[Product]:[Eenheid]],4,FALSE)</calculatedColumnFormula>
    </tableColumn>
    <tableColumn id="9" xr3:uid="{FBA878AF-0A63-42E7-A636-84D5B8A970FB}" name="Vervangingen" dataDxfId="1031"/>
    <tableColumn id="8" xr3:uid="{E4B7CCE3-1860-49AB-9B3D-DA38D89AB018}" name="A4 - Transportafstand naar bouwplaats [km]" dataDxfId="1030"/>
    <tableColumn id="11" xr3:uid="{BCC31B3F-DD6C-4C70-933C-2B53BB0C3097}" name="A4 - Transportmiddel naar bouwplaats" dataDxfId="1029"/>
    <tableColumn id="15" xr3:uid="{241B6F36-1C11-460E-A39B-1392F5C90F33}" name="A5 - Asfalt Aanlegset" dataDxfId="1028"/>
    <tableColumn id="16" xr3:uid="{918C4224-6727-47C1-B908-C00FCEDBE717}" name="A5 - Overig Materieel tbv Aanleg" dataDxfId="1027"/>
    <tableColumn id="17" xr3:uid="{B322A1EC-E02F-4A62-B402-2636BE57F0C7}" name="C1 - Asfalt Verwijderset" dataDxfId="1026"/>
    <tableColumn id="18" xr3:uid="{46B23281-EA21-45CA-BA88-FAD2E5692020}" name="C1 - Overig Materieel tbv Verwijderen" dataDxfId="1025"/>
    <tableColumn id="19" xr3:uid="{70F02076-0F75-4C39-AAB4-FE75BB4E2A1D}" name="C2 - Transportafstand naar verwerker [km]" dataDxfId="1024"/>
    <tableColumn id="20" xr3:uid="{536ADE64-2E6C-4E1C-A9BC-D6BAF68C43AB}" name="C2 - Transportmiddel naar verwerker" dataDxfId="1023"/>
    <tableColumn id="21" xr3:uid="{420D7D13-2B71-4D2F-A614-A613744C50EB}" name="C3 - Verwerkingsset" dataDxfId="1022"/>
    <tableColumn id="13" xr3:uid="{CB3DABEF-17C3-4585-9A2E-39AF49851144}" name="Uitgangspunten" dataDxfId="1021"/>
  </tableColumns>
  <tableStyleInfo name="TableStyleMedium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36.xml"/><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printerSettings" Target="../printerSettings/printerSettings6.bin"/><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44.xml"/><Relationship Id="rId13" Type="http://schemas.openxmlformats.org/officeDocument/2006/relationships/table" Target="../tables/table49.xml"/><Relationship Id="rId3" Type="http://schemas.openxmlformats.org/officeDocument/2006/relationships/table" Target="../tables/table39.xml"/><Relationship Id="rId7" Type="http://schemas.openxmlformats.org/officeDocument/2006/relationships/table" Target="../tables/table43.xml"/><Relationship Id="rId12" Type="http://schemas.openxmlformats.org/officeDocument/2006/relationships/table" Target="../tables/table48.xml"/><Relationship Id="rId17" Type="http://schemas.openxmlformats.org/officeDocument/2006/relationships/table" Target="../tables/table53.xml"/><Relationship Id="rId2" Type="http://schemas.openxmlformats.org/officeDocument/2006/relationships/table" Target="../tables/table38.xml"/><Relationship Id="rId16" Type="http://schemas.openxmlformats.org/officeDocument/2006/relationships/table" Target="../tables/table52.xml"/><Relationship Id="rId1" Type="http://schemas.openxmlformats.org/officeDocument/2006/relationships/table" Target="../tables/table37.x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5" Type="http://schemas.openxmlformats.org/officeDocument/2006/relationships/table" Target="../tables/table5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 Id="rId14" Type="http://schemas.openxmlformats.org/officeDocument/2006/relationships/table" Target="../tables/table50.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61.xml"/><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table" Target="../tables/table54.xml"/><Relationship Id="rId6" Type="http://schemas.openxmlformats.org/officeDocument/2006/relationships/table" Target="../tables/table59.xml"/><Relationship Id="rId11" Type="http://schemas.openxmlformats.org/officeDocument/2006/relationships/table" Target="../tables/table64.xml"/><Relationship Id="rId5" Type="http://schemas.openxmlformats.org/officeDocument/2006/relationships/table" Target="../tables/table58.xml"/><Relationship Id="rId10" Type="http://schemas.openxmlformats.org/officeDocument/2006/relationships/table" Target="../tables/table63.xml"/><Relationship Id="rId4" Type="http://schemas.openxmlformats.org/officeDocument/2006/relationships/table" Target="../tables/table57.xml"/><Relationship Id="rId9" Type="http://schemas.openxmlformats.org/officeDocument/2006/relationships/table" Target="../tables/table62.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pivotTable" Target="../pivotTables/pivotTable3.xml"/><Relationship Id="rId7" Type="http://schemas.openxmlformats.org/officeDocument/2006/relationships/table" Target="../tables/table5.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4.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vmlDrawing" Target="../drawings/vmlDrawing2.v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image" Target="../media/image15.emf"/><Relationship Id="rId4" Type="http://schemas.openxmlformats.org/officeDocument/2006/relationships/control" Target="../activeX/activeX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7" Type="http://schemas.openxmlformats.org/officeDocument/2006/relationships/table" Target="../tables/table17.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07/relationships/slicer" Target="../slicers/slicer2.xml"/><Relationship Id="rId4" Type="http://schemas.openxmlformats.org/officeDocument/2006/relationships/table" Target="../tables/table1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1D57B-D25E-4795-9736-CDBCB83DA9F3}">
  <sheetPr codeName="Blad2"/>
  <dimension ref="A1:AR309"/>
  <sheetViews>
    <sheetView zoomScale="85" zoomScaleNormal="85" workbookViewId="0">
      <selection activeCell="E9" sqref="E9"/>
    </sheetView>
  </sheetViews>
  <sheetFormatPr defaultColWidth="9.1796875" defaultRowHeight="18" x14ac:dyDescent="0.55000000000000004"/>
  <cols>
    <col min="1" max="1" width="20.26953125" style="17" customWidth="1"/>
    <col min="2" max="2" width="29" style="17" bestFit="1" customWidth="1"/>
    <col min="3" max="3" width="21.453125" style="17" customWidth="1"/>
    <col min="4" max="4" width="37.81640625" style="17" hidden="1" customWidth="1"/>
    <col min="5" max="5" width="28.453125" style="17" customWidth="1"/>
    <col min="6" max="6" width="34.7265625" style="17" customWidth="1"/>
    <col min="7" max="7" width="9.26953125" style="17" customWidth="1"/>
    <col min="8" max="8" width="8.81640625" style="17" customWidth="1"/>
    <col min="9" max="9" width="18.26953125" style="17" hidden="1" customWidth="1"/>
    <col min="10" max="11" width="8.81640625" style="17" hidden="1" customWidth="1"/>
    <col min="12" max="12" width="9.26953125" style="17" bestFit="1" customWidth="1"/>
    <col min="13" max="13" width="7.81640625" style="17" bestFit="1" customWidth="1"/>
    <col min="14" max="14" width="11.81640625" style="17" bestFit="1" customWidth="1"/>
    <col min="15" max="16" width="9.26953125" style="17" bestFit="1" customWidth="1"/>
    <col min="17" max="17" width="11.81640625" style="17" bestFit="1" customWidth="1"/>
    <col min="18" max="18" width="7.81640625" style="17" bestFit="1" customWidth="1"/>
    <col min="19" max="19" width="13" style="17" customWidth="1"/>
    <col min="20" max="20" width="12.453125" style="17" hidden="1" customWidth="1"/>
    <col min="21" max="21" width="21.1796875" style="17" hidden="1" customWidth="1"/>
    <col min="22" max="22" width="38.54296875" hidden="1" customWidth="1"/>
    <col min="23" max="23" width="13" style="17" hidden="1" customWidth="1"/>
    <col min="24" max="24" width="16.81640625" style="17" hidden="1" customWidth="1"/>
    <col min="25" max="25" width="13" style="17" hidden="1" customWidth="1"/>
    <col min="26" max="26" width="16.81640625" style="17" hidden="1" customWidth="1"/>
    <col min="27" max="27" width="21.1796875" style="17" hidden="1" customWidth="1"/>
    <col min="28" max="28" width="16.81640625" style="17" hidden="1" customWidth="1"/>
    <col min="29" max="29" width="13" style="17" hidden="1" customWidth="1"/>
    <col min="30" max="30" width="8.81640625" style="17" hidden="1" customWidth="1"/>
    <col min="31" max="32" width="13" style="17" hidden="1" customWidth="1"/>
    <col min="33" max="33" width="4.1796875" style="17" hidden="1" customWidth="1"/>
    <col min="34" max="34" width="16.7265625" style="17" customWidth="1"/>
    <col min="35" max="43" width="9.1796875" style="17"/>
    <col min="44" max="44" width="14.26953125" style="17" bestFit="1" customWidth="1"/>
    <col min="45" max="16384" width="9.1796875" style="17"/>
  </cols>
  <sheetData>
    <row r="1" spans="1:34" x14ac:dyDescent="0.55000000000000004">
      <c r="A1" s="198" t="s">
        <v>48</v>
      </c>
      <c r="V1" s="17"/>
    </row>
    <row r="2" spans="1:34" x14ac:dyDescent="0.55000000000000004">
      <c r="A2" s="167">
        <v>50</v>
      </c>
      <c r="V2" s="17"/>
    </row>
    <row r="3" spans="1:34" x14ac:dyDescent="0.55000000000000004">
      <c r="V3" s="17"/>
    </row>
    <row r="4" spans="1:34" ht="81" customHeight="1" x14ac:dyDescent="0.55000000000000004">
      <c r="B4" s="16" t="s">
        <v>537</v>
      </c>
      <c r="C4" s="16" t="s">
        <v>157</v>
      </c>
      <c r="D4" s="16" t="s">
        <v>527</v>
      </c>
      <c r="E4" s="16" t="s">
        <v>5</v>
      </c>
      <c r="F4" s="21" t="s">
        <v>4</v>
      </c>
      <c r="G4" s="21" t="s">
        <v>57</v>
      </c>
      <c r="H4" s="21" t="s">
        <v>542</v>
      </c>
      <c r="I4" s="21" t="s">
        <v>442</v>
      </c>
      <c r="J4" s="21" t="s">
        <v>529</v>
      </c>
      <c r="K4" s="21" t="s">
        <v>530</v>
      </c>
      <c r="L4" s="21" t="s">
        <v>6</v>
      </c>
      <c r="M4" s="21" t="s">
        <v>0</v>
      </c>
      <c r="N4" s="21" t="s">
        <v>625</v>
      </c>
      <c r="O4" s="21" t="s">
        <v>1</v>
      </c>
      <c r="P4" s="21" t="s">
        <v>2</v>
      </c>
      <c r="Q4" s="21" t="s">
        <v>553</v>
      </c>
      <c r="R4" s="21" t="s">
        <v>49</v>
      </c>
      <c r="S4" s="21" t="s">
        <v>551</v>
      </c>
      <c r="T4" s="21" t="s">
        <v>552</v>
      </c>
      <c r="U4" s="21" t="s">
        <v>320</v>
      </c>
      <c r="V4" s="21" t="s">
        <v>321</v>
      </c>
      <c r="W4" s="21" t="s">
        <v>322</v>
      </c>
      <c r="X4" s="21" t="s">
        <v>323</v>
      </c>
      <c r="Y4" s="21" t="s">
        <v>324</v>
      </c>
      <c r="Z4" s="21" t="s">
        <v>325</v>
      </c>
      <c r="AA4" s="21" t="s">
        <v>326</v>
      </c>
      <c r="AB4" s="21" t="s">
        <v>327</v>
      </c>
      <c r="AC4" s="21" t="s">
        <v>613</v>
      </c>
      <c r="AD4" s="21" t="s">
        <v>614</v>
      </c>
      <c r="AE4" s="21" t="s">
        <v>328</v>
      </c>
      <c r="AF4" s="21" t="s">
        <v>612</v>
      </c>
      <c r="AG4" s="21" t="s">
        <v>615</v>
      </c>
      <c r="AH4" s="228" t="s">
        <v>121</v>
      </c>
    </row>
    <row r="5" spans="1:34" x14ac:dyDescent="0.55000000000000004">
      <c r="B5" s="3" t="s">
        <v>1555</v>
      </c>
      <c r="C5" s="3" t="s">
        <v>159</v>
      </c>
      <c r="D5" s="116"/>
      <c r="E5" s="1" t="s">
        <v>444</v>
      </c>
      <c r="F5" s="1" t="s">
        <v>1356</v>
      </c>
      <c r="G5" s="1" t="str">
        <f>VLOOKUP(Invoer_Ontwerp[[#This Row],[Product]],Database_Productkaarten[[#All],[Product]:[Eenheid]],4,FALSE)</f>
        <v>Ton</v>
      </c>
      <c r="H5" s="5">
        <v>1690.2375</v>
      </c>
      <c r="I5" s="170" t="e">
        <v>#REF!</v>
      </c>
      <c r="J5" s="170" t="s">
        <v>531</v>
      </c>
      <c r="K5" s="170" t="s">
        <v>532</v>
      </c>
      <c r="L5" s="3">
        <v>2055</v>
      </c>
      <c r="M5" s="3">
        <v>0.35</v>
      </c>
      <c r="N5" s="3" t="e">
        <f>VLOOKUP(Invoer_Ontwerp[[#This Row],[Product]],Database_Productkaarten[#All],12,FALSE)</f>
        <v>#N/A</v>
      </c>
      <c r="O5" s="3">
        <f>L5*M5</f>
        <v>719.25</v>
      </c>
      <c r="P5" s="3">
        <f>Invoer_Ontwerp[[#This Row],[Hoeveelheid '[m3']]]*2.35</f>
        <v>1690.2375</v>
      </c>
      <c r="Q5" s="5">
        <v>100</v>
      </c>
      <c r="R5" s="5">
        <v>0</v>
      </c>
      <c r="S5" s="5"/>
      <c r="T5" s="5">
        <f>MAX(IFERROR(Invoer_Ontwerp[[#This Row],[Product levensduur '[jaar']]]/Invoer_Ontwerp[[#This Row],[Onderhoudscylus '[jaar']]]-1,0),0)</f>
        <v>0</v>
      </c>
      <c r="U5" s="5">
        <v>50</v>
      </c>
      <c r="V5" s="6" t="s">
        <v>67</v>
      </c>
      <c r="W5" s="6"/>
      <c r="X5" s="6"/>
      <c r="Y5" s="6"/>
      <c r="Z5" s="6"/>
      <c r="AA5" s="5"/>
      <c r="AB5" s="6"/>
      <c r="AC5" s="6"/>
      <c r="AD5" s="6"/>
      <c r="AE5" s="6"/>
      <c r="AF5" s="6"/>
      <c r="AG5" s="6"/>
      <c r="AH5" s="3"/>
    </row>
    <row r="6" spans="1:34" x14ac:dyDescent="0.55000000000000004">
      <c r="B6" s="3" t="s">
        <v>1555</v>
      </c>
      <c r="C6" s="3" t="s">
        <v>159</v>
      </c>
      <c r="D6" s="116"/>
      <c r="E6" s="1" t="s">
        <v>444</v>
      </c>
      <c r="F6" s="1" t="s">
        <v>1366</v>
      </c>
      <c r="G6" s="1" t="str">
        <f>VLOOKUP(Invoer_Ontwerp[[#This Row],[Product]],Database_Productkaarten[[#All],[Product]:[Eenheid]],4,FALSE)</f>
        <v>Ton</v>
      </c>
      <c r="H6" s="5">
        <v>189.60000000000002</v>
      </c>
      <c r="I6" s="170" t="e">
        <v>#REF!</v>
      </c>
      <c r="J6" s="170" t="s">
        <v>531</v>
      </c>
      <c r="K6" s="170" t="s">
        <v>532</v>
      </c>
      <c r="L6" s="3">
        <v>160</v>
      </c>
      <c r="M6" s="3">
        <v>0.5</v>
      </c>
      <c r="N6" s="3" t="e">
        <v>#REF!</v>
      </c>
      <c r="O6" s="3">
        <f t="shared" ref="O6:O20" si="0">L6*M6</f>
        <v>80</v>
      </c>
      <c r="P6" s="3">
        <f>Invoer_Ontwerp[[#This Row],[Hoeveelheid '[m3']]]*2.37</f>
        <v>189.60000000000002</v>
      </c>
      <c r="Q6" s="5">
        <v>100</v>
      </c>
      <c r="R6" s="5">
        <v>0</v>
      </c>
      <c r="S6" s="5"/>
      <c r="T6" s="5">
        <f>MAX(IFERROR(Invoer_Ontwerp[[#This Row],[Product levensduur '[jaar']]]/Invoer_Ontwerp[[#This Row],[Onderhoudscylus '[jaar']]]-1,0),0)</f>
        <v>0</v>
      </c>
      <c r="U6" s="5">
        <v>50</v>
      </c>
      <c r="V6" s="6" t="s">
        <v>67</v>
      </c>
      <c r="W6" s="6"/>
      <c r="X6" s="6"/>
      <c r="Y6" s="6"/>
      <c r="Z6" s="6"/>
      <c r="AA6" s="5"/>
      <c r="AB6" s="6"/>
      <c r="AC6" s="6"/>
      <c r="AD6" s="6"/>
      <c r="AE6" s="6"/>
      <c r="AF6" s="6"/>
      <c r="AG6" s="6"/>
      <c r="AH6" s="3"/>
    </row>
    <row r="7" spans="1:34" x14ac:dyDescent="0.55000000000000004">
      <c r="B7" s="3" t="s">
        <v>1555</v>
      </c>
      <c r="C7" s="3" t="s">
        <v>159</v>
      </c>
      <c r="D7" s="116"/>
      <c r="E7" s="1" t="s">
        <v>444</v>
      </c>
      <c r="F7" s="1" t="s">
        <v>1366</v>
      </c>
      <c r="G7" s="1" t="str">
        <f>VLOOKUP(Invoer_Ontwerp[[#This Row],[Product]],Database_Productkaarten[[#All],[Product]:[Eenheid]],4,FALSE)</f>
        <v>Ton</v>
      </c>
      <c r="H7" s="5">
        <v>59.25</v>
      </c>
      <c r="I7" s="170" t="e">
        <v>#REF!</v>
      </c>
      <c r="J7" s="170" t="s">
        <v>531</v>
      </c>
      <c r="K7" s="170" t="s">
        <v>533</v>
      </c>
      <c r="L7" s="3">
        <v>50</v>
      </c>
      <c r="M7" s="3">
        <v>0.5</v>
      </c>
      <c r="N7" s="3" t="e">
        <v>#REF!</v>
      </c>
      <c r="O7" s="3">
        <f t="shared" si="0"/>
        <v>25</v>
      </c>
      <c r="P7" s="3">
        <f>Invoer_Ontwerp[[#This Row],[Hoeveelheid '[m3']]]*2.37</f>
        <v>59.25</v>
      </c>
      <c r="Q7" s="5">
        <v>100</v>
      </c>
      <c r="R7" s="5">
        <v>0</v>
      </c>
      <c r="S7" s="5"/>
      <c r="T7" s="5">
        <f>MAX(IFERROR(Invoer_Ontwerp[[#This Row],[Product levensduur '[jaar']]]/Invoer_Ontwerp[[#This Row],[Onderhoudscylus '[jaar']]]-1,0),0)</f>
        <v>0</v>
      </c>
      <c r="U7" s="5">
        <v>50</v>
      </c>
      <c r="V7" s="6" t="s">
        <v>67</v>
      </c>
      <c r="W7" s="6"/>
      <c r="X7" s="6"/>
      <c r="Y7" s="6"/>
      <c r="Z7" s="6"/>
      <c r="AA7" s="5"/>
      <c r="AB7" s="6"/>
      <c r="AC7" s="6"/>
      <c r="AD7" s="6"/>
      <c r="AE7" s="6"/>
      <c r="AF7" s="6"/>
      <c r="AG7" s="6"/>
      <c r="AH7" s="3"/>
    </row>
    <row r="8" spans="1:34" x14ac:dyDescent="0.55000000000000004">
      <c r="B8" s="3" t="s">
        <v>1555</v>
      </c>
      <c r="C8" s="3" t="s">
        <v>159</v>
      </c>
      <c r="D8" s="116"/>
      <c r="E8" s="1" t="s">
        <v>464</v>
      </c>
      <c r="F8" s="1" t="s">
        <v>600</v>
      </c>
      <c r="G8" s="1" t="str">
        <f>VLOOKUP(Invoer_Ontwerp[[#This Row],[Product]],Database_Productkaarten[[#All],[Product]:[Eenheid]],4,FALSE)</f>
        <v>m2</v>
      </c>
      <c r="H8" s="5">
        <v>130</v>
      </c>
      <c r="I8" s="170" t="e">
        <v>#REF!</v>
      </c>
      <c r="J8" s="170" t="s">
        <v>531</v>
      </c>
      <c r="K8" s="170" t="s">
        <v>598</v>
      </c>
      <c r="L8" s="3">
        <f>Invoer_Ontwerp[[#This Row],[Lengte'[m']]]*Invoer_Ontwerp[[#This Row],[Breedte '[m']]]</f>
        <v>10</v>
      </c>
      <c r="M8" s="3">
        <v>3.0000000000000001E-3</v>
      </c>
      <c r="N8" s="3" t="e">
        <v>#REF!</v>
      </c>
      <c r="O8" s="3">
        <f t="shared" si="0"/>
        <v>0.03</v>
      </c>
      <c r="P8" s="3" t="e">
        <v>#REF!</v>
      </c>
      <c r="Q8" s="5">
        <v>12</v>
      </c>
      <c r="R8" s="5">
        <v>0</v>
      </c>
      <c r="S8" s="5"/>
      <c r="T8" s="5">
        <f>MAX(IFERROR(Invoer_Ontwerp[[#This Row],[Product levensduur '[jaar']]]/Invoer_Ontwerp[[#This Row],[Onderhoudscylus '[jaar']]]-1,0),0)</f>
        <v>0</v>
      </c>
      <c r="U8" s="5">
        <v>50</v>
      </c>
      <c r="V8" s="6" t="s">
        <v>67</v>
      </c>
      <c r="W8" s="6"/>
      <c r="X8" s="6"/>
      <c r="Y8" s="6"/>
      <c r="Z8" s="6"/>
      <c r="AA8" s="5"/>
      <c r="AB8" s="6"/>
      <c r="AC8" s="6"/>
      <c r="AD8" s="6"/>
      <c r="AE8" s="6"/>
      <c r="AF8" s="6"/>
      <c r="AG8" s="6"/>
      <c r="AH8" s="3"/>
    </row>
    <row r="9" spans="1:34" x14ac:dyDescent="0.55000000000000004">
      <c r="B9" s="3" t="s">
        <v>1555</v>
      </c>
      <c r="C9" s="3" t="s">
        <v>159</v>
      </c>
      <c r="D9" s="116"/>
      <c r="E9" s="1" t="s">
        <v>464</v>
      </c>
      <c r="F9" s="1" t="s">
        <v>139</v>
      </c>
      <c r="G9" s="1" t="str">
        <f>VLOOKUP(Invoer_Ontwerp[[#This Row],[Product]],Database_Productkaarten[[#All],[Product]:[Eenheid]],4,FALSE)</f>
        <v>Ton</v>
      </c>
      <c r="H9" s="5">
        <v>95</v>
      </c>
      <c r="I9" s="170" t="e">
        <v>#REF!</v>
      </c>
      <c r="J9" s="170" t="s">
        <v>531</v>
      </c>
      <c r="K9" s="170" t="s">
        <v>532</v>
      </c>
      <c r="L9" s="3"/>
      <c r="M9" s="3"/>
      <c r="N9" s="3" t="e">
        <v>#REF!</v>
      </c>
      <c r="O9" s="3">
        <f>L9*M9</f>
        <v>0</v>
      </c>
      <c r="P9" s="3" t="e">
        <v>#REF!</v>
      </c>
      <c r="Q9" s="5">
        <v>100</v>
      </c>
      <c r="R9" s="5">
        <v>0</v>
      </c>
      <c r="S9" s="5"/>
      <c r="T9" s="5">
        <f>MAX(IFERROR(Invoer_Ontwerp[[#This Row],[Product levensduur '[jaar']]]/Invoer_Ontwerp[[#This Row],[Onderhoudscylus '[jaar']]]-1,0),0)</f>
        <v>0</v>
      </c>
      <c r="U9" s="5">
        <v>50</v>
      </c>
      <c r="V9" s="6" t="s">
        <v>67</v>
      </c>
      <c r="W9" s="6"/>
      <c r="X9" s="6"/>
      <c r="Y9" s="6"/>
      <c r="Z9" s="6"/>
      <c r="AA9" s="5"/>
      <c r="AB9" s="6"/>
      <c r="AC9" s="6"/>
      <c r="AD9" s="6"/>
      <c r="AE9" s="6"/>
      <c r="AF9" s="6"/>
      <c r="AG9" s="6"/>
      <c r="AH9" s="3"/>
    </row>
    <row r="10" spans="1:34" x14ac:dyDescent="0.55000000000000004">
      <c r="B10" s="3" t="s">
        <v>1555</v>
      </c>
      <c r="C10" s="3" t="s">
        <v>159</v>
      </c>
      <c r="D10" s="116"/>
      <c r="E10" s="1" t="s">
        <v>464</v>
      </c>
      <c r="F10" s="1" t="s">
        <v>595</v>
      </c>
      <c r="G10" s="1" t="str">
        <f>VLOOKUP(Invoer_Ontwerp[[#This Row],[Product]],Database_Productkaarten[[#All],[Product]:[Eenheid]],4,FALSE)</f>
        <v>m1</v>
      </c>
      <c r="H10" s="5">
        <v>290</v>
      </c>
      <c r="I10" s="170" t="e">
        <v>#REF!</v>
      </c>
      <c r="J10" s="170" t="s">
        <v>531</v>
      </c>
      <c r="K10" s="170" t="s">
        <v>532</v>
      </c>
      <c r="L10" s="3"/>
      <c r="M10" s="3"/>
      <c r="N10" s="3" t="e">
        <v>#REF!</v>
      </c>
      <c r="O10" s="3">
        <v>200</v>
      </c>
      <c r="P10" s="3" t="e">
        <v>#REF!</v>
      </c>
      <c r="Q10" s="5">
        <v>100</v>
      </c>
      <c r="R10" s="5">
        <v>0</v>
      </c>
      <c r="S10" s="5"/>
      <c r="T10" s="5">
        <f>MAX(IFERROR(Invoer_Ontwerp[[#This Row],[Product levensduur '[jaar']]]/Invoer_Ontwerp[[#This Row],[Onderhoudscylus '[jaar']]]-1,0),0)</f>
        <v>0</v>
      </c>
      <c r="U10" s="5">
        <v>50</v>
      </c>
      <c r="V10" s="6" t="s">
        <v>67</v>
      </c>
      <c r="W10" s="6"/>
      <c r="X10" s="6"/>
      <c r="Y10" s="6"/>
      <c r="Z10" s="6"/>
      <c r="AA10" s="5"/>
      <c r="AB10" s="6"/>
      <c r="AC10" s="6"/>
      <c r="AD10" s="6"/>
      <c r="AE10" s="6"/>
      <c r="AF10" s="6"/>
      <c r="AG10" s="6"/>
      <c r="AH10" s="3"/>
    </row>
    <row r="11" spans="1:34" x14ac:dyDescent="0.55000000000000004">
      <c r="B11" s="3" t="s">
        <v>1555</v>
      </c>
      <c r="C11" s="3" t="s">
        <v>159</v>
      </c>
      <c r="D11" s="116"/>
      <c r="E11" s="1" t="s">
        <v>464</v>
      </c>
      <c r="F11" s="1" t="s">
        <v>595</v>
      </c>
      <c r="G11" s="1" t="str">
        <f>VLOOKUP(Invoer_Ontwerp[[#This Row],[Product]],Database_Productkaarten[[#All],[Product]:[Eenheid]],4,FALSE)</f>
        <v>m1</v>
      </c>
      <c r="H11" s="5">
        <v>35</v>
      </c>
      <c r="I11" s="170" t="e">
        <v>#REF!</v>
      </c>
      <c r="J11" s="170" t="s">
        <v>531</v>
      </c>
      <c r="K11" s="170" t="s">
        <v>533</v>
      </c>
      <c r="L11" s="3"/>
      <c r="M11" s="3"/>
      <c r="N11" s="3" t="e">
        <v>#REF!</v>
      </c>
      <c r="O11" s="3">
        <f t="shared" si="0"/>
        <v>0</v>
      </c>
      <c r="P11" s="3" t="e">
        <v>#REF!</v>
      </c>
      <c r="Q11" s="5">
        <v>50</v>
      </c>
      <c r="R11" s="5">
        <v>0</v>
      </c>
      <c r="S11" s="5"/>
      <c r="T11" s="5">
        <f>MAX(IFERROR(Invoer_Ontwerp[[#This Row],[Product levensduur '[jaar']]]/Invoer_Ontwerp[[#This Row],[Onderhoudscylus '[jaar']]]-1,0),0)</f>
        <v>0</v>
      </c>
      <c r="U11" s="5">
        <v>50</v>
      </c>
      <c r="V11" s="6" t="s">
        <v>67</v>
      </c>
      <c r="W11" s="6"/>
      <c r="X11" s="6"/>
      <c r="Y11" s="6"/>
      <c r="Z11" s="6"/>
      <c r="AA11" s="5"/>
      <c r="AB11" s="6"/>
      <c r="AC11" s="6"/>
      <c r="AD11" s="6"/>
      <c r="AE11" s="6"/>
      <c r="AF11" s="6"/>
      <c r="AG11" s="6"/>
      <c r="AH11" s="3"/>
    </row>
    <row r="12" spans="1:34" x14ac:dyDescent="0.55000000000000004">
      <c r="B12" s="3" t="s">
        <v>1555</v>
      </c>
      <c r="C12" s="3" t="s">
        <v>159</v>
      </c>
      <c r="D12" s="116"/>
      <c r="E12" s="1" t="s">
        <v>465</v>
      </c>
      <c r="F12" s="1" t="s">
        <v>139</v>
      </c>
      <c r="G12" s="1" t="str">
        <f>VLOOKUP(Invoer_Ontwerp[[#This Row],[Product]],Database_Productkaarten[[#All],[Product]:[Eenheid]],4,FALSE)</f>
        <v>Ton</v>
      </c>
      <c r="H12" s="5">
        <v>3</v>
      </c>
      <c r="I12" s="170" t="e">
        <v>#REF!</v>
      </c>
      <c r="J12" s="170" t="s">
        <v>531</v>
      </c>
      <c r="K12" s="170" t="s">
        <v>534</v>
      </c>
      <c r="L12" s="3"/>
      <c r="M12" s="3"/>
      <c r="N12" s="3" t="e">
        <v>#REF!</v>
      </c>
      <c r="O12" s="3">
        <f t="shared" si="0"/>
        <v>0</v>
      </c>
      <c r="P12" s="3" t="e">
        <v>#REF!</v>
      </c>
      <c r="Q12" s="5">
        <v>100</v>
      </c>
      <c r="R12" s="5">
        <v>0</v>
      </c>
      <c r="S12" s="5"/>
      <c r="T12" s="5">
        <f>MAX(IFERROR(Invoer_Ontwerp[[#This Row],[Product levensduur '[jaar']]]/Invoer_Ontwerp[[#This Row],[Onderhoudscylus '[jaar']]]-1,0),0)</f>
        <v>0</v>
      </c>
      <c r="U12" s="5">
        <v>50</v>
      </c>
      <c r="V12" s="6" t="s">
        <v>67</v>
      </c>
      <c r="W12" s="6"/>
      <c r="X12" s="6"/>
      <c r="Y12" s="6"/>
      <c r="Z12" s="6"/>
      <c r="AA12" s="5"/>
      <c r="AB12" s="6"/>
      <c r="AC12" s="6"/>
      <c r="AD12" s="6"/>
      <c r="AE12" s="6"/>
      <c r="AF12" s="6"/>
      <c r="AG12" s="6"/>
      <c r="AH12" s="3"/>
    </row>
    <row r="13" spans="1:34" x14ac:dyDescent="0.55000000000000004">
      <c r="B13" s="3" t="s">
        <v>1555</v>
      </c>
      <c r="C13" s="3" t="s">
        <v>160</v>
      </c>
      <c r="D13" s="116"/>
      <c r="E13" s="1" t="s">
        <v>136</v>
      </c>
      <c r="F13" s="1" t="s">
        <v>135</v>
      </c>
      <c r="G13" s="1" t="str">
        <f>VLOOKUP(Invoer_Ontwerp[[#This Row],[Product]],Database_Productkaarten[[#All],[Product]:[Eenheid]],4,FALSE)</f>
        <v>Ton</v>
      </c>
      <c r="H13" s="5">
        <v>27</v>
      </c>
      <c r="I13" s="170" t="e">
        <v>#REF!</v>
      </c>
      <c r="J13" s="170" t="s">
        <v>531</v>
      </c>
      <c r="K13" s="170" t="s">
        <v>534</v>
      </c>
      <c r="L13" s="3">
        <v>50</v>
      </c>
      <c r="M13" s="3">
        <v>0.3</v>
      </c>
      <c r="N13" s="3" t="e">
        <v>#REF!</v>
      </c>
      <c r="O13" s="3">
        <f t="shared" si="0"/>
        <v>15</v>
      </c>
      <c r="P13" s="3">
        <f>Invoer_Ontwerp[[#This Row],[Hoeveelheid '[m3']]]*1.8</f>
        <v>27</v>
      </c>
      <c r="Q13" s="5">
        <v>100</v>
      </c>
      <c r="R13" s="5">
        <v>0</v>
      </c>
      <c r="S13" s="5"/>
      <c r="T13" s="5">
        <f>MAX(IFERROR(Invoer_Ontwerp[[#This Row],[Product levensduur '[jaar']]]/Invoer_Ontwerp[[#This Row],[Onderhoudscylus '[jaar']]]-1,0),0)</f>
        <v>0</v>
      </c>
      <c r="U13" s="5">
        <v>50</v>
      </c>
      <c r="V13" s="6" t="s">
        <v>67</v>
      </c>
      <c r="W13" s="6"/>
      <c r="X13" s="6"/>
      <c r="Y13" s="6"/>
      <c r="Z13" s="6"/>
      <c r="AA13" s="5"/>
      <c r="AB13" s="6"/>
      <c r="AC13" s="6"/>
      <c r="AD13" s="6"/>
      <c r="AE13" s="6"/>
      <c r="AF13" s="6"/>
      <c r="AG13" s="6"/>
      <c r="AH13" s="3"/>
    </row>
    <row r="14" spans="1:34" x14ac:dyDescent="0.55000000000000004">
      <c r="B14" s="3" t="s">
        <v>1555</v>
      </c>
      <c r="C14" s="3" t="s">
        <v>160</v>
      </c>
      <c r="D14" s="116"/>
      <c r="E14" s="1" t="s">
        <v>444</v>
      </c>
      <c r="F14" s="1" t="s">
        <v>1366</v>
      </c>
      <c r="G14" s="1" t="str">
        <f>VLOOKUP(Invoer_Ontwerp[[#This Row],[Product]],Database_Productkaarten[[#All],[Product]:[Eenheid]],4,FALSE)</f>
        <v>Ton</v>
      </c>
      <c r="H14" s="5">
        <v>59.25</v>
      </c>
      <c r="I14" s="170" t="e">
        <v>#REF!</v>
      </c>
      <c r="J14" s="170" t="s">
        <v>531</v>
      </c>
      <c r="K14" s="170" t="s">
        <v>533</v>
      </c>
      <c r="L14" s="3">
        <v>50</v>
      </c>
      <c r="M14" s="3">
        <v>0.5</v>
      </c>
      <c r="N14" s="3" t="e">
        <v>#REF!</v>
      </c>
      <c r="O14" s="3">
        <f t="shared" ref="O14" si="1">L14*M14</f>
        <v>25</v>
      </c>
      <c r="P14" s="3">
        <f>Invoer_Ontwerp[[#This Row],[Hoeveelheid '[m3']]]*2.37</f>
        <v>59.25</v>
      </c>
      <c r="Q14" s="5">
        <v>100</v>
      </c>
      <c r="R14" s="5">
        <v>0</v>
      </c>
      <c r="S14" s="5"/>
      <c r="T14" s="5">
        <f>MAX(IFERROR(Invoer_Ontwerp[[#This Row],[Product levensduur '[jaar']]]/Invoer_Ontwerp[[#This Row],[Onderhoudscylus '[jaar']]]-1,0),0)</f>
        <v>0</v>
      </c>
      <c r="U14" s="5">
        <v>50</v>
      </c>
      <c r="V14" s="6" t="s">
        <v>67</v>
      </c>
      <c r="W14" s="6"/>
      <c r="X14" s="6"/>
      <c r="Y14" s="6"/>
      <c r="Z14" s="6"/>
      <c r="AA14" s="5"/>
      <c r="AB14" s="6"/>
      <c r="AC14" s="6"/>
      <c r="AD14" s="6"/>
      <c r="AE14" s="6"/>
      <c r="AF14" s="6"/>
      <c r="AG14" s="6"/>
      <c r="AH14" s="3"/>
    </row>
    <row r="15" spans="1:34" x14ac:dyDescent="0.55000000000000004">
      <c r="B15" s="3" t="s">
        <v>1555</v>
      </c>
      <c r="C15" s="3" t="s">
        <v>160</v>
      </c>
      <c r="D15" s="116"/>
      <c r="E15" s="1" t="s">
        <v>444</v>
      </c>
      <c r="F15" s="1" t="s">
        <v>1366</v>
      </c>
      <c r="G15" s="1" t="str">
        <f>VLOOKUP(Invoer_Ontwerp[[#This Row],[Product]],Database_Productkaarten[[#All],[Product]:[Eenheid]],4,FALSE)</f>
        <v>Ton</v>
      </c>
      <c r="H15" s="3">
        <f>Invoer_Ontwerp[[#This Row],[Hoeveelheid '[m3']]]*2.37</f>
        <v>284.40000000000003</v>
      </c>
      <c r="I15" s="170" t="e">
        <v>#REF!</v>
      </c>
      <c r="J15" s="170" t="s">
        <v>531</v>
      </c>
      <c r="K15" s="170" t="s">
        <v>532</v>
      </c>
      <c r="L15" s="3">
        <v>240</v>
      </c>
      <c r="M15" s="3">
        <v>0.5</v>
      </c>
      <c r="N15" s="3" t="e">
        <v>#REF!</v>
      </c>
      <c r="O15" s="3">
        <f t="shared" ref="O15" si="2">L15*M15</f>
        <v>120</v>
      </c>
      <c r="P15" s="3">
        <f>Invoer_Ontwerp[[#This Row],[Hoeveelheid '[m3']]]*2.37</f>
        <v>284.40000000000003</v>
      </c>
      <c r="Q15" s="5">
        <v>45</v>
      </c>
      <c r="R15" s="5">
        <v>0</v>
      </c>
      <c r="S15" s="5"/>
      <c r="T15" s="5">
        <f>MAX(IFERROR(Invoer_Ontwerp[[#This Row],[Product levensduur '[jaar']]]/Invoer_Ontwerp[[#This Row],[Onderhoudscylus '[jaar']]]-1,0),0)</f>
        <v>0</v>
      </c>
      <c r="U15" s="5">
        <v>50</v>
      </c>
      <c r="V15" s="6" t="s">
        <v>67</v>
      </c>
      <c r="W15" s="6"/>
      <c r="X15" s="6"/>
      <c r="Y15" s="6"/>
      <c r="Z15" s="6"/>
      <c r="AA15" s="5"/>
      <c r="AB15" s="6"/>
      <c r="AC15" s="6"/>
      <c r="AD15" s="6"/>
      <c r="AE15" s="6"/>
      <c r="AF15" s="6"/>
      <c r="AG15" s="6"/>
      <c r="AH15" s="3"/>
    </row>
    <row r="16" spans="1:34" x14ac:dyDescent="0.55000000000000004">
      <c r="B16" s="3" t="s">
        <v>1555</v>
      </c>
      <c r="C16" s="3" t="s">
        <v>160</v>
      </c>
      <c r="D16" s="116"/>
      <c r="E16" s="1" t="s">
        <v>444</v>
      </c>
      <c r="F16" s="1" t="s">
        <v>1356</v>
      </c>
      <c r="G16" s="1" t="str">
        <f>VLOOKUP(Invoer_Ontwerp[[#This Row],[Product]],Database_Productkaarten[[#All],[Product]:[Eenheid]],4,FALSE)</f>
        <v>Ton</v>
      </c>
      <c r="H16" s="5">
        <v>1690.2375</v>
      </c>
      <c r="I16" s="170" t="e">
        <v>#REF!</v>
      </c>
      <c r="J16" s="170" t="s">
        <v>531</v>
      </c>
      <c r="K16" s="170" t="s">
        <v>532</v>
      </c>
      <c r="L16" s="3">
        <v>2055</v>
      </c>
      <c r="M16" s="3">
        <v>0.35</v>
      </c>
      <c r="N16" s="3" t="e">
        <f>VLOOKUP(Invoer_Ontwerp[[#This Row],[Product]],Database_Productkaarten[#All],12,FALSE)</f>
        <v>#N/A</v>
      </c>
      <c r="O16" s="3">
        <f>L16*M16</f>
        <v>719.25</v>
      </c>
      <c r="P16" s="3">
        <f>Invoer_Ontwerp[[#This Row],[Hoeveelheid '[m3']]]*2.35</f>
        <v>1690.2375</v>
      </c>
      <c r="Q16" s="5">
        <v>15</v>
      </c>
      <c r="R16" s="5">
        <v>0</v>
      </c>
      <c r="S16" s="5"/>
      <c r="T16" s="5">
        <f>MAX(IFERROR(Invoer_Ontwerp[[#This Row],[Product levensduur '[jaar']]]/Invoer_Ontwerp[[#This Row],[Onderhoudscylus '[jaar']]]-1,0),0)</f>
        <v>0</v>
      </c>
      <c r="U16" s="5">
        <v>50</v>
      </c>
      <c r="V16" s="6" t="s">
        <v>67</v>
      </c>
      <c r="W16" s="6"/>
      <c r="X16" s="6"/>
      <c r="Y16" s="6"/>
      <c r="Z16" s="6"/>
      <c r="AA16" s="5"/>
      <c r="AB16" s="6"/>
      <c r="AC16" s="6"/>
      <c r="AD16" s="6"/>
      <c r="AE16" s="6"/>
      <c r="AF16" s="6"/>
      <c r="AG16" s="6"/>
      <c r="AH16" s="3"/>
    </row>
    <row r="17" spans="2:44" x14ac:dyDescent="0.55000000000000004">
      <c r="B17" s="3" t="s">
        <v>1555</v>
      </c>
      <c r="C17" s="3" t="s">
        <v>160</v>
      </c>
      <c r="D17" s="116"/>
      <c r="E17" s="1" t="s">
        <v>464</v>
      </c>
      <c r="F17" s="1" t="s">
        <v>600</v>
      </c>
      <c r="G17" s="1" t="str">
        <f>VLOOKUP(Invoer_Ontwerp[[#This Row],[Product]],Database_Productkaarten[[#All],[Product]:[Eenheid]],4,FALSE)</f>
        <v>m2</v>
      </c>
      <c r="H17" s="5">
        <v>130</v>
      </c>
      <c r="I17" s="170" t="e">
        <v>#REF!</v>
      </c>
      <c r="J17" s="170" t="s">
        <v>531</v>
      </c>
      <c r="K17" s="170" t="s">
        <v>532</v>
      </c>
      <c r="L17" s="3">
        <v>1800</v>
      </c>
      <c r="M17" s="3">
        <v>0</v>
      </c>
      <c r="N17" s="5" t="e">
        <v>#REF!</v>
      </c>
      <c r="O17" s="3">
        <f t="shared" si="0"/>
        <v>0</v>
      </c>
      <c r="P17" s="3" t="e">
        <v>#REF!</v>
      </c>
      <c r="Q17" s="5">
        <v>15</v>
      </c>
      <c r="R17" s="5">
        <v>0</v>
      </c>
      <c r="S17" s="5"/>
      <c r="T17" s="5">
        <f>MAX(IFERROR(Invoer_Ontwerp[[#This Row],[Product levensduur '[jaar']]]/Invoer_Ontwerp[[#This Row],[Onderhoudscylus '[jaar']]]-1,0),0)</f>
        <v>0</v>
      </c>
      <c r="U17" s="5">
        <v>50</v>
      </c>
      <c r="V17" s="6" t="s">
        <v>67</v>
      </c>
      <c r="W17" s="6"/>
      <c r="X17" s="6"/>
      <c r="Y17" s="6"/>
      <c r="Z17" s="6"/>
      <c r="AA17" s="5"/>
      <c r="AB17" s="6"/>
      <c r="AC17" s="6"/>
      <c r="AD17" s="6"/>
      <c r="AE17" s="6"/>
      <c r="AF17" s="6"/>
      <c r="AG17" s="6"/>
      <c r="AH17" s="3"/>
      <c r="AQ17" s="239"/>
      <c r="AR17" s="238"/>
    </row>
    <row r="18" spans="2:44" x14ac:dyDescent="0.55000000000000004">
      <c r="B18" s="3" t="s">
        <v>1555</v>
      </c>
      <c r="C18" s="3" t="s">
        <v>160</v>
      </c>
      <c r="D18" s="116"/>
      <c r="E18" s="1" t="s">
        <v>464</v>
      </c>
      <c r="F18" s="1" t="s">
        <v>139</v>
      </c>
      <c r="G18" s="1" t="str">
        <f>VLOOKUP(Invoer_Ontwerp[[#This Row],[Product]],Database_Productkaarten[[#All],[Product]:[Eenheid]],4,FALSE)</f>
        <v>Ton</v>
      </c>
      <c r="H18" s="5">
        <v>95</v>
      </c>
      <c r="I18" s="170" t="e">
        <v>#REF!</v>
      </c>
      <c r="J18" s="170" t="s">
        <v>531</v>
      </c>
      <c r="K18" s="170" t="s">
        <v>598</v>
      </c>
      <c r="L18" s="3">
        <f>Invoer_Ontwerp[[#This Row],[Lengte'[m']]]*Invoer_Ontwerp[[#This Row],[Breedte '[m']]]</f>
        <v>10</v>
      </c>
      <c r="M18" s="3">
        <v>3.0000000000000001E-3</v>
      </c>
      <c r="N18" s="3" t="e">
        <v>#REF!</v>
      </c>
      <c r="O18" s="3">
        <f t="shared" si="0"/>
        <v>0.03</v>
      </c>
      <c r="P18" s="3" t="e">
        <v>#REF!</v>
      </c>
      <c r="Q18" s="5">
        <v>12</v>
      </c>
      <c r="R18" s="5">
        <v>0</v>
      </c>
      <c r="S18" s="5"/>
      <c r="T18" s="5">
        <f>MAX(IFERROR(Invoer_Ontwerp[[#This Row],[Product levensduur '[jaar']]]/Invoer_Ontwerp[[#This Row],[Onderhoudscylus '[jaar']]]-1,0),0)</f>
        <v>0</v>
      </c>
      <c r="U18" s="5">
        <v>50</v>
      </c>
      <c r="V18" s="6" t="s">
        <v>67</v>
      </c>
      <c r="W18" s="6"/>
      <c r="X18" s="6"/>
      <c r="Y18" s="6"/>
      <c r="Z18" s="6"/>
      <c r="AA18" s="5"/>
      <c r="AB18" s="6"/>
      <c r="AC18" s="6"/>
      <c r="AD18" s="6"/>
      <c r="AE18" s="6"/>
      <c r="AF18" s="6"/>
      <c r="AG18" s="6"/>
      <c r="AH18" s="3"/>
    </row>
    <row r="19" spans="2:44" x14ac:dyDescent="0.55000000000000004">
      <c r="B19" s="3" t="s">
        <v>1555</v>
      </c>
      <c r="C19" s="3" t="s">
        <v>160</v>
      </c>
      <c r="D19" s="116"/>
      <c r="E19" s="1" t="s">
        <v>464</v>
      </c>
      <c r="F19" s="1" t="s">
        <v>595</v>
      </c>
      <c r="G19" s="1" t="str">
        <f>VLOOKUP(Invoer_Ontwerp[[#This Row],[Product]],Database_Productkaarten[[#All],[Product]:[Eenheid]],4,FALSE)</f>
        <v>m1</v>
      </c>
      <c r="H19" s="5">
        <v>295</v>
      </c>
      <c r="I19" s="170" t="e">
        <v>#REF!</v>
      </c>
      <c r="J19" s="170" t="s">
        <v>531</v>
      </c>
      <c r="K19" s="170" t="s">
        <v>534</v>
      </c>
      <c r="L19" s="3">
        <f>Invoer_Ontwerp[[#This Row],[Lengte'[m']]]*Invoer_Ontwerp[[#This Row],[Breedte '[m']]]</f>
        <v>2250</v>
      </c>
      <c r="M19" s="3">
        <v>0.4</v>
      </c>
      <c r="N19" s="3" t="e">
        <v>#REF!</v>
      </c>
      <c r="O19" s="3">
        <f t="shared" si="0"/>
        <v>900</v>
      </c>
      <c r="P19" s="3" t="e">
        <v>#REF!</v>
      </c>
      <c r="Q19" s="5">
        <v>100</v>
      </c>
      <c r="R19" s="5">
        <v>0</v>
      </c>
      <c r="S19" s="5"/>
      <c r="T19" s="5">
        <f>MAX(IFERROR(Invoer_Ontwerp[[#This Row],[Product levensduur '[jaar']]]/Invoer_Ontwerp[[#This Row],[Onderhoudscylus '[jaar']]]-1,0),0)</f>
        <v>0</v>
      </c>
      <c r="U19" s="5">
        <v>50</v>
      </c>
      <c r="V19" s="6" t="s">
        <v>67</v>
      </c>
      <c r="W19" s="5"/>
      <c r="X19" s="5"/>
      <c r="Y19" s="5"/>
      <c r="Z19" s="5"/>
      <c r="AA19" s="5"/>
      <c r="AB19" s="5"/>
      <c r="AC19" s="5"/>
      <c r="AD19" s="5"/>
      <c r="AE19" s="5"/>
      <c r="AF19" s="5"/>
      <c r="AG19" s="5"/>
      <c r="AH19" s="3"/>
    </row>
    <row r="20" spans="2:44" x14ac:dyDescent="0.55000000000000004">
      <c r="B20" s="3" t="s">
        <v>1555</v>
      </c>
      <c r="C20" s="3" t="s">
        <v>160</v>
      </c>
      <c r="D20" s="116"/>
      <c r="E20" s="1" t="s">
        <v>464</v>
      </c>
      <c r="F20" s="1" t="s">
        <v>595</v>
      </c>
      <c r="G20" s="1" t="str">
        <f>VLOOKUP(Invoer_Ontwerp[[#This Row],[Product]],Database_Productkaarten[[#All],[Product]:[Eenheid]],4,FALSE)</f>
        <v>m1</v>
      </c>
      <c r="H20" s="5">
        <v>25</v>
      </c>
      <c r="I20" s="170" t="e">
        <v>#REF!</v>
      </c>
      <c r="J20" s="170" t="s">
        <v>531</v>
      </c>
      <c r="K20" s="170" t="s">
        <v>534</v>
      </c>
      <c r="L20" s="3">
        <f>Invoer_Ontwerp[[#This Row],[Lengte'[m']]]*Invoer_Ontwerp[[#This Row],[Breedte '[m']]]</f>
        <v>2250</v>
      </c>
      <c r="M20" s="3">
        <v>0.25</v>
      </c>
      <c r="N20" s="3" t="e">
        <v>#REF!</v>
      </c>
      <c r="O20" s="3">
        <f t="shared" si="0"/>
        <v>562.5</v>
      </c>
      <c r="P20" s="3" t="e">
        <v>#REF!</v>
      </c>
      <c r="Q20" s="5">
        <v>100</v>
      </c>
      <c r="R20" s="5">
        <v>0</v>
      </c>
      <c r="S20" s="5"/>
      <c r="T20" s="5">
        <f>MAX(IFERROR(Invoer_Ontwerp[[#This Row],[Product levensduur '[jaar']]]/Invoer_Ontwerp[[#This Row],[Onderhoudscylus '[jaar']]]-1,0),0)</f>
        <v>0</v>
      </c>
      <c r="U20" s="5">
        <v>50</v>
      </c>
      <c r="V20" s="6" t="s">
        <v>67</v>
      </c>
      <c r="W20" s="5"/>
      <c r="X20" s="5"/>
      <c r="Y20" s="5"/>
      <c r="Z20" s="5"/>
      <c r="AA20" s="5"/>
      <c r="AB20" s="5"/>
      <c r="AC20" s="5"/>
      <c r="AD20" s="5"/>
      <c r="AE20" s="5"/>
      <c r="AF20" s="5"/>
      <c r="AG20" s="5"/>
      <c r="AH20" s="3"/>
    </row>
    <row r="21" spans="2:44" x14ac:dyDescent="0.55000000000000004">
      <c r="B21" s="3" t="s">
        <v>1555</v>
      </c>
      <c r="C21" s="3" t="s">
        <v>160</v>
      </c>
      <c r="D21" s="116"/>
      <c r="E21" s="1" t="s">
        <v>465</v>
      </c>
      <c r="F21" s="1" t="s">
        <v>139</v>
      </c>
      <c r="G21" s="1" t="str">
        <f>VLOOKUP(Invoer_Ontwerp[[#This Row],[Product]],Database_Productkaarten[[#All],[Product]:[Eenheid]],4,FALSE)</f>
        <v>Ton</v>
      </c>
      <c r="H21" s="5">
        <v>3</v>
      </c>
      <c r="I21" s="170"/>
      <c r="J21" s="170"/>
      <c r="K21" s="170"/>
      <c r="L21" s="3"/>
      <c r="M21" s="3"/>
      <c r="N21" s="3"/>
      <c r="O21" s="3"/>
      <c r="P21" s="3"/>
      <c r="Q21" s="5"/>
      <c r="R21" s="5"/>
      <c r="S21" s="5"/>
      <c r="T21" s="5"/>
      <c r="U21" s="5"/>
      <c r="V21" s="6"/>
      <c r="W21" s="5"/>
      <c r="X21" s="5"/>
      <c r="Y21" s="5"/>
      <c r="Z21" s="5"/>
      <c r="AA21" s="5"/>
      <c r="AB21" s="5"/>
      <c r="AC21" s="5"/>
      <c r="AD21" s="5"/>
      <c r="AE21" s="5"/>
      <c r="AF21" s="5"/>
      <c r="AG21" s="5"/>
      <c r="AH21" s="3"/>
    </row>
    <row r="22" spans="2:44" x14ac:dyDescent="0.55000000000000004">
      <c r="B22" s="3" t="s">
        <v>1556</v>
      </c>
      <c r="C22" s="3" t="s">
        <v>159</v>
      </c>
      <c r="D22" s="116"/>
      <c r="E22" s="1" t="s">
        <v>444</v>
      </c>
      <c r="F22" s="1" t="s">
        <v>1357</v>
      </c>
      <c r="G22" s="1" t="str">
        <f>VLOOKUP(Invoer_Ontwerp[[#This Row],[Product]],Database_Productkaarten[[#All],[Product]:[Eenheid]],4,FALSE)</f>
        <v>Ton</v>
      </c>
      <c r="H22" s="5">
        <v>1690.2375</v>
      </c>
      <c r="I22" s="170"/>
      <c r="J22" s="170"/>
      <c r="K22" s="170"/>
      <c r="L22" s="3">
        <v>2055</v>
      </c>
      <c r="M22" s="3">
        <v>0.35</v>
      </c>
      <c r="N22" s="3" t="e">
        <f>VLOOKUP(Invoer_Ontwerp[[#This Row],[Product]],Database_Productkaarten[#All],12,FALSE)</f>
        <v>#N/A</v>
      </c>
      <c r="O22" s="3">
        <f>L22*M22</f>
        <v>719.25</v>
      </c>
      <c r="P22" s="3">
        <f>Invoer_Ontwerp[[#This Row],[Hoeveelheid '[m3']]]*2.35</f>
        <v>1690.2375</v>
      </c>
      <c r="Q22" s="5">
        <v>100</v>
      </c>
      <c r="R22" s="5">
        <v>0</v>
      </c>
      <c r="S22" s="5"/>
      <c r="T22" s="5"/>
      <c r="U22" s="5"/>
      <c r="V22" s="6"/>
      <c r="W22" s="5"/>
      <c r="X22" s="5"/>
      <c r="Y22" s="5"/>
      <c r="Z22" s="5"/>
      <c r="AA22" s="5"/>
      <c r="AB22" s="5"/>
      <c r="AC22" s="5"/>
      <c r="AD22" s="5"/>
      <c r="AE22" s="5"/>
      <c r="AF22" s="5"/>
      <c r="AG22" s="5"/>
      <c r="AH22" s="3"/>
    </row>
    <row r="23" spans="2:44" x14ac:dyDescent="0.55000000000000004">
      <c r="B23" s="3" t="s">
        <v>1556</v>
      </c>
      <c r="C23" s="3" t="s">
        <v>159</v>
      </c>
      <c r="D23" s="116"/>
      <c r="E23" s="1" t="s">
        <v>444</v>
      </c>
      <c r="F23" s="1" t="s">
        <v>1377</v>
      </c>
      <c r="G23" s="1" t="str">
        <f>VLOOKUP(Invoer_Ontwerp[[#This Row],[Product]],Database_Productkaarten[[#All],[Product]:[Eenheid]],4,FALSE)</f>
        <v>Ton</v>
      </c>
      <c r="H23" s="5">
        <v>189.60000000000002</v>
      </c>
      <c r="I23" s="170"/>
      <c r="J23" s="170"/>
      <c r="K23" s="170"/>
      <c r="L23" s="3">
        <v>160</v>
      </c>
      <c r="M23" s="3">
        <v>0.5</v>
      </c>
      <c r="N23" s="3" t="e">
        <v>#REF!</v>
      </c>
      <c r="O23" s="3">
        <f t="shared" ref="O23:O25" si="3">L23*M23</f>
        <v>80</v>
      </c>
      <c r="P23" s="3">
        <f>Invoer_Ontwerp[[#This Row],[Hoeveelheid '[m3']]]*2.37</f>
        <v>189.60000000000002</v>
      </c>
      <c r="Q23" s="5">
        <v>100</v>
      </c>
      <c r="R23" s="5">
        <v>0</v>
      </c>
      <c r="S23" s="5"/>
      <c r="T23" s="5"/>
      <c r="U23" s="5"/>
      <c r="V23" s="6"/>
      <c r="W23" s="5"/>
      <c r="X23" s="5"/>
      <c r="Y23" s="5"/>
      <c r="Z23" s="5"/>
      <c r="AA23" s="5"/>
      <c r="AB23" s="5"/>
      <c r="AC23" s="5"/>
      <c r="AD23" s="5"/>
      <c r="AE23" s="5"/>
      <c r="AF23" s="5"/>
      <c r="AG23" s="5"/>
      <c r="AH23" s="3"/>
    </row>
    <row r="24" spans="2:44" x14ac:dyDescent="0.55000000000000004">
      <c r="B24" s="3" t="s">
        <v>1556</v>
      </c>
      <c r="C24" s="3" t="s">
        <v>159</v>
      </c>
      <c r="D24" s="116"/>
      <c r="E24" s="1" t="s">
        <v>444</v>
      </c>
      <c r="F24" s="1" t="s">
        <v>1377</v>
      </c>
      <c r="G24" s="1" t="str">
        <f>VLOOKUP(Invoer_Ontwerp[[#This Row],[Product]],Database_Productkaarten[[#All],[Product]:[Eenheid]],4,FALSE)</f>
        <v>Ton</v>
      </c>
      <c r="H24" s="5">
        <v>59.25</v>
      </c>
      <c r="I24" s="170"/>
      <c r="J24" s="170"/>
      <c r="K24" s="170"/>
      <c r="L24" s="3">
        <v>50</v>
      </c>
      <c r="M24" s="3">
        <v>0.5</v>
      </c>
      <c r="N24" s="3" t="e">
        <v>#REF!</v>
      </c>
      <c r="O24" s="3">
        <f t="shared" si="3"/>
        <v>25</v>
      </c>
      <c r="P24" s="3">
        <f>Invoer_Ontwerp[[#This Row],[Hoeveelheid '[m3']]]*2.37</f>
        <v>59.25</v>
      </c>
      <c r="Q24" s="5">
        <v>100</v>
      </c>
      <c r="R24" s="5">
        <v>0</v>
      </c>
      <c r="S24" s="5"/>
      <c r="T24" s="5"/>
      <c r="U24" s="5"/>
      <c r="V24" s="6"/>
      <c r="W24" s="5"/>
      <c r="X24" s="5"/>
      <c r="Y24" s="5"/>
      <c r="Z24" s="5"/>
      <c r="AA24" s="5"/>
      <c r="AB24" s="5"/>
      <c r="AC24" s="5"/>
      <c r="AD24" s="5"/>
      <c r="AE24" s="5"/>
      <c r="AF24" s="5"/>
      <c r="AG24" s="5"/>
      <c r="AH24" s="3"/>
    </row>
    <row r="25" spans="2:44" x14ac:dyDescent="0.55000000000000004">
      <c r="B25" s="3" t="s">
        <v>1556</v>
      </c>
      <c r="C25" s="3" t="s">
        <v>159</v>
      </c>
      <c r="D25" s="116"/>
      <c r="E25" s="1" t="s">
        <v>464</v>
      </c>
      <c r="F25" s="1" t="s">
        <v>1272</v>
      </c>
      <c r="G25" s="1" t="str">
        <f>VLOOKUP(Invoer_Ontwerp[[#This Row],[Product]],Database_Productkaarten[[#All],[Product]:[Eenheid]],4,FALSE)</f>
        <v>m2</v>
      </c>
      <c r="H25" s="5">
        <v>130</v>
      </c>
      <c r="I25" s="170"/>
      <c r="J25" s="170"/>
      <c r="K25" s="170"/>
      <c r="L25" s="3">
        <f>Invoer_Ontwerp[[#This Row],[Lengte'[m']]]*Invoer_Ontwerp[[#This Row],[Breedte '[m']]]</f>
        <v>0</v>
      </c>
      <c r="M25" s="3">
        <v>3.0000000000000001E-3</v>
      </c>
      <c r="N25" s="3" t="e">
        <v>#REF!</v>
      </c>
      <c r="O25" s="3">
        <f t="shared" si="3"/>
        <v>0</v>
      </c>
      <c r="P25" s="3" t="e">
        <v>#REF!</v>
      </c>
      <c r="Q25" s="5">
        <v>12</v>
      </c>
      <c r="R25" s="5">
        <v>0</v>
      </c>
      <c r="S25" s="5"/>
      <c r="T25" s="5"/>
      <c r="U25" s="5"/>
      <c r="V25" s="6"/>
      <c r="W25" s="5"/>
      <c r="X25" s="5"/>
      <c r="Y25" s="5"/>
      <c r="Z25" s="5"/>
      <c r="AA25" s="5"/>
      <c r="AB25" s="5"/>
      <c r="AC25" s="5"/>
      <c r="AD25" s="5"/>
      <c r="AE25" s="5"/>
      <c r="AF25" s="5"/>
      <c r="AG25" s="5"/>
      <c r="AH25" s="3"/>
    </row>
    <row r="26" spans="2:44" x14ac:dyDescent="0.55000000000000004">
      <c r="B26" s="3" t="s">
        <v>1556</v>
      </c>
      <c r="C26" s="3" t="s">
        <v>159</v>
      </c>
      <c r="D26" s="116"/>
      <c r="E26" s="1" t="s">
        <v>464</v>
      </c>
      <c r="F26" s="1" t="s">
        <v>139</v>
      </c>
      <c r="G26" s="1" t="str">
        <f>VLOOKUP(Invoer_Ontwerp[[#This Row],[Product]],Database_Productkaarten[[#All],[Product]:[Eenheid]],4,FALSE)</f>
        <v>Ton</v>
      </c>
      <c r="H26" s="5">
        <v>95</v>
      </c>
      <c r="I26" s="170"/>
      <c r="J26" s="170"/>
      <c r="K26" s="170"/>
      <c r="L26" s="3"/>
      <c r="M26" s="3"/>
      <c r="N26" s="3" t="e">
        <v>#REF!</v>
      </c>
      <c r="O26" s="3">
        <f>L26*M26</f>
        <v>0</v>
      </c>
      <c r="P26" s="3" t="e">
        <v>#REF!</v>
      </c>
      <c r="Q26" s="5">
        <v>100</v>
      </c>
      <c r="R26" s="5">
        <v>0</v>
      </c>
      <c r="S26" s="5"/>
      <c r="T26" s="5"/>
      <c r="U26" s="5"/>
      <c r="V26" s="6"/>
      <c r="W26" s="5"/>
      <c r="X26" s="5"/>
      <c r="Y26" s="5"/>
      <c r="Z26" s="5"/>
      <c r="AA26" s="5"/>
      <c r="AB26" s="5"/>
      <c r="AC26" s="5"/>
      <c r="AD26" s="5"/>
      <c r="AE26" s="5"/>
      <c r="AF26" s="5"/>
      <c r="AG26" s="5"/>
      <c r="AH26" s="3"/>
    </row>
    <row r="27" spans="2:44" x14ac:dyDescent="0.55000000000000004">
      <c r="B27" s="3" t="s">
        <v>1556</v>
      </c>
      <c r="C27" s="3" t="s">
        <v>159</v>
      </c>
      <c r="D27" s="116"/>
      <c r="E27" s="1" t="s">
        <v>464</v>
      </c>
      <c r="F27" s="1" t="s">
        <v>1264</v>
      </c>
      <c r="G27" s="1" t="str">
        <f>VLOOKUP(Invoer_Ontwerp[[#This Row],[Product]],Database_Productkaarten[[#All],[Product]:[Eenheid]],4,FALSE)</f>
        <v>m1</v>
      </c>
      <c r="H27" s="5">
        <v>290</v>
      </c>
      <c r="I27" s="170"/>
      <c r="J27" s="170"/>
      <c r="K27" s="170"/>
      <c r="L27" s="3"/>
      <c r="M27" s="3"/>
      <c r="N27" s="3" t="e">
        <v>#REF!</v>
      </c>
      <c r="O27" s="3">
        <v>200</v>
      </c>
      <c r="P27" s="3" t="e">
        <v>#REF!</v>
      </c>
      <c r="Q27" s="5">
        <v>100</v>
      </c>
      <c r="R27" s="5">
        <v>0</v>
      </c>
      <c r="S27" s="5"/>
      <c r="T27" s="5"/>
      <c r="U27" s="5"/>
      <c r="V27" s="6"/>
      <c r="W27" s="5"/>
      <c r="X27" s="5"/>
      <c r="Y27" s="5"/>
      <c r="Z27" s="5"/>
      <c r="AA27" s="5"/>
      <c r="AB27" s="5"/>
      <c r="AC27" s="5"/>
      <c r="AD27" s="5"/>
      <c r="AE27" s="5"/>
      <c r="AF27" s="5"/>
      <c r="AG27" s="5"/>
      <c r="AH27" s="3"/>
    </row>
    <row r="28" spans="2:44" x14ac:dyDescent="0.55000000000000004">
      <c r="B28" s="3" t="s">
        <v>1556</v>
      </c>
      <c r="C28" s="3" t="s">
        <v>159</v>
      </c>
      <c r="D28" s="116"/>
      <c r="E28" s="1" t="s">
        <v>464</v>
      </c>
      <c r="F28" s="1" t="s">
        <v>1264</v>
      </c>
      <c r="G28" s="1" t="str">
        <f>VLOOKUP(Invoer_Ontwerp[[#This Row],[Product]],Database_Productkaarten[[#All],[Product]:[Eenheid]],4,FALSE)</f>
        <v>m1</v>
      </c>
      <c r="H28" s="5">
        <v>35</v>
      </c>
      <c r="I28" s="170"/>
      <c r="J28" s="170"/>
      <c r="K28" s="170"/>
      <c r="L28" s="3"/>
      <c r="M28" s="3"/>
      <c r="N28" s="3" t="e">
        <v>#REF!</v>
      </c>
      <c r="O28" s="3">
        <f t="shared" ref="O28:O32" si="4">L28*M28</f>
        <v>0</v>
      </c>
      <c r="P28" s="3" t="e">
        <v>#REF!</v>
      </c>
      <c r="Q28" s="5">
        <v>50</v>
      </c>
      <c r="R28" s="5">
        <v>0</v>
      </c>
      <c r="S28" s="5"/>
      <c r="T28" s="5"/>
      <c r="U28" s="5"/>
      <c r="V28" s="6"/>
      <c r="W28" s="5"/>
      <c r="X28" s="5"/>
      <c r="Y28" s="5"/>
      <c r="Z28" s="5"/>
      <c r="AA28" s="5"/>
      <c r="AB28" s="5"/>
      <c r="AC28" s="5"/>
      <c r="AD28" s="5"/>
      <c r="AE28" s="5"/>
      <c r="AF28" s="5"/>
      <c r="AG28" s="5"/>
      <c r="AH28" s="3"/>
    </row>
    <row r="29" spans="2:44" x14ac:dyDescent="0.55000000000000004">
      <c r="B29" s="3" t="s">
        <v>1556</v>
      </c>
      <c r="C29" s="3" t="s">
        <v>159</v>
      </c>
      <c r="D29" s="116"/>
      <c r="E29" s="1" t="s">
        <v>465</v>
      </c>
      <c r="F29" s="1" t="s">
        <v>139</v>
      </c>
      <c r="G29" s="1" t="str">
        <f>VLOOKUP(Invoer_Ontwerp[[#This Row],[Product]],Database_Productkaarten[[#All],[Product]:[Eenheid]],4,FALSE)</f>
        <v>Ton</v>
      </c>
      <c r="H29" s="5">
        <v>3</v>
      </c>
      <c r="I29" s="170"/>
      <c r="J29" s="170"/>
      <c r="K29" s="170"/>
      <c r="L29" s="3"/>
      <c r="M29" s="3"/>
      <c r="N29" s="3" t="e">
        <v>#REF!</v>
      </c>
      <c r="O29" s="3">
        <f t="shared" si="4"/>
        <v>0</v>
      </c>
      <c r="P29" s="3" t="e">
        <v>#REF!</v>
      </c>
      <c r="Q29" s="5">
        <v>100</v>
      </c>
      <c r="R29" s="5">
        <v>0</v>
      </c>
      <c r="S29" s="5"/>
      <c r="T29" s="5"/>
      <c r="U29" s="5"/>
      <c r="V29" s="5"/>
      <c r="W29" s="5"/>
      <c r="X29" s="5"/>
      <c r="Y29" s="5"/>
      <c r="Z29" s="5"/>
      <c r="AA29" s="5"/>
      <c r="AB29" s="5"/>
      <c r="AC29" s="5"/>
      <c r="AD29" s="5"/>
      <c r="AE29" s="5"/>
      <c r="AF29" s="5"/>
      <c r="AG29" s="5"/>
      <c r="AH29" s="3"/>
    </row>
    <row r="30" spans="2:44" x14ac:dyDescent="0.55000000000000004">
      <c r="B30" s="3" t="s">
        <v>1556</v>
      </c>
      <c r="C30" s="3" t="s">
        <v>160</v>
      </c>
      <c r="D30" s="116"/>
      <c r="E30" s="1" t="s">
        <v>136</v>
      </c>
      <c r="F30" s="1" t="s">
        <v>135</v>
      </c>
      <c r="G30" s="1" t="str">
        <f>VLOOKUP(Invoer_Ontwerp[[#This Row],[Product]],Database_Productkaarten[[#All],[Product]:[Eenheid]],4,FALSE)</f>
        <v>Ton</v>
      </c>
      <c r="H30" s="5">
        <v>27</v>
      </c>
      <c r="I30" s="170"/>
      <c r="J30" s="170"/>
      <c r="K30" s="170"/>
      <c r="L30" s="3">
        <v>50</v>
      </c>
      <c r="M30" s="3">
        <v>0.3</v>
      </c>
      <c r="N30" s="3" t="e">
        <v>#REF!</v>
      </c>
      <c r="O30" s="3">
        <f t="shared" si="4"/>
        <v>15</v>
      </c>
      <c r="P30" s="3">
        <f>Invoer_Ontwerp[[#This Row],[Hoeveelheid '[m3']]]*1.8</f>
        <v>27</v>
      </c>
      <c r="Q30" s="5">
        <v>100</v>
      </c>
      <c r="R30" s="5">
        <v>0</v>
      </c>
      <c r="S30" s="5"/>
      <c r="T30" s="5"/>
      <c r="U30" s="5"/>
      <c r="V30" s="6"/>
      <c r="W30" s="5"/>
      <c r="X30" s="5"/>
      <c r="Y30" s="5"/>
      <c r="Z30" s="5"/>
      <c r="AA30" s="5"/>
      <c r="AB30" s="5"/>
      <c r="AC30" s="5"/>
      <c r="AD30" s="5"/>
      <c r="AE30" s="5"/>
      <c r="AF30" s="5"/>
      <c r="AG30" s="5"/>
      <c r="AH30" s="3"/>
    </row>
    <row r="31" spans="2:44" x14ac:dyDescent="0.55000000000000004">
      <c r="B31" s="3" t="s">
        <v>1556</v>
      </c>
      <c r="C31" s="3" t="s">
        <v>160</v>
      </c>
      <c r="D31" s="116"/>
      <c r="E31" s="1" t="s">
        <v>444</v>
      </c>
      <c r="F31" s="1" t="s">
        <v>1366</v>
      </c>
      <c r="G31" s="1" t="str">
        <f>VLOOKUP(Invoer_Ontwerp[[#This Row],[Product]],Database_Productkaarten[[#All],[Product]:[Eenheid]],4,FALSE)</f>
        <v>Ton</v>
      </c>
      <c r="H31" s="5">
        <v>59.25</v>
      </c>
      <c r="I31" s="170"/>
      <c r="J31" s="170"/>
      <c r="K31" s="170"/>
      <c r="L31" s="3">
        <v>50</v>
      </c>
      <c r="M31" s="3">
        <v>0.5</v>
      </c>
      <c r="N31" s="3" t="e">
        <v>#REF!</v>
      </c>
      <c r="O31" s="3">
        <f t="shared" si="4"/>
        <v>25</v>
      </c>
      <c r="P31" s="3">
        <f>Invoer_Ontwerp[[#This Row],[Hoeveelheid '[m3']]]*2.37</f>
        <v>59.25</v>
      </c>
      <c r="Q31" s="5">
        <v>100</v>
      </c>
      <c r="R31" s="5">
        <v>0</v>
      </c>
      <c r="S31" s="5"/>
      <c r="T31" s="5"/>
      <c r="U31" s="5"/>
      <c r="V31" s="6"/>
      <c r="W31" s="5"/>
      <c r="X31" s="5"/>
      <c r="Y31" s="5"/>
      <c r="Z31" s="5"/>
      <c r="AA31" s="5"/>
      <c r="AB31" s="5"/>
      <c r="AC31" s="5"/>
      <c r="AD31" s="5"/>
      <c r="AE31" s="5"/>
      <c r="AF31" s="5"/>
      <c r="AG31" s="5"/>
      <c r="AH31" s="3"/>
    </row>
    <row r="32" spans="2:44" x14ac:dyDescent="0.55000000000000004">
      <c r="B32" s="3" t="s">
        <v>1556</v>
      </c>
      <c r="C32" s="3" t="s">
        <v>160</v>
      </c>
      <c r="D32" s="116"/>
      <c r="E32" s="1" t="s">
        <v>444</v>
      </c>
      <c r="F32" s="1" t="s">
        <v>1366</v>
      </c>
      <c r="G32" s="1" t="str">
        <f>VLOOKUP(Invoer_Ontwerp[[#This Row],[Product]],Database_Productkaarten[[#All],[Product]:[Eenheid]],4,FALSE)</f>
        <v>Ton</v>
      </c>
      <c r="H32" s="3">
        <f>Invoer_Ontwerp[[#This Row],[Hoeveelheid '[m3']]]*2.37</f>
        <v>284.40000000000003</v>
      </c>
      <c r="I32" s="170"/>
      <c r="J32" s="170"/>
      <c r="K32" s="170"/>
      <c r="L32" s="3">
        <v>240</v>
      </c>
      <c r="M32" s="3">
        <v>0.5</v>
      </c>
      <c r="N32" s="3" t="e">
        <v>#REF!</v>
      </c>
      <c r="O32" s="3">
        <f t="shared" si="4"/>
        <v>120</v>
      </c>
      <c r="P32" s="3">
        <f>Invoer_Ontwerp[[#This Row],[Hoeveelheid '[m3']]]*2.37</f>
        <v>284.40000000000003</v>
      </c>
      <c r="Q32" s="5">
        <v>45</v>
      </c>
      <c r="R32" s="5">
        <v>0</v>
      </c>
      <c r="S32" s="5"/>
      <c r="T32" s="5"/>
      <c r="U32" s="5"/>
      <c r="V32" s="6"/>
      <c r="W32" s="5"/>
      <c r="X32" s="5"/>
      <c r="Y32" s="5"/>
      <c r="Z32" s="5"/>
      <c r="AA32" s="5"/>
      <c r="AB32" s="5"/>
      <c r="AC32" s="5"/>
      <c r="AD32" s="5"/>
      <c r="AE32" s="5"/>
      <c r="AF32" s="5"/>
      <c r="AG32" s="5"/>
      <c r="AH32" s="3"/>
    </row>
    <row r="33" spans="2:34" x14ac:dyDescent="0.55000000000000004">
      <c r="B33" s="3" t="s">
        <v>1556</v>
      </c>
      <c r="C33" s="3" t="s">
        <v>160</v>
      </c>
      <c r="D33" s="116"/>
      <c r="E33" s="1" t="s">
        <v>444</v>
      </c>
      <c r="F33" s="1" t="s">
        <v>1356</v>
      </c>
      <c r="G33" s="1" t="str">
        <f>VLOOKUP(Invoer_Ontwerp[[#This Row],[Product]],Database_Productkaarten[[#All],[Product]:[Eenheid]],4,FALSE)</f>
        <v>Ton</v>
      </c>
      <c r="H33" s="5">
        <v>1690.2375</v>
      </c>
      <c r="I33" s="170"/>
      <c r="J33" s="170"/>
      <c r="K33" s="170"/>
      <c r="L33" s="3">
        <v>2055</v>
      </c>
      <c r="M33" s="3">
        <v>0.35</v>
      </c>
      <c r="N33" s="3" t="e">
        <f>VLOOKUP(Invoer_Ontwerp[[#This Row],[Product]],Database_Productkaarten[#All],12,FALSE)</f>
        <v>#N/A</v>
      </c>
      <c r="O33" s="3">
        <f>L33*M33</f>
        <v>719.25</v>
      </c>
      <c r="P33" s="3">
        <f>Invoer_Ontwerp[[#This Row],[Hoeveelheid '[m3']]]*2.35</f>
        <v>1690.2375</v>
      </c>
      <c r="Q33" s="5">
        <v>15</v>
      </c>
      <c r="R33" s="5">
        <v>0</v>
      </c>
      <c r="S33" s="5"/>
      <c r="T33" s="5"/>
      <c r="U33" s="5"/>
      <c r="V33" s="6"/>
      <c r="W33" s="5"/>
      <c r="X33" s="5"/>
      <c r="Y33" s="5"/>
      <c r="Z33" s="5"/>
      <c r="AA33" s="5"/>
      <c r="AB33" s="5"/>
      <c r="AC33" s="5"/>
      <c r="AD33" s="5"/>
      <c r="AE33" s="5"/>
      <c r="AF33" s="5"/>
      <c r="AG33" s="5"/>
      <c r="AH33" s="3"/>
    </row>
    <row r="34" spans="2:34" x14ac:dyDescent="0.55000000000000004">
      <c r="B34" s="3" t="s">
        <v>1556</v>
      </c>
      <c r="C34" s="3" t="s">
        <v>160</v>
      </c>
      <c r="D34" s="116"/>
      <c r="E34" s="1" t="s">
        <v>464</v>
      </c>
      <c r="F34" s="1" t="s">
        <v>1272</v>
      </c>
      <c r="G34" s="1" t="str">
        <f>VLOOKUP(Invoer_Ontwerp[[#This Row],[Product]],Database_Productkaarten[[#All],[Product]:[Eenheid]],4,FALSE)</f>
        <v>m2</v>
      </c>
      <c r="H34" s="5">
        <v>130</v>
      </c>
      <c r="I34" s="170"/>
      <c r="J34" s="170"/>
      <c r="K34" s="170"/>
      <c r="L34" s="3">
        <v>1800</v>
      </c>
      <c r="M34" s="3">
        <v>0</v>
      </c>
      <c r="N34" s="5" t="e">
        <v>#REF!</v>
      </c>
      <c r="O34" s="3">
        <f t="shared" ref="O34:O37" si="5">L34*M34</f>
        <v>0</v>
      </c>
      <c r="P34" s="3" t="e">
        <v>#REF!</v>
      </c>
      <c r="Q34" s="5">
        <v>15</v>
      </c>
      <c r="R34" s="5">
        <v>0</v>
      </c>
      <c r="S34" s="5"/>
      <c r="T34" s="5"/>
      <c r="U34" s="5"/>
      <c r="V34" s="5"/>
      <c r="W34" s="5"/>
      <c r="X34" s="5"/>
      <c r="Y34" s="5"/>
      <c r="Z34" s="5"/>
      <c r="AA34" s="5"/>
      <c r="AB34" s="5"/>
      <c r="AC34" s="5"/>
      <c r="AD34" s="5"/>
      <c r="AE34" s="5"/>
      <c r="AF34" s="5"/>
      <c r="AG34" s="5"/>
      <c r="AH34" s="3"/>
    </row>
    <row r="35" spans="2:34" x14ac:dyDescent="0.55000000000000004">
      <c r="B35" s="3" t="s">
        <v>1556</v>
      </c>
      <c r="C35" s="3" t="s">
        <v>160</v>
      </c>
      <c r="D35" s="116"/>
      <c r="E35" s="1" t="s">
        <v>464</v>
      </c>
      <c r="F35" s="1" t="s">
        <v>139</v>
      </c>
      <c r="G35" s="1" t="str">
        <f>VLOOKUP(Invoer_Ontwerp[[#This Row],[Product]],Database_Productkaarten[[#All],[Product]:[Eenheid]],4,FALSE)</f>
        <v>Ton</v>
      </c>
      <c r="H35" s="5">
        <v>95</v>
      </c>
      <c r="I35" s="170"/>
      <c r="J35" s="170"/>
      <c r="K35" s="170"/>
      <c r="L35" s="3">
        <f>Invoer_Ontwerp[[#This Row],[Lengte'[m']]]*Invoer_Ontwerp[[#This Row],[Breedte '[m']]]</f>
        <v>0</v>
      </c>
      <c r="M35" s="3">
        <v>3.0000000000000001E-3</v>
      </c>
      <c r="N35" s="3" t="e">
        <v>#REF!</v>
      </c>
      <c r="O35" s="3">
        <f t="shared" si="5"/>
        <v>0</v>
      </c>
      <c r="P35" s="3" t="e">
        <v>#REF!</v>
      </c>
      <c r="Q35" s="5">
        <v>12</v>
      </c>
      <c r="R35" s="5">
        <v>0</v>
      </c>
      <c r="S35" s="5"/>
      <c r="T35" s="5"/>
      <c r="U35" s="5"/>
      <c r="V35" s="5"/>
      <c r="W35" s="5"/>
      <c r="X35" s="5"/>
      <c r="Y35" s="5"/>
      <c r="Z35" s="5"/>
      <c r="AA35" s="5"/>
      <c r="AB35" s="5"/>
      <c r="AC35" s="5"/>
      <c r="AD35" s="5"/>
      <c r="AE35" s="5"/>
      <c r="AF35" s="5"/>
      <c r="AG35" s="5"/>
      <c r="AH35" s="3"/>
    </row>
    <row r="36" spans="2:34" x14ac:dyDescent="0.55000000000000004">
      <c r="B36" s="3" t="s">
        <v>1556</v>
      </c>
      <c r="C36" s="3" t="s">
        <v>160</v>
      </c>
      <c r="D36" s="116"/>
      <c r="E36" s="1" t="s">
        <v>464</v>
      </c>
      <c r="F36" s="1" t="s">
        <v>1264</v>
      </c>
      <c r="G36" s="1" t="str">
        <f>VLOOKUP(Invoer_Ontwerp[[#This Row],[Product]],Database_Productkaarten[[#All],[Product]:[Eenheid]],4,FALSE)</f>
        <v>m1</v>
      </c>
      <c r="H36" s="5">
        <v>295</v>
      </c>
      <c r="I36" s="170"/>
      <c r="J36" s="170"/>
      <c r="K36" s="170"/>
      <c r="L36" s="3">
        <f>Invoer_Ontwerp[[#This Row],[Lengte'[m']]]*Invoer_Ontwerp[[#This Row],[Breedte '[m']]]</f>
        <v>0</v>
      </c>
      <c r="M36" s="3">
        <v>0.4</v>
      </c>
      <c r="N36" s="3" t="e">
        <v>#REF!</v>
      </c>
      <c r="O36" s="3">
        <f t="shared" si="5"/>
        <v>0</v>
      </c>
      <c r="P36" s="3" t="e">
        <v>#REF!</v>
      </c>
      <c r="Q36" s="5">
        <v>100</v>
      </c>
      <c r="R36" s="5">
        <v>0</v>
      </c>
      <c r="S36" s="5"/>
      <c r="T36" s="5"/>
      <c r="U36" s="5"/>
      <c r="V36" s="5"/>
      <c r="W36" s="5"/>
      <c r="X36" s="5"/>
      <c r="Y36" s="5"/>
      <c r="Z36" s="5"/>
      <c r="AA36" s="5"/>
      <c r="AB36" s="5"/>
      <c r="AC36" s="5"/>
      <c r="AD36" s="5"/>
      <c r="AE36" s="5"/>
      <c r="AF36" s="5"/>
      <c r="AG36" s="5"/>
      <c r="AH36" s="3"/>
    </row>
    <row r="37" spans="2:34" x14ac:dyDescent="0.55000000000000004">
      <c r="B37" s="3" t="s">
        <v>1556</v>
      </c>
      <c r="C37" s="3" t="s">
        <v>160</v>
      </c>
      <c r="D37" s="116"/>
      <c r="E37" s="1" t="s">
        <v>464</v>
      </c>
      <c r="F37" s="1" t="s">
        <v>1264</v>
      </c>
      <c r="G37" s="1" t="str">
        <f>VLOOKUP(Invoer_Ontwerp[[#This Row],[Product]],Database_Productkaarten[[#All],[Product]:[Eenheid]],4,FALSE)</f>
        <v>m1</v>
      </c>
      <c r="H37" s="5">
        <v>25</v>
      </c>
      <c r="I37" s="170"/>
      <c r="J37" s="170"/>
      <c r="K37" s="170"/>
      <c r="L37" s="3">
        <f>Invoer_Ontwerp[[#This Row],[Lengte'[m']]]*Invoer_Ontwerp[[#This Row],[Breedte '[m']]]</f>
        <v>0</v>
      </c>
      <c r="M37" s="3">
        <v>0.25</v>
      </c>
      <c r="N37" s="3" t="e">
        <v>#REF!</v>
      </c>
      <c r="O37" s="3">
        <f t="shared" si="5"/>
        <v>0</v>
      </c>
      <c r="P37" s="3" t="e">
        <v>#REF!</v>
      </c>
      <c r="Q37" s="5">
        <v>100</v>
      </c>
      <c r="R37" s="5">
        <v>0</v>
      </c>
      <c r="S37" s="5"/>
      <c r="T37" s="5"/>
      <c r="U37" s="5"/>
      <c r="V37" s="5"/>
      <c r="W37" s="5"/>
      <c r="X37" s="5"/>
      <c r="Y37" s="5"/>
      <c r="Z37" s="5"/>
      <c r="AA37" s="5"/>
      <c r="AB37" s="5"/>
      <c r="AC37" s="5"/>
      <c r="AD37" s="5"/>
      <c r="AE37" s="5"/>
      <c r="AF37" s="5"/>
      <c r="AG37" s="5"/>
      <c r="AH37" s="3"/>
    </row>
    <row r="38" spans="2:34" x14ac:dyDescent="0.55000000000000004">
      <c r="B38" s="3" t="s">
        <v>1556</v>
      </c>
      <c r="C38" s="3" t="s">
        <v>160</v>
      </c>
      <c r="D38" s="116"/>
      <c r="E38" s="1" t="s">
        <v>465</v>
      </c>
      <c r="F38" s="1" t="s">
        <v>139</v>
      </c>
      <c r="G38" s="1" t="str">
        <f>VLOOKUP(Invoer_Ontwerp[[#This Row],[Product]],Database_Productkaarten[[#All],[Product]:[Eenheid]],4,FALSE)</f>
        <v>Ton</v>
      </c>
      <c r="H38" s="5">
        <v>3</v>
      </c>
      <c r="I38" s="170"/>
      <c r="J38" s="170"/>
      <c r="K38" s="170"/>
      <c r="L38" s="3"/>
      <c r="M38" s="3"/>
      <c r="N38" s="3"/>
      <c r="O38" s="3"/>
      <c r="P38" s="3"/>
      <c r="Q38" s="5"/>
      <c r="R38" s="5"/>
      <c r="S38" s="5"/>
      <c r="T38" s="5"/>
      <c r="U38" s="5"/>
      <c r="V38" s="5"/>
      <c r="W38" s="5"/>
      <c r="X38" s="5"/>
      <c r="Y38" s="5"/>
      <c r="Z38" s="5"/>
      <c r="AA38" s="5"/>
      <c r="AB38" s="5"/>
      <c r="AC38" s="5"/>
      <c r="AD38" s="5"/>
      <c r="AE38" s="5"/>
      <c r="AF38" s="5"/>
      <c r="AG38" s="5"/>
      <c r="AH38" s="3"/>
    </row>
    <row r="39" spans="2:34" x14ac:dyDescent="0.55000000000000004">
      <c r="B39" s="3"/>
      <c r="C39" s="3"/>
      <c r="D39" s="116"/>
      <c r="E39" s="1"/>
      <c r="F39" s="1"/>
      <c r="G39" s="1" t="e">
        <f>VLOOKUP(Invoer_Ontwerp[[#This Row],[Product]],Database_Productkaarten[[#All],[Product]:[Eenheid]],4,FALSE)</f>
        <v>#N/A</v>
      </c>
      <c r="H39" s="5"/>
      <c r="I39" s="170"/>
      <c r="J39" s="170"/>
      <c r="K39" s="170"/>
      <c r="L39" s="3"/>
      <c r="M39" s="3"/>
      <c r="N39" s="3"/>
      <c r="O39" s="3"/>
      <c r="P39" s="3"/>
      <c r="Q39" s="5"/>
      <c r="R39" s="5"/>
      <c r="S39" s="5"/>
      <c r="T39" s="5"/>
      <c r="U39" s="5"/>
      <c r="V39" s="5"/>
      <c r="W39" s="5"/>
      <c r="X39" s="5"/>
      <c r="Y39" s="5"/>
      <c r="Z39" s="5"/>
      <c r="AA39" s="5"/>
      <c r="AB39" s="5"/>
      <c r="AC39" s="5"/>
      <c r="AD39" s="5"/>
      <c r="AE39" s="5"/>
      <c r="AF39" s="5"/>
      <c r="AG39" s="5"/>
      <c r="AH39" s="3"/>
    </row>
    <row r="40" spans="2:34" x14ac:dyDescent="0.55000000000000004">
      <c r="B40" s="3"/>
      <c r="C40" s="3"/>
      <c r="D40" s="116"/>
      <c r="E40" s="1"/>
      <c r="F40" s="1"/>
      <c r="G40" s="1" t="e">
        <f>VLOOKUP(Invoer_Ontwerp[[#This Row],[Product]],Database_Productkaarten[[#All],[Product]:[Eenheid]],4,FALSE)</f>
        <v>#N/A</v>
      </c>
      <c r="H40" s="5"/>
      <c r="I40" s="170"/>
      <c r="J40" s="170"/>
      <c r="K40" s="170"/>
      <c r="L40" s="3"/>
      <c r="M40" s="3"/>
      <c r="N40" s="3"/>
      <c r="O40" s="3"/>
      <c r="P40" s="3"/>
      <c r="Q40" s="5"/>
      <c r="R40" s="5"/>
      <c r="S40" s="5"/>
      <c r="T40" s="5"/>
      <c r="U40" s="5"/>
      <c r="V40" s="5"/>
      <c r="W40" s="5"/>
      <c r="X40" s="5"/>
      <c r="Y40" s="5"/>
      <c r="Z40" s="5"/>
      <c r="AA40" s="5"/>
      <c r="AB40" s="5"/>
      <c r="AC40" s="5"/>
      <c r="AD40" s="5"/>
      <c r="AE40" s="5"/>
      <c r="AF40" s="5"/>
      <c r="AG40" s="5"/>
      <c r="AH40" s="3"/>
    </row>
    <row r="41" spans="2:34" x14ac:dyDescent="0.55000000000000004">
      <c r="B41" s="3"/>
      <c r="C41" s="3"/>
      <c r="D41" s="116"/>
      <c r="E41" s="1"/>
      <c r="F41" s="1"/>
      <c r="G41" s="1" t="e">
        <f>VLOOKUP(Invoer_Ontwerp[[#This Row],[Product]],Database_Productkaarten[[#All],[Product]:[Eenheid]],4,FALSE)</f>
        <v>#N/A</v>
      </c>
      <c r="H41" s="5"/>
      <c r="I41" s="170"/>
      <c r="J41" s="170"/>
      <c r="K41" s="170"/>
      <c r="L41" s="3"/>
      <c r="M41" s="3"/>
      <c r="N41" s="3"/>
      <c r="O41" s="3"/>
      <c r="P41" s="3"/>
      <c r="Q41" s="5"/>
      <c r="R41" s="5"/>
      <c r="S41" s="5"/>
      <c r="T41" s="5"/>
      <c r="U41" s="5"/>
      <c r="V41" s="5"/>
      <c r="W41" s="5"/>
      <c r="X41" s="5"/>
      <c r="Y41" s="5"/>
      <c r="Z41" s="5"/>
      <c r="AA41" s="5"/>
      <c r="AB41" s="5"/>
      <c r="AC41" s="5"/>
      <c r="AD41" s="5"/>
      <c r="AE41" s="5"/>
      <c r="AF41" s="5"/>
      <c r="AG41" s="5"/>
      <c r="AH41" s="3"/>
    </row>
    <row r="42" spans="2:34" x14ac:dyDescent="0.55000000000000004">
      <c r="B42" s="124"/>
      <c r="C42" s="124"/>
      <c r="D42" s="125"/>
      <c r="G42" s="124"/>
      <c r="H42" s="124"/>
      <c r="I42" s="124"/>
      <c r="J42" s="124"/>
      <c r="K42" s="124"/>
      <c r="L42" s="124"/>
      <c r="M42" s="124"/>
      <c r="N42" s="126"/>
      <c r="O42" s="124"/>
      <c r="V42" s="17"/>
    </row>
    <row r="43" spans="2:34" x14ac:dyDescent="0.55000000000000004">
      <c r="V43" s="17"/>
    </row>
    <row r="44" spans="2:34" x14ac:dyDescent="0.55000000000000004">
      <c r="V44" s="17"/>
    </row>
    <row r="45" spans="2:34" x14ac:dyDescent="0.55000000000000004">
      <c r="V45" s="17"/>
    </row>
    <row r="46" spans="2:34" x14ac:dyDescent="0.55000000000000004">
      <c r="V46" s="17"/>
    </row>
    <row r="47" spans="2:34" x14ac:dyDescent="0.55000000000000004">
      <c r="V47" s="17"/>
    </row>
    <row r="48" spans="2:34" x14ac:dyDescent="0.55000000000000004">
      <c r="V48" s="17"/>
    </row>
    <row r="49" spans="22:22" x14ac:dyDescent="0.55000000000000004">
      <c r="V49" s="17"/>
    </row>
    <row r="50" spans="22:22" x14ac:dyDescent="0.55000000000000004">
      <c r="V50" s="17"/>
    </row>
    <row r="51" spans="22:22" x14ac:dyDescent="0.55000000000000004">
      <c r="V51" s="17"/>
    </row>
    <row r="52" spans="22:22" x14ac:dyDescent="0.55000000000000004">
      <c r="V52" s="17"/>
    </row>
    <row r="53" spans="22:22" x14ac:dyDescent="0.55000000000000004">
      <c r="V53" s="17"/>
    </row>
    <row r="54" spans="22:22" x14ac:dyDescent="0.55000000000000004">
      <c r="V54" s="17"/>
    </row>
    <row r="55" spans="22:22" x14ac:dyDescent="0.55000000000000004">
      <c r="V55" s="17"/>
    </row>
    <row r="56" spans="22:22" x14ac:dyDescent="0.55000000000000004">
      <c r="V56" s="17"/>
    </row>
    <row r="57" spans="22:22" x14ac:dyDescent="0.55000000000000004">
      <c r="V57" s="17"/>
    </row>
    <row r="58" spans="22:22" x14ac:dyDescent="0.55000000000000004">
      <c r="V58" s="17"/>
    </row>
    <row r="59" spans="22:22" x14ac:dyDescent="0.55000000000000004">
      <c r="V59" s="17"/>
    </row>
    <row r="60" spans="22:22" x14ac:dyDescent="0.55000000000000004">
      <c r="V60" s="17"/>
    </row>
    <row r="61" spans="22:22" x14ac:dyDescent="0.55000000000000004">
      <c r="V61" s="17"/>
    </row>
    <row r="62" spans="22:22" x14ac:dyDescent="0.55000000000000004">
      <c r="V62" s="17"/>
    </row>
    <row r="63" spans="22:22" x14ac:dyDescent="0.55000000000000004">
      <c r="V63" s="17"/>
    </row>
    <row r="64" spans="22:22" x14ac:dyDescent="0.55000000000000004">
      <c r="V64" s="17"/>
    </row>
    <row r="65" spans="4:22" ht="22" x14ac:dyDescent="0.65">
      <c r="E65" s="374"/>
      <c r="F65" s="374"/>
      <c r="G65" s="374"/>
      <c r="H65" s="225"/>
      <c r="I65" s="225"/>
      <c r="J65" s="164"/>
      <c r="V65" s="17"/>
    </row>
    <row r="66" spans="4:22" ht="22" x14ac:dyDescent="0.55000000000000004">
      <c r="E66" s="226"/>
      <c r="F66" s="226"/>
      <c r="G66" s="226"/>
      <c r="H66" s="200"/>
      <c r="I66" s="200"/>
      <c r="J66" s="164"/>
      <c r="V66" s="17"/>
    </row>
    <row r="67" spans="4:22" ht="22.5" thickBot="1" x14ac:dyDescent="0.7">
      <c r="D67" s="134" t="s">
        <v>356</v>
      </c>
      <c r="E67" s="224"/>
      <c r="F67" s="224"/>
      <c r="G67" s="164"/>
      <c r="H67" s="164"/>
      <c r="I67" s="164"/>
      <c r="J67" s="164"/>
      <c r="V67" s="17"/>
    </row>
    <row r="68" spans="4:22" ht="22.5" thickBot="1" x14ac:dyDescent="0.6">
      <c r="D68" s="205">
        <f>SUM(Referentie_CO2_Totaal[[#Totals],[A1]:[D2]])/1000</f>
        <v>508.87252103278212</v>
      </c>
      <c r="E68" s="227"/>
      <c r="F68" s="227"/>
      <c r="G68" s="164"/>
      <c r="H68" s="164"/>
      <c r="I68" s="164"/>
      <c r="J68" s="164"/>
      <c r="V68" s="17"/>
    </row>
    <row r="69" spans="4:22" x14ac:dyDescent="0.55000000000000004">
      <c r="E69" s="164"/>
      <c r="F69" s="164"/>
      <c r="G69" s="164"/>
      <c r="H69" s="164"/>
      <c r="I69" s="164"/>
      <c r="J69" s="164"/>
      <c r="V69" s="17"/>
    </row>
    <row r="70" spans="4:22" ht="22" x14ac:dyDescent="0.65">
      <c r="D70" s="134" t="s">
        <v>342</v>
      </c>
      <c r="E70" s="224"/>
      <c r="F70" s="224"/>
      <c r="G70" s="164"/>
      <c r="H70" s="164"/>
      <c r="I70" s="164"/>
      <c r="J70" s="164"/>
      <c r="V70" s="17"/>
    </row>
    <row r="71" spans="4:22" ht="22" x14ac:dyDescent="0.65">
      <c r="D71" s="134"/>
      <c r="E71" s="224"/>
      <c r="F71" s="224"/>
      <c r="G71" s="164"/>
      <c r="H71" s="164"/>
      <c r="I71" s="164"/>
      <c r="J71" s="164"/>
      <c r="V71" s="17"/>
    </row>
    <row r="72" spans="4:22" ht="22" x14ac:dyDescent="0.65">
      <c r="D72" s="134"/>
      <c r="E72" s="224"/>
      <c r="F72" s="224"/>
      <c r="G72" s="164"/>
      <c r="H72" s="164"/>
      <c r="I72" s="164"/>
      <c r="J72" s="164"/>
      <c r="V72" s="17"/>
    </row>
    <row r="73" spans="4:22" ht="22" x14ac:dyDescent="0.65">
      <c r="D73" s="134"/>
      <c r="E73" s="224"/>
      <c r="F73" s="224"/>
      <c r="G73" s="164"/>
      <c r="H73" s="164"/>
      <c r="I73" s="164"/>
      <c r="J73" s="164"/>
      <c r="V73" s="17"/>
    </row>
    <row r="74" spans="4:22" ht="22" x14ac:dyDescent="0.65">
      <c r="D74" s="134"/>
      <c r="E74" s="224"/>
      <c r="F74" s="224"/>
      <c r="G74" s="164"/>
      <c r="H74" s="164"/>
      <c r="I74" s="164"/>
      <c r="J74" s="164"/>
      <c r="V74" s="17"/>
    </row>
    <row r="75" spans="4:22" ht="22" x14ac:dyDescent="0.65">
      <c r="D75" s="134"/>
      <c r="E75" s="224"/>
      <c r="F75" s="224"/>
      <c r="G75" s="164"/>
      <c r="H75" s="164"/>
      <c r="I75" s="164"/>
      <c r="J75" s="164"/>
      <c r="V75" s="17"/>
    </row>
    <row r="76" spans="4:22" ht="22.5" thickBot="1" x14ac:dyDescent="0.7">
      <c r="D76" s="134"/>
      <c r="E76" s="224"/>
      <c r="F76" s="224"/>
      <c r="G76" s="164"/>
      <c r="H76" s="164"/>
      <c r="I76" s="164"/>
      <c r="J76" s="164"/>
      <c r="V76" s="17"/>
    </row>
    <row r="77" spans="4:22" ht="22.5" thickBot="1" x14ac:dyDescent="0.6">
      <c r="D77" s="205">
        <f>Referentie_Materiaal_Totaal[[#Totals],[Primair materiaalverbruik '[ton']]]+Referentie_Materiaal_Totaal[[#Totals],[Primair materiaalverbruik Vervangingen '[ton']]]</f>
        <v>11649.979499999999</v>
      </c>
      <c r="E77" s="227"/>
      <c r="F77" s="227"/>
      <c r="G77" s="223"/>
      <c r="H77" s="223"/>
      <c r="I77" s="223"/>
      <c r="J77" s="164"/>
      <c r="V77" s="17"/>
    </row>
    <row r="78" spans="4:22" ht="22.5" thickBot="1" x14ac:dyDescent="0.6">
      <c r="D78" s="205">
        <f>Referentie_Materiaal_Totaal[[#Totals],[Secundair materiaalverbruik '[ton']]]+Referentie_Materiaal_Totaal[[#Totals],[Secundair materiaalverbruik Vervangingen '[ton']]]</f>
        <v>33234.281999999999</v>
      </c>
      <c r="E78" s="227"/>
      <c r="F78" s="227"/>
      <c r="G78" s="223"/>
      <c r="H78" s="223"/>
      <c r="I78" s="223"/>
      <c r="J78" s="164"/>
      <c r="V78" s="17"/>
    </row>
    <row r="79" spans="4:22" ht="22.5" thickBot="1" x14ac:dyDescent="0.6">
      <c r="D79" s="202">
        <f>D77+D78</f>
        <v>44884.261500000001</v>
      </c>
      <c r="E79" s="222"/>
      <c r="F79" s="222"/>
      <c r="G79" s="223"/>
      <c r="H79" s="223"/>
      <c r="I79" s="223"/>
      <c r="J79" s="164"/>
      <c r="V79" s="17"/>
    </row>
    <row r="80" spans="4:22" x14ac:dyDescent="0.55000000000000004">
      <c r="E80" s="164"/>
      <c r="F80" s="164"/>
      <c r="G80" s="164"/>
      <c r="H80" s="164"/>
      <c r="I80" s="164"/>
      <c r="J80" s="164"/>
      <c r="V80" s="17"/>
    </row>
    <row r="81" spans="1:22" x14ac:dyDescent="0.55000000000000004">
      <c r="E81" s="164"/>
      <c r="F81" s="164"/>
      <c r="G81" s="164"/>
      <c r="H81" s="164"/>
      <c r="I81" s="164"/>
      <c r="J81" s="164"/>
      <c r="V81" s="17"/>
    </row>
    <row r="82" spans="1:22" x14ac:dyDescent="0.55000000000000004">
      <c r="V82" s="17"/>
    </row>
    <row r="83" spans="1:22" x14ac:dyDescent="0.55000000000000004">
      <c r="V83" s="17"/>
    </row>
    <row r="84" spans="1:22" x14ac:dyDescent="0.55000000000000004">
      <c r="V84" s="17"/>
    </row>
    <row r="85" spans="1:22" ht="22.5" thickBot="1" x14ac:dyDescent="0.7">
      <c r="D85" s="134" t="s">
        <v>357</v>
      </c>
      <c r="E85" s="134"/>
      <c r="F85" s="134"/>
      <c r="V85" s="17"/>
    </row>
    <row r="86" spans="1:22" ht="22.5" thickBot="1" x14ac:dyDescent="0.7">
      <c r="D86" s="206">
        <f>SUM(Referentie_Hernieuwbare_Energie_Totaal[[#Totals],[A1]:[D2]])/1000</f>
        <v>110.83316985100723</v>
      </c>
      <c r="E86" s="207"/>
      <c r="F86" s="208"/>
      <c r="G86" s="71" t="s">
        <v>340</v>
      </c>
      <c r="H86" s="71"/>
      <c r="I86" s="71"/>
      <c r="V86" s="17"/>
    </row>
    <row r="87" spans="1:22" ht="22.5" thickBot="1" x14ac:dyDescent="0.7">
      <c r="D87" s="206">
        <f>SUM(Referentie_Fossiele_Energie_Totaal[[#Totals],[A1]:[D2]])/1000</f>
        <v>8440.2166287997443</v>
      </c>
      <c r="E87" s="207"/>
      <c r="F87" s="208"/>
      <c r="G87" s="71" t="s">
        <v>341</v>
      </c>
      <c r="H87" s="71"/>
      <c r="I87" s="71"/>
      <c r="V87" s="17"/>
    </row>
    <row r="88" spans="1:22" ht="22.5" thickBot="1" x14ac:dyDescent="0.6">
      <c r="D88" s="202">
        <f>D86+D87</f>
        <v>8551.0497986507507</v>
      </c>
      <c r="E88" s="203"/>
      <c r="F88" s="204"/>
      <c r="G88" s="71" t="s">
        <v>317</v>
      </c>
      <c r="H88" s="71"/>
      <c r="I88" s="71"/>
      <c r="V88" s="17"/>
    </row>
    <row r="89" spans="1:22" ht="22" x14ac:dyDescent="0.55000000000000004">
      <c r="D89" s="222"/>
      <c r="E89" s="222"/>
      <c r="F89" s="222"/>
      <c r="G89" s="71"/>
      <c r="H89" s="71"/>
      <c r="I89" s="71"/>
      <c r="V89" s="17"/>
    </row>
    <row r="90" spans="1:22" ht="22" x14ac:dyDescent="0.55000000000000004">
      <c r="D90" s="222"/>
      <c r="E90" s="222"/>
      <c r="F90" s="222"/>
      <c r="G90" s="71"/>
      <c r="H90" s="71"/>
      <c r="I90" s="71"/>
      <c r="V90" s="17"/>
    </row>
    <row r="91" spans="1:22" ht="22" x14ac:dyDescent="0.55000000000000004">
      <c r="D91" s="222"/>
      <c r="E91" s="222"/>
      <c r="F91" s="222"/>
      <c r="G91" s="71"/>
      <c r="H91" s="71"/>
      <c r="I91" s="71"/>
      <c r="V91" s="17"/>
    </row>
    <row r="92" spans="1:22" ht="22" x14ac:dyDescent="0.55000000000000004">
      <c r="C92" s="164"/>
      <c r="D92" s="222"/>
      <c r="E92" s="222"/>
      <c r="F92" s="222"/>
      <c r="G92" s="223"/>
      <c r="H92" s="223"/>
      <c r="I92" s="223"/>
      <c r="V92" s="17"/>
    </row>
    <row r="93" spans="1:22" ht="22" x14ac:dyDescent="0.55000000000000004">
      <c r="C93" s="164"/>
      <c r="D93" s="123"/>
      <c r="E93" s="123"/>
      <c r="F93" s="123"/>
      <c r="G93" s="223"/>
      <c r="H93" s="223"/>
      <c r="I93" s="223"/>
      <c r="V93" s="17"/>
    </row>
    <row r="94" spans="1:22" ht="22" x14ac:dyDescent="0.65">
      <c r="A94" s="18"/>
      <c r="B94" s="18"/>
      <c r="C94" s="164"/>
      <c r="D94" s="224"/>
      <c r="E94" s="224"/>
      <c r="F94" s="224"/>
      <c r="G94" s="166"/>
      <c r="H94" s="166"/>
      <c r="I94" s="166"/>
      <c r="V94" s="17"/>
    </row>
    <row r="95" spans="1:22" ht="22" x14ac:dyDescent="0.55000000000000004">
      <c r="A95" s="18"/>
      <c r="B95" s="18"/>
      <c r="C95" s="164"/>
      <c r="D95" s="222"/>
      <c r="E95" s="222"/>
      <c r="F95" s="222"/>
      <c r="G95" s="223"/>
      <c r="H95" s="223"/>
      <c r="I95" s="223"/>
      <c r="V95" s="17"/>
    </row>
    <row r="96" spans="1:22" ht="22" x14ac:dyDescent="0.55000000000000004">
      <c r="A96" s="18"/>
      <c r="B96" s="18"/>
      <c r="C96" s="164"/>
      <c r="D96" s="222"/>
      <c r="E96" s="222"/>
      <c r="F96" s="222"/>
      <c r="G96" s="223"/>
      <c r="H96" s="223"/>
      <c r="I96" s="223"/>
      <c r="V96" s="17"/>
    </row>
    <row r="97" spans="1:22" ht="22" x14ac:dyDescent="0.55000000000000004">
      <c r="A97" s="18"/>
      <c r="B97" s="18"/>
      <c r="C97" s="164"/>
      <c r="D97" s="123"/>
      <c r="E97" s="123"/>
      <c r="F97" s="123"/>
      <c r="G97" s="166"/>
      <c r="H97" s="166"/>
      <c r="I97" s="166"/>
      <c r="V97" s="17"/>
    </row>
    <row r="98" spans="1:22" ht="22" x14ac:dyDescent="0.55000000000000004">
      <c r="A98" s="18"/>
      <c r="B98" s="18"/>
      <c r="C98" s="164"/>
      <c r="D98" s="123"/>
      <c r="E98" s="123"/>
      <c r="F98" s="123"/>
      <c r="G98" s="166"/>
      <c r="H98" s="166"/>
      <c r="I98" s="166"/>
      <c r="V98" s="17"/>
    </row>
    <row r="99" spans="1:22" ht="22" x14ac:dyDescent="0.55000000000000004">
      <c r="A99" s="18"/>
      <c r="B99" s="18"/>
      <c r="C99" s="164"/>
      <c r="D99" s="123"/>
      <c r="E99" s="123"/>
      <c r="F99" s="123"/>
      <c r="G99" s="166"/>
      <c r="H99" s="166"/>
      <c r="I99" s="166"/>
      <c r="V99" s="17"/>
    </row>
    <row r="100" spans="1:22" ht="22" x14ac:dyDescent="0.55000000000000004">
      <c r="A100" s="18"/>
      <c r="B100" s="18"/>
      <c r="C100" s="164"/>
      <c r="D100" s="123"/>
      <c r="E100" s="123"/>
      <c r="F100" s="123"/>
      <c r="G100" s="166"/>
      <c r="H100" s="166"/>
      <c r="I100" s="166"/>
      <c r="V100" s="17"/>
    </row>
    <row r="101" spans="1:22" ht="22" x14ac:dyDescent="0.55000000000000004">
      <c r="A101" s="18"/>
      <c r="B101" s="18"/>
      <c r="C101" s="164"/>
      <c r="D101" s="123"/>
      <c r="E101" s="123"/>
      <c r="F101" s="123"/>
      <c r="G101" s="166"/>
      <c r="H101" s="166"/>
      <c r="I101" s="166"/>
      <c r="V101" s="17"/>
    </row>
    <row r="102" spans="1:22" ht="22" x14ac:dyDescent="0.65">
      <c r="A102" s="18"/>
      <c r="B102" s="18"/>
      <c r="C102" s="164"/>
      <c r="D102" s="224"/>
      <c r="E102" s="224"/>
      <c r="F102" s="224"/>
      <c r="G102" s="166"/>
      <c r="H102" s="166"/>
      <c r="I102" s="166"/>
      <c r="V102" s="17"/>
    </row>
    <row r="103" spans="1:22" ht="22" x14ac:dyDescent="0.55000000000000004">
      <c r="A103" s="18"/>
      <c r="B103" s="18"/>
      <c r="C103" s="164"/>
      <c r="D103" s="222"/>
      <c r="E103" s="222"/>
      <c r="F103" s="222"/>
      <c r="G103" s="223"/>
      <c r="H103" s="223"/>
      <c r="I103" s="223"/>
      <c r="V103" s="17"/>
    </row>
    <row r="104" spans="1:22" ht="22" x14ac:dyDescent="0.55000000000000004">
      <c r="A104" s="18"/>
      <c r="B104" s="18"/>
      <c r="C104" s="164"/>
      <c r="D104" s="222"/>
      <c r="E104" s="222"/>
      <c r="F104" s="222"/>
      <c r="G104" s="223"/>
      <c r="H104" s="223"/>
      <c r="I104" s="223"/>
      <c r="V104" s="17"/>
    </row>
    <row r="105" spans="1:22" ht="22" x14ac:dyDescent="0.55000000000000004">
      <c r="A105" s="18"/>
      <c r="B105" s="18"/>
      <c r="C105" s="123"/>
      <c r="D105" s="123"/>
      <c r="E105" s="123"/>
      <c r="F105" s="223"/>
      <c r="G105" s="164"/>
      <c r="H105" s="164"/>
      <c r="I105" s="164"/>
      <c r="V105" s="17"/>
    </row>
    <row r="106" spans="1:22" x14ac:dyDescent="0.55000000000000004">
      <c r="V106" s="17"/>
    </row>
    <row r="107" spans="1:22" x14ac:dyDescent="0.55000000000000004">
      <c r="V107" s="17"/>
    </row>
    <row r="108" spans="1:22" x14ac:dyDescent="0.55000000000000004">
      <c r="V108" s="17"/>
    </row>
    <row r="109" spans="1:22" x14ac:dyDescent="0.55000000000000004">
      <c r="V109" s="17"/>
    </row>
    <row r="110" spans="1:22" x14ac:dyDescent="0.55000000000000004">
      <c r="V110" s="17"/>
    </row>
    <row r="111" spans="1:22" x14ac:dyDescent="0.55000000000000004">
      <c r="V111" s="17"/>
    </row>
    <row r="112" spans="1:22" x14ac:dyDescent="0.55000000000000004">
      <c r="V112" s="17"/>
    </row>
    <row r="113" spans="22:22" x14ac:dyDescent="0.55000000000000004">
      <c r="V113" s="17"/>
    </row>
    <row r="114" spans="22:22" x14ac:dyDescent="0.55000000000000004">
      <c r="V114" s="17"/>
    </row>
    <row r="115" spans="22:22" x14ac:dyDescent="0.55000000000000004">
      <c r="V115" s="17"/>
    </row>
    <row r="116" spans="22:22" x14ac:dyDescent="0.55000000000000004">
      <c r="V116" s="17"/>
    </row>
    <row r="117" spans="22:22" x14ac:dyDescent="0.55000000000000004">
      <c r="V117" s="17"/>
    </row>
    <row r="118" spans="22:22" x14ac:dyDescent="0.55000000000000004">
      <c r="V118" s="17"/>
    </row>
    <row r="119" spans="22:22" x14ac:dyDescent="0.55000000000000004">
      <c r="V119" s="17"/>
    </row>
    <row r="120" spans="22:22" x14ac:dyDescent="0.55000000000000004">
      <c r="V120" s="17"/>
    </row>
    <row r="121" spans="22:22" x14ac:dyDescent="0.55000000000000004">
      <c r="V121" s="17"/>
    </row>
    <row r="122" spans="22:22" x14ac:dyDescent="0.55000000000000004">
      <c r="V122" s="17"/>
    </row>
    <row r="123" spans="22:22" x14ac:dyDescent="0.55000000000000004">
      <c r="V123" s="17"/>
    </row>
    <row r="124" spans="22:22" x14ac:dyDescent="0.55000000000000004">
      <c r="V124" s="17"/>
    </row>
    <row r="125" spans="22:22" x14ac:dyDescent="0.55000000000000004">
      <c r="V125" s="17"/>
    </row>
    <row r="126" spans="22:22" x14ac:dyDescent="0.55000000000000004">
      <c r="V126" s="17"/>
    </row>
    <row r="127" spans="22:22" x14ac:dyDescent="0.55000000000000004">
      <c r="V127" s="17"/>
    </row>
    <row r="128" spans="22:22" x14ac:dyDescent="0.55000000000000004">
      <c r="V128" s="17"/>
    </row>
    <row r="129" spans="22:22" x14ac:dyDescent="0.55000000000000004">
      <c r="V129" s="17"/>
    </row>
    <row r="130" spans="22:22" x14ac:dyDescent="0.55000000000000004">
      <c r="V130" s="17"/>
    </row>
    <row r="131" spans="22:22" x14ac:dyDescent="0.55000000000000004">
      <c r="V131" s="17"/>
    </row>
    <row r="132" spans="22:22" x14ac:dyDescent="0.55000000000000004">
      <c r="V132" s="17"/>
    </row>
    <row r="133" spans="22:22" x14ac:dyDescent="0.55000000000000004">
      <c r="V133" s="17"/>
    </row>
    <row r="134" spans="22:22" x14ac:dyDescent="0.55000000000000004">
      <c r="V134" s="17"/>
    </row>
    <row r="135" spans="22:22" x14ac:dyDescent="0.55000000000000004">
      <c r="V135" s="17"/>
    </row>
    <row r="136" spans="22:22" x14ac:dyDescent="0.55000000000000004">
      <c r="V136" s="17"/>
    </row>
    <row r="137" spans="22:22" x14ac:dyDescent="0.55000000000000004">
      <c r="V137" s="17"/>
    </row>
    <row r="138" spans="22:22" x14ac:dyDescent="0.55000000000000004">
      <c r="V138" s="17"/>
    </row>
    <row r="139" spans="22:22" x14ac:dyDescent="0.55000000000000004">
      <c r="V139" s="17"/>
    </row>
    <row r="140" spans="22:22" x14ac:dyDescent="0.55000000000000004">
      <c r="V140" s="17"/>
    </row>
    <row r="141" spans="22:22" x14ac:dyDescent="0.55000000000000004">
      <c r="V141" s="17"/>
    </row>
    <row r="142" spans="22:22" x14ac:dyDescent="0.55000000000000004">
      <c r="V142" s="17"/>
    </row>
    <row r="143" spans="22:22" x14ac:dyDescent="0.55000000000000004">
      <c r="V143" s="17"/>
    </row>
    <row r="144" spans="22:22" x14ac:dyDescent="0.55000000000000004">
      <c r="V144" s="17"/>
    </row>
    <row r="145" spans="22:22" x14ac:dyDescent="0.55000000000000004">
      <c r="V145" s="17"/>
    </row>
    <row r="146" spans="22:22" x14ac:dyDescent="0.55000000000000004">
      <c r="V146" s="17"/>
    </row>
    <row r="147" spans="22:22" x14ac:dyDescent="0.55000000000000004">
      <c r="V147" s="17"/>
    </row>
    <row r="148" spans="22:22" x14ac:dyDescent="0.55000000000000004">
      <c r="V148" s="17"/>
    </row>
    <row r="149" spans="22:22" x14ac:dyDescent="0.55000000000000004">
      <c r="V149" s="17"/>
    </row>
    <row r="150" spans="22:22" x14ac:dyDescent="0.55000000000000004">
      <c r="V150" s="17"/>
    </row>
    <row r="151" spans="22:22" x14ac:dyDescent="0.55000000000000004">
      <c r="V151" s="17"/>
    </row>
    <row r="152" spans="22:22" x14ac:dyDescent="0.55000000000000004">
      <c r="V152" s="17"/>
    </row>
    <row r="153" spans="22:22" x14ac:dyDescent="0.55000000000000004">
      <c r="V153" s="17"/>
    </row>
    <row r="154" spans="22:22" x14ac:dyDescent="0.55000000000000004">
      <c r="V154" s="17"/>
    </row>
    <row r="155" spans="22:22" x14ac:dyDescent="0.55000000000000004">
      <c r="V155" s="17"/>
    </row>
    <row r="156" spans="22:22" x14ac:dyDescent="0.55000000000000004">
      <c r="V156" s="17"/>
    </row>
    <row r="157" spans="22:22" x14ac:dyDescent="0.55000000000000004">
      <c r="V157" s="17"/>
    </row>
    <row r="158" spans="22:22" x14ac:dyDescent="0.55000000000000004">
      <c r="V158" s="17"/>
    </row>
    <row r="159" spans="22:22" x14ac:dyDescent="0.55000000000000004">
      <c r="V159" s="17"/>
    </row>
    <row r="160" spans="22:22" x14ac:dyDescent="0.55000000000000004">
      <c r="V160" s="17"/>
    </row>
    <row r="161" spans="22:22" x14ac:dyDescent="0.55000000000000004">
      <c r="V161" s="17"/>
    </row>
    <row r="162" spans="22:22" x14ac:dyDescent="0.55000000000000004">
      <c r="V162" s="17"/>
    </row>
    <row r="163" spans="22:22" x14ac:dyDescent="0.55000000000000004">
      <c r="V163" s="17"/>
    </row>
    <row r="164" spans="22:22" x14ac:dyDescent="0.55000000000000004">
      <c r="V164" s="17"/>
    </row>
    <row r="165" spans="22:22" x14ac:dyDescent="0.55000000000000004">
      <c r="V165" s="17"/>
    </row>
    <row r="166" spans="22:22" x14ac:dyDescent="0.55000000000000004">
      <c r="V166" s="17"/>
    </row>
    <row r="167" spans="22:22" x14ac:dyDescent="0.55000000000000004">
      <c r="V167" s="17"/>
    </row>
    <row r="168" spans="22:22" x14ac:dyDescent="0.55000000000000004">
      <c r="V168" s="17"/>
    </row>
    <row r="169" spans="22:22" x14ac:dyDescent="0.55000000000000004">
      <c r="V169" s="17"/>
    </row>
    <row r="170" spans="22:22" x14ac:dyDescent="0.55000000000000004">
      <c r="V170" s="17"/>
    </row>
    <row r="171" spans="22:22" x14ac:dyDescent="0.55000000000000004">
      <c r="V171" s="17"/>
    </row>
    <row r="172" spans="22:22" x14ac:dyDescent="0.55000000000000004">
      <c r="V172" s="17"/>
    </row>
    <row r="173" spans="22:22" x14ac:dyDescent="0.55000000000000004">
      <c r="V173" s="17"/>
    </row>
    <row r="174" spans="22:22" x14ac:dyDescent="0.55000000000000004">
      <c r="V174" s="17"/>
    </row>
    <row r="175" spans="22:22" x14ac:dyDescent="0.55000000000000004">
      <c r="V175" s="17"/>
    </row>
    <row r="176" spans="22:22" x14ac:dyDescent="0.55000000000000004">
      <c r="V176" s="17"/>
    </row>
    <row r="177" spans="22:22" x14ac:dyDescent="0.55000000000000004">
      <c r="V177" s="17"/>
    </row>
    <row r="178" spans="22:22" x14ac:dyDescent="0.55000000000000004">
      <c r="V178" s="17"/>
    </row>
    <row r="179" spans="22:22" x14ac:dyDescent="0.55000000000000004">
      <c r="V179" s="17"/>
    </row>
    <row r="180" spans="22:22" x14ac:dyDescent="0.55000000000000004">
      <c r="V180" s="17"/>
    </row>
    <row r="181" spans="22:22" x14ac:dyDescent="0.55000000000000004">
      <c r="V181" s="17"/>
    </row>
    <row r="182" spans="22:22" x14ac:dyDescent="0.55000000000000004">
      <c r="V182" s="17"/>
    </row>
    <row r="183" spans="22:22" x14ac:dyDescent="0.55000000000000004">
      <c r="V183" s="17"/>
    </row>
    <row r="184" spans="22:22" x14ac:dyDescent="0.55000000000000004">
      <c r="V184" s="17"/>
    </row>
    <row r="185" spans="22:22" x14ac:dyDescent="0.55000000000000004">
      <c r="V185" s="17"/>
    </row>
    <row r="186" spans="22:22" x14ac:dyDescent="0.55000000000000004">
      <c r="V186" s="17"/>
    </row>
    <row r="187" spans="22:22" x14ac:dyDescent="0.55000000000000004">
      <c r="V187" s="17"/>
    </row>
    <row r="188" spans="22:22" x14ac:dyDescent="0.55000000000000004">
      <c r="V188" s="17"/>
    </row>
    <row r="189" spans="22:22" x14ac:dyDescent="0.55000000000000004">
      <c r="V189" s="17"/>
    </row>
    <row r="190" spans="22:22" x14ac:dyDescent="0.55000000000000004">
      <c r="V190" s="17"/>
    </row>
    <row r="191" spans="22:22" x14ac:dyDescent="0.55000000000000004">
      <c r="V191" s="17"/>
    </row>
    <row r="192" spans="22:22" x14ac:dyDescent="0.55000000000000004">
      <c r="V192" s="17"/>
    </row>
    <row r="193" spans="22:22" x14ac:dyDescent="0.55000000000000004">
      <c r="V193" s="17"/>
    </row>
    <row r="194" spans="22:22" x14ac:dyDescent="0.55000000000000004">
      <c r="V194" s="17"/>
    </row>
    <row r="195" spans="22:22" x14ac:dyDescent="0.55000000000000004">
      <c r="V195" s="17"/>
    </row>
    <row r="196" spans="22:22" x14ac:dyDescent="0.55000000000000004">
      <c r="V196" s="17"/>
    </row>
    <row r="197" spans="22:22" x14ac:dyDescent="0.55000000000000004">
      <c r="V197" s="17"/>
    </row>
    <row r="198" spans="22:22" x14ac:dyDescent="0.55000000000000004">
      <c r="V198" s="17"/>
    </row>
    <row r="199" spans="22:22" x14ac:dyDescent="0.55000000000000004">
      <c r="V199" s="17"/>
    </row>
    <row r="200" spans="22:22" x14ac:dyDescent="0.55000000000000004">
      <c r="V200" s="17"/>
    </row>
    <row r="201" spans="22:22" x14ac:dyDescent="0.55000000000000004">
      <c r="V201" s="17"/>
    </row>
    <row r="202" spans="22:22" x14ac:dyDescent="0.55000000000000004">
      <c r="V202" s="17"/>
    </row>
    <row r="203" spans="22:22" x14ac:dyDescent="0.55000000000000004">
      <c r="V203" s="17"/>
    </row>
    <row r="204" spans="22:22" x14ac:dyDescent="0.55000000000000004">
      <c r="V204" s="17"/>
    </row>
    <row r="205" spans="22:22" x14ac:dyDescent="0.55000000000000004">
      <c r="V205" s="17"/>
    </row>
    <row r="206" spans="22:22" x14ac:dyDescent="0.55000000000000004">
      <c r="V206" s="17"/>
    </row>
    <row r="207" spans="22:22" x14ac:dyDescent="0.55000000000000004">
      <c r="V207" s="17"/>
    </row>
    <row r="208" spans="22:22" x14ac:dyDescent="0.55000000000000004">
      <c r="V208" s="17"/>
    </row>
    <row r="209" spans="22:22" x14ac:dyDescent="0.55000000000000004">
      <c r="V209" s="17"/>
    </row>
    <row r="210" spans="22:22" x14ac:dyDescent="0.55000000000000004">
      <c r="V210" s="17"/>
    </row>
    <row r="211" spans="22:22" x14ac:dyDescent="0.55000000000000004">
      <c r="V211" s="17"/>
    </row>
    <row r="212" spans="22:22" x14ac:dyDescent="0.55000000000000004">
      <c r="V212" s="17"/>
    </row>
    <row r="213" spans="22:22" x14ac:dyDescent="0.55000000000000004">
      <c r="V213" s="17"/>
    </row>
    <row r="214" spans="22:22" x14ac:dyDescent="0.55000000000000004">
      <c r="V214" s="17"/>
    </row>
    <row r="215" spans="22:22" x14ac:dyDescent="0.55000000000000004">
      <c r="V215" s="17"/>
    </row>
    <row r="216" spans="22:22" x14ac:dyDescent="0.55000000000000004">
      <c r="V216" s="17"/>
    </row>
    <row r="217" spans="22:22" x14ac:dyDescent="0.55000000000000004">
      <c r="V217" s="17"/>
    </row>
    <row r="218" spans="22:22" x14ac:dyDescent="0.55000000000000004">
      <c r="V218" s="17"/>
    </row>
    <row r="219" spans="22:22" x14ac:dyDescent="0.55000000000000004">
      <c r="V219" s="17"/>
    </row>
    <row r="220" spans="22:22" x14ac:dyDescent="0.55000000000000004">
      <c r="V220" s="17"/>
    </row>
    <row r="221" spans="22:22" x14ac:dyDescent="0.55000000000000004">
      <c r="V221" s="17"/>
    </row>
    <row r="222" spans="22:22" x14ac:dyDescent="0.55000000000000004">
      <c r="V222" s="17"/>
    </row>
    <row r="223" spans="22:22" x14ac:dyDescent="0.55000000000000004">
      <c r="V223" s="17"/>
    </row>
    <row r="224" spans="22:22" x14ac:dyDescent="0.55000000000000004">
      <c r="V224" s="17"/>
    </row>
    <row r="225" spans="22:22" x14ac:dyDescent="0.55000000000000004">
      <c r="V225" s="17"/>
    </row>
    <row r="226" spans="22:22" x14ac:dyDescent="0.55000000000000004">
      <c r="V226" s="17"/>
    </row>
    <row r="227" spans="22:22" x14ac:dyDescent="0.55000000000000004">
      <c r="V227" s="17"/>
    </row>
    <row r="228" spans="22:22" x14ac:dyDescent="0.55000000000000004">
      <c r="V228" s="17"/>
    </row>
    <row r="229" spans="22:22" x14ac:dyDescent="0.55000000000000004">
      <c r="V229" s="17"/>
    </row>
    <row r="230" spans="22:22" x14ac:dyDescent="0.55000000000000004">
      <c r="V230" s="17"/>
    </row>
    <row r="231" spans="22:22" x14ac:dyDescent="0.55000000000000004">
      <c r="V231" s="17"/>
    </row>
    <row r="232" spans="22:22" x14ac:dyDescent="0.55000000000000004">
      <c r="V232" s="17"/>
    </row>
    <row r="233" spans="22:22" x14ac:dyDescent="0.55000000000000004">
      <c r="V233" s="17"/>
    </row>
    <row r="234" spans="22:22" x14ac:dyDescent="0.55000000000000004">
      <c r="V234" s="17"/>
    </row>
    <row r="235" spans="22:22" x14ac:dyDescent="0.55000000000000004">
      <c r="V235" s="17"/>
    </row>
    <row r="236" spans="22:22" x14ac:dyDescent="0.55000000000000004">
      <c r="V236" s="17"/>
    </row>
    <row r="237" spans="22:22" x14ac:dyDescent="0.55000000000000004">
      <c r="V237" s="17"/>
    </row>
    <row r="238" spans="22:22" x14ac:dyDescent="0.55000000000000004">
      <c r="V238" s="17"/>
    </row>
    <row r="239" spans="22:22" x14ac:dyDescent="0.55000000000000004">
      <c r="V239" s="17"/>
    </row>
    <row r="240" spans="22:22" x14ac:dyDescent="0.55000000000000004">
      <c r="V240" s="17"/>
    </row>
    <row r="241" spans="22:22" x14ac:dyDescent="0.55000000000000004">
      <c r="V241" s="17"/>
    </row>
    <row r="242" spans="22:22" x14ac:dyDescent="0.55000000000000004">
      <c r="V242" s="17"/>
    </row>
    <row r="243" spans="22:22" x14ac:dyDescent="0.55000000000000004">
      <c r="V243" s="17"/>
    </row>
    <row r="244" spans="22:22" x14ac:dyDescent="0.55000000000000004">
      <c r="V244" s="17"/>
    </row>
    <row r="245" spans="22:22" x14ac:dyDescent="0.55000000000000004">
      <c r="V245" s="17"/>
    </row>
    <row r="246" spans="22:22" x14ac:dyDescent="0.55000000000000004">
      <c r="V246" s="17"/>
    </row>
    <row r="247" spans="22:22" x14ac:dyDescent="0.55000000000000004">
      <c r="V247" s="17"/>
    </row>
    <row r="248" spans="22:22" x14ac:dyDescent="0.55000000000000004">
      <c r="V248" s="17"/>
    </row>
    <row r="249" spans="22:22" x14ac:dyDescent="0.55000000000000004">
      <c r="V249" s="17"/>
    </row>
    <row r="250" spans="22:22" x14ac:dyDescent="0.55000000000000004">
      <c r="V250" s="17"/>
    </row>
    <row r="251" spans="22:22" x14ac:dyDescent="0.55000000000000004">
      <c r="V251" s="17"/>
    </row>
    <row r="252" spans="22:22" x14ac:dyDescent="0.55000000000000004">
      <c r="V252" s="17"/>
    </row>
    <row r="253" spans="22:22" x14ac:dyDescent="0.55000000000000004">
      <c r="V253" s="17"/>
    </row>
    <row r="254" spans="22:22" x14ac:dyDescent="0.55000000000000004">
      <c r="V254" s="17"/>
    </row>
    <row r="255" spans="22:22" x14ac:dyDescent="0.55000000000000004">
      <c r="V255" s="17"/>
    </row>
    <row r="256" spans="22:22" x14ac:dyDescent="0.55000000000000004">
      <c r="V256" s="17"/>
    </row>
    <row r="257" spans="22:22" x14ac:dyDescent="0.55000000000000004">
      <c r="V257" s="17"/>
    </row>
    <row r="258" spans="22:22" x14ac:dyDescent="0.55000000000000004">
      <c r="V258" s="17"/>
    </row>
    <row r="259" spans="22:22" x14ac:dyDescent="0.55000000000000004">
      <c r="V259" s="17"/>
    </row>
    <row r="260" spans="22:22" x14ac:dyDescent="0.55000000000000004">
      <c r="V260" s="17"/>
    </row>
    <row r="261" spans="22:22" x14ac:dyDescent="0.55000000000000004">
      <c r="V261" s="17"/>
    </row>
    <row r="262" spans="22:22" x14ac:dyDescent="0.55000000000000004">
      <c r="V262" s="17"/>
    </row>
    <row r="263" spans="22:22" x14ac:dyDescent="0.55000000000000004">
      <c r="V263" s="17"/>
    </row>
    <row r="264" spans="22:22" x14ac:dyDescent="0.55000000000000004">
      <c r="V264" s="17"/>
    </row>
    <row r="265" spans="22:22" x14ac:dyDescent="0.55000000000000004">
      <c r="V265" s="17"/>
    </row>
    <row r="266" spans="22:22" x14ac:dyDescent="0.55000000000000004">
      <c r="V266" s="17"/>
    </row>
    <row r="267" spans="22:22" x14ac:dyDescent="0.55000000000000004">
      <c r="V267" s="17"/>
    </row>
    <row r="268" spans="22:22" x14ac:dyDescent="0.55000000000000004">
      <c r="V268" s="17"/>
    </row>
    <row r="269" spans="22:22" x14ac:dyDescent="0.55000000000000004">
      <c r="V269" s="17"/>
    </row>
    <row r="270" spans="22:22" x14ac:dyDescent="0.55000000000000004">
      <c r="V270" s="17"/>
    </row>
    <row r="271" spans="22:22" x14ac:dyDescent="0.55000000000000004">
      <c r="V271" s="17"/>
    </row>
    <row r="272" spans="22:22" x14ac:dyDescent="0.55000000000000004">
      <c r="V272" s="17"/>
    </row>
    <row r="273" spans="22:22" x14ac:dyDescent="0.55000000000000004">
      <c r="V273" s="17"/>
    </row>
    <row r="274" spans="22:22" x14ac:dyDescent="0.55000000000000004">
      <c r="V274" s="17"/>
    </row>
    <row r="275" spans="22:22" x14ac:dyDescent="0.55000000000000004">
      <c r="V275" s="17"/>
    </row>
    <row r="276" spans="22:22" x14ac:dyDescent="0.55000000000000004">
      <c r="V276" s="17"/>
    </row>
    <row r="277" spans="22:22" x14ac:dyDescent="0.55000000000000004">
      <c r="V277" s="17"/>
    </row>
    <row r="278" spans="22:22" x14ac:dyDescent="0.55000000000000004">
      <c r="V278" s="17"/>
    </row>
    <row r="279" spans="22:22" x14ac:dyDescent="0.55000000000000004">
      <c r="V279" s="17"/>
    </row>
    <row r="280" spans="22:22" x14ac:dyDescent="0.55000000000000004">
      <c r="V280" s="17"/>
    </row>
    <row r="281" spans="22:22" x14ac:dyDescent="0.55000000000000004">
      <c r="V281" s="17"/>
    </row>
    <row r="282" spans="22:22" x14ac:dyDescent="0.55000000000000004">
      <c r="V282" s="17"/>
    </row>
    <row r="283" spans="22:22" x14ac:dyDescent="0.55000000000000004">
      <c r="V283" s="17"/>
    </row>
    <row r="284" spans="22:22" x14ac:dyDescent="0.55000000000000004">
      <c r="V284" s="17"/>
    </row>
    <row r="285" spans="22:22" x14ac:dyDescent="0.55000000000000004">
      <c r="V285" s="17"/>
    </row>
    <row r="286" spans="22:22" x14ac:dyDescent="0.55000000000000004">
      <c r="V286" s="17"/>
    </row>
    <row r="287" spans="22:22" x14ac:dyDescent="0.55000000000000004">
      <c r="V287" s="17"/>
    </row>
    <row r="288" spans="22:22" x14ac:dyDescent="0.55000000000000004">
      <c r="V288" s="17"/>
    </row>
    <row r="289" spans="22:22" x14ac:dyDescent="0.55000000000000004">
      <c r="V289" s="17"/>
    </row>
    <row r="290" spans="22:22" x14ac:dyDescent="0.55000000000000004">
      <c r="V290" s="17"/>
    </row>
    <row r="291" spans="22:22" x14ac:dyDescent="0.55000000000000004">
      <c r="V291" s="17"/>
    </row>
    <row r="292" spans="22:22" x14ac:dyDescent="0.55000000000000004">
      <c r="V292" s="17"/>
    </row>
    <row r="293" spans="22:22" x14ac:dyDescent="0.55000000000000004">
      <c r="V293" s="17"/>
    </row>
    <row r="294" spans="22:22" x14ac:dyDescent="0.55000000000000004">
      <c r="V294" s="17"/>
    </row>
    <row r="295" spans="22:22" x14ac:dyDescent="0.55000000000000004">
      <c r="V295" s="17"/>
    </row>
    <row r="296" spans="22:22" x14ac:dyDescent="0.55000000000000004">
      <c r="V296" s="17"/>
    </row>
    <row r="297" spans="22:22" x14ac:dyDescent="0.55000000000000004">
      <c r="V297" s="17"/>
    </row>
    <row r="298" spans="22:22" x14ac:dyDescent="0.55000000000000004">
      <c r="V298" s="17"/>
    </row>
    <row r="299" spans="22:22" x14ac:dyDescent="0.55000000000000004">
      <c r="V299" s="17"/>
    </row>
    <row r="300" spans="22:22" x14ac:dyDescent="0.55000000000000004">
      <c r="V300" s="17"/>
    </row>
    <row r="301" spans="22:22" x14ac:dyDescent="0.55000000000000004">
      <c r="V301" s="17"/>
    </row>
    <row r="302" spans="22:22" x14ac:dyDescent="0.55000000000000004">
      <c r="V302" s="17"/>
    </row>
    <row r="303" spans="22:22" x14ac:dyDescent="0.55000000000000004">
      <c r="V303" s="17"/>
    </row>
    <row r="304" spans="22:22" x14ac:dyDescent="0.55000000000000004">
      <c r="V304" s="17"/>
    </row>
    <row r="305" spans="22:22" x14ac:dyDescent="0.55000000000000004">
      <c r="V305" s="17"/>
    </row>
    <row r="306" spans="22:22" x14ac:dyDescent="0.55000000000000004">
      <c r="V306" s="17"/>
    </row>
    <row r="307" spans="22:22" x14ac:dyDescent="0.55000000000000004">
      <c r="V307" s="17"/>
    </row>
    <row r="308" spans="22:22" x14ac:dyDescent="0.55000000000000004">
      <c r="V308" s="17"/>
    </row>
    <row r="309" spans="22:22" x14ac:dyDescent="0.55000000000000004">
      <c r="V309" s="17"/>
    </row>
  </sheetData>
  <mergeCells count="1">
    <mergeCell ref="E65:G65"/>
  </mergeCells>
  <phoneticPr fontId="11" type="noConversion"/>
  <conditionalFormatting sqref="W19:X41 AB19:AB41 W6:X16 AB5:AB16 AC5:AD41 V5:V41">
    <cfRule type="expression" dxfId="1350" priority="12">
      <formula>"$C4=""Bestaande Situatie"""</formula>
    </cfRule>
  </conditionalFormatting>
  <conditionalFormatting sqref="W5:X6">
    <cfRule type="expression" dxfId="1349" priority="8">
      <formula>"$C4=""Bestaande Situatie"""</formula>
    </cfRule>
  </conditionalFormatting>
  <conditionalFormatting sqref="AB17 W17:X17">
    <cfRule type="expression" dxfId="1348" priority="6">
      <formula>"$C4=""Bestaande Situatie"""</formula>
    </cfRule>
  </conditionalFormatting>
  <conditionalFormatting sqref="W8:X8 AB8">
    <cfRule type="expression" dxfId="1347" priority="4">
      <formula>"$C4=""Bestaande Situatie"""</formula>
    </cfRule>
  </conditionalFormatting>
  <conditionalFormatting sqref="AB18 W18:X18">
    <cfRule type="expression" dxfId="1346" priority="3">
      <formula>"$C4=""Bestaande Situatie"""</formula>
    </cfRule>
  </conditionalFormatting>
  <dataValidations count="1">
    <dataValidation type="list" allowBlank="1" showInputMessage="1" showErrorMessage="1" sqref="F5:F42" xr:uid="{0B088BEA-88AF-4F0C-AA03-094DF8DDA2D6}">
      <formula1>INDIRECT(E5)</formula1>
    </dataValidation>
  </dataValidations>
  <pageMargins left="0.7" right="0.7" top="0.75" bottom="0.75" header="0.3" footer="0.3"/>
  <pageSetup orientation="portrait" r:id="rId1"/>
  <ignoredErrors>
    <ignoredError sqref="J5:K7 J12:K13 J8 J19:K20 J18 J9:K11 J15:K16" numberStoredAsText="1"/>
  </ignoredErrors>
  <drawing r:id="rId2"/>
  <legacyDrawing r:id="rId3"/>
  <controls>
    <mc:AlternateContent xmlns:mc="http://schemas.openxmlformats.org/markup-compatibility/2006">
      <mc:Choice Requires="x14">
        <control shapeId="5121" r:id="rId4" name="Control 1">
          <controlPr defaultSize="0" r:id="rId5">
            <anchor moveWithCells="1">
              <from>
                <xdr:col>1</xdr:col>
                <xdr:colOff>254000</xdr:colOff>
                <xdr:row>1</xdr:row>
                <xdr:rowOff>165100</xdr:rowOff>
              </from>
              <to>
                <xdr:col>1</xdr:col>
                <xdr:colOff>450850</xdr:colOff>
                <xdr:row>2</xdr:row>
                <xdr:rowOff>127000</xdr:rowOff>
              </to>
            </anchor>
          </controlPr>
        </control>
      </mc:Choice>
      <mc:Fallback>
        <control shapeId="5121" r:id="rId4" name="Control 1"/>
      </mc:Fallback>
    </mc:AlternateContent>
  </controls>
  <tableParts count="1">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xr:uid="{CC941488-3566-4E6F-B920-26FEDDDC49DC}">
          <x14:formula1>
            <xm:f>Database!$A$1117:$A$1141</xm:f>
          </x14:formula1>
          <xm:sqref>Y5:Y41</xm:sqref>
        </x14:dataValidation>
        <x14:dataValidation type="list" allowBlank="1" showInputMessage="1" showErrorMessage="1" xr:uid="{12E149F4-A8F1-498B-B145-680AFB202690}">
          <x14:formula1>
            <xm:f>Database!$A$1087:$A$1111</xm:f>
          </x14:formula1>
          <xm:sqref>W5:W41</xm:sqref>
        </x14:dataValidation>
        <x14:dataValidation type="list" allowBlank="1" showInputMessage="1" showErrorMessage="1" xr:uid="{73340B4A-C90B-4BDB-9DD9-9CCEE1CAB00A}">
          <x14:formula1>
            <xm:f>Database!$A$1163:$A$1214</xm:f>
          </x14:formula1>
          <xm:sqref>X5:X41 Z5:Z41</xm:sqref>
        </x14:dataValidation>
        <x14:dataValidation type="list" allowBlank="1" showInputMessage="1" showErrorMessage="1" xr:uid="{495810B4-6B96-4DE4-81CC-3376E404DB7B}">
          <x14:formula1>
            <xm:f>Database!$A$1050:$A$1082</xm:f>
          </x14:formula1>
          <xm:sqref>AB5:AD41 V5:V41</xm:sqref>
        </x14:dataValidation>
        <x14:dataValidation type="list" allowBlank="1" showInputMessage="1" showErrorMessage="1" xr:uid="{4644F79C-1F31-4CAB-B3DF-E4DE00DC2E92}">
          <x14:formula1>
            <xm:f>Keuzelijst_Producten!$U$2:$U$3</xm:f>
          </x14:formula1>
          <xm:sqref>C5:C42</xm:sqref>
        </x14:dataValidation>
        <x14:dataValidation type="list" allowBlank="1" showInputMessage="1" showErrorMessage="1" xr:uid="{FF55CF32-C621-4977-A650-D95FB0AACA53}">
          <x14:formula1>
            <xm:f>Keuzelijst_Producten!$Y$1:$Y$6</xm:f>
          </x14:formula1>
          <xm:sqref>G5:G41</xm:sqref>
        </x14:dataValidation>
        <x14:dataValidation type="list" allowBlank="1" showInputMessage="1" showErrorMessage="1" xr:uid="{1342076B-344B-4239-B5EB-9B473150D2E6}">
          <x14:formula1>
            <xm:f>Database!$A$1146:$A$1158</xm:f>
          </x14:formula1>
          <xm:sqref>AE5:AG41</xm:sqref>
        </x14:dataValidation>
        <x14:dataValidation type="list" allowBlank="1" showInputMessage="1" showErrorMessage="1" xr:uid="{4D5B34DD-FD3C-4AE9-B834-FBA52DDA2046}">
          <x14:formula1>
            <xm:f>Keuzelijst_Producten!$A$2:$A$64</xm:f>
          </x14:formula1>
          <xm:sqref>E42</xm:sqref>
        </x14:dataValidation>
        <x14:dataValidation type="list" allowBlank="1" showInputMessage="1" showErrorMessage="1" xr:uid="{E3901CAE-8CB3-4080-BABE-12693FD5C2E7}">
          <x14:formula1>
            <xm:f>Keuzelijst_Producten!$A$2:$A$69</xm:f>
          </x14:formula1>
          <xm:sqref>E5:E41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9463-D8E9-4C78-9C08-24B80675DCE0}">
  <sheetPr codeName="Blad7"/>
  <dimension ref="B2:N60"/>
  <sheetViews>
    <sheetView zoomScale="70" zoomScaleNormal="70" workbookViewId="0">
      <selection activeCell="G4" sqref="G4"/>
    </sheetView>
  </sheetViews>
  <sheetFormatPr defaultColWidth="9.1796875" defaultRowHeight="14.5" x14ac:dyDescent="0.35"/>
  <cols>
    <col min="1" max="1" width="9.1796875" style="18"/>
    <col min="2" max="2" width="17.7265625" style="18" customWidth="1"/>
    <col min="3" max="3" width="26.81640625" style="18" bestFit="1" customWidth="1"/>
    <col min="4" max="4" width="23.81640625" style="18" bestFit="1" customWidth="1"/>
    <col min="5" max="5" width="13.453125" style="18" customWidth="1"/>
    <col min="6" max="6" width="16.26953125" style="18" customWidth="1"/>
    <col min="7" max="7" width="17.453125" style="18" customWidth="1"/>
    <col min="8" max="8" width="15.453125" style="18" customWidth="1"/>
    <col min="9" max="9" width="14.453125" style="18" customWidth="1"/>
    <col min="10" max="10" width="19.81640625" style="18" bestFit="1" customWidth="1"/>
    <col min="11" max="11" width="9.1796875" style="18"/>
    <col min="12" max="12" width="14.81640625" style="18" customWidth="1"/>
    <col min="13" max="16384" width="9.1796875" style="18"/>
  </cols>
  <sheetData>
    <row r="2" spans="2:10" ht="219" thickBot="1" x14ac:dyDescent="0.4">
      <c r="B2" s="119" t="s">
        <v>55</v>
      </c>
      <c r="C2" s="119" t="s">
        <v>332</v>
      </c>
      <c r="D2" s="119" t="s">
        <v>333</v>
      </c>
      <c r="E2" s="119" t="s">
        <v>435</v>
      </c>
      <c r="F2" s="119" t="s">
        <v>434</v>
      </c>
      <c r="G2" s="119" t="s">
        <v>433</v>
      </c>
      <c r="H2" s="119" t="s">
        <v>432</v>
      </c>
      <c r="I2" s="120" t="s">
        <v>436</v>
      </c>
      <c r="J2" s="120" t="s">
        <v>431</v>
      </c>
    </row>
    <row r="3" spans="2:10" ht="18.5" thickTop="1" x14ac:dyDescent="0.55000000000000004">
      <c r="B3" s="279" t="str">
        <f>Referentieberekening!B5</f>
        <v xml:space="preserve"> Opbreken betonstraatstenen. </v>
      </c>
      <c r="C3" s="121">
        <f>Inschrijfberekening!D6-Referentieberekening!D5</f>
        <v>0</v>
      </c>
      <c r="D3" s="115">
        <f>SUM(Inschrijf_Backlog!D4:P4)-SUM(Referentie_Backlog!D4:P4)</f>
        <v>94.448763930051399</v>
      </c>
      <c r="E3" s="127">
        <f>SUM(Inschrijf_Backlog!D24:P24)-SUM(Referentie_Backlog!D40:P40)</f>
        <v>1031.3105907000001</v>
      </c>
      <c r="F3" s="127">
        <f>Inschrijf_Backlog!F44-Referentie_Backlog!F76</f>
        <v>153.5</v>
      </c>
      <c r="G3" s="127">
        <f>Inschrijf_Backlog!G44-Referentie_Backlog!G76</f>
        <v>0</v>
      </c>
      <c r="H3" s="154">
        <f>SUM(Inschrijf_Backlog!D64:P64)-SUM(Referentie_Backlog!D112:P112)</f>
        <v>347.48859726000001</v>
      </c>
      <c r="I3" s="157">
        <f>SUM(Inschrijf_Backlog!D84:P84)-SUM(Referentie_Backlog!D148:P148)</f>
        <v>7885.0962539999991</v>
      </c>
      <c r="J3" s="160">
        <f>IFERROR(Monitoring_Totaal[[#This Row],[Meerprijs '[€']]]/Monitoring_Totaal[[#This Row],[MKI Reductie '[€']]],0)</f>
        <v>0</v>
      </c>
    </row>
    <row r="4" spans="2:10" ht="18" x14ac:dyDescent="0.55000000000000004">
      <c r="B4" s="279" t="str">
        <f>Referentieberekening!B6</f>
        <v>Aanbrengen band 280x300x260 mm, betonrug.</v>
      </c>
      <c r="C4" s="121">
        <f>Inschrijfberekening!D7-Referentieberekening!D6</f>
        <v>0</v>
      </c>
      <c r="D4" s="115">
        <f>SUM(Inschrijf_Backlog!D5:P5)-SUM(Referentie_Backlog!D5:P5)</f>
        <v>-3414.22811583981</v>
      </c>
      <c r="E4" s="127">
        <f>SUM(Inschrijf_Backlog!D25:P25)-SUM(Referentie_Backlog!D41:P41)</f>
        <v>-44122.301430322354</v>
      </c>
      <c r="F4" s="127">
        <f>Inschrijf_Backlog!F45-Referentie_Backlog!F77</f>
        <v>-295.43799999999999</v>
      </c>
      <c r="G4" s="127">
        <f>Inschrijf_Backlog!G45-Referentie_Backlog!G77</f>
        <v>0</v>
      </c>
      <c r="H4" s="155">
        <f>SUM(Inschrijf_Backlog!D65:P65)-SUM(Referentie_Backlog!D113:P113)</f>
        <v>526.02061820077961</v>
      </c>
      <c r="I4" s="158">
        <f>SUM(Inschrijf_Backlog!D85:P85)-SUM(Referentie_Backlog!D165:P165)</f>
        <v>40089.107503195301</v>
      </c>
      <c r="J4" s="160">
        <f>IFERROR(Monitoring_Totaal[[#This Row],[Meerprijs '[€']]]/Monitoring_Totaal[[#This Row],[MKI Reductie '[€']]],0)</f>
        <v>0</v>
      </c>
    </row>
    <row r="5" spans="2:10" ht="18" x14ac:dyDescent="0.55000000000000004">
      <c r="B5" s="279" t="str">
        <f>Referentieberekening!B7</f>
        <v>Aanbrengen opsluitband 100x200mm.</v>
      </c>
      <c r="C5" s="121">
        <f>Inschrijfberekening!D8-Referentieberekening!D7</f>
        <v>0</v>
      </c>
      <c r="D5" s="115">
        <f>SUM(Inschrijf_Backlog!D6:P6)-SUM(Referentie_Backlog!D6:P6)</f>
        <v>1129.6075138386743</v>
      </c>
      <c r="E5" s="127">
        <f>SUM(Inschrijf_Backlog!D26:P26)-SUM(Referentie_Backlog!D42:P42)</f>
        <v>10448.642215</v>
      </c>
      <c r="F5" s="127">
        <f>Inschrijf_Backlog!F46-Referentie_Backlog!F78</f>
        <v>1654.5</v>
      </c>
      <c r="G5" s="127">
        <f>Inschrijf_Backlog!G46-Referentie_Backlog!G78</f>
        <v>0</v>
      </c>
      <c r="H5" s="154">
        <f>SUM(Inschrijf_Backlog!D66:P66)-SUM(Referentie_Backlog!D114:P114)</f>
        <v>2220.7917870000001</v>
      </c>
      <c r="I5" s="157">
        <f>SUM(Inschrijf_Backlog!D86:P86)-SUM(Referentie_Backlog!D166:P166)</f>
        <v>50393.472299999994</v>
      </c>
      <c r="J5" s="160">
        <f>IFERROR(Monitoring_Totaal[[#This Row],[Meerprijs '[€']]]/Monitoring_Totaal[[#This Row],[MKI Reductie '[€']]],0)</f>
        <v>0</v>
      </c>
    </row>
    <row r="6" spans="2:10" ht="18" x14ac:dyDescent="0.55000000000000004">
      <c r="B6" s="279" t="str">
        <f>Referentieberekening!B8</f>
        <v>Aanbrengen straatlaag van straatzand dik 50 mm.</v>
      </c>
      <c r="C6" s="121">
        <f>Inschrijfberekening!D9-Referentieberekening!D8</f>
        <v>0</v>
      </c>
      <c r="D6" s="115">
        <f>SUM(Inschrijf_Backlog!D7:P7)-SUM(Referentie_Backlog!D7:P7)</f>
        <v>-28.865089678868088</v>
      </c>
      <c r="E6" s="127">
        <f>SUM(Inschrijf_Backlog!D27:P27)-SUM(Referentie_Backlog!D43:P43)</f>
        <v>-261.71325025419992</v>
      </c>
      <c r="F6" s="127">
        <f>Inschrijf_Backlog!F47-Referentie_Backlog!F79</f>
        <v>-56.300000000000004</v>
      </c>
      <c r="G6" s="127">
        <f>Inschrijf_Backlog!G47-Referentie_Backlog!G79</f>
        <v>0</v>
      </c>
      <c r="H6" s="155">
        <f>SUM(Inschrijf_Backlog!D67:P67)-SUM(Referentie_Backlog!D115:P115)</f>
        <v>-64.093854548914962</v>
      </c>
      <c r="I6" s="158">
        <f>SUM(Inschrijf_Backlog!D87:P87)-SUM(Referentie_Backlog!D167:P167)</f>
        <v>38.5361847</v>
      </c>
      <c r="J6" s="160">
        <f>IFERROR(Monitoring_Totaal[[#This Row],[Meerprijs '[€']]]/Monitoring_Totaal[[#This Row],[MKI Reductie '[€']]],0)</f>
        <v>0</v>
      </c>
    </row>
    <row r="7" spans="2:10" ht="18" x14ac:dyDescent="0.55000000000000004">
      <c r="B7" s="279" t="str">
        <f>Referentieberekening!B9</f>
        <v>Aanbrengen betontegels 300x300x45 mm.</v>
      </c>
      <c r="C7" s="121">
        <f>Inschrijfberekening!D10-Referentieberekening!D9</f>
        <v>0</v>
      </c>
      <c r="D7" s="115">
        <f>SUM(Inschrijf_Backlog!D8:P8)-SUM(Referentie_Backlog!D8:P8)</f>
        <v>-242.15388371770428</v>
      </c>
      <c r="E7" s="127">
        <f>SUM(Inschrijf_Backlog!D28:P28)-SUM(Referentie_Backlog!D55:P55)</f>
        <v>-331.25485365000009</v>
      </c>
      <c r="F7" s="127">
        <f>Inschrijf_Backlog!F48-Referentie_Backlog!F80</f>
        <v>-62.239999999999995</v>
      </c>
      <c r="G7" s="127">
        <f>Inschrijf_Backlog!G48-Referentie_Backlog!G80</f>
        <v>0</v>
      </c>
      <c r="H7" s="154">
        <f>SUM(Inschrijf_Backlog!D68:P68)-SUM(Referentie_Backlog!D116:P116)</f>
        <v>16.982525429999999</v>
      </c>
      <c r="I7" s="157">
        <f>SUM(Inschrijf_Backlog!D88:P88)-SUM(Referentie_Backlog!D168:P168)</f>
        <v>385.36184699999995</v>
      </c>
      <c r="J7" s="160">
        <f>IFERROR(Monitoring_Totaal[[#This Row],[Meerprijs '[€']]]/Monitoring_Totaal[[#This Row],[MKI Reductie '[€']]],0)</f>
        <v>0</v>
      </c>
    </row>
    <row r="8" spans="2:10" ht="18" x14ac:dyDescent="0.55000000000000004">
      <c r="B8" s="279" t="str">
        <f>Referentieberekening!B10</f>
        <v xml:space="preserve"> Opbreken asfaltverharding, dik 120 mm. </v>
      </c>
      <c r="C8" s="121">
        <f>Inschrijfberekening!D11-Referentieberekening!D10</f>
        <v>0</v>
      </c>
      <c r="D8" s="115">
        <f>SUM(Inschrijf_Backlog!D9:P9)-SUM(Referentie_Backlog!D9:P9)</f>
        <v>62.167273980304969</v>
      </c>
      <c r="E8" s="127">
        <f>SUM(Inschrijf_Backlog!D29:P29)-SUM(Referentie_Backlog!D56:P56)</f>
        <v>-9071.021664150001</v>
      </c>
      <c r="F8" s="127">
        <f>Inschrijf_Backlog!F49-Referentie_Backlog!F88</f>
        <v>5.5</v>
      </c>
      <c r="G8" s="127">
        <f>Inschrijf_Backlog!G49-Referentie_Backlog!G88</f>
        <v>-17.5</v>
      </c>
      <c r="H8" s="155">
        <f>SUM(Inschrijf_Backlog!D69:P69)-SUM(Referentie_Backlog!D137:P137)</f>
        <v>-1980.268376834068</v>
      </c>
      <c r="I8" s="158">
        <f>SUM(Inschrijf_Backlog!D89:P89)-SUM(Referentie_Backlog!D169:P169)</f>
        <v>681.794037</v>
      </c>
      <c r="J8" s="160">
        <f>IFERROR(Monitoring_Totaal[[#This Row],[MKI Reductie '[€']]]/Monitoring_Totaal[[#This Row],[Meerprijs '[€']]],0)</f>
        <v>0</v>
      </c>
    </row>
    <row r="9" spans="2:10" ht="18" x14ac:dyDescent="0.55000000000000004">
      <c r="B9" s="279" t="str">
        <f>Referentieberekening!B11</f>
        <v xml:space="preserve"> Frezen asfalt dik 30 mm - fietspad. </v>
      </c>
      <c r="C9" s="121">
        <f>Inschrijfberekening!D12-Referentieberekening!D11</f>
        <v>0</v>
      </c>
      <c r="D9" s="115">
        <f>SUM(Inschrijf_Backlog!D10:P10)-SUM(Referentie_Backlog!D10:P10)</f>
        <v>111.0020855450541</v>
      </c>
      <c r="E9" s="127">
        <f>SUM(Inschrijf_Backlog!D30:P30)-SUM(Referentie_Backlog!D57:P57)</f>
        <v>-1530.0863020500001</v>
      </c>
      <c r="F9" s="127">
        <f>Inschrijf_Backlog!F50-Referentie_Backlog!F99</f>
        <v>21</v>
      </c>
      <c r="G9" s="127">
        <f>Inschrijf_Backlog!G50-Referentie_Backlog!G99</f>
        <v>-12160</v>
      </c>
      <c r="H9" s="154">
        <f>SUM(Inschrijf_Backlog!D70:P70)-SUM(Referentie_Backlog!D138:P138)</f>
        <v>-3719.0616768684908</v>
      </c>
      <c r="I9" s="157">
        <f>SUM(Inschrijf_Backlog!D90:P90)-SUM(Referentie_Backlog!D170:P170)</f>
        <v>622.50759899999991</v>
      </c>
      <c r="J9" s="160">
        <f>IFERROR(Monitoring_Totaal[[#This Row],[Meerprijs '[€']]]/Monitoring_Totaal[[#This Row],[MKI Reductie '[€']]],0)</f>
        <v>0</v>
      </c>
    </row>
    <row r="10" spans="2:10" ht="18" x14ac:dyDescent="0.55000000000000004">
      <c r="B10" s="279" t="str">
        <f>Referentieberekening!B12</f>
        <v>Aanbrengen menggranulaat, dik 300 mm - rijweg.</v>
      </c>
      <c r="C10" s="121">
        <f>Inschrijfberekening!D13-Referentieberekening!D13</f>
        <v>0</v>
      </c>
      <c r="D10" s="115">
        <f>SUM(Inschrijf_Backlog!D11:P11)-SUM(Referentie_Backlog!D11:P11)</f>
        <v>-1973.8508150293833</v>
      </c>
      <c r="E10" s="127">
        <f>SUM(Inschrijf_Backlog!D31:P31)-SUM(Referentie_Backlog!D58:P58)</f>
        <v>-544.61935890000132</v>
      </c>
      <c r="F10" s="127">
        <f>Inschrijf_Backlog!F51-Referentie_Backlog!F100</f>
        <v>18</v>
      </c>
      <c r="G10" s="127">
        <f>Inschrijf_Backlog!G51-Referentie_Backlog!G100</f>
        <v>-1040</v>
      </c>
      <c r="H10" s="155">
        <f>SUM(Inschrijf_Backlog!D71:P71)-SUM(Referentie_Backlog!D139:P139)</f>
        <v>-10365.013754870111</v>
      </c>
      <c r="I10" s="158">
        <f>SUM(Inschrijf_Backlog!D91:P91)-SUM(Referentie_Backlog!D171:P171)</f>
        <v>-887654.64813320781</v>
      </c>
      <c r="J10" s="160">
        <f>IFERROR(Monitoring_Totaal[[#This Row],[Meerprijs '[€']]]/Monitoring_Totaal[[#This Row],[MKI Reductie '[€']]],0)</f>
        <v>0</v>
      </c>
    </row>
    <row r="11" spans="2:10" ht="18" x14ac:dyDescent="0.55000000000000004">
      <c r="B11" s="279" t="str">
        <f>Referentieberekening!B13</f>
        <v>Aanbrengen onderlaag AC 22 base, dik 70 mm.</v>
      </c>
      <c r="C11" s="121">
        <f>Inschrijfberekening!D14-Referentieberekening!D14</f>
        <v>0</v>
      </c>
      <c r="D11" s="115">
        <f>SUM(Inschrijf_Backlog!D12:P12)-SUM(Referentie_Backlog!D12:P12)</f>
        <v>-7203.4383249908888</v>
      </c>
      <c r="E11" s="127">
        <f>SUM(Inschrijf_Backlog!D32:P32)-SUM(Referentie_Backlog!D59:P59)</f>
        <v>-1691.97192</v>
      </c>
      <c r="F11" s="127">
        <f>Inschrijf_Backlog!F52-Referentie_Backlog!F102</f>
        <v>0</v>
      </c>
      <c r="G11" s="127">
        <f>Inschrijf_Backlog!G52-Referentie_Backlog!G102</f>
        <v>-3280</v>
      </c>
      <c r="H11" s="154">
        <f>SUM(Inschrijf_Backlog!D72:P72)-SUM(Referentie_Backlog!D140:P140)</f>
        <v>-4.0107492465249211E-5</v>
      </c>
      <c r="I11" s="157">
        <f>SUM(Inschrijf_Backlog!D92:P92)-SUM(Referentie_Backlog!D172:P172)</f>
        <v>-75963.466703800659</v>
      </c>
      <c r="J11" s="160">
        <f>IFERROR(Monitoring_Totaal[[#This Row],[Meerprijs '[€']]]/Monitoring_Totaal[[#This Row],[MKI Reductie '[€']]],0)</f>
        <v>0</v>
      </c>
    </row>
    <row r="12" spans="2:10" ht="18" x14ac:dyDescent="0.55000000000000004">
      <c r="B12" s="279" t="str">
        <f>Referentieberekening!B14</f>
        <v>Aanbrengen tussenlaag AC16 bind, dik 50 mm</v>
      </c>
      <c r="C12" s="121">
        <f>Inschrijfberekening!D15-Referentieberekening!D15</f>
        <v>0</v>
      </c>
      <c r="D12" s="115">
        <f>SUM(Inschrijf_Backlog!D13:P13)-SUM(Referentie_Backlog!D13:P13)</f>
        <v>-5147.1490618355956</v>
      </c>
      <c r="E12" s="127">
        <f>SUM(Inschrijf_Backlog!D33:P33)-SUM(Referentie_Backlog!D60:P60)</f>
        <v>-15268.24</v>
      </c>
      <c r="F12" s="127">
        <f>Inschrijf_Backlog!F53-Referentie_Backlog!F103</f>
        <v>-9095</v>
      </c>
      <c r="G12" s="127">
        <f>Inschrijf_Backlog!G53-Referentie_Backlog!G103</f>
        <v>0</v>
      </c>
      <c r="H12" s="155">
        <f>SUM(Inschrijf_Backlog!D73:P73)-SUM(Referentie_Backlog!D141:P141)</f>
        <v>-6.6845820775415354E-5</v>
      </c>
      <c r="I12" s="158">
        <f>SUM(Inschrijf_Backlog!D93:P93)-SUM(Referentie_Backlog!D173:P173)</f>
        <v>-128553.55903720114</v>
      </c>
      <c r="J12" s="160">
        <f>IFERROR(Monitoring_Totaal[[#This Row],[Meerprijs '[€']]]/Monitoring_Totaal[[#This Row],[MKI Reductie '[€']]],0)</f>
        <v>0</v>
      </c>
    </row>
    <row r="13" spans="2:10" ht="18" x14ac:dyDescent="0.55000000000000004">
      <c r="B13" s="279" t="str">
        <f>Referentieberekening!B15</f>
        <v>Aanbrengen deklaag van SMA-NL 8, dik 30 mm.</v>
      </c>
      <c r="C13" s="121">
        <f>Inschrijfberekening!D16-Referentieberekening!D36</f>
        <v>0</v>
      </c>
      <c r="D13" s="115">
        <f>SUM(Inschrijf_Backlog!D14:P14)-SUM(Referentie_Backlog!D14:P14)</f>
        <v>-7007.3621311729912</v>
      </c>
      <c r="E13" s="127">
        <f>SUM(Inschrijf_Backlog!D34:P34)-SUM(Referentie_Backlog!D61:P61)</f>
        <v>-5675.7703199999996</v>
      </c>
      <c r="F13" s="127">
        <f>Inschrijf_Backlog!F54-Referentie_Backlog!F104</f>
        <v>0</v>
      </c>
      <c r="G13" s="127">
        <f>Inschrijf_Backlog!G54-Referentie_Backlog!G104</f>
        <v>-1275</v>
      </c>
      <c r="H13" s="156">
        <f>SUM(Inschrijf_Backlog!D74:P74)-SUM(Referentie_Backlog!D142:P142)</f>
        <v>-1.0427948040964794E-4</v>
      </c>
      <c r="I13" s="159">
        <f>SUM(Inschrijf_Backlog!D94:P94)-SUM(Referentie_Backlog!D174:P174)</f>
        <v>-239577.08729660211</v>
      </c>
      <c r="J13" s="160">
        <f>IFERROR(Monitoring_Totaal[[#This Row],[Meerprijs '[€']]]/Monitoring_Totaal[[#This Row],[MKI Reductie '[€']]],0)</f>
        <v>0</v>
      </c>
    </row>
    <row r="14" spans="2:10" ht="18" x14ac:dyDescent="0.55000000000000004">
      <c r="B14" s="279">
        <f>Referentieberekening!B36</f>
        <v>0</v>
      </c>
      <c r="C14" s="280">
        <f>Inschrijfberekening!D17-Referentieberekening!D36</f>
        <v>0</v>
      </c>
      <c r="D14" s="281">
        <f>SUM(Inschrijf_Backlog!D15:P15)-SUM(Referentie_Backlog!D15:P15)</f>
        <v>-88.622612064414454</v>
      </c>
      <c r="E14" s="127">
        <f>SUM(Inschrijf_Backlog!D35:P35)-SUM(Referentie_Backlog!D62:P62)</f>
        <v>-5675.7703199999996</v>
      </c>
      <c r="F14" s="127">
        <f>Inschrijf_Backlog!F55-Referentie_Backlog!F105</f>
        <v>0</v>
      </c>
      <c r="G14" s="157">
        <f>Inschrijf_Backlog!G55-Referentie_Backlog!G105</f>
        <v>-2125</v>
      </c>
      <c r="H14" s="282" t="e">
        <f>SUM(Inschrijf_Backlog!D75:P75)-SUM(Referentie_Backlog!#REF!)</f>
        <v>#REF!</v>
      </c>
      <c r="I14" s="283">
        <f>SUM(Inschrijf_Backlog!D95:P95)-SUM(Referentie_Backlog!D175:P175)</f>
        <v>-664315.12468371831</v>
      </c>
      <c r="J14" s="284">
        <f>IFERROR(Monitoring_Totaal[[#This Row],[Meerprijs '[€']]]/Monitoring_Totaal[[#This Row],[MKI Reductie '[€']]],0)</f>
        <v>0</v>
      </c>
    </row>
    <row r="19" spans="2:14" ht="22" x14ac:dyDescent="0.65">
      <c r="E19" s="128" t="s">
        <v>333</v>
      </c>
      <c r="L19" s="255" t="s">
        <v>1241</v>
      </c>
    </row>
    <row r="20" spans="2:14" ht="22.5" thickBot="1" x14ac:dyDescent="0.7">
      <c r="B20" s="17"/>
      <c r="C20" s="71" t="s">
        <v>423</v>
      </c>
      <c r="D20" s="135" t="s">
        <v>424</v>
      </c>
      <c r="E20" s="413"/>
      <c r="F20" s="413"/>
      <c r="G20" s="253"/>
      <c r="H20" s="17"/>
    </row>
    <row r="21" spans="2:14" ht="22.5" thickBot="1" x14ac:dyDescent="0.6">
      <c r="B21" s="17"/>
      <c r="C21" s="129">
        <f>Referentieberekening!D44</f>
        <v>53360.561128251524</v>
      </c>
      <c r="D21" s="129">
        <f>Inschrijfberekening!D26</f>
        <v>2879.4719521088518</v>
      </c>
      <c r="E21" s="414">
        <f>Inschrijfberekening!D26-Referentieberekening!D44</f>
        <v>-50481.089176142676</v>
      </c>
      <c r="F21" s="415"/>
      <c r="G21" s="161">
        <f>(D21/C21)-1</f>
        <v>-0.94603744992133665</v>
      </c>
      <c r="H21" s="17"/>
      <c r="L21" s="264">
        <f>G21</f>
        <v>-0.94603744992133665</v>
      </c>
      <c r="M21" s="265" t="s">
        <v>1246</v>
      </c>
    </row>
    <row r="22" spans="2:14" ht="18" x14ac:dyDescent="0.55000000000000004">
      <c r="B22" s="17"/>
      <c r="E22" s="17"/>
      <c r="F22" s="17"/>
      <c r="G22" s="17"/>
      <c r="H22" s="17"/>
    </row>
    <row r="23" spans="2:14" ht="18" x14ac:dyDescent="0.55000000000000004">
      <c r="B23" s="17"/>
      <c r="F23" s="17"/>
      <c r="G23" s="17"/>
      <c r="H23" s="17"/>
    </row>
    <row r="24" spans="2:14" ht="22" x14ac:dyDescent="0.65">
      <c r="B24" s="17"/>
      <c r="E24" s="128" t="s">
        <v>359</v>
      </c>
      <c r="F24" s="17"/>
      <c r="G24" s="17"/>
      <c r="H24" s="17"/>
    </row>
    <row r="25" spans="2:14" ht="22.5" thickBot="1" x14ac:dyDescent="0.7">
      <c r="B25" s="17"/>
      <c r="C25" s="71" t="s">
        <v>423</v>
      </c>
      <c r="D25" s="135" t="s">
        <v>424</v>
      </c>
      <c r="E25" s="413"/>
      <c r="F25" s="413"/>
      <c r="G25" s="253"/>
      <c r="H25" s="17"/>
      <c r="L25" s="257"/>
      <c r="M25" s="257"/>
    </row>
    <row r="26" spans="2:14" ht="22.5" thickBot="1" x14ac:dyDescent="0.6">
      <c r="B26" s="17"/>
      <c r="C26" s="138">
        <f>Referentieberekening!D66</f>
        <v>508.87252103278212</v>
      </c>
      <c r="D26" s="137">
        <f>Inschrijfberekening!D38</f>
        <v>41.886923839055832</v>
      </c>
      <c r="E26" s="382">
        <f>Inschrijfberekening!D38-Referentieberekening!D66</f>
        <v>-466.98559719372628</v>
      </c>
      <c r="F26" s="384"/>
      <c r="G26" s="161">
        <f>(D26/C26)-1</f>
        <v>-0.9176868034570933</v>
      </c>
      <c r="H26" s="17"/>
      <c r="L26" s="264">
        <f>G26</f>
        <v>-0.9176868034570933</v>
      </c>
      <c r="M26" s="265" t="s">
        <v>1247</v>
      </c>
      <c r="N26" s="266"/>
    </row>
    <row r="27" spans="2:14" ht="19.5" x14ac:dyDescent="0.55000000000000004">
      <c r="B27" s="17"/>
      <c r="E27" s="17"/>
      <c r="F27" s="17"/>
      <c r="G27" s="17"/>
      <c r="H27" s="17"/>
      <c r="L27" s="257"/>
      <c r="M27" s="257"/>
    </row>
    <row r="28" spans="2:14" ht="19.5" x14ac:dyDescent="0.55000000000000004">
      <c r="B28" s="17"/>
      <c r="E28" s="17"/>
      <c r="F28" s="17"/>
      <c r="G28" s="17"/>
      <c r="H28" s="17"/>
      <c r="L28" s="257"/>
      <c r="M28" s="257"/>
    </row>
    <row r="29" spans="2:14" ht="22" x14ac:dyDescent="0.65">
      <c r="B29" s="17"/>
      <c r="E29" s="128" t="s">
        <v>331</v>
      </c>
      <c r="F29" s="17"/>
      <c r="G29" s="17"/>
      <c r="H29" s="17"/>
      <c r="L29" s="257"/>
      <c r="M29" s="257"/>
    </row>
    <row r="30" spans="2:14" ht="22.5" thickBot="1" x14ac:dyDescent="0.7">
      <c r="B30" s="17"/>
      <c r="C30" s="71" t="s">
        <v>423</v>
      </c>
      <c r="D30" s="135" t="s">
        <v>424</v>
      </c>
      <c r="E30" s="413"/>
      <c r="F30" s="413"/>
      <c r="G30" s="253"/>
      <c r="H30" s="17"/>
      <c r="L30" s="257"/>
      <c r="M30" s="257"/>
    </row>
    <row r="31" spans="2:14" ht="26" thickBot="1" x14ac:dyDescent="0.8">
      <c r="B31" s="17"/>
      <c r="C31" s="136">
        <f>Referentieberekening!D69</f>
        <v>11649.979499999999</v>
      </c>
      <c r="D31" s="139">
        <f>Inschrijfberekening!D42</f>
        <v>2048.8000000000002</v>
      </c>
      <c r="E31" s="382">
        <f>Inschrijfberekening!D42-Referentieberekening!D69</f>
        <v>-9601.1794999999984</v>
      </c>
      <c r="F31" s="384"/>
      <c r="G31" s="161">
        <f>(D31/C31)-1</f>
        <v>-0.82413702959734825</v>
      </c>
      <c r="H31" s="71" t="s">
        <v>1242</v>
      </c>
      <c r="L31" s="256">
        <f>G31</f>
        <v>-0.82413702959734825</v>
      </c>
      <c r="M31" s="255" t="str">
        <f t="shared" ref="M31:M33" si="0">H31</f>
        <v>Aandeel Primaire grondstoffen</v>
      </c>
    </row>
    <row r="32" spans="2:14" ht="26" thickBot="1" x14ac:dyDescent="0.8">
      <c r="B32" s="17"/>
      <c r="C32" s="136">
        <f>Referentieberekening!D70</f>
        <v>33234.281999999999</v>
      </c>
      <c r="D32" s="139">
        <f>Inschrijfberekening!D43</f>
        <v>0</v>
      </c>
      <c r="E32" s="382">
        <f>Inschrijfberekening!D43-Referentieberekening!D70</f>
        <v>-33234.281999999999</v>
      </c>
      <c r="F32" s="384"/>
      <c r="G32" s="161">
        <f>(D32/C32)-1</f>
        <v>-1</v>
      </c>
      <c r="H32" s="71" t="s">
        <v>1243</v>
      </c>
      <c r="L32" s="256">
        <f>G32</f>
        <v>-1</v>
      </c>
      <c r="M32" s="255" t="str">
        <f t="shared" si="0"/>
        <v>Aandeel Secundaire grondstoffen</v>
      </c>
    </row>
    <row r="33" spans="2:14" ht="26" thickBot="1" x14ac:dyDescent="0.8">
      <c r="B33" s="17"/>
      <c r="C33" s="136">
        <f>Referentieberekening!D71</f>
        <v>44884.261500000001</v>
      </c>
      <c r="D33" s="139">
        <f>Inschrijfberekening!D44</f>
        <v>2048.8000000000002</v>
      </c>
      <c r="E33" s="382">
        <f>Inschrijfberekening!D44-Referentieberekening!D71</f>
        <v>-42835.461499999998</v>
      </c>
      <c r="F33" s="384"/>
      <c r="G33" s="161">
        <f>(D33/C33)-1</f>
        <v>-0.95435371037574046</v>
      </c>
      <c r="H33" s="71" t="s">
        <v>1244</v>
      </c>
      <c r="L33" s="264">
        <f>G33</f>
        <v>-0.95435371037574046</v>
      </c>
      <c r="M33" s="265" t="str">
        <f t="shared" si="0"/>
        <v>Totaal Grondstoffen</v>
      </c>
    </row>
    <row r="34" spans="2:14" ht="19.5" x14ac:dyDescent="0.55000000000000004">
      <c r="B34" s="17"/>
      <c r="E34" s="17"/>
      <c r="F34" s="17"/>
      <c r="G34" s="17"/>
      <c r="H34" s="17"/>
      <c r="L34" s="257"/>
      <c r="M34" s="257"/>
    </row>
    <row r="35" spans="2:14" ht="22" x14ac:dyDescent="0.65">
      <c r="B35" s="17"/>
      <c r="E35" s="128" t="s">
        <v>358</v>
      </c>
      <c r="F35" s="17"/>
      <c r="G35" s="17"/>
      <c r="H35" s="17"/>
      <c r="L35" s="257"/>
      <c r="M35" s="257"/>
    </row>
    <row r="36" spans="2:14" ht="22.5" thickBot="1" x14ac:dyDescent="0.7">
      <c r="B36" s="17"/>
      <c r="C36" s="71" t="s">
        <v>423</v>
      </c>
      <c r="D36" s="135" t="s">
        <v>424</v>
      </c>
      <c r="E36" s="413"/>
      <c r="F36" s="413"/>
      <c r="G36" s="253"/>
      <c r="H36" s="17"/>
      <c r="L36" s="257"/>
      <c r="M36" s="257"/>
    </row>
    <row r="37" spans="2:14" ht="26" thickBot="1" x14ac:dyDescent="0.8">
      <c r="B37" s="17"/>
      <c r="C37" s="140">
        <f>Referentieberekening!D74</f>
        <v>110.83316985100723</v>
      </c>
      <c r="D37" s="139">
        <f>Inschrijfberekening!D48</f>
        <v>0.51476339803897109</v>
      </c>
      <c r="E37" s="382">
        <f>Inschrijfberekening!D48-Referentieberekening!D74</f>
        <v>-110.31840645296826</v>
      </c>
      <c r="F37" s="384"/>
      <c r="G37" s="162">
        <f>(D37/C37)-1</f>
        <v>-0.99535551136242906</v>
      </c>
      <c r="H37" s="71" t="s">
        <v>1278</v>
      </c>
      <c r="L37" s="256">
        <f>G37</f>
        <v>-0.99535551136242906</v>
      </c>
      <c r="M37" s="255" t="str">
        <f t="shared" ref="M37:M39" si="1">H37</f>
        <v>Aandeel Hernieuwbare energie</v>
      </c>
    </row>
    <row r="38" spans="2:14" ht="26" thickBot="1" x14ac:dyDescent="0.8">
      <c r="B38" s="17"/>
      <c r="C38" s="140">
        <f>Referentieberekening!D75</f>
        <v>8440.2166287997443</v>
      </c>
      <c r="D38" s="139">
        <f>Inschrijfberekening!D49</f>
        <v>39.89366062224849</v>
      </c>
      <c r="E38" s="382">
        <f>Inschrijfberekening!D49-Referentieberekening!D75</f>
        <v>-8400.3229681774956</v>
      </c>
      <c r="F38" s="384"/>
      <c r="G38" s="162">
        <f>(D38/C38)-1</f>
        <v>-0.99527338427711398</v>
      </c>
      <c r="H38" s="71" t="s">
        <v>1279</v>
      </c>
      <c r="L38" s="256">
        <f>G38</f>
        <v>-0.99527338427711398</v>
      </c>
      <c r="M38" s="255" t="str">
        <f t="shared" si="1"/>
        <v>Aandeel Fossiele energie</v>
      </c>
    </row>
    <row r="39" spans="2:14" ht="26" thickBot="1" x14ac:dyDescent="0.8">
      <c r="B39" s="17"/>
      <c r="C39" s="140">
        <f>Referentieberekening!D76</f>
        <v>8551.0497986507507</v>
      </c>
      <c r="D39" s="139">
        <f>Inschrijfberekening!D50</f>
        <v>40.408424020287462</v>
      </c>
      <c r="E39" s="382">
        <f>Inschrijfberekening!D50-Referentieberekening!D76</f>
        <v>-8510.6413746304625</v>
      </c>
      <c r="F39" s="384"/>
      <c r="G39" s="162">
        <v>-0.14560645513199133</v>
      </c>
      <c r="H39" s="71" t="s">
        <v>317</v>
      </c>
      <c r="L39" s="264">
        <f>G39</f>
        <v>-0.14560645513199133</v>
      </c>
      <c r="M39" s="265" t="str">
        <f t="shared" si="1"/>
        <v>Totaal Energie</v>
      </c>
      <c r="N39" s="266"/>
    </row>
    <row r="40" spans="2:14" ht="18.5" x14ac:dyDescent="0.45">
      <c r="L40" s="257"/>
      <c r="M40" s="257"/>
    </row>
    <row r="41" spans="2:14" ht="18.5" x14ac:dyDescent="0.45">
      <c r="L41" s="257"/>
      <c r="M41" s="257"/>
    </row>
    <row r="42" spans="2:14" ht="22" x14ac:dyDescent="0.65">
      <c r="E42" s="128" t="s">
        <v>362</v>
      </c>
      <c r="G42" s="258"/>
      <c r="H42" s="258"/>
      <c r="L42" s="257"/>
      <c r="M42" s="257"/>
    </row>
    <row r="43" spans="2:14" ht="18.5" x14ac:dyDescent="0.45">
      <c r="L43" s="257"/>
      <c r="M43" s="257"/>
    </row>
    <row r="44" spans="2:14" ht="20" thickBot="1" x14ac:dyDescent="0.6">
      <c r="C44" s="142" t="s">
        <v>423</v>
      </c>
      <c r="D44" s="143" t="s">
        <v>424</v>
      </c>
      <c r="E44" s="413"/>
      <c r="F44" s="413"/>
      <c r="L44" s="257"/>
      <c r="M44" s="257"/>
    </row>
    <row r="45" spans="2:14" ht="22.5" thickBot="1" x14ac:dyDescent="0.6">
      <c r="C45" s="141">
        <f>Referentieberekening!D79</f>
        <v>0</v>
      </c>
      <c r="D45" s="141">
        <f>Inschrijfberekening!D55</f>
        <v>0</v>
      </c>
      <c r="E45" s="382">
        <f>Inschrijfberekening!D55-Referentieberekening!D79</f>
        <v>0</v>
      </c>
      <c r="F45" s="383"/>
      <c r="G45" s="98">
        <f>IFERROR(D45/C45,1)</f>
        <v>1</v>
      </c>
      <c r="H45" s="71" t="s">
        <v>1283</v>
      </c>
      <c r="L45" s="256">
        <f>G45</f>
        <v>1</v>
      </c>
      <c r="M45" s="255" t="str">
        <f t="shared" ref="M45:M47" si="2">H45</f>
        <v>Aandeel Emissieloos Transport</v>
      </c>
    </row>
    <row r="46" spans="2:14" ht="22.5" thickBot="1" x14ac:dyDescent="0.6">
      <c r="C46" s="141">
        <f>Referentieberekening!D80-Referentieberekening!D79</f>
        <v>3568267.5750000002</v>
      </c>
      <c r="D46" s="141">
        <f>Inschrijfberekening!D57-Inschrijfberekening!D55</f>
        <v>204880</v>
      </c>
      <c r="E46" s="382">
        <f>Inschrijfberekening!D57-Referentieberekening!D80</f>
        <v>-3363387.5750000002</v>
      </c>
      <c r="F46" s="383"/>
      <c r="G46" s="98">
        <f>IFERROR(D46/C46,1)</f>
        <v>5.7417218774575778E-2</v>
      </c>
      <c r="H46" s="71" t="s">
        <v>1282</v>
      </c>
      <c r="L46" s="256">
        <f>G46</f>
        <v>5.7417218774575778E-2</v>
      </c>
      <c r="M46" s="255" t="str">
        <f t="shared" si="2"/>
        <v>Aandeel Niet Emissieloos Transport</v>
      </c>
    </row>
    <row r="47" spans="2:14" ht="22.5" thickBot="1" x14ac:dyDescent="0.6">
      <c r="C47" s="141">
        <f>C46+C45</f>
        <v>3568267.5750000002</v>
      </c>
      <c r="D47" s="141">
        <f>D46+D45</f>
        <v>204880</v>
      </c>
      <c r="E47" s="411">
        <f>E46+E45</f>
        <v>-3363387.5750000002</v>
      </c>
      <c r="F47" s="412"/>
      <c r="G47" s="98">
        <f>IFERROR(D47/C47,1)</f>
        <v>5.7417218774575778E-2</v>
      </c>
      <c r="H47" s="71" t="s">
        <v>498</v>
      </c>
      <c r="L47" s="264">
        <f>G47</f>
        <v>5.7417218774575778E-2</v>
      </c>
      <c r="M47" s="265" t="str">
        <f t="shared" si="2"/>
        <v>Totaal Transport</v>
      </c>
      <c r="N47" s="266"/>
    </row>
    <row r="48" spans="2:14" ht="18.5" x14ac:dyDescent="0.45">
      <c r="L48" s="257"/>
      <c r="M48" s="257"/>
    </row>
    <row r="49" spans="3:13" ht="22" x14ac:dyDescent="0.65">
      <c r="E49" s="147" t="s">
        <v>437</v>
      </c>
      <c r="G49" s="258"/>
      <c r="H49" s="258"/>
      <c r="L49" s="257"/>
      <c r="M49" s="257"/>
    </row>
    <row r="50" spans="3:13" ht="18.5" x14ac:dyDescent="0.45">
      <c r="L50" s="257"/>
      <c r="M50" s="257"/>
    </row>
    <row r="51" spans="3:13" ht="20" thickBot="1" x14ac:dyDescent="0.6">
      <c r="C51" s="142" t="s">
        <v>423</v>
      </c>
      <c r="D51" s="143" t="s">
        <v>424</v>
      </c>
      <c r="E51" s="413"/>
      <c r="F51" s="413"/>
      <c r="L51" s="256"/>
      <c r="M51" s="257"/>
    </row>
    <row r="52" spans="3:13" ht="22.5" thickBot="1" x14ac:dyDescent="0.6">
      <c r="C52" s="141">
        <f>Referentieberekening!D84</f>
        <v>0</v>
      </c>
      <c r="D52" s="141">
        <f>Inschrijfberekening!D61</f>
        <v>0</v>
      </c>
      <c r="E52" s="382">
        <f>D52-C52</f>
        <v>0</v>
      </c>
      <c r="F52" s="383"/>
      <c r="G52" s="98">
        <f>IFERROR(D52/C52,1)</f>
        <v>1</v>
      </c>
      <c r="H52" s="71" t="s">
        <v>1280</v>
      </c>
      <c r="L52" s="256">
        <f>G52</f>
        <v>1</v>
      </c>
      <c r="M52" s="255" t="str">
        <f t="shared" ref="M52:M54" si="3">H52</f>
        <v>Emissieloos Materieel</v>
      </c>
    </row>
    <row r="53" spans="3:13" ht="22.5" thickBot="1" x14ac:dyDescent="0.6">
      <c r="C53" s="141">
        <f>Referentieberekening!D85-Referentieberekening!D84</f>
        <v>636.36237200000005</v>
      </c>
      <c r="D53" s="141">
        <f>Inschrijfberekening!D63-Inschrijfberekening!D61</f>
        <v>0.26</v>
      </c>
      <c r="E53" s="382">
        <f>D53-C53</f>
        <v>-636.10237200000006</v>
      </c>
      <c r="F53" s="383"/>
      <c r="G53" s="98">
        <f>IFERROR(D53/C53,1)</f>
        <v>4.0857224034610267E-4</v>
      </c>
      <c r="H53" s="71" t="s">
        <v>1281</v>
      </c>
      <c r="L53" s="256">
        <f>G53</f>
        <v>4.0857224034610267E-4</v>
      </c>
      <c r="M53" s="255" t="str">
        <f t="shared" si="3"/>
        <v>Niet Emissieloos Materieel</v>
      </c>
    </row>
    <row r="54" spans="3:13" ht="22.5" thickBot="1" x14ac:dyDescent="0.6">
      <c r="C54" s="141">
        <f>C53+C52</f>
        <v>636.36237200000005</v>
      </c>
      <c r="D54" s="141">
        <f>D53+D52</f>
        <v>0.26</v>
      </c>
      <c r="E54" s="382">
        <f>D54-C54</f>
        <v>-636.10237200000006</v>
      </c>
      <c r="F54" s="383"/>
      <c r="G54" s="98">
        <f>IFERROR(D54/C54,1)</f>
        <v>4.0857224034610267E-4</v>
      </c>
      <c r="H54" s="71" t="s">
        <v>1284</v>
      </c>
      <c r="L54" s="264">
        <f>G54</f>
        <v>4.0857224034610267E-4</v>
      </c>
      <c r="M54" s="265" t="str">
        <f t="shared" si="3"/>
        <v>Totaal Materieel</v>
      </c>
    </row>
    <row r="55" spans="3:13" ht="22" x14ac:dyDescent="0.65">
      <c r="E55" s="128" t="s">
        <v>332</v>
      </c>
      <c r="L55" s="257"/>
      <c r="M55" s="257"/>
    </row>
    <row r="56" spans="3:13" ht="22.5" thickBot="1" x14ac:dyDescent="0.7">
      <c r="C56" s="71" t="s">
        <v>423</v>
      </c>
      <c r="D56" s="135" t="s">
        <v>424</v>
      </c>
      <c r="E56" s="413"/>
      <c r="F56" s="413"/>
      <c r="G56" s="253"/>
      <c r="L56" s="257"/>
      <c r="M56" s="257"/>
    </row>
    <row r="57" spans="3:13" ht="22.5" thickBot="1" x14ac:dyDescent="0.6">
      <c r="C57" s="99">
        <f>SUM(Invoer_Referentie[Kostenraming '[€']])</f>
        <v>0</v>
      </c>
      <c r="D57" s="99">
        <f>SUM(Invoer_Inschrijf[Inschrijfprijs '[€']])</f>
        <v>0</v>
      </c>
      <c r="E57" s="416">
        <f>D57-C57</f>
        <v>0</v>
      </c>
      <c r="F57" s="417"/>
      <c r="G57" s="153" t="e">
        <f>1-(C57/D57)</f>
        <v>#DIV/0!</v>
      </c>
      <c r="H57" s="71" t="s">
        <v>336</v>
      </c>
      <c r="L57" s="256" t="e">
        <f>G57</f>
        <v>#DIV/0!</v>
      </c>
      <c r="M57" s="255" t="str">
        <f t="shared" ref="M57:M58" si="4">H57</f>
        <v>Totale meerprijs</v>
      </c>
    </row>
    <row r="58" spans="3:13" ht="22.5" thickBot="1" x14ac:dyDescent="0.6">
      <c r="C58" s="152">
        <f>C57/C21</f>
        <v>0</v>
      </c>
      <c r="D58" s="152">
        <f>D57/D21</f>
        <v>0</v>
      </c>
      <c r="E58" s="418">
        <f>E57/-E21</f>
        <v>0</v>
      </c>
      <c r="F58" s="419"/>
      <c r="G58" s="254"/>
      <c r="H58" s="71" t="s">
        <v>431</v>
      </c>
      <c r="L58" s="256" t="s">
        <v>1245</v>
      </c>
      <c r="M58" s="255" t="str">
        <f t="shared" si="4"/>
        <v>€ / MKI</v>
      </c>
    </row>
    <row r="59" spans="3:13" ht="18.5" x14ac:dyDescent="0.45">
      <c r="M59" s="257"/>
    </row>
    <row r="60" spans="3:13" ht="18.5" x14ac:dyDescent="0.45">
      <c r="M60" s="257"/>
    </row>
  </sheetData>
  <mergeCells count="23">
    <mergeCell ref="E57:F57"/>
    <mergeCell ref="E58:F58"/>
    <mergeCell ref="E36:F36"/>
    <mergeCell ref="E30:F30"/>
    <mergeCell ref="E25:F25"/>
    <mergeCell ref="E26:F26"/>
    <mergeCell ref="E31:F31"/>
    <mergeCell ref="E32:F32"/>
    <mergeCell ref="E33:F33"/>
    <mergeCell ref="E37:F37"/>
    <mergeCell ref="E38:F38"/>
    <mergeCell ref="E39:F39"/>
    <mergeCell ref="E51:F51"/>
    <mergeCell ref="E52:F52"/>
    <mergeCell ref="E53:F53"/>
    <mergeCell ref="E45:F45"/>
    <mergeCell ref="E54:F54"/>
    <mergeCell ref="E47:F47"/>
    <mergeCell ref="E20:F20"/>
    <mergeCell ref="E56:F56"/>
    <mergeCell ref="E44:F44"/>
    <mergeCell ref="E21:F21"/>
    <mergeCell ref="E46:F46"/>
  </mergeCells>
  <conditionalFormatting sqref="E21">
    <cfRule type="cellIs" dxfId="449" priority="107" operator="lessThan">
      <formula>0</formula>
    </cfRule>
    <cfRule type="cellIs" dxfId="448" priority="108" operator="greaterThan">
      <formula>0</formula>
    </cfRule>
  </conditionalFormatting>
  <conditionalFormatting sqref="E26">
    <cfRule type="cellIs" dxfId="447" priority="105" operator="lessThan">
      <formula>0</formula>
    </cfRule>
    <cfRule type="cellIs" dxfId="446" priority="106" operator="greaterThan">
      <formula>0</formula>
    </cfRule>
  </conditionalFormatting>
  <conditionalFormatting sqref="E31">
    <cfRule type="cellIs" dxfId="445" priority="103" operator="lessThan">
      <formula>0</formula>
    </cfRule>
    <cfRule type="cellIs" dxfId="444" priority="104" operator="greaterThan">
      <formula>0</formula>
    </cfRule>
  </conditionalFormatting>
  <conditionalFormatting sqref="E32">
    <cfRule type="cellIs" dxfId="443" priority="101" operator="lessThan">
      <formula>0</formula>
    </cfRule>
    <cfRule type="cellIs" dxfId="442" priority="102" operator="greaterThan">
      <formula>0</formula>
    </cfRule>
  </conditionalFormatting>
  <conditionalFormatting sqref="E37">
    <cfRule type="cellIs" dxfId="441" priority="95" operator="greaterThan">
      <formula>0</formula>
    </cfRule>
    <cfRule type="cellIs" dxfId="440" priority="96" operator="lessThan">
      <formula>0</formula>
    </cfRule>
  </conditionalFormatting>
  <conditionalFormatting sqref="E38">
    <cfRule type="cellIs" dxfId="439" priority="93" operator="lessThan">
      <formula>0</formula>
    </cfRule>
    <cfRule type="cellIs" dxfId="438" priority="94" operator="greaterThan">
      <formula>0</formula>
    </cfRule>
  </conditionalFormatting>
  <conditionalFormatting sqref="E39">
    <cfRule type="cellIs" dxfId="437" priority="91" operator="lessThan">
      <formula>0</formula>
    </cfRule>
    <cfRule type="cellIs" dxfId="436" priority="92" operator="greaterThan">
      <formula>0</formula>
    </cfRule>
  </conditionalFormatting>
  <conditionalFormatting sqref="E45">
    <cfRule type="cellIs" dxfId="435" priority="89" operator="greaterThan">
      <formula>0</formula>
    </cfRule>
    <cfRule type="cellIs" dxfId="434" priority="90" operator="lessThan">
      <formula>0</formula>
    </cfRule>
  </conditionalFormatting>
  <conditionalFormatting sqref="E46">
    <cfRule type="cellIs" dxfId="433" priority="85" operator="lessThan">
      <formula>0</formula>
    </cfRule>
    <cfRule type="cellIs" dxfId="432" priority="86" operator="greaterThan">
      <formula>0</formula>
    </cfRule>
  </conditionalFormatting>
  <conditionalFormatting sqref="E52">
    <cfRule type="cellIs" dxfId="431" priority="79" operator="greaterThan">
      <formula>0</formula>
    </cfRule>
    <cfRule type="cellIs" dxfId="430" priority="80" operator="lessThan">
      <formula>0</formula>
    </cfRule>
  </conditionalFormatting>
  <conditionalFormatting sqref="E53">
    <cfRule type="cellIs" dxfId="429" priority="75" operator="lessThan">
      <formula>0</formula>
    </cfRule>
    <cfRule type="cellIs" dxfId="428" priority="76" operator="greaterThan">
      <formula>0</formula>
    </cfRule>
  </conditionalFormatting>
  <conditionalFormatting sqref="G21">
    <cfRule type="cellIs" dxfId="427" priority="51" operator="lessThan">
      <formula>0</formula>
    </cfRule>
    <cfRule type="cellIs" dxfId="426" priority="52" operator="greaterThan">
      <formula>0</formula>
    </cfRule>
  </conditionalFormatting>
  <conditionalFormatting sqref="G32">
    <cfRule type="cellIs" dxfId="425" priority="49" operator="lessThan">
      <formula>0</formula>
    </cfRule>
    <cfRule type="cellIs" dxfId="424" priority="50" operator="greaterThan">
      <formula>0</formula>
    </cfRule>
  </conditionalFormatting>
  <conditionalFormatting sqref="G38">
    <cfRule type="cellIs" dxfId="423" priority="44" operator="greaterThan">
      <formula>0</formula>
    </cfRule>
    <cfRule type="cellIs" dxfId="422" priority="47" operator="greaterThan">
      <formula>0</formula>
    </cfRule>
    <cfRule type="cellIs" dxfId="421" priority="48" operator="lessThan">
      <formula>0</formula>
    </cfRule>
  </conditionalFormatting>
  <conditionalFormatting sqref="G39">
    <cfRule type="cellIs" dxfId="420" priority="45" operator="greaterThan">
      <formula>0</formula>
    </cfRule>
    <cfRule type="cellIs" dxfId="419" priority="46" operator="lessThan">
      <formula>0</formula>
    </cfRule>
  </conditionalFormatting>
  <conditionalFormatting sqref="G26">
    <cfRule type="cellIs" dxfId="418" priority="42" operator="lessThan">
      <formula>0</formula>
    </cfRule>
    <cfRule type="cellIs" dxfId="417" priority="43" operator="greaterThan">
      <formula>0</formula>
    </cfRule>
  </conditionalFormatting>
  <conditionalFormatting sqref="G31">
    <cfRule type="cellIs" dxfId="416" priority="40" operator="lessThan">
      <formula>0</formula>
    </cfRule>
    <cfRule type="cellIs" dxfId="415" priority="41" operator="greaterThan">
      <formula>0</formula>
    </cfRule>
  </conditionalFormatting>
  <conditionalFormatting sqref="G37">
    <cfRule type="cellIs" dxfId="414" priority="37" operator="greaterThan">
      <formula>0</formula>
    </cfRule>
    <cfRule type="cellIs" dxfId="413" priority="38" operator="greaterThan">
      <formula>0</formula>
    </cfRule>
    <cfRule type="cellIs" dxfId="412" priority="39" operator="lessThan">
      <formula>0</formula>
    </cfRule>
  </conditionalFormatting>
  <conditionalFormatting sqref="G33">
    <cfRule type="cellIs" dxfId="411" priority="35" operator="lessThan">
      <formula>0</formula>
    </cfRule>
    <cfRule type="cellIs" dxfId="410" priority="36" operator="greaterThan">
      <formula>0</formula>
    </cfRule>
  </conditionalFormatting>
  <conditionalFormatting sqref="L21">
    <cfRule type="cellIs" dxfId="409" priority="33" operator="lessThan">
      <formula>0</formula>
    </cfRule>
    <cfRule type="cellIs" dxfId="408" priority="34" operator="greaterThan">
      <formula>0</formula>
    </cfRule>
  </conditionalFormatting>
  <conditionalFormatting sqref="L26">
    <cfRule type="cellIs" dxfId="407" priority="31" operator="lessThan">
      <formula>0</formula>
    </cfRule>
    <cfRule type="cellIs" dxfId="406" priority="32" operator="greaterThan">
      <formula>0</formula>
    </cfRule>
  </conditionalFormatting>
  <conditionalFormatting sqref="L31">
    <cfRule type="cellIs" dxfId="405" priority="29" operator="lessThan">
      <formula>0</formula>
    </cfRule>
    <cfRule type="cellIs" dxfId="404" priority="30" operator="greaterThan">
      <formula>0</formula>
    </cfRule>
  </conditionalFormatting>
  <conditionalFormatting sqref="L32">
    <cfRule type="cellIs" dxfId="403" priority="27" operator="greaterThan">
      <formula>0</formula>
    </cfRule>
    <cfRule type="cellIs" dxfId="402" priority="28" operator="lessThan">
      <formula>0</formula>
    </cfRule>
  </conditionalFormatting>
  <conditionalFormatting sqref="L33">
    <cfRule type="cellIs" dxfId="401" priority="25" operator="lessThan">
      <formula>0</formula>
    </cfRule>
    <cfRule type="cellIs" dxfId="400" priority="26" operator="greaterThan">
      <formula>0</formula>
    </cfRule>
  </conditionalFormatting>
  <conditionalFormatting sqref="L37">
    <cfRule type="cellIs" dxfId="399" priority="21" operator="greaterThan">
      <formula>0</formula>
    </cfRule>
    <cfRule type="cellIs" dxfId="398" priority="22" operator="lessThan">
      <formula>0</formula>
    </cfRule>
  </conditionalFormatting>
  <conditionalFormatting sqref="L38">
    <cfRule type="cellIs" dxfId="397" priority="19" operator="lessThan">
      <formula>0</formula>
    </cfRule>
    <cfRule type="cellIs" dxfId="396" priority="20" operator="greaterThan">
      <formula>0</formula>
    </cfRule>
  </conditionalFormatting>
  <conditionalFormatting sqref="L39">
    <cfRule type="cellIs" dxfId="395" priority="17" operator="lessThan">
      <formula>0</formula>
    </cfRule>
    <cfRule type="cellIs" dxfId="394" priority="18" operator="greaterThan">
      <formula>0</formula>
    </cfRule>
  </conditionalFormatting>
  <conditionalFormatting sqref="L46">
    <cfRule type="cellIs" dxfId="393" priority="13" operator="lessThan">
      <formula>0</formula>
    </cfRule>
    <cfRule type="cellIs" dxfId="392" priority="14" operator="greaterThan">
      <formula>0</formula>
    </cfRule>
  </conditionalFormatting>
  <conditionalFormatting sqref="L52">
    <cfRule type="cellIs" dxfId="391" priority="11" operator="greaterThan">
      <formula>0</formula>
    </cfRule>
    <cfRule type="cellIs" dxfId="390" priority="12" operator="lessThan">
      <formula>0</formula>
    </cfRule>
  </conditionalFormatting>
  <conditionalFormatting sqref="L53">
    <cfRule type="cellIs" dxfId="389" priority="9" operator="lessThan">
      <formula>0</formula>
    </cfRule>
    <cfRule type="cellIs" dxfId="388" priority="10" operator="greaterThan">
      <formula>0</formula>
    </cfRule>
  </conditionalFormatting>
  <conditionalFormatting sqref="L45">
    <cfRule type="cellIs" dxfId="387" priority="7" operator="greaterThan">
      <formula>0</formula>
    </cfRule>
    <cfRule type="cellIs" dxfId="386" priority="8" operator="lessThan">
      <formula>0</formula>
    </cfRule>
  </conditionalFormatting>
  <conditionalFormatting sqref="L47">
    <cfRule type="cellIs" dxfId="385" priority="5" operator="lessThan">
      <formula>0</formula>
    </cfRule>
    <cfRule type="cellIs" dxfId="384" priority="6" operator="greaterThan">
      <formula>0</formula>
    </cfRule>
  </conditionalFormatting>
  <conditionalFormatting sqref="E54">
    <cfRule type="cellIs" dxfId="383" priority="3" operator="lessThan">
      <formula>0</formula>
    </cfRule>
    <cfRule type="cellIs" dxfId="382" priority="4" operator="greaterThan">
      <formula>0</formula>
    </cfRule>
  </conditionalFormatting>
  <conditionalFormatting sqref="L54">
    <cfRule type="cellIs" dxfId="381" priority="1" operator="lessThan">
      <formula>0</formula>
    </cfRule>
    <cfRule type="cellIs" dxfId="380" priority="2" operator="greaterThan">
      <formula>0</formula>
    </cfRule>
  </conditionalFormatting>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F1B5D-CA6C-437D-9D7B-F1171A46B6AB}">
  <sheetPr codeName="Blad8"/>
  <dimension ref="A1:BV1287"/>
  <sheetViews>
    <sheetView topLeftCell="A1162" zoomScale="55" zoomScaleNormal="55" workbookViewId="0">
      <pane xSplit="1" topLeftCell="B1" activePane="topRight" state="frozen"/>
      <selection activeCell="D125" sqref="D125"/>
      <selection pane="topRight" activeCell="D125" sqref="D125"/>
    </sheetView>
  </sheetViews>
  <sheetFormatPr defaultColWidth="9.1796875" defaultRowHeight="14.5" x14ac:dyDescent="0.35"/>
  <cols>
    <col min="1" max="1" width="83.7265625" style="41" customWidth="1"/>
    <col min="2" max="2" width="49.1796875" style="41" bestFit="1" customWidth="1"/>
    <col min="3" max="3" width="27.7265625" style="41" customWidth="1"/>
    <col min="4" max="4" width="34.7265625" style="41" customWidth="1"/>
    <col min="5" max="5" width="37.7265625" style="41" customWidth="1"/>
    <col min="6" max="6" width="24.26953125" style="41" customWidth="1"/>
    <col min="7" max="7" width="28.81640625" style="41" customWidth="1"/>
    <col min="8" max="8" width="68" style="41" customWidth="1"/>
    <col min="9" max="9" width="45.7265625" style="41" customWidth="1"/>
    <col min="10" max="10" width="57" style="41" bestFit="1" customWidth="1"/>
    <col min="11" max="11" width="51.54296875" style="41" bestFit="1" customWidth="1"/>
    <col min="12" max="12" width="62.81640625" style="41" customWidth="1"/>
    <col min="13" max="13" width="47.1796875" style="41" customWidth="1"/>
    <col min="14" max="14" width="48" style="41" customWidth="1"/>
    <col min="15" max="62" width="10.7265625" style="41" customWidth="1"/>
    <col min="63" max="16384" width="9.1796875" style="41"/>
  </cols>
  <sheetData>
    <row r="1" spans="1:65" x14ac:dyDescent="0.35">
      <c r="A1" s="41" t="s">
        <v>626</v>
      </c>
    </row>
    <row r="2" spans="1:65" ht="15.5" x14ac:dyDescent="0.35">
      <c r="A2" s="41" t="s">
        <v>17</v>
      </c>
      <c r="B2" s="41" t="s">
        <v>4</v>
      </c>
      <c r="C2" s="41" t="s">
        <v>5</v>
      </c>
      <c r="D2" s="41" t="s">
        <v>442</v>
      </c>
      <c r="E2" s="41" t="s">
        <v>57</v>
      </c>
      <c r="F2" s="41" t="s">
        <v>18</v>
      </c>
      <c r="G2" s="41" t="s">
        <v>1257</v>
      </c>
      <c r="H2" s="41" t="s">
        <v>1258</v>
      </c>
      <c r="I2" s="41" t="s">
        <v>1259</v>
      </c>
      <c r="J2" s="41" t="s">
        <v>1260</v>
      </c>
      <c r="K2" s="41" t="s">
        <v>1261</v>
      </c>
      <c r="L2" s="41" t="s">
        <v>14</v>
      </c>
      <c r="M2" s="41" t="s">
        <v>7</v>
      </c>
      <c r="N2" s="41" t="s">
        <v>15</v>
      </c>
      <c r="O2" s="234" t="s">
        <v>627</v>
      </c>
      <c r="P2" s="235" t="s">
        <v>628</v>
      </c>
      <c r="Q2" s="235" t="s">
        <v>629</v>
      </c>
      <c r="R2" s="235" t="s">
        <v>630</v>
      </c>
      <c r="S2" s="236" t="s">
        <v>631</v>
      </c>
      <c r="T2" s="235" t="s">
        <v>632</v>
      </c>
      <c r="U2" s="235" t="s">
        <v>633</v>
      </c>
      <c r="V2" s="235" t="s">
        <v>634</v>
      </c>
      <c r="W2" s="235" t="s">
        <v>635</v>
      </c>
      <c r="X2" s="235" t="s">
        <v>636</v>
      </c>
      <c r="Y2" s="235" t="s">
        <v>637</v>
      </c>
      <c r="Z2" s="235" t="s">
        <v>638</v>
      </c>
      <c r="AA2" s="235" t="s">
        <v>639</v>
      </c>
      <c r="AB2" s="235" t="s">
        <v>640</v>
      </c>
      <c r="AC2" s="236" t="s">
        <v>641</v>
      </c>
      <c r="AD2" s="236" t="s">
        <v>642</v>
      </c>
      <c r="AE2" s="235" t="s">
        <v>643</v>
      </c>
      <c r="AF2" s="235" t="s">
        <v>644</v>
      </c>
      <c r="AG2" s="236" t="s">
        <v>645</v>
      </c>
      <c r="AH2" s="235" t="s">
        <v>646</v>
      </c>
      <c r="AI2" s="235" t="s">
        <v>647</v>
      </c>
      <c r="AJ2" s="236" t="s">
        <v>648</v>
      </c>
      <c r="AK2" s="236" t="s">
        <v>649</v>
      </c>
      <c r="AL2" s="236" t="s">
        <v>650</v>
      </c>
      <c r="AM2" s="236" t="s">
        <v>651</v>
      </c>
      <c r="AN2" s="236" t="s">
        <v>652</v>
      </c>
      <c r="AO2" s="236" t="s">
        <v>653</v>
      </c>
      <c r="AP2" s="236" t="s">
        <v>654</v>
      </c>
      <c r="AQ2" s="236" t="s">
        <v>655</v>
      </c>
      <c r="AR2" s="236" t="s">
        <v>656</v>
      </c>
      <c r="AS2" s="236" t="s">
        <v>657</v>
      </c>
      <c r="AT2" s="235" t="s">
        <v>658</v>
      </c>
      <c r="AU2" s="235" t="s">
        <v>659</v>
      </c>
      <c r="AV2" s="235" t="s">
        <v>660</v>
      </c>
      <c r="AW2" s="235" t="s">
        <v>661</v>
      </c>
      <c r="AX2" s="236" t="s">
        <v>662</v>
      </c>
      <c r="AY2" s="236" t="s">
        <v>663</v>
      </c>
      <c r="AZ2" s="236" t="s">
        <v>664</v>
      </c>
      <c r="BA2" s="236" t="s">
        <v>665</v>
      </c>
      <c r="BB2" s="236" t="s">
        <v>666</v>
      </c>
      <c r="BC2" s="236" t="s">
        <v>667</v>
      </c>
      <c r="BD2" s="236" t="s">
        <v>668</v>
      </c>
      <c r="BE2" s="236" t="s">
        <v>669</v>
      </c>
      <c r="BF2" s="236" t="s">
        <v>670</v>
      </c>
      <c r="BG2" s="236" t="s">
        <v>671</v>
      </c>
      <c r="BH2" s="236" t="s">
        <v>672</v>
      </c>
      <c r="BI2" s="236" t="s">
        <v>673</v>
      </c>
      <c r="BJ2" s="237" t="s">
        <v>674</v>
      </c>
      <c r="BK2" s="41" t="s">
        <v>315</v>
      </c>
      <c r="BL2" s="41" t="s">
        <v>59</v>
      </c>
      <c r="BM2" s="41" t="s">
        <v>61</v>
      </c>
    </row>
    <row r="3" spans="1:65" x14ac:dyDescent="0.35">
      <c r="A3" s="41" t="str">
        <f>Database_Productkaarten[[#This Row],[Product]]&amp;", "&amp;Database_Productkaarten[[#This Row],[Levensfase]]</f>
        <v>2L-ZOAB onderlaag - PCR 1.0, Totaal</v>
      </c>
      <c r="B3" s="41" t="s">
        <v>1337</v>
      </c>
      <c r="C3" s="41" t="s">
        <v>443</v>
      </c>
      <c r="D3" s="41" t="s">
        <v>469</v>
      </c>
      <c r="E3" s="41" t="s">
        <v>91</v>
      </c>
      <c r="F3" s="41" t="s">
        <v>16</v>
      </c>
      <c r="L3" s="41">
        <v>2.1</v>
      </c>
      <c r="M3" s="53">
        <v>7.9227205179871447</v>
      </c>
      <c r="N3" s="41">
        <v>13</v>
      </c>
      <c r="O3" s="52">
        <v>7.3543824016808601E-5</v>
      </c>
      <c r="P3" s="52">
        <v>0.81316909813131266</v>
      </c>
      <c r="Q3" s="52">
        <v>67.566848778291657</v>
      </c>
      <c r="R3" s="52">
        <v>8.1428533282209059E-6</v>
      </c>
      <c r="S3" s="52">
        <v>6.8653950692001406E-2</v>
      </c>
      <c r="T3" s="52">
        <v>0.30635485855891376</v>
      </c>
      <c r="U3" s="52">
        <v>4.0620848167480114E-2</v>
      </c>
      <c r="V3" s="52">
        <v>19.729334079163173</v>
      </c>
      <c r="W3" s="52">
        <v>4.2454244428604166</v>
      </c>
      <c r="X3" s="52">
        <v>7730.1737119907702</v>
      </c>
      <c r="Y3" s="52">
        <v>0.16335015515147297</v>
      </c>
      <c r="Z3" s="52"/>
      <c r="AA3" s="52"/>
      <c r="AB3" s="52"/>
      <c r="AC3" s="52"/>
      <c r="AD3" s="52"/>
      <c r="AE3" s="52"/>
      <c r="AF3" s="52"/>
      <c r="AG3" s="52"/>
      <c r="AH3" s="52"/>
      <c r="AI3" s="52"/>
      <c r="AJ3" s="52"/>
      <c r="AK3" s="52"/>
      <c r="AL3" s="52"/>
      <c r="AM3" s="52"/>
      <c r="AN3" s="52"/>
      <c r="AO3" s="52"/>
      <c r="AP3" s="52"/>
      <c r="AQ3" s="52"/>
      <c r="AR3" s="52"/>
      <c r="AS3" s="52"/>
      <c r="AT3" s="52"/>
      <c r="AU3" s="52">
        <v>23.233726084854695</v>
      </c>
      <c r="AV3" s="52"/>
      <c r="AW3" s="52"/>
      <c r="AX3" s="52">
        <v>1598.8373602752565</v>
      </c>
      <c r="AY3" s="52"/>
      <c r="AZ3" s="52"/>
      <c r="BA3" s="52"/>
      <c r="BB3" s="52">
        <v>11.235662737322732</v>
      </c>
      <c r="BC3" s="52">
        <v>9.4758857709459387E-4</v>
      </c>
      <c r="BD3" s="52">
        <v>3.2199470863975437</v>
      </c>
      <c r="BE3" s="52">
        <v>1.9269294297810356E-3</v>
      </c>
      <c r="BF3" s="52"/>
      <c r="BG3" s="52"/>
      <c r="BH3" s="52"/>
      <c r="BI3" s="52"/>
      <c r="BJ3" s="52"/>
      <c r="BK3" s="78">
        <v>0</v>
      </c>
      <c r="BL3" s="41" t="s">
        <v>109</v>
      </c>
      <c r="BM3" s="45"/>
    </row>
    <row r="4" spans="1:65" x14ac:dyDescent="0.35">
      <c r="A4" s="41" t="str">
        <f>Database_Productkaarten[[#This Row],[Product]]&amp;", "&amp;Database_Productkaarten[[#This Row],[Levensfase]]</f>
        <v>2L-ZOAB onderlaag - PCR 1.0, A1</v>
      </c>
      <c r="B4" s="41" t="s">
        <v>1337</v>
      </c>
      <c r="C4" s="41" t="s">
        <v>443</v>
      </c>
      <c r="D4" s="41" t="s">
        <v>469</v>
      </c>
      <c r="E4" s="41" t="s">
        <v>91</v>
      </c>
      <c r="F4" s="41" t="s">
        <v>19</v>
      </c>
      <c r="L4" s="41">
        <v>2.1</v>
      </c>
      <c r="M4" s="53">
        <v>6.7627354559999997</v>
      </c>
      <c r="N4" s="41">
        <v>13</v>
      </c>
      <c r="O4" s="52">
        <v>9.7296400000000013E-5</v>
      </c>
      <c r="P4" s="52">
        <v>1.0153236139999999</v>
      </c>
      <c r="Q4" s="52">
        <v>57.187113804000006</v>
      </c>
      <c r="R4" s="52">
        <v>4.0325341600000002E-6</v>
      </c>
      <c r="S4" s="52">
        <v>0.10719703999999999</v>
      </c>
      <c r="T4" s="52">
        <v>0.32559873600000006</v>
      </c>
      <c r="U4" s="52">
        <v>3.4164147999999998E-2</v>
      </c>
      <c r="V4" s="52">
        <v>13.163736867999997</v>
      </c>
      <c r="W4" s="52">
        <v>1.54333488</v>
      </c>
      <c r="X4" s="52">
        <v>6724.9920345280007</v>
      </c>
      <c r="Y4" s="52">
        <v>0.22217564800000003</v>
      </c>
      <c r="Z4" s="52"/>
      <c r="AA4" s="52"/>
      <c r="AB4" s="52"/>
      <c r="AC4" s="52"/>
      <c r="AD4" s="52"/>
      <c r="AE4" s="52"/>
      <c r="AF4" s="52"/>
      <c r="AG4" s="52"/>
      <c r="AH4" s="52"/>
      <c r="AI4" s="52"/>
      <c r="AJ4" s="52"/>
      <c r="AK4" s="52"/>
      <c r="AL4" s="52"/>
      <c r="AM4" s="52"/>
      <c r="AN4" s="52"/>
      <c r="AO4" s="52"/>
      <c r="AP4" s="52"/>
      <c r="AQ4" s="52"/>
      <c r="AR4" s="52"/>
      <c r="AS4" s="52"/>
      <c r="AT4" s="52"/>
      <c r="AU4" s="52">
        <v>28.218047034000001</v>
      </c>
      <c r="AV4" s="52"/>
      <c r="AW4" s="52"/>
      <c r="AX4" s="52">
        <v>2285.0502719460001</v>
      </c>
      <c r="AY4" s="52"/>
      <c r="AZ4" s="52"/>
      <c r="BA4" s="52"/>
      <c r="BB4" s="52">
        <v>22.987887776000001</v>
      </c>
      <c r="BC4" s="52">
        <v>8.2369609999999999E-4</v>
      </c>
      <c r="BD4" s="52">
        <v>2.8384462679999998</v>
      </c>
      <c r="BE4" s="52">
        <v>1.47206576E-3</v>
      </c>
      <c r="BF4" s="52"/>
      <c r="BG4" s="52"/>
      <c r="BH4" s="52"/>
      <c r="BI4" s="52"/>
      <c r="BJ4" s="52"/>
      <c r="BK4" s="78">
        <v>0</v>
      </c>
      <c r="BL4" s="41" t="s">
        <v>109</v>
      </c>
      <c r="BM4" s="45"/>
    </row>
    <row r="5" spans="1:65" x14ac:dyDescent="0.35">
      <c r="A5" s="41" t="str">
        <f>Database_Productkaarten[[#This Row],[Product]]&amp;", "&amp;Database_Productkaarten[[#This Row],[Levensfase]]</f>
        <v>2L-ZOAB onderlaag - PCR 1.0, A2</v>
      </c>
      <c r="B5" s="41" t="s">
        <v>1337</v>
      </c>
      <c r="C5" s="41" t="s">
        <v>443</v>
      </c>
      <c r="D5" s="41" t="s">
        <v>469</v>
      </c>
      <c r="E5" s="41" t="s">
        <v>91</v>
      </c>
      <c r="F5" s="41" t="s">
        <v>20</v>
      </c>
      <c r="L5" s="41">
        <v>2.1</v>
      </c>
      <c r="M5" s="53">
        <v>2.9471440042650001</v>
      </c>
      <c r="N5" s="41">
        <v>13</v>
      </c>
      <c r="O5" s="52">
        <v>1.8727922668029997E-5</v>
      </c>
      <c r="P5" s="52">
        <v>0.13506991164640003</v>
      </c>
      <c r="Q5" s="52">
        <v>19.753494855246</v>
      </c>
      <c r="R5" s="52">
        <v>3.2102037342599997E-6</v>
      </c>
      <c r="S5" s="52">
        <v>1.53182989567E-2</v>
      </c>
      <c r="T5" s="52">
        <v>0.2310653123858</v>
      </c>
      <c r="U5" s="52">
        <v>3.0835394359399998E-2</v>
      </c>
      <c r="V5" s="52">
        <v>7.0821017219559996</v>
      </c>
      <c r="W5" s="52">
        <v>0.1596292750036</v>
      </c>
      <c r="X5" s="52">
        <v>615.86219297413902</v>
      </c>
      <c r="Y5" s="52">
        <v>2.6202755218200001E-2</v>
      </c>
      <c r="Z5" s="52"/>
      <c r="AA5" s="52"/>
      <c r="AB5" s="52"/>
      <c r="AC5" s="52"/>
      <c r="AD5" s="52"/>
      <c r="AE5" s="52"/>
      <c r="AF5" s="52"/>
      <c r="AG5" s="52"/>
      <c r="AH5" s="52"/>
      <c r="AI5" s="52"/>
      <c r="AJ5" s="52"/>
      <c r="AK5" s="52"/>
      <c r="AL5" s="52"/>
      <c r="AM5" s="52"/>
      <c r="AN5" s="52"/>
      <c r="AO5" s="52"/>
      <c r="AP5" s="52"/>
      <c r="AQ5" s="52"/>
      <c r="AR5" s="52"/>
      <c r="AS5" s="52"/>
      <c r="AT5" s="52"/>
      <c r="AU5" s="52">
        <v>5.5358023448909996</v>
      </c>
      <c r="AV5" s="52"/>
      <c r="AW5" s="52"/>
      <c r="AX5" s="52">
        <v>299.43762494767896</v>
      </c>
      <c r="AY5" s="52"/>
      <c r="AZ5" s="52"/>
      <c r="BA5" s="52"/>
      <c r="BB5" s="52">
        <v>6.0186724229100007E-2</v>
      </c>
      <c r="BC5" s="52">
        <v>1.891563379898E-4</v>
      </c>
      <c r="BD5" s="52">
        <v>4.6762701543339995</v>
      </c>
      <c r="BE5" s="52">
        <v>1.86340763246E-3</v>
      </c>
      <c r="BF5" s="52"/>
      <c r="BG5" s="52"/>
      <c r="BH5" s="52"/>
      <c r="BI5" s="52"/>
      <c r="BJ5" s="52"/>
      <c r="BK5" s="78">
        <v>0</v>
      </c>
      <c r="BL5" s="41" t="s">
        <v>109</v>
      </c>
      <c r="BM5" s="45"/>
    </row>
    <row r="6" spans="1:65" x14ac:dyDescent="0.35">
      <c r="A6" s="41" t="str">
        <f>Database_Productkaarten[[#This Row],[Product]]&amp;", "&amp;Database_Productkaarten[[#This Row],[Levensfase]]</f>
        <v>2L-ZOAB onderlaag - PCR 1.0, A3</v>
      </c>
      <c r="B6" s="41" t="s">
        <v>1337</v>
      </c>
      <c r="C6" s="41" t="s">
        <v>443</v>
      </c>
      <c r="D6" s="41" t="s">
        <v>469</v>
      </c>
      <c r="E6" s="41" t="s">
        <v>91</v>
      </c>
      <c r="F6" s="41" t="s">
        <v>21</v>
      </c>
      <c r="L6" s="41">
        <v>2.1</v>
      </c>
      <c r="M6" s="53">
        <v>1.4932672912813276</v>
      </c>
      <c r="N6" s="41">
        <v>13</v>
      </c>
      <c r="O6" s="52">
        <v>4.3003007608349614E-6</v>
      </c>
      <c r="P6" s="52">
        <v>0.17257490204095227</v>
      </c>
      <c r="Q6" s="52">
        <v>20.296636848716339</v>
      </c>
      <c r="R6" s="52">
        <v>2.3215798821169723E-6</v>
      </c>
      <c r="S6" s="52">
        <v>3.3395896458118281E-3</v>
      </c>
      <c r="T6" s="52">
        <v>2.2827880019569147E-2</v>
      </c>
      <c r="U6" s="52">
        <v>4.1814258343477965E-3</v>
      </c>
      <c r="V6" s="52">
        <v>3.3810619179975623</v>
      </c>
      <c r="W6" s="52">
        <v>2.1961793853674749E-2</v>
      </c>
      <c r="X6" s="52">
        <v>88.880875574220568</v>
      </c>
      <c r="Y6" s="52">
        <v>2.1449922894012916E-2</v>
      </c>
      <c r="Z6" s="52"/>
      <c r="AA6" s="52"/>
      <c r="AB6" s="52"/>
      <c r="AC6" s="52"/>
      <c r="AD6" s="52"/>
      <c r="AE6" s="52"/>
      <c r="AF6" s="52"/>
      <c r="AG6" s="52"/>
      <c r="AH6" s="52"/>
      <c r="AI6" s="52"/>
      <c r="AJ6" s="52"/>
      <c r="AK6" s="52"/>
      <c r="AL6" s="52"/>
      <c r="AM6" s="52"/>
      <c r="AN6" s="52"/>
      <c r="AO6" s="52"/>
      <c r="AP6" s="52"/>
      <c r="AQ6" s="52"/>
      <c r="AR6" s="52"/>
      <c r="AS6" s="52"/>
      <c r="AT6" s="52"/>
      <c r="AU6" s="52">
        <v>6.1565006450319499</v>
      </c>
      <c r="AV6" s="52"/>
      <c r="AW6" s="52"/>
      <c r="AX6" s="52">
        <v>352.60626896980727</v>
      </c>
      <c r="AY6" s="52"/>
      <c r="AZ6" s="52"/>
      <c r="BA6" s="52"/>
      <c r="BB6" s="52">
        <v>4.0998314876200218E-2</v>
      </c>
      <c r="BC6" s="52">
        <v>4.7746942933912903E-4</v>
      </c>
      <c r="BD6" s="52">
        <v>0.23314833097427026</v>
      </c>
      <c r="BE6" s="52">
        <v>3.3571589027945676E-4</v>
      </c>
      <c r="BF6" s="52"/>
      <c r="BG6" s="52"/>
      <c r="BH6" s="52"/>
      <c r="BI6" s="52"/>
      <c r="BJ6" s="52"/>
      <c r="BK6" s="78">
        <v>0</v>
      </c>
      <c r="BL6" s="41" t="s">
        <v>109</v>
      </c>
      <c r="BM6" s="45"/>
    </row>
    <row r="7" spans="1:65" x14ac:dyDescent="0.35">
      <c r="A7" s="41" t="str">
        <f>Database_Productkaarten[[#This Row],[Product]]&amp;", "&amp;Database_Productkaarten[[#This Row],[Levensfase]]</f>
        <v>2L-ZOAB onderlaag - PCR 1.0, A4</v>
      </c>
      <c r="B7" s="41" t="s">
        <v>1337</v>
      </c>
      <c r="C7" s="41" t="s">
        <v>443</v>
      </c>
      <c r="D7" s="41" t="s">
        <v>469</v>
      </c>
      <c r="E7" s="41" t="s">
        <v>91</v>
      </c>
      <c r="F7" s="41" t="s">
        <v>22</v>
      </c>
      <c r="L7" s="41">
        <v>2.1</v>
      </c>
      <c r="M7" s="53">
        <v>0.62892669999999995</v>
      </c>
      <c r="N7" s="41">
        <v>13</v>
      </c>
      <c r="O7" s="52">
        <v>1.0978337000000001E-5</v>
      </c>
      <c r="P7" s="52">
        <v>4.3183727999999998E-2</v>
      </c>
      <c r="Q7" s="52">
        <v>5.7021305</v>
      </c>
      <c r="R7" s="52">
        <v>1.1335356E-6</v>
      </c>
      <c r="S7" s="52">
        <v>3.5752850000000001E-3</v>
      </c>
      <c r="T7" s="52">
        <v>1.9151161E-2</v>
      </c>
      <c r="U7" s="52">
        <v>3.8023555000000001E-3</v>
      </c>
      <c r="V7" s="52">
        <v>2.0049337999999999</v>
      </c>
      <c r="W7" s="52">
        <v>0.12926487</v>
      </c>
      <c r="X7" s="52">
        <v>338.63108999999997</v>
      </c>
      <c r="Y7" s="52">
        <v>1.1891815999999999E-2</v>
      </c>
      <c r="Z7" s="52"/>
      <c r="AA7" s="52"/>
      <c r="AB7" s="52"/>
      <c r="AC7" s="52"/>
      <c r="AD7" s="52"/>
      <c r="AE7" s="52"/>
      <c r="AF7" s="52"/>
      <c r="AG7" s="52"/>
      <c r="AH7" s="52"/>
      <c r="AI7" s="52"/>
      <c r="AJ7" s="52"/>
      <c r="AK7" s="52"/>
      <c r="AL7" s="52"/>
      <c r="AM7" s="52"/>
      <c r="AN7" s="52"/>
      <c r="AO7" s="52"/>
      <c r="AP7" s="52"/>
      <c r="AQ7" s="52"/>
      <c r="AR7" s="52"/>
      <c r="AS7" s="52"/>
      <c r="AT7" s="52"/>
      <c r="AU7" s="52">
        <v>0</v>
      </c>
      <c r="AV7" s="52"/>
      <c r="AW7" s="52"/>
      <c r="AX7" s="52">
        <v>0</v>
      </c>
      <c r="AY7" s="52"/>
      <c r="AZ7" s="52"/>
      <c r="BA7" s="52"/>
      <c r="BB7" s="52">
        <v>0</v>
      </c>
      <c r="BC7" s="52">
        <v>0</v>
      </c>
      <c r="BD7" s="52">
        <v>0</v>
      </c>
      <c r="BE7" s="52">
        <v>0</v>
      </c>
      <c r="BF7" s="52"/>
      <c r="BG7" s="52"/>
      <c r="BH7" s="52"/>
      <c r="BI7" s="52"/>
      <c r="BJ7" s="52"/>
      <c r="BK7" s="78">
        <v>0</v>
      </c>
      <c r="BL7" s="41" t="s">
        <v>109</v>
      </c>
      <c r="BM7" s="45"/>
    </row>
    <row r="8" spans="1:65" x14ac:dyDescent="0.35">
      <c r="A8" s="41" t="str">
        <f>Database_Productkaarten[[#This Row],[Product]]&amp;", "&amp;Database_Productkaarten[[#This Row],[Levensfase]]</f>
        <v>2L-ZOAB onderlaag - PCR 1.0, A5</v>
      </c>
      <c r="B8" s="41" t="s">
        <v>1337</v>
      </c>
      <c r="C8" s="41" t="s">
        <v>443</v>
      </c>
      <c r="D8" s="41" t="s">
        <v>469</v>
      </c>
      <c r="E8" s="41" t="s">
        <v>91</v>
      </c>
      <c r="F8" s="41" t="s">
        <v>23</v>
      </c>
      <c r="L8" s="41">
        <v>2.1</v>
      </c>
      <c r="M8" s="53">
        <v>0.11589273999999999</v>
      </c>
      <c r="N8" s="41">
        <v>13</v>
      </c>
      <c r="O8" s="52">
        <v>2.9981767000000001E-7</v>
      </c>
      <c r="P8" s="52">
        <v>6.1549237000000003E-3</v>
      </c>
      <c r="Q8" s="52">
        <v>1.1890320000000001</v>
      </c>
      <c r="R8" s="52">
        <v>1.6118031999999999E-7</v>
      </c>
      <c r="S8" s="52">
        <v>4.0441559000000001E-4</v>
      </c>
      <c r="T8" s="52">
        <v>4.1422853000000004E-3</v>
      </c>
      <c r="U8" s="52">
        <v>9.0534960000000005E-4</v>
      </c>
      <c r="V8" s="52">
        <v>0.31393536</v>
      </c>
      <c r="W8" s="52">
        <v>4.4639175000000001E-3</v>
      </c>
      <c r="X8" s="52">
        <v>15.054501</v>
      </c>
      <c r="Y8" s="52">
        <v>5.2994459999999995E-4</v>
      </c>
      <c r="Z8" s="52"/>
      <c r="AA8" s="52"/>
      <c r="AB8" s="52"/>
      <c r="AC8" s="52"/>
      <c r="AD8" s="52"/>
      <c r="AE8" s="52"/>
      <c r="AF8" s="52"/>
      <c r="AG8" s="52"/>
      <c r="AH8" s="52"/>
      <c r="AI8" s="52"/>
      <c r="AJ8" s="52"/>
      <c r="AK8" s="52"/>
      <c r="AL8" s="52"/>
      <c r="AM8" s="52"/>
      <c r="AN8" s="52"/>
      <c r="AO8" s="52"/>
      <c r="AP8" s="52"/>
      <c r="AQ8" s="52"/>
      <c r="AR8" s="52"/>
      <c r="AS8" s="52"/>
      <c r="AT8" s="52"/>
      <c r="AU8" s="52">
        <v>7.5275787999999996E-2</v>
      </c>
      <c r="AV8" s="52"/>
      <c r="AW8" s="52"/>
      <c r="AX8" s="52">
        <v>13.79832</v>
      </c>
      <c r="AY8" s="52"/>
      <c r="AZ8" s="52"/>
      <c r="BA8" s="52"/>
      <c r="BB8" s="52">
        <v>1.7004556E-3</v>
      </c>
      <c r="BC8" s="52">
        <v>5.7951239999999996E-6</v>
      </c>
      <c r="BD8" s="52">
        <v>1.3837334999999999E-2</v>
      </c>
      <c r="BE8" s="52">
        <v>9.0259541999999994E-5</v>
      </c>
      <c r="BF8" s="52"/>
      <c r="BG8" s="52"/>
      <c r="BH8" s="52"/>
      <c r="BI8" s="52"/>
      <c r="BJ8" s="52"/>
      <c r="BK8" s="78">
        <v>0</v>
      </c>
      <c r="BL8" s="41" t="s">
        <v>109</v>
      </c>
      <c r="BM8" s="45"/>
    </row>
    <row r="9" spans="1:65" x14ac:dyDescent="0.35">
      <c r="A9" s="41" t="str">
        <f>Database_Productkaarten[[#This Row],[Product]]&amp;", "&amp;Database_Productkaarten[[#This Row],[Levensfase]]</f>
        <v>2L-ZOAB onderlaag - PCR 1.0, B1</v>
      </c>
      <c r="B9" s="41" t="s">
        <v>1337</v>
      </c>
      <c r="C9" s="41" t="s">
        <v>443</v>
      </c>
      <c r="D9" s="41" t="s">
        <v>469</v>
      </c>
      <c r="E9" s="41" t="s">
        <v>91</v>
      </c>
      <c r="F9" s="41" t="s">
        <v>24</v>
      </c>
      <c r="L9" s="41">
        <v>2.1</v>
      </c>
      <c r="M9" s="53">
        <v>0.63803195999999995</v>
      </c>
      <c r="N9" s="41">
        <v>13</v>
      </c>
      <c r="O9" s="52">
        <v>0</v>
      </c>
      <c r="P9" s="52">
        <v>0</v>
      </c>
      <c r="Q9" s="52">
        <v>0</v>
      </c>
      <c r="R9" s="52">
        <v>0</v>
      </c>
      <c r="S9" s="52">
        <v>0</v>
      </c>
      <c r="T9" s="52">
        <v>0</v>
      </c>
      <c r="U9" s="52">
        <v>0</v>
      </c>
      <c r="V9" s="52">
        <v>2.2159960000000001</v>
      </c>
      <c r="W9" s="52">
        <v>3.1435906</v>
      </c>
      <c r="X9" s="52">
        <v>3441.1720999999998</v>
      </c>
      <c r="Y9" s="52">
        <v>2.7899999999999999E-3</v>
      </c>
      <c r="Z9" s="52"/>
      <c r="AA9" s="52"/>
      <c r="AB9" s="52"/>
      <c r="AC9" s="52"/>
      <c r="AD9" s="52"/>
      <c r="AE9" s="52"/>
      <c r="AF9" s="52"/>
      <c r="AG9" s="52"/>
      <c r="AH9" s="52"/>
      <c r="AI9" s="52"/>
      <c r="AJ9" s="52"/>
      <c r="AK9" s="52"/>
      <c r="AL9" s="52"/>
      <c r="AM9" s="52"/>
      <c r="AN9" s="52"/>
      <c r="AO9" s="52"/>
      <c r="AP9" s="52"/>
      <c r="AQ9" s="52"/>
      <c r="AR9" s="52"/>
      <c r="AS9" s="52"/>
      <c r="AT9" s="52"/>
      <c r="AU9" s="52">
        <v>0</v>
      </c>
      <c r="AV9" s="52"/>
      <c r="AW9" s="52"/>
      <c r="AX9" s="52">
        <v>0</v>
      </c>
      <c r="AY9" s="52"/>
      <c r="AZ9" s="52"/>
      <c r="BA9" s="52"/>
      <c r="BB9" s="52">
        <v>0</v>
      </c>
      <c r="BC9" s="52">
        <v>0</v>
      </c>
      <c r="BD9" s="52">
        <v>0</v>
      </c>
      <c r="BE9" s="52">
        <v>0</v>
      </c>
      <c r="BF9" s="52"/>
      <c r="BG9" s="52"/>
      <c r="BH9" s="52"/>
      <c r="BI9" s="52"/>
      <c r="BJ9" s="52"/>
      <c r="BK9" s="78">
        <v>0</v>
      </c>
      <c r="BL9" s="41" t="s">
        <v>109</v>
      </c>
      <c r="BM9" s="45"/>
    </row>
    <row r="10" spans="1:65" x14ac:dyDescent="0.35">
      <c r="A10" s="41" t="str">
        <f>Database_Productkaarten[[#This Row],[Product]]&amp;", "&amp;Database_Productkaarten[[#This Row],[Levensfase]]</f>
        <v>2L-ZOAB onderlaag - PCR 1.0, C1</v>
      </c>
      <c r="B10" s="41" t="s">
        <v>1337</v>
      </c>
      <c r="C10" s="41" t="s">
        <v>443</v>
      </c>
      <c r="D10" s="41" t="s">
        <v>469</v>
      </c>
      <c r="E10" s="41" t="s">
        <v>91</v>
      </c>
      <c r="F10" s="41" t="s">
        <v>25</v>
      </c>
      <c r="L10" s="41">
        <v>2.1</v>
      </c>
      <c r="M10" s="53">
        <v>0.17755156</v>
      </c>
      <c r="N10" s="41">
        <v>13</v>
      </c>
      <c r="O10" s="52">
        <v>4.7748738999999998E-7</v>
      </c>
      <c r="P10" s="52">
        <v>9.8022859000000007E-3</v>
      </c>
      <c r="Q10" s="52">
        <v>1.8936436000000001</v>
      </c>
      <c r="R10" s="52">
        <v>2.5669458999999998E-7</v>
      </c>
      <c r="S10" s="52">
        <v>6.2586746000000001E-4</v>
      </c>
      <c r="T10" s="52">
        <v>5.5323285000000002E-3</v>
      </c>
      <c r="U10" s="52">
        <v>1.1650454999999999E-3</v>
      </c>
      <c r="V10" s="52">
        <v>0.49739214999999998</v>
      </c>
      <c r="W10" s="52">
        <v>7.1092020000000002E-3</v>
      </c>
      <c r="X10" s="52">
        <v>23.975687000000001</v>
      </c>
      <c r="Y10" s="52">
        <v>8.4398584999999997E-4</v>
      </c>
      <c r="Z10" s="52"/>
      <c r="AA10" s="52"/>
      <c r="AB10" s="52"/>
      <c r="AC10" s="52"/>
      <c r="AD10" s="52"/>
      <c r="AE10" s="52"/>
      <c r="AF10" s="52"/>
      <c r="AG10" s="52"/>
      <c r="AH10" s="52"/>
      <c r="AI10" s="52"/>
      <c r="AJ10" s="52"/>
      <c r="AK10" s="52"/>
      <c r="AL10" s="52"/>
      <c r="AM10" s="52"/>
      <c r="AN10" s="52"/>
      <c r="AO10" s="52"/>
      <c r="AP10" s="52"/>
      <c r="AQ10" s="52"/>
      <c r="AR10" s="52"/>
      <c r="AS10" s="52"/>
      <c r="AT10" s="52"/>
      <c r="AU10" s="52">
        <v>0.11988366</v>
      </c>
      <c r="AV10" s="52"/>
      <c r="AW10" s="52"/>
      <c r="AX10" s="52">
        <v>21.975102</v>
      </c>
      <c r="AY10" s="52"/>
      <c r="AZ10" s="52"/>
      <c r="BA10" s="52"/>
      <c r="BB10" s="52">
        <v>2.7081330000000002E-3</v>
      </c>
      <c r="BC10" s="52">
        <v>9.2292716000000002E-6</v>
      </c>
      <c r="BD10" s="52">
        <v>2.2037237000000001E-2</v>
      </c>
      <c r="BE10" s="52">
        <v>1.4374668000000001E-4</v>
      </c>
      <c r="BF10" s="52"/>
      <c r="BG10" s="52"/>
      <c r="BH10" s="52"/>
      <c r="BI10" s="52"/>
      <c r="BJ10" s="52"/>
      <c r="BK10" s="78">
        <v>0</v>
      </c>
      <c r="BL10" s="41" t="s">
        <v>109</v>
      </c>
      <c r="BM10" s="45"/>
    </row>
    <row r="11" spans="1:65" x14ac:dyDescent="0.35">
      <c r="A11" s="41" t="str">
        <f>Database_Productkaarten[[#This Row],[Product]]&amp;", "&amp;Database_Productkaarten[[#This Row],[Levensfase]]</f>
        <v>2L-ZOAB onderlaag - PCR 1.0, C2</v>
      </c>
      <c r="B11" s="41" t="s">
        <v>1337</v>
      </c>
      <c r="C11" s="41" t="s">
        <v>443</v>
      </c>
      <c r="D11" s="41" t="s">
        <v>469</v>
      </c>
      <c r="E11" s="41" t="s">
        <v>91</v>
      </c>
      <c r="F11" s="41" t="s">
        <v>26</v>
      </c>
      <c r="L11" s="41">
        <v>2.1</v>
      </c>
      <c r="M11" s="53">
        <v>0.62892669999999995</v>
      </c>
      <c r="N11" s="41">
        <v>13</v>
      </c>
      <c r="O11" s="52">
        <v>1.0978337000000001E-5</v>
      </c>
      <c r="P11" s="52">
        <v>4.3183727999999998E-2</v>
      </c>
      <c r="Q11" s="52">
        <v>5.7021305</v>
      </c>
      <c r="R11" s="52">
        <v>1.1335356E-6</v>
      </c>
      <c r="S11" s="52">
        <v>3.5752850000000001E-3</v>
      </c>
      <c r="T11" s="52">
        <v>1.9151161E-2</v>
      </c>
      <c r="U11" s="52">
        <v>3.8023555000000001E-3</v>
      </c>
      <c r="V11" s="52">
        <v>2.0049337999999999</v>
      </c>
      <c r="W11" s="52">
        <v>0.12926487</v>
      </c>
      <c r="X11" s="52">
        <v>338.63108999999997</v>
      </c>
      <c r="Y11" s="52">
        <v>1.1891815999999999E-2</v>
      </c>
      <c r="Z11" s="52"/>
      <c r="AA11" s="52"/>
      <c r="AB11" s="52"/>
      <c r="AC11" s="52"/>
      <c r="AD11" s="52"/>
      <c r="AE11" s="52"/>
      <c r="AF11" s="52"/>
      <c r="AG11" s="52"/>
      <c r="AH11" s="52"/>
      <c r="AI11" s="52"/>
      <c r="AJ11" s="52"/>
      <c r="AK11" s="52"/>
      <c r="AL11" s="52"/>
      <c r="AM11" s="52"/>
      <c r="AN11" s="52"/>
      <c r="AO11" s="52"/>
      <c r="AP11" s="52"/>
      <c r="AQ11" s="52"/>
      <c r="AR11" s="52"/>
      <c r="AS11" s="52"/>
      <c r="AT11" s="52"/>
      <c r="AU11" s="52">
        <v>0</v>
      </c>
      <c r="AV11" s="52"/>
      <c r="AW11" s="52"/>
      <c r="AX11" s="52">
        <v>0</v>
      </c>
      <c r="AY11" s="52"/>
      <c r="AZ11" s="52"/>
      <c r="BA11" s="52"/>
      <c r="BB11" s="52">
        <v>0</v>
      </c>
      <c r="BC11" s="52">
        <v>0</v>
      </c>
      <c r="BD11" s="52">
        <v>0</v>
      </c>
      <c r="BE11" s="52">
        <v>0</v>
      </c>
      <c r="BF11" s="52"/>
      <c r="BG11" s="52"/>
      <c r="BH11" s="52"/>
      <c r="BI11" s="52"/>
      <c r="BJ11" s="52"/>
      <c r="BK11" s="78">
        <v>0</v>
      </c>
      <c r="BL11" s="41" t="s">
        <v>109</v>
      </c>
      <c r="BM11" s="45"/>
    </row>
    <row r="12" spans="1:65" x14ac:dyDescent="0.35">
      <c r="A12" s="41" t="str">
        <f>Database_Productkaarten[[#This Row],[Product]]&amp;", "&amp;Database_Productkaarten[[#This Row],[Levensfase]]</f>
        <v>2L-ZOAB onderlaag - PCR 1.0, C3</v>
      </c>
      <c r="B12" s="41" t="s">
        <v>1337</v>
      </c>
      <c r="C12" s="41" t="s">
        <v>443</v>
      </c>
      <c r="D12" s="41" t="s">
        <v>469</v>
      </c>
      <c r="E12" s="41" t="s">
        <v>91</v>
      </c>
      <c r="F12" s="41" t="s">
        <v>27</v>
      </c>
      <c r="L12" s="41">
        <v>2.1</v>
      </c>
      <c r="M12" s="53">
        <v>0.16120214999999999</v>
      </c>
      <c r="N12" s="41">
        <v>13</v>
      </c>
      <c r="O12" s="52">
        <v>4.1291555000000003E-7</v>
      </c>
      <c r="P12" s="52">
        <v>8.4766977000000007E-3</v>
      </c>
      <c r="Q12" s="52">
        <v>1.6375614000000001</v>
      </c>
      <c r="R12" s="52">
        <v>2.2198111999999999E-7</v>
      </c>
      <c r="S12" s="52">
        <v>5.9777666000000002E-4</v>
      </c>
      <c r="T12" s="52">
        <v>5.9352911000000001E-3</v>
      </c>
      <c r="U12" s="52">
        <v>1.3067828999999999E-3</v>
      </c>
      <c r="V12" s="52">
        <v>0.43290835999999999</v>
      </c>
      <c r="W12" s="52">
        <v>6.1478063999999997E-3</v>
      </c>
      <c r="X12" s="52">
        <v>20.733394000000001</v>
      </c>
      <c r="Y12" s="52">
        <v>7.2985148000000004E-4</v>
      </c>
      <c r="Z12" s="52"/>
      <c r="AA12" s="52"/>
      <c r="AB12" s="52"/>
      <c r="AC12" s="52"/>
      <c r="AD12" s="52"/>
      <c r="AE12" s="52"/>
      <c r="AF12" s="52"/>
      <c r="AG12" s="52"/>
      <c r="AH12" s="52"/>
      <c r="AI12" s="52"/>
      <c r="AJ12" s="52"/>
      <c r="AK12" s="52"/>
      <c r="AL12" s="52"/>
      <c r="AM12" s="52"/>
      <c r="AN12" s="52"/>
      <c r="AO12" s="52"/>
      <c r="AP12" s="52"/>
      <c r="AQ12" s="52"/>
      <c r="AR12" s="52"/>
      <c r="AS12" s="52"/>
      <c r="AT12" s="52"/>
      <c r="AU12" s="52">
        <v>0.10367149000000001</v>
      </c>
      <c r="AV12" s="52"/>
      <c r="AW12" s="52"/>
      <c r="AX12" s="52">
        <v>19.003353000000001</v>
      </c>
      <c r="AY12" s="52"/>
      <c r="AZ12" s="52"/>
      <c r="BA12" s="52"/>
      <c r="BB12" s="52">
        <v>2.3419052000000001E-3</v>
      </c>
      <c r="BC12" s="52">
        <v>7.9811735999999999E-6</v>
      </c>
      <c r="BD12" s="52">
        <v>1.9057085000000001E-2</v>
      </c>
      <c r="BE12" s="52">
        <v>1.2430745000000001E-4</v>
      </c>
      <c r="BF12" s="52"/>
      <c r="BG12" s="52"/>
      <c r="BH12" s="52"/>
      <c r="BI12" s="52"/>
      <c r="BJ12" s="52"/>
      <c r="BK12" s="78">
        <v>0</v>
      </c>
      <c r="BL12" s="41" t="s">
        <v>109</v>
      </c>
      <c r="BM12" s="45"/>
    </row>
    <row r="13" spans="1:65" x14ac:dyDescent="0.35">
      <c r="A13" s="41" t="str">
        <f>Database_Productkaarten[[#This Row],[Product]]&amp;", "&amp;Database_Productkaarten[[#This Row],[Levensfase]]</f>
        <v>2L-ZOAB onderlaag - PCR 1.0, D1</v>
      </c>
      <c r="B13" s="41" t="s">
        <v>1337</v>
      </c>
      <c r="C13" s="41" t="s">
        <v>443</v>
      </c>
      <c r="D13" s="41" t="s">
        <v>469</v>
      </c>
      <c r="E13" s="41" t="s">
        <v>91</v>
      </c>
      <c r="F13" s="41" t="s">
        <v>51</v>
      </c>
      <c r="L13" s="41">
        <v>2.1</v>
      </c>
      <c r="M13" s="53">
        <v>-3.7571449630341993</v>
      </c>
      <c r="N13" s="41">
        <v>13</v>
      </c>
      <c r="O13" s="52">
        <v>-5.8093027011200013E-5</v>
      </c>
      <c r="P13" s="52">
        <v>-0.53483823118509988</v>
      </c>
      <c r="Q13" s="52">
        <v>-33.251288624967202</v>
      </c>
      <c r="R13" s="52">
        <v>-2.2903958867499996E-6</v>
      </c>
      <c r="S13" s="52">
        <v>-5.6237984889039999E-2</v>
      </c>
      <c r="T13" s="52">
        <v>-0.17986124538629999</v>
      </c>
      <c r="U13" s="52">
        <v>-1.9937934841999998E-2</v>
      </c>
      <c r="V13" s="52">
        <v>-6.867482950200599</v>
      </c>
      <c r="W13" s="52">
        <v>-0.79803840359169997</v>
      </c>
      <c r="X13" s="52">
        <v>-3486.5819930016578</v>
      </c>
      <c r="Y13" s="52">
        <v>-0.11851326455929999</v>
      </c>
      <c r="Z13" s="52"/>
      <c r="AA13" s="52"/>
      <c r="AB13" s="52"/>
      <c r="AC13" s="52"/>
      <c r="AD13" s="52"/>
      <c r="AE13" s="52"/>
      <c r="AF13" s="52"/>
      <c r="AG13" s="52"/>
      <c r="AH13" s="52"/>
      <c r="AI13" s="52"/>
      <c r="AJ13" s="52"/>
      <c r="AK13" s="52"/>
      <c r="AL13" s="52"/>
      <c r="AM13" s="52"/>
      <c r="AN13" s="52"/>
      <c r="AO13" s="52"/>
      <c r="AP13" s="52"/>
      <c r="AQ13" s="52"/>
      <c r="AR13" s="52"/>
      <c r="AS13" s="52"/>
      <c r="AT13" s="52"/>
      <c r="AU13" s="52">
        <v>-13.4564182282922</v>
      </c>
      <c r="AV13" s="52"/>
      <c r="AW13" s="52"/>
      <c r="AX13" s="52">
        <v>-1202.9071883686311</v>
      </c>
      <c r="AY13" s="52"/>
      <c r="AZ13" s="52"/>
      <c r="BA13" s="52"/>
      <c r="BB13" s="52">
        <v>-11.821947947199698</v>
      </c>
      <c r="BC13" s="52">
        <v>-4.456679543369999E-4</v>
      </c>
      <c r="BD13" s="52">
        <v>-1.6329321131184003</v>
      </c>
      <c r="BE13" s="52">
        <v>-9.19482525182E-4</v>
      </c>
      <c r="BF13" s="52"/>
      <c r="BG13" s="52"/>
      <c r="BH13" s="52"/>
      <c r="BI13" s="52"/>
      <c r="BJ13" s="52"/>
      <c r="BK13" s="78">
        <v>0</v>
      </c>
      <c r="BL13" s="41" t="s">
        <v>109</v>
      </c>
      <c r="BM13" s="45"/>
    </row>
    <row r="14" spans="1:65" x14ac:dyDescent="0.35">
      <c r="A14" s="41" t="str">
        <f>Database_Productkaarten[[#This Row],[Product]]&amp;", "&amp;Database_Productkaarten[[#This Row],[Levensfase]]</f>
        <v>2L-ZOAB onderlaag - PCR 1.0, D2</v>
      </c>
      <c r="B14" s="41" t="s">
        <v>1337</v>
      </c>
      <c r="C14" s="41" t="s">
        <v>443</v>
      </c>
      <c r="D14" s="41" t="s">
        <v>469</v>
      </c>
      <c r="E14" s="41" t="s">
        <v>91</v>
      </c>
      <c r="F14" s="41" t="s">
        <v>52</v>
      </c>
      <c r="L14" s="41">
        <v>2.1</v>
      </c>
      <c r="M14" s="53">
        <v>-1.8738130805249846</v>
      </c>
      <c r="N14" s="41">
        <v>13</v>
      </c>
      <c r="O14" s="52">
        <v>-1.1834667010856388E-5</v>
      </c>
      <c r="P14" s="52">
        <v>-8.5762461670939732E-2</v>
      </c>
      <c r="Q14" s="52">
        <v>-12.543606104703443</v>
      </c>
      <c r="R14" s="52">
        <v>-2.0379957914060662E-6</v>
      </c>
      <c r="S14" s="52">
        <v>-9.7416227314703792E-3</v>
      </c>
      <c r="T14" s="52">
        <v>-0.14718805136015545</v>
      </c>
      <c r="U14" s="52">
        <v>-1.960407418426768E-2</v>
      </c>
      <c r="V14" s="52">
        <v>-4.5001829485897851</v>
      </c>
      <c r="W14" s="52">
        <v>-0.10130436830515759</v>
      </c>
      <c r="X14" s="52">
        <v>-391.1772600839297</v>
      </c>
      <c r="Y14" s="52">
        <v>-1.6642320331439982E-2</v>
      </c>
      <c r="Z14" s="52"/>
      <c r="AA14" s="52"/>
      <c r="AB14" s="52"/>
      <c r="AC14" s="52"/>
      <c r="AD14" s="52"/>
      <c r="AE14" s="52"/>
      <c r="AF14" s="52"/>
      <c r="AG14" s="52"/>
      <c r="AH14" s="52"/>
      <c r="AI14" s="52"/>
      <c r="AJ14" s="52"/>
      <c r="AK14" s="52"/>
      <c r="AL14" s="52"/>
      <c r="AM14" s="52"/>
      <c r="AN14" s="52"/>
      <c r="AO14" s="52"/>
      <c r="AP14" s="52"/>
      <c r="AQ14" s="52"/>
      <c r="AR14" s="52"/>
      <c r="AS14" s="52"/>
      <c r="AT14" s="52"/>
      <c r="AU14" s="52">
        <v>-3.5190366487760487</v>
      </c>
      <c r="AV14" s="52"/>
      <c r="AW14" s="52"/>
      <c r="AX14" s="52">
        <v>-190.12639221959881</v>
      </c>
      <c r="AY14" s="52"/>
      <c r="AZ14" s="52"/>
      <c r="BA14" s="52"/>
      <c r="BB14" s="52">
        <v>-3.8212624382869917E-2</v>
      </c>
      <c r="BC14" s="52">
        <v>-1.2007090509733538E-4</v>
      </c>
      <c r="BD14" s="52">
        <v>-2.9499172107923264</v>
      </c>
      <c r="BE14" s="52">
        <v>-1.1830909997764219E-3</v>
      </c>
      <c r="BF14" s="52"/>
      <c r="BG14" s="52"/>
      <c r="BH14" s="52"/>
      <c r="BI14" s="52"/>
      <c r="BJ14" s="52"/>
      <c r="BK14" s="78">
        <v>0</v>
      </c>
      <c r="BL14" s="41" t="s">
        <v>109</v>
      </c>
      <c r="BM14" s="45"/>
    </row>
    <row r="15" spans="1:65" x14ac:dyDescent="0.35">
      <c r="A15" s="41" t="str">
        <f>Database_Productkaarten[[#This Row],[Product]]&amp;", "&amp;Database_Productkaarten[[#This Row],[Levensfase]]</f>
        <v>2L-ZOAB onderlaag 30% PR - PCR 1.0, Totaal</v>
      </c>
      <c r="B15" s="41" t="s">
        <v>1338</v>
      </c>
      <c r="C15" s="41" t="s">
        <v>443</v>
      </c>
      <c r="D15" s="41" t="s">
        <v>469</v>
      </c>
      <c r="E15" s="41" t="s">
        <v>91</v>
      </c>
      <c r="F15" s="41" t="s">
        <v>16</v>
      </c>
      <c r="L15" s="41">
        <v>2.1</v>
      </c>
      <c r="M15" s="53">
        <v>7.3094430207136014</v>
      </c>
      <c r="N15" s="41">
        <v>13</v>
      </c>
      <c r="O15" s="52">
        <v>6.5039712319624602E-5</v>
      </c>
      <c r="P15" s="52">
        <v>0.76957846535452035</v>
      </c>
      <c r="Q15" s="52">
        <v>61.627859949506181</v>
      </c>
      <c r="R15" s="52">
        <v>7.6697529099921856E-6</v>
      </c>
      <c r="S15" s="52">
        <v>6.3978625870510064E-2</v>
      </c>
      <c r="T15" s="52">
        <v>0.27458808046711908</v>
      </c>
      <c r="U15" s="52">
        <v>3.4855571148716839E-2</v>
      </c>
      <c r="V15" s="52">
        <v>18.703358252677774</v>
      </c>
      <c r="W15" s="52">
        <v>4.1825250677081121</v>
      </c>
      <c r="X15" s="52">
        <v>7468.6683183497425</v>
      </c>
      <c r="Y15" s="52">
        <v>0.15033224934072872</v>
      </c>
      <c r="Z15" s="52"/>
      <c r="AA15" s="52"/>
      <c r="AB15" s="52"/>
      <c r="AC15" s="52"/>
      <c r="AD15" s="52"/>
      <c r="AE15" s="52"/>
      <c r="AF15" s="52"/>
      <c r="AG15" s="52"/>
      <c r="AH15" s="52"/>
      <c r="AI15" s="52"/>
      <c r="AJ15" s="52"/>
      <c r="AK15" s="52"/>
      <c r="AL15" s="52"/>
      <c r="AM15" s="52"/>
      <c r="AN15" s="52"/>
      <c r="AO15" s="52"/>
      <c r="AP15" s="52"/>
      <c r="AQ15" s="52"/>
      <c r="AR15" s="52"/>
      <c r="AS15" s="52"/>
      <c r="AT15" s="52"/>
      <c r="AU15" s="52">
        <v>22.049721843848761</v>
      </c>
      <c r="AV15" s="52"/>
      <c r="AW15" s="52"/>
      <c r="AX15" s="52">
        <v>1502.0458072059819</v>
      </c>
      <c r="AY15" s="52"/>
      <c r="AZ15" s="52"/>
      <c r="BA15" s="52"/>
      <c r="BB15" s="52">
        <v>10.582426749404007</v>
      </c>
      <c r="BC15" s="52">
        <v>9.0521735136718442E-4</v>
      </c>
      <c r="BD15" s="52">
        <v>2.5719876965498045</v>
      </c>
      <c r="BE15" s="52">
        <v>1.5793291993064869E-3</v>
      </c>
      <c r="BF15" s="52"/>
      <c r="BG15" s="52"/>
      <c r="BH15" s="52"/>
      <c r="BI15" s="52"/>
      <c r="BJ15" s="52"/>
      <c r="BK15" s="78">
        <v>0.3</v>
      </c>
      <c r="BL15" s="41" t="s">
        <v>109</v>
      </c>
      <c r="BM15" s="45"/>
    </row>
    <row r="16" spans="1:65" x14ac:dyDescent="0.35">
      <c r="A16" s="41" t="str">
        <f>Database_Productkaarten[[#This Row],[Product]]&amp;", "&amp;Database_Productkaarten[[#This Row],[Levensfase]]</f>
        <v>2L-ZOAB onderlaag 30% PR - PCR 1.0, A1</v>
      </c>
      <c r="B16" s="41" t="s">
        <v>1338</v>
      </c>
      <c r="C16" s="41" t="s">
        <v>443</v>
      </c>
      <c r="D16" s="41" t="s">
        <v>469</v>
      </c>
      <c r="E16" s="41" t="s">
        <v>91</v>
      </c>
      <c r="F16" s="41" t="s">
        <v>19</v>
      </c>
      <c r="L16" s="41">
        <v>2.1</v>
      </c>
      <c r="M16" s="53">
        <v>5.3069506209000004</v>
      </c>
      <c r="N16" s="41">
        <v>13</v>
      </c>
      <c r="O16" s="52">
        <v>7.3874349759999993E-5</v>
      </c>
      <c r="P16" s="52">
        <v>0.86772641507999981</v>
      </c>
      <c r="Q16" s="52">
        <v>40.9385117068</v>
      </c>
      <c r="R16" s="52">
        <v>3.1980221480000004E-6</v>
      </c>
      <c r="S16" s="52">
        <v>9.3238866071999993E-2</v>
      </c>
      <c r="T16" s="52">
        <v>0.26723633899999999</v>
      </c>
      <c r="U16" s="52">
        <v>2.6960668860000002E-2</v>
      </c>
      <c r="V16" s="52">
        <v>10.952886466999999</v>
      </c>
      <c r="W16" s="52">
        <v>1.3475943052599999</v>
      </c>
      <c r="X16" s="52">
        <v>5857.8238711231998</v>
      </c>
      <c r="Y16" s="52">
        <v>0.18399528693999997</v>
      </c>
      <c r="Z16" s="52"/>
      <c r="AA16" s="52"/>
      <c r="AB16" s="52"/>
      <c r="AC16" s="52"/>
      <c r="AD16" s="52"/>
      <c r="AE16" s="52"/>
      <c r="AF16" s="52"/>
      <c r="AG16" s="52"/>
      <c r="AH16" s="52"/>
      <c r="AI16" s="52"/>
      <c r="AJ16" s="52"/>
      <c r="AK16" s="52"/>
      <c r="AL16" s="52"/>
      <c r="AM16" s="52"/>
      <c r="AN16" s="52"/>
      <c r="AO16" s="52"/>
      <c r="AP16" s="52"/>
      <c r="AQ16" s="52"/>
      <c r="AR16" s="52"/>
      <c r="AS16" s="52"/>
      <c r="AT16" s="52"/>
      <c r="AU16" s="52">
        <v>23.3818604802</v>
      </c>
      <c r="AV16" s="52"/>
      <c r="AW16" s="52"/>
      <c r="AX16" s="52">
        <v>1960.9136215622998</v>
      </c>
      <c r="AY16" s="52"/>
      <c r="AZ16" s="52"/>
      <c r="BA16" s="52"/>
      <c r="BB16" s="52">
        <v>20.264868856220001</v>
      </c>
      <c r="BC16" s="52">
        <v>6.825086075999999E-4</v>
      </c>
      <c r="BD16" s="52">
        <v>2.1506593399999998</v>
      </c>
      <c r="BE16" s="52">
        <v>1.0369416616E-3</v>
      </c>
      <c r="BF16" s="52"/>
      <c r="BG16" s="52"/>
      <c r="BH16" s="52"/>
      <c r="BI16" s="52"/>
      <c r="BJ16" s="52"/>
      <c r="BK16" s="78">
        <v>0.3</v>
      </c>
      <c r="BL16" s="41" t="s">
        <v>109</v>
      </c>
      <c r="BM16" s="45"/>
    </row>
    <row r="17" spans="1:65" x14ac:dyDescent="0.35">
      <c r="A17" s="41" t="str">
        <f>Database_Productkaarten[[#This Row],[Product]]&amp;", "&amp;Database_Productkaarten[[#This Row],[Levensfase]]</f>
        <v>2L-ZOAB onderlaag 30% PR - PCR 1.0, A2</v>
      </c>
      <c r="B17" s="41" t="s">
        <v>1338</v>
      </c>
      <c r="C17" s="41" t="s">
        <v>443</v>
      </c>
      <c r="D17" s="41" t="s">
        <v>469</v>
      </c>
      <c r="E17" s="41" t="s">
        <v>91</v>
      </c>
      <c r="F17" s="41" t="s">
        <v>20</v>
      </c>
      <c r="L17" s="41">
        <v>2.1</v>
      </c>
      <c r="M17" s="53">
        <v>1.9430490663209998</v>
      </c>
      <c r="N17" s="41">
        <v>13</v>
      </c>
      <c r="O17" s="52">
        <v>1.0981543150132E-5</v>
      </c>
      <c r="P17" s="52">
        <v>8.0963648950389988E-2</v>
      </c>
      <c r="Q17" s="52">
        <v>11.585025716468397</v>
      </c>
      <c r="R17" s="52">
        <v>1.916909098011E-6</v>
      </c>
      <c r="S17" s="52">
        <v>1.0300860648039999E-2</v>
      </c>
      <c r="T17" s="52">
        <v>0.17062562817049998</v>
      </c>
      <c r="U17" s="52">
        <v>1.8457106581819996E-2</v>
      </c>
      <c r="V17" s="52">
        <v>4.8313847145543987</v>
      </c>
      <c r="W17" s="52">
        <v>0.10179235535643999</v>
      </c>
      <c r="X17" s="52">
        <v>427.07612423635646</v>
      </c>
      <c r="Y17" s="52">
        <v>1.6264749832589999E-2</v>
      </c>
      <c r="Z17" s="52"/>
      <c r="AA17" s="52"/>
      <c r="AB17" s="52"/>
      <c r="AC17" s="52"/>
      <c r="AD17" s="52"/>
      <c r="AE17" s="52"/>
      <c r="AF17" s="52"/>
      <c r="AG17" s="52"/>
      <c r="AH17" s="52"/>
      <c r="AI17" s="52"/>
      <c r="AJ17" s="52"/>
      <c r="AK17" s="52"/>
      <c r="AL17" s="52"/>
      <c r="AM17" s="52"/>
      <c r="AN17" s="52"/>
      <c r="AO17" s="52"/>
      <c r="AP17" s="52"/>
      <c r="AQ17" s="52"/>
      <c r="AR17" s="52"/>
      <c r="AS17" s="52"/>
      <c r="AT17" s="52"/>
      <c r="AU17" s="52">
        <v>3.2796982827534</v>
      </c>
      <c r="AV17" s="52"/>
      <c r="AW17" s="52"/>
      <c r="AX17" s="52">
        <v>179.39306552735258</v>
      </c>
      <c r="AY17" s="52"/>
      <c r="AZ17" s="52"/>
      <c r="BA17" s="52"/>
      <c r="BB17" s="52">
        <v>3.2557138445730001E-2</v>
      </c>
      <c r="BC17" s="52">
        <v>1.0590906493112E-4</v>
      </c>
      <c r="BD17" s="52">
        <v>3.0578301791596005</v>
      </c>
      <c r="BE17" s="52">
        <v>1.1140603432129997E-3</v>
      </c>
      <c r="BF17" s="52"/>
      <c r="BG17" s="52"/>
      <c r="BH17" s="52"/>
      <c r="BI17" s="52"/>
      <c r="BJ17" s="52"/>
      <c r="BK17" s="78">
        <v>0.3</v>
      </c>
      <c r="BL17" s="41" t="s">
        <v>109</v>
      </c>
      <c r="BM17" s="45"/>
    </row>
    <row r="18" spans="1:65" x14ac:dyDescent="0.35">
      <c r="A18" s="41" t="str">
        <f>Database_Productkaarten[[#This Row],[Product]]&amp;", "&amp;Database_Productkaarten[[#This Row],[Levensfase]]</f>
        <v>2L-ZOAB onderlaag 30% PR - PCR 1.0, A3</v>
      </c>
      <c r="B18" s="41" t="s">
        <v>1338</v>
      </c>
      <c r="C18" s="41" t="s">
        <v>443</v>
      </c>
      <c r="D18" s="41" t="s">
        <v>469</v>
      </c>
      <c r="E18" s="41" t="s">
        <v>91</v>
      </c>
      <c r="F18" s="41" t="s">
        <v>21</v>
      </c>
      <c r="L18" s="41">
        <v>2.1</v>
      </c>
      <c r="M18" s="53">
        <v>1.5586325778075958</v>
      </c>
      <c r="N18" s="41">
        <v>13</v>
      </c>
      <c r="O18" s="52">
        <v>4.2104572698924192E-6</v>
      </c>
      <c r="P18" s="52">
        <v>0.18269477242307175</v>
      </c>
      <c r="Q18" s="52">
        <v>21.422492026413497</v>
      </c>
      <c r="R18" s="52">
        <v>2.4757937169570546E-6</v>
      </c>
      <c r="S18" s="52">
        <v>3.5041206638553144E-3</v>
      </c>
      <c r="T18" s="52">
        <v>2.3268966416509839E-2</v>
      </c>
      <c r="U18" s="52">
        <v>4.2005852578956317E-3</v>
      </c>
      <c r="V18" s="52">
        <v>3.4378900753673935</v>
      </c>
      <c r="W18" s="52">
        <v>2.2193163319453403E-2</v>
      </c>
      <c r="X18" s="52">
        <v>89.87631522793022</v>
      </c>
      <c r="Y18" s="52">
        <v>2.08144449636576E-2</v>
      </c>
      <c r="Z18" s="52"/>
      <c r="AA18" s="52"/>
      <c r="AB18" s="52"/>
      <c r="AC18" s="52"/>
      <c r="AD18" s="52"/>
      <c r="AE18" s="52"/>
      <c r="AF18" s="52"/>
      <c r="AG18" s="52"/>
      <c r="AH18" s="52"/>
      <c r="AI18" s="52"/>
      <c r="AJ18" s="52"/>
      <c r="AK18" s="52"/>
      <c r="AL18" s="52"/>
      <c r="AM18" s="52"/>
      <c r="AN18" s="52"/>
      <c r="AO18" s="52"/>
      <c r="AP18" s="52"/>
      <c r="AQ18" s="52"/>
      <c r="AR18" s="52"/>
      <c r="AS18" s="52"/>
      <c r="AT18" s="52"/>
      <c r="AU18" s="52">
        <v>5.9631026873825332</v>
      </c>
      <c r="AV18" s="52"/>
      <c r="AW18" s="52"/>
      <c r="AX18" s="52">
        <v>373.4991474103233</v>
      </c>
      <c r="AY18" s="52"/>
      <c r="AZ18" s="52"/>
      <c r="BA18" s="52"/>
      <c r="BB18" s="52">
        <v>3.9487704062754071E-2</v>
      </c>
      <c r="BC18" s="52">
        <v>4.9758582573578057E-4</v>
      </c>
      <c r="BD18" s="52">
        <v>0.23396664007004547</v>
      </c>
      <c r="BE18" s="52">
        <v>3.4302143111759718E-4</v>
      </c>
      <c r="BF18" s="52"/>
      <c r="BG18" s="52"/>
      <c r="BH18" s="52"/>
      <c r="BI18" s="52"/>
      <c r="BJ18" s="52"/>
      <c r="BK18" s="78">
        <v>0.3</v>
      </c>
      <c r="BL18" s="41" t="s">
        <v>109</v>
      </c>
      <c r="BM18" s="45"/>
    </row>
    <row r="19" spans="1:65" x14ac:dyDescent="0.35">
      <c r="A19" s="41" t="str">
        <f>Database_Productkaarten[[#This Row],[Product]]&amp;", "&amp;Database_Productkaarten[[#This Row],[Levensfase]]</f>
        <v>2L-ZOAB onderlaag 30% PR - PCR 1.0, A4</v>
      </c>
      <c r="B19" s="41" t="s">
        <v>1338</v>
      </c>
      <c r="C19" s="41" t="s">
        <v>443</v>
      </c>
      <c r="D19" s="41" t="s">
        <v>469</v>
      </c>
      <c r="E19" s="41" t="s">
        <v>91</v>
      </c>
      <c r="F19" s="41" t="s">
        <v>22</v>
      </c>
      <c r="L19" s="41">
        <v>2.1</v>
      </c>
      <c r="M19" s="53">
        <v>0.62892669999999995</v>
      </c>
      <c r="N19" s="41">
        <v>13</v>
      </c>
      <c r="O19" s="52">
        <v>1.0978337000000001E-5</v>
      </c>
      <c r="P19" s="52">
        <v>4.3183727999999998E-2</v>
      </c>
      <c r="Q19" s="52">
        <v>5.7021305</v>
      </c>
      <c r="R19" s="52">
        <v>1.1335356E-6</v>
      </c>
      <c r="S19" s="52">
        <v>3.5752850000000001E-3</v>
      </c>
      <c r="T19" s="52">
        <v>1.9151161E-2</v>
      </c>
      <c r="U19" s="52">
        <v>3.8023555000000001E-3</v>
      </c>
      <c r="V19" s="52">
        <v>2.0049337999999999</v>
      </c>
      <c r="W19" s="52">
        <v>0.12926487</v>
      </c>
      <c r="X19" s="52">
        <v>338.63108999999997</v>
      </c>
      <c r="Y19" s="52">
        <v>1.1891815999999999E-2</v>
      </c>
      <c r="Z19" s="52"/>
      <c r="AA19" s="52"/>
      <c r="AB19" s="52"/>
      <c r="AC19" s="52"/>
      <c r="AD19" s="52"/>
      <c r="AE19" s="52"/>
      <c r="AF19" s="52"/>
      <c r="AG19" s="52"/>
      <c r="AH19" s="52"/>
      <c r="AI19" s="52"/>
      <c r="AJ19" s="52"/>
      <c r="AK19" s="52"/>
      <c r="AL19" s="52"/>
      <c r="AM19" s="52"/>
      <c r="AN19" s="52"/>
      <c r="AO19" s="52"/>
      <c r="AP19" s="52"/>
      <c r="AQ19" s="52"/>
      <c r="AR19" s="52"/>
      <c r="AS19" s="52"/>
      <c r="AT19" s="52"/>
      <c r="AU19" s="52">
        <v>0</v>
      </c>
      <c r="AV19" s="52"/>
      <c r="AW19" s="52"/>
      <c r="AX19" s="52">
        <v>0</v>
      </c>
      <c r="AY19" s="52"/>
      <c r="AZ19" s="52"/>
      <c r="BA19" s="52"/>
      <c r="BB19" s="52">
        <v>0</v>
      </c>
      <c r="BC19" s="52">
        <v>0</v>
      </c>
      <c r="BD19" s="52">
        <v>0</v>
      </c>
      <c r="BE19" s="52">
        <v>0</v>
      </c>
      <c r="BF19" s="52"/>
      <c r="BG19" s="52"/>
      <c r="BH19" s="52"/>
      <c r="BI19" s="52"/>
      <c r="BJ19" s="52"/>
      <c r="BK19" s="78">
        <v>0.3</v>
      </c>
      <c r="BL19" s="41" t="s">
        <v>109</v>
      </c>
      <c r="BM19" s="45"/>
    </row>
    <row r="20" spans="1:65" x14ac:dyDescent="0.35">
      <c r="A20" s="41" t="str">
        <f>Database_Productkaarten[[#This Row],[Product]]&amp;", "&amp;Database_Productkaarten[[#This Row],[Levensfase]]</f>
        <v>2L-ZOAB onderlaag 30% PR - PCR 1.0, A5</v>
      </c>
      <c r="B20" s="41" t="s">
        <v>1338</v>
      </c>
      <c r="C20" s="41" t="s">
        <v>443</v>
      </c>
      <c r="D20" s="41" t="s">
        <v>469</v>
      </c>
      <c r="E20" s="41" t="s">
        <v>91</v>
      </c>
      <c r="F20" s="41" t="s">
        <v>23</v>
      </c>
      <c r="L20" s="41">
        <v>2.1</v>
      </c>
      <c r="M20" s="53">
        <v>0.11589273999999999</v>
      </c>
      <c r="N20" s="41">
        <v>13</v>
      </c>
      <c r="O20" s="52">
        <v>2.9981767000000001E-7</v>
      </c>
      <c r="P20" s="52">
        <v>6.1549237000000003E-3</v>
      </c>
      <c r="Q20" s="52">
        <v>1.1890320000000001</v>
      </c>
      <c r="R20" s="52">
        <v>1.6118031999999999E-7</v>
      </c>
      <c r="S20" s="52">
        <v>4.0441559000000001E-4</v>
      </c>
      <c r="T20" s="52">
        <v>4.1422853000000004E-3</v>
      </c>
      <c r="U20" s="52">
        <v>9.0534960000000005E-4</v>
      </c>
      <c r="V20" s="52">
        <v>0.31393536</v>
      </c>
      <c r="W20" s="52">
        <v>4.4639175000000001E-3</v>
      </c>
      <c r="X20" s="52">
        <v>15.054501</v>
      </c>
      <c r="Y20" s="52">
        <v>5.2994459999999995E-4</v>
      </c>
      <c r="Z20" s="52"/>
      <c r="AA20" s="52"/>
      <c r="AB20" s="52"/>
      <c r="AC20" s="52"/>
      <c r="AD20" s="52"/>
      <c r="AE20" s="52"/>
      <c r="AF20" s="52"/>
      <c r="AG20" s="52"/>
      <c r="AH20" s="52"/>
      <c r="AI20" s="52"/>
      <c r="AJ20" s="52"/>
      <c r="AK20" s="52"/>
      <c r="AL20" s="52"/>
      <c r="AM20" s="52"/>
      <c r="AN20" s="52"/>
      <c r="AO20" s="52"/>
      <c r="AP20" s="52"/>
      <c r="AQ20" s="52"/>
      <c r="AR20" s="52"/>
      <c r="AS20" s="52"/>
      <c r="AT20" s="52"/>
      <c r="AU20" s="52">
        <v>7.5275787999999996E-2</v>
      </c>
      <c r="AV20" s="52"/>
      <c r="AW20" s="52"/>
      <c r="AX20" s="52">
        <v>13.79832</v>
      </c>
      <c r="AY20" s="52"/>
      <c r="AZ20" s="52"/>
      <c r="BA20" s="52"/>
      <c r="BB20" s="52">
        <v>1.7004556E-3</v>
      </c>
      <c r="BC20" s="52">
        <v>5.7951239999999996E-6</v>
      </c>
      <c r="BD20" s="52">
        <v>1.3837334999999999E-2</v>
      </c>
      <c r="BE20" s="52">
        <v>9.0259541999999994E-5</v>
      </c>
      <c r="BF20" s="52"/>
      <c r="BG20" s="52"/>
      <c r="BH20" s="52"/>
      <c r="BI20" s="52"/>
      <c r="BJ20" s="52"/>
      <c r="BK20" s="78">
        <v>0.3</v>
      </c>
      <c r="BL20" s="41" t="s">
        <v>109</v>
      </c>
      <c r="BM20" s="45"/>
    </row>
    <row r="21" spans="1:65" x14ac:dyDescent="0.35">
      <c r="A21" s="41" t="str">
        <f>Database_Productkaarten[[#This Row],[Product]]&amp;", "&amp;Database_Productkaarten[[#This Row],[Levensfase]]</f>
        <v>2L-ZOAB onderlaag 30% PR - PCR 1.0, B1</v>
      </c>
      <c r="B21" s="41" t="s">
        <v>1338</v>
      </c>
      <c r="C21" s="41" t="s">
        <v>443</v>
      </c>
      <c r="D21" s="41" t="s">
        <v>469</v>
      </c>
      <c r="E21" s="41" t="s">
        <v>91</v>
      </c>
      <c r="F21" s="41" t="s">
        <v>24</v>
      </c>
      <c r="L21" s="41">
        <v>2.1</v>
      </c>
      <c r="M21" s="53">
        <v>0.63803195999999995</v>
      </c>
      <c r="N21" s="41">
        <v>13</v>
      </c>
      <c r="O21" s="52">
        <v>0</v>
      </c>
      <c r="P21" s="52">
        <v>0</v>
      </c>
      <c r="Q21" s="52">
        <v>0</v>
      </c>
      <c r="R21" s="52">
        <v>0</v>
      </c>
      <c r="S21" s="52">
        <v>0</v>
      </c>
      <c r="T21" s="52">
        <v>0</v>
      </c>
      <c r="U21" s="52">
        <v>0</v>
      </c>
      <c r="V21" s="52">
        <v>2.2159960000000001</v>
      </c>
      <c r="W21" s="52">
        <v>3.1435906</v>
      </c>
      <c r="X21" s="52">
        <v>3441.1720999999998</v>
      </c>
      <c r="Y21" s="52">
        <v>2.7899999999999999E-3</v>
      </c>
      <c r="Z21" s="52"/>
      <c r="AA21" s="52"/>
      <c r="AB21" s="52"/>
      <c r="AC21" s="52"/>
      <c r="AD21" s="52"/>
      <c r="AE21" s="52"/>
      <c r="AF21" s="52"/>
      <c r="AG21" s="52"/>
      <c r="AH21" s="52"/>
      <c r="AI21" s="52"/>
      <c r="AJ21" s="52"/>
      <c r="AK21" s="52"/>
      <c r="AL21" s="52"/>
      <c r="AM21" s="52"/>
      <c r="AN21" s="52"/>
      <c r="AO21" s="52"/>
      <c r="AP21" s="52"/>
      <c r="AQ21" s="52"/>
      <c r="AR21" s="52"/>
      <c r="AS21" s="52"/>
      <c r="AT21" s="52"/>
      <c r="AU21" s="52">
        <v>0</v>
      </c>
      <c r="AV21" s="52"/>
      <c r="AW21" s="52"/>
      <c r="AX21" s="52">
        <v>0</v>
      </c>
      <c r="AY21" s="52"/>
      <c r="AZ21" s="52"/>
      <c r="BA21" s="52"/>
      <c r="BB21" s="52">
        <v>0</v>
      </c>
      <c r="BC21" s="52">
        <v>0</v>
      </c>
      <c r="BD21" s="52">
        <v>0</v>
      </c>
      <c r="BE21" s="52">
        <v>0</v>
      </c>
      <c r="BF21" s="52"/>
      <c r="BG21" s="52"/>
      <c r="BH21" s="52"/>
      <c r="BI21" s="52"/>
      <c r="BJ21" s="52"/>
      <c r="BK21" s="78">
        <v>0.3</v>
      </c>
      <c r="BL21" s="41" t="s">
        <v>109</v>
      </c>
      <c r="BM21" s="45"/>
    </row>
    <row r="22" spans="1:65" x14ac:dyDescent="0.35">
      <c r="A22" s="41" t="str">
        <f>Database_Productkaarten[[#This Row],[Product]]&amp;", "&amp;Database_Productkaarten[[#This Row],[Levensfase]]</f>
        <v>2L-ZOAB onderlaag 30% PR - PCR 1.0, C1</v>
      </c>
      <c r="B22" s="41" t="s">
        <v>1338</v>
      </c>
      <c r="C22" s="41" t="s">
        <v>443</v>
      </c>
      <c r="D22" s="41" t="s">
        <v>469</v>
      </c>
      <c r="E22" s="41" t="s">
        <v>91</v>
      </c>
      <c r="F22" s="41" t="s">
        <v>25</v>
      </c>
      <c r="L22" s="41">
        <v>2.1</v>
      </c>
      <c r="M22" s="53">
        <v>0.17755156</v>
      </c>
      <c r="N22" s="41">
        <v>13</v>
      </c>
      <c r="O22" s="52">
        <v>4.7748738999999998E-7</v>
      </c>
      <c r="P22" s="52">
        <v>9.8022859000000007E-3</v>
      </c>
      <c r="Q22" s="52">
        <v>1.8936436000000001</v>
      </c>
      <c r="R22" s="52">
        <v>2.5669458999999998E-7</v>
      </c>
      <c r="S22" s="52">
        <v>6.2586746000000001E-4</v>
      </c>
      <c r="T22" s="52">
        <v>5.5323285000000002E-3</v>
      </c>
      <c r="U22" s="52">
        <v>1.1650454999999999E-3</v>
      </c>
      <c r="V22" s="52">
        <v>0.49739214999999998</v>
      </c>
      <c r="W22" s="52">
        <v>7.1092020000000002E-3</v>
      </c>
      <c r="X22" s="52">
        <v>23.975687000000001</v>
      </c>
      <c r="Y22" s="52">
        <v>8.4398584999999997E-4</v>
      </c>
      <c r="Z22" s="52"/>
      <c r="AA22" s="52"/>
      <c r="AB22" s="52"/>
      <c r="AC22" s="52"/>
      <c r="AD22" s="52"/>
      <c r="AE22" s="52"/>
      <c r="AF22" s="52"/>
      <c r="AG22" s="52"/>
      <c r="AH22" s="52"/>
      <c r="AI22" s="52"/>
      <c r="AJ22" s="52"/>
      <c r="AK22" s="52"/>
      <c r="AL22" s="52"/>
      <c r="AM22" s="52"/>
      <c r="AN22" s="52"/>
      <c r="AO22" s="52"/>
      <c r="AP22" s="52"/>
      <c r="AQ22" s="52"/>
      <c r="AR22" s="52"/>
      <c r="AS22" s="52"/>
      <c r="AT22" s="52"/>
      <c r="AU22" s="52">
        <v>0.11988366</v>
      </c>
      <c r="AV22" s="52"/>
      <c r="AW22" s="52"/>
      <c r="AX22" s="52">
        <v>21.975102</v>
      </c>
      <c r="AY22" s="52"/>
      <c r="AZ22" s="52"/>
      <c r="BA22" s="52"/>
      <c r="BB22" s="52">
        <v>2.7081330000000002E-3</v>
      </c>
      <c r="BC22" s="52">
        <v>9.2292716000000002E-6</v>
      </c>
      <c r="BD22" s="52">
        <v>2.2037237000000001E-2</v>
      </c>
      <c r="BE22" s="52">
        <v>1.4374668000000001E-4</v>
      </c>
      <c r="BF22" s="52"/>
      <c r="BG22" s="52"/>
      <c r="BH22" s="52"/>
      <c r="BI22" s="52"/>
      <c r="BJ22" s="52"/>
      <c r="BK22" s="78">
        <v>0.3</v>
      </c>
      <c r="BL22" s="41" t="s">
        <v>109</v>
      </c>
      <c r="BM22" s="45"/>
    </row>
    <row r="23" spans="1:65" x14ac:dyDescent="0.35">
      <c r="A23" s="41" t="str">
        <f>Database_Productkaarten[[#This Row],[Product]]&amp;", "&amp;Database_Productkaarten[[#This Row],[Levensfase]]</f>
        <v>2L-ZOAB onderlaag 30% PR - PCR 1.0, C2</v>
      </c>
      <c r="B23" s="41" t="s">
        <v>1338</v>
      </c>
      <c r="C23" s="41" t="s">
        <v>443</v>
      </c>
      <c r="D23" s="41" t="s">
        <v>469</v>
      </c>
      <c r="E23" s="41" t="s">
        <v>91</v>
      </c>
      <c r="F23" s="41" t="s">
        <v>26</v>
      </c>
      <c r="L23" s="41">
        <v>2.1</v>
      </c>
      <c r="M23" s="53">
        <v>0.62892669999999995</v>
      </c>
      <c r="N23" s="41">
        <v>13</v>
      </c>
      <c r="O23" s="52">
        <v>1.0978337000000001E-5</v>
      </c>
      <c r="P23" s="52">
        <v>4.3183727999999998E-2</v>
      </c>
      <c r="Q23" s="52">
        <v>5.7021305</v>
      </c>
      <c r="R23" s="52">
        <v>1.1335356E-6</v>
      </c>
      <c r="S23" s="52">
        <v>3.5752850000000001E-3</v>
      </c>
      <c r="T23" s="52">
        <v>1.9151161E-2</v>
      </c>
      <c r="U23" s="52">
        <v>3.8023555000000001E-3</v>
      </c>
      <c r="V23" s="52">
        <v>2.0049337999999999</v>
      </c>
      <c r="W23" s="52">
        <v>0.12926487</v>
      </c>
      <c r="X23" s="52">
        <v>338.63108999999997</v>
      </c>
      <c r="Y23" s="52">
        <v>1.1891815999999999E-2</v>
      </c>
      <c r="Z23" s="52"/>
      <c r="AA23" s="52"/>
      <c r="AB23" s="52"/>
      <c r="AC23" s="52"/>
      <c r="AD23" s="52"/>
      <c r="AE23" s="52"/>
      <c r="AF23" s="52"/>
      <c r="AG23" s="52"/>
      <c r="AH23" s="52"/>
      <c r="AI23" s="52"/>
      <c r="AJ23" s="52"/>
      <c r="AK23" s="52"/>
      <c r="AL23" s="52"/>
      <c r="AM23" s="52"/>
      <c r="AN23" s="52"/>
      <c r="AO23" s="52"/>
      <c r="AP23" s="52"/>
      <c r="AQ23" s="52"/>
      <c r="AR23" s="52"/>
      <c r="AS23" s="52"/>
      <c r="AT23" s="52"/>
      <c r="AU23" s="52">
        <v>0</v>
      </c>
      <c r="AV23" s="52"/>
      <c r="AW23" s="52"/>
      <c r="AX23" s="52">
        <v>0</v>
      </c>
      <c r="AY23" s="52"/>
      <c r="AZ23" s="52"/>
      <c r="BA23" s="52"/>
      <c r="BB23" s="52">
        <v>0</v>
      </c>
      <c r="BC23" s="52">
        <v>0</v>
      </c>
      <c r="BD23" s="52">
        <v>0</v>
      </c>
      <c r="BE23" s="52">
        <v>0</v>
      </c>
      <c r="BF23" s="52"/>
      <c r="BG23" s="52"/>
      <c r="BH23" s="52"/>
      <c r="BI23" s="52"/>
      <c r="BJ23" s="52"/>
      <c r="BK23" s="78">
        <v>0.3</v>
      </c>
      <c r="BL23" s="41" t="s">
        <v>109</v>
      </c>
      <c r="BM23" s="45"/>
    </row>
    <row r="24" spans="1:65" x14ac:dyDescent="0.35">
      <c r="A24" s="41" t="str">
        <f>Database_Productkaarten[[#This Row],[Product]]&amp;", "&amp;Database_Productkaarten[[#This Row],[Levensfase]]</f>
        <v>2L-ZOAB onderlaag 30% PR - PCR 1.0, C3</v>
      </c>
      <c r="B24" s="41" t="s">
        <v>1338</v>
      </c>
      <c r="C24" s="41" t="s">
        <v>443</v>
      </c>
      <c r="D24" s="41" t="s">
        <v>469</v>
      </c>
      <c r="E24" s="41" t="s">
        <v>91</v>
      </c>
      <c r="F24" s="41" t="s">
        <v>27</v>
      </c>
      <c r="L24" s="41">
        <v>2.1</v>
      </c>
      <c r="M24" s="53">
        <v>0.16120214999999999</v>
      </c>
      <c r="N24" s="41">
        <v>13</v>
      </c>
      <c r="O24" s="52">
        <v>4.1291555000000003E-7</v>
      </c>
      <c r="P24" s="52">
        <v>8.4766977000000007E-3</v>
      </c>
      <c r="Q24" s="52">
        <v>1.6375614000000001</v>
      </c>
      <c r="R24" s="52">
        <v>2.2198111999999999E-7</v>
      </c>
      <c r="S24" s="52">
        <v>5.9777666000000002E-4</v>
      </c>
      <c r="T24" s="52">
        <v>5.9352911000000001E-3</v>
      </c>
      <c r="U24" s="52">
        <v>1.3067828999999999E-3</v>
      </c>
      <c r="V24" s="52">
        <v>0.43290835999999999</v>
      </c>
      <c r="W24" s="52">
        <v>6.1478063999999997E-3</v>
      </c>
      <c r="X24" s="52">
        <v>20.733394000000001</v>
      </c>
      <c r="Y24" s="52">
        <v>7.2985148000000004E-4</v>
      </c>
      <c r="Z24" s="52"/>
      <c r="AA24" s="52"/>
      <c r="AB24" s="52"/>
      <c r="AC24" s="52"/>
      <c r="AD24" s="52"/>
      <c r="AE24" s="52"/>
      <c r="AF24" s="52"/>
      <c r="AG24" s="52"/>
      <c r="AH24" s="52"/>
      <c r="AI24" s="52"/>
      <c r="AJ24" s="52"/>
      <c r="AK24" s="52"/>
      <c r="AL24" s="52"/>
      <c r="AM24" s="52"/>
      <c r="AN24" s="52"/>
      <c r="AO24" s="52"/>
      <c r="AP24" s="52"/>
      <c r="AQ24" s="52"/>
      <c r="AR24" s="52"/>
      <c r="AS24" s="52"/>
      <c r="AT24" s="52"/>
      <c r="AU24" s="52">
        <v>0.10367149000000001</v>
      </c>
      <c r="AV24" s="52"/>
      <c r="AW24" s="52"/>
      <c r="AX24" s="52">
        <v>19.003353000000001</v>
      </c>
      <c r="AY24" s="52"/>
      <c r="AZ24" s="52"/>
      <c r="BA24" s="52"/>
      <c r="BB24" s="52">
        <v>2.3419052000000001E-3</v>
      </c>
      <c r="BC24" s="52">
        <v>7.9811735999999999E-6</v>
      </c>
      <c r="BD24" s="52">
        <v>1.9057085000000001E-2</v>
      </c>
      <c r="BE24" s="52">
        <v>1.2430745000000001E-4</v>
      </c>
      <c r="BF24" s="52"/>
      <c r="BG24" s="52"/>
      <c r="BH24" s="52"/>
      <c r="BI24" s="52"/>
      <c r="BJ24" s="52"/>
      <c r="BK24" s="78">
        <v>0.3</v>
      </c>
      <c r="BL24" s="41" t="s">
        <v>109</v>
      </c>
      <c r="BM24" s="45"/>
    </row>
    <row r="25" spans="1:65" x14ac:dyDescent="0.35">
      <c r="A25" s="41" t="str">
        <f>Database_Productkaarten[[#This Row],[Product]]&amp;", "&amp;Database_Productkaarten[[#This Row],[Levensfase]]</f>
        <v>2L-ZOAB onderlaag 30% PR - PCR 1.0, D1</v>
      </c>
      <c r="B25" s="41" t="s">
        <v>1338</v>
      </c>
      <c r="C25" s="41" t="s">
        <v>443</v>
      </c>
      <c r="D25" s="41" t="s">
        <v>469</v>
      </c>
      <c r="E25" s="41" t="s">
        <v>91</v>
      </c>
      <c r="F25" s="41" t="s">
        <v>51</v>
      </c>
      <c r="L25" s="41">
        <v>2.1</v>
      </c>
      <c r="M25" s="53">
        <v>-2.667976973002558</v>
      </c>
      <c r="N25" s="41">
        <v>13</v>
      </c>
      <c r="O25" s="52">
        <v>-4.0650835793701222E-5</v>
      </c>
      <c r="P25" s="52">
        <v>-0.42360004452374717</v>
      </c>
      <c r="Q25" s="52">
        <v>-21.427739244428892</v>
      </c>
      <c r="R25" s="52">
        <v>-1.6682878010483388E-6</v>
      </c>
      <c r="S25" s="52">
        <v>-4.5574763269330715E-2</v>
      </c>
      <c r="T25" s="52">
        <v>-0.13612471039670501</v>
      </c>
      <c r="U25" s="52">
        <v>-1.451716035145449E-2</v>
      </c>
      <c r="V25" s="52">
        <v>-5.0567742785719236</v>
      </c>
      <c r="W25" s="52">
        <v>-0.6473932231068722</v>
      </c>
      <c r="X25" s="52">
        <v>-2825.4782226779557</v>
      </c>
      <c r="Y25" s="52">
        <v>-8.95635493939968E-2</v>
      </c>
      <c r="Z25" s="52"/>
      <c r="AA25" s="52"/>
      <c r="AB25" s="52"/>
      <c r="AC25" s="52"/>
      <c r="AD25" s="52"/>
      <c r="AE25" s="52"/>
      <c r="AF25" s="52"/>
      <c r="AG25" s="52"/>
      <c r="AH25" s="52"/>
      <c r="AI25" s="52"/>
      <c r="AJ25" s="52"/>
      <c r="AK25" s="52"/>
      <c r="AL25" s="52"/>
      <c r="AM25" s="52"/>
      <c r="AN25" s="52"/>
      <c r="AO25" s="52"/>
      <c r="AP25" s="52"/>
      <c r="AQ25" s="52"/>
      <c r="AR25" s="52"/>
      <c r="AS25" s="52"/>
      <c r="AT25" s="52"/>
      <c r="AU25" s="52">
        <v>-8.8795825358023208</v>
      </c>
      <c r="AV25" s="52"/>
      <c r="AW25" s="52"/>
      <c r="AX25" s="52">
        <v>-957.95182255651537</v>
      </c>
      <c r="AY25" s="52"/>
      <c r="AZ25" s="52"/>
      <c r="BA25" s="52"/>
      <c r="BB25" s="52">
        <v>-9.7415377379694768</v>
      </c>
      <c r="BC25" s="52">
        <v>-3.3976057841810669E-4</v>
      </c>
      <c r="BD25" s="52">
        <v>-1.1167731727133314</v>
      </c>
      <c r="BE25" s="52">
        <v>-5.9883231492481809E-4</v>
      </c>
      <c r="BF25" s="52"/>
      <c r="BG25" s="52"/>
      <c r="BH25" s="52"/>
      <c r="BI25" s="52"/>
      <c r="BJ25" s="52"/>
      <c r="BK25" s="78">
        <v>0.3</v>
      </c>
      <c r="BL25" s="41" t="s">
        <v>109</v>
      </c>
      <c r="BM25" s="45"/>
    </row>
    <row r="26" spans="1:65" x14ac:dyDescent="0.35">
      <c r="A26" s="41" t="str">
        <f>Database_Productkaarten[[#This Row],[Product]]&amp;", "&amp;Database_Productkaarten[[#This Row],[Levensfase]]</f>
        <v>2L-ZOAB onderlaag 30% PR - PCR 1.0, D2</v>
      </c>
      <c r="B26" s="41" t="s">
        <v>1338</v>
      </c>
      <c r="C26" s="41" t="s">
        <v>443</v>
      </c>
      <c r="D26" s="41" t="s">
        <v>469</v>
      </c>
      <c r="E26" s="41" t="s">
        <v>91</v>
      </c>
      <c r="F26" s="41" t="s">
        <v>52</v>
      </c>
      <c r="L26" s="41">
        <v>2.1</v>
      </c>
      <c r="M26" s="53">
        <v>-1.181744081312436</v>
      </c>
      <c r="N26" s="41">
        <v>13</v>
      </c>
      <c r="O26" s="52">
        <v>-6.5226966766985917E-6</v>
      </c>
      <c r="P26" s="52">
        <v>-4.9007690175194157E-2</v>
      </c>
      <c r="Q26" s="52">
        <v>-7.0149282557468275</v>
      </c>
      <c r="R26" s="52">
        <v>-1.1596115019275296E-6</v>
      </c>
      <c r="S26" s="52">
        <v>-6.2690879640545311E-3</v>
      </c>
      <c r="T26" s="52">
        <v>-0.10433036982318575</v>
      </c>
      <c r="U26" s="52">
        <v>-1.1227518199544297E-2</v>
      </c>
      <c r="V26" s="52">
        <v>-2.9321281956720942</v>
      </c>
      <c r="W26" s="52">
        <v>-6.1502799320908658E-2</v>
      </c>
      <c r="X26" s="52">
        <v>-258.82763155978625</v>
      </c>
      <c r="Y26" s="52">
        <v>-9.856096931522099E-3</v>
      </c>
      <c r="Z26" s="52"/>
      <c r="AA26" s="52"/>
      <c r="AB26" s="52"/>
      <c r="AC26" s="52"/>
      <c r="AD26" s="52"/>
      <c r="AE26" s="52"/>
      <c r="AF26" s="52"/>
      <c r="AG26" s="52"/>
      <c r="AH26" s="52"/>
      <c r="AI26" s="52"/>
      <c r="AJ26" s="52"/>
      <c r="AK26" s="52"/>
      <c r="AL26" s="52"/>
      <c r="AM26" s="52"/>
      <c r="AN26" s="52"/>
      <c r="AO26" s="52"/>
      <c r="AP26" s="52"/>
      <c r="AQ26" s="52"/>
      <c r="AR26" s="52"/>
      <c r="AS26" s="52"/>
      <c r="AT26" s="52"/>
      <c r="AU26" s="52">
        <v>-1.9941880086848442</v>
      </c>
      <c r="AV26" s="52"/>
      <c r="AW26" s="52"/>
      <c r="AX26" s="52">
        <v>-108.58497973747885</v>
      </c>
      <c r="AY26" s="52"/>
      <c r="AZ26" s="52"/>
      <c r="BA26" s="52"/>
      <c r="BB26" s="52">
        <v>-1.9699705254997965E-2</v>
      </c>
      <c r="BC26" s="52">
        <v>-6.4031137681609316E-5</v>
      </c>
      <c r="BD26" s="52">
        <v>-1.8086269469665102</v>
      </c>
      <c r="BE26" s="52">
        <v>-6.7417559469929236E-4</v>
      </c>
      <c r="BF26" s="52"/>
      <c r="BG26" s="52"/>
      <c r="BH26" s="52"/>
      <c r="BI26" s="52"/>
      <c r="BJ26" s="52"/>
      <c r="BK26" s="78">
        <v>0.3</v>
      </c>
      <c r="BL26" s="41" t="s">
        <v>109</v>
      </c>
      <c r="BM26" s="45"/>
    </row>
    <row r="27" spans="1:65" x14ac:dyDescent="0.35">
      <c r="A27" s="41" t="str">
        <f>Database_Productkaarten[[#This Row],[Product]]&amp;", "&amp;Database_Productkaarten[[#This Row],[Levensfase]]</f>
        <v>2L-ZOAB toplaag G.M. - PCR 1.0, Totaal</v>
      </c>
      <c r="B27" s="41" t="s">
        <v>1339</v>
      </c>
      <c r="C27" s="41" t="s">
        <v>443</v>
      </c>
      <c r="D27" s="41" t="s">
        <v>469</v>
      </c>
      <c r="E27" s="41" t="s">
        <v>91</v>
      </c>
      <c r="F27" s="41" t="s">
        <v>16</v>
      </c>
      <c r="L27" s="41">
        <v>2</v>
      </c>
      <c r="M27" s="53">
        <v>9.8345066747695906</v>
      </c>
      <c r="N27" s="41">
        <v>10</v>
      </c>
      <c r="O27" s="52">
        <v>5.2089144926528372E-4</v>
      </c>
      <c r="P27" s="52">
        <v>1.0511531887107397</v>
      </c>
      <c r="Q27" s="52">
        <v>85.032632319167021</v>
      </c>
      <c r="R27" s="52">
        <v>1.1295127745744106E-5</v>
      </c>
      <c r="S27" s="52">
        <v>8.8839718373217746E-2</v>
      </c>
      <c r="T27" s="52">
        <v>0.39019869539229846</v>
      </c>
      <c r="U27" s="52">
        <v>5.0416236107187207E-2</v>
      </c>
      <c r="V27" s="52">
        <v>24.981298875778638</v>
      </c>
      <c r="W27" s="52">
        <v>4.3862502104024905</v>
      </c>
      <c r="X27" s="52">
        <v>8305.1462086013344</v>
      </c>
      <c r="Y27" s="52">
        <v>0.1937517941932527</v>
      </c>
      <c r="Z27" s="52"/>
      <c r="AA27" s="52"/>
      <c r="AB27" s="52"/>
      <c r="AC27" s="52"/>
      <c r="AD27" s="52"/>
      <c r="AE27" s="52"/>
      <c r="AF27" s="52"/>
      <c r="AG27" s="52"/>
      <c r="AH27" s="52"/>
      <c r="AI27" s="52"/>
      <c r="AJ27" s="52"/>
      <c r="AK27" s="52"/>
      <c r="AL27" s="52"/>
      <c r="AM27" s="52"/>
      <c r="AN27" s="52"/>
      <c r="AO27" s="52"/>
      <c r="AP27" s="52"/>
      <c r="AQ27" s="52"/>
      <c r="AR27" s="52"/>
      <c r="AS27" s="52"/>
      <c r="AT27" s="52"/>
      <c r="AU27" s="52">
        <v>36.617994049478725</v>
      </c>
      <c r="AV27" s="52"/>
      <c r="AW27" s="52"/>
      <c r="AX27" s="52">
        <v>2125.9401047262932</v>
      </c>
      <c r="AY27" s="52"/>
      <c r="AZ27" s="52"/>
      <c r="BA27" s="52"/>
      <c r="BB27" s="52">
        <v>11.813305352113554</v>
      </c>
      <c r="BC27" s="52">
        <v>1.2522268100847564E-3</v>
      </c>
      <c r="BD27" s="52">
        <v>5.2821279354115624</v>
      </c>
      <c r="BE27" s="52">
        <v>3.7246343133490066E-3</v>
      </c>
      <c r="BF27" s="52"/>
      <c r="BG27" s="52"/>
      <c r="BH27" s="52"/>
      <c r="BI27" s="52"/>
      <c r="BJ27" s="52"/>
      <c r="BK27" s="78">
        <v>0</v>
      </c>
      <c r="BL27" s="41" t="s">
        <v>109</v>
      </c>
      <c r="BM27" s="45"/>
    </row>
    <row r="28" spans="1:65" x14ac:dyDescent="0.35">
      <c r="A28" s="41" t="str">
        <f>Database_Productkaarten[[#This Row],[Product]]&amp;", "&amp;Database_Productkaarten[[#This Row],[Levensfase]]</f>
        <v>2L-ZOAB toplaag G.M. - PCR 1.0, A1</v>
      </c>
      <c r="B28" s="41" t="s">
        <v>1339</v>
      </c>
      <c r="C28" s="41" t="s">
        <v>443</v>
      </c>
      <c r="D28" s="41" t="s">
        <v>469</v>
      </c>
      <c r="E28" s="41" t="s">
        <v>91</v>
      </c>
      <c r="F28" s="41" t="s">
        <v>19</v>
      </c>
      <c r="L28" s="41">
        <v>2</v>
      </c>
      <c r="M28" s="53">
        <v>9.3429971120000008</v>
      </c>
      <c r="N28" s="41">
        <v>10</v>
      </c>
      <c r="O28" s="52">
        <v>5.4577654240000001E-4</v>
      </c>
      <c r="P28" s="52">
        <v>1.3931392981999999</v>
      </c>
      <c r="Q28" s="52">
        <v>79.230315587999996</v>
      </c>
      <c r="R28" s="52">
        <v>7.735625019999999E-6</v>
      </c>
      <c r="S28" s="52">
        <v>0.14295917728000002</v>
      </c>
      <c r="T28" s="52">
        <v>0.44379221699999999</v>
      </c>
      <c r="U28" s="52">
        <v>4.8727822399999995E-2</v>
      </c>
      <c r="V28" s="52">
        <v>19.536224042000001</v>
      </c>
      <c r="W28" s="52">
        <v>1.9097984794</v>
      </c>
      <c r="X28" s="52">
        <v>8264.3374015959998</v>
      </c>
      <c r="Y28" s="52">
        <v>0.27714903460000001</v>
      </c>
      <c r="Z28" s="52"/>
      <c r="AA28" s="52"/>
      <c r="AB28" s="52"/>
      <c r="AC28" s="52"/>
      <c r="AD28" s="52"/>
      <c r="AE28" s="52"/>
      <c r="AF28" s="52"/>
      <c r="AG28" s="52"/>
      <c r="AH28" s="52"/>
      <c r="AI28" s="52"/>
      <c r="AJ28" s="52"/>
      <c r="AK28" s="52"/>
      <c r="AL28" s="52"/>
      <c r="AM28" s="52"/>
      <c r="AN28" s="52"/>
      <c r="AO28" s="52"/>
      <c r="AP28" s="52"/>
      <c r="AQ28" s="52"/>
      <c r="AR28" s="52"/>
      <c r="AS28" s="52"/>
      <c r="AT28" s="52"/>
      <c r="AU28" s="52">
        <v>42.240724967999995</v>
      </c>
      <c r="AV28" s="52"/>
      <c r="AW28" s="52"/>
      <c r="AX28" s="52">
        <v>3133.2046230139999</v>
      </c>
      <c r="AY28" s="52"/>
      <c r="AZ28" s="52"/>
      <c r="BA28" s="52"/>
      <c r="BB28" s="52">
        <v>27.041418357800005</v>
      </c>
      <c r="BC28" s="52">
        <v>1.2044532739999998E-3</v>
      </c>
      <c r="BD28" s="52">
        <v>5.02058626</v>
      </c>
      <c r="BE28" s="52">
        <v>3.4369510839999998E-3</v>
      </c>
      <c r="BF28" s="52"/>
      <c r="BG28" s="52"/>
      <c r="BH28" s="52"/>
      <c r="BI28" s="52"/>
      <c r="BJ28" s="52"/>
      <c r="BK28" s="78">
        <v>0</v>
      </c>
      <c r="BL28" s="41" t="s">
        <v>109</v>
      </c>
      <c r="BM28" s="45"/>
    </row>
    <row r="29" spans="1:65" x14ac:dyDescent="0.35">
      <c r="A29" s="41" t="str">
        <f>Database_Productkaarten[[#This Row],[Product]]&amp;", "&amp;Database_Productkaarten[[#This Row],[Levensfase]]</f>
        <v>2L-ZOAB toplaag G.M. - PCR 1.0, A2</v>
      </c>
      <c r="B29" s="41" t="s">
        <v>1339</v>
      </c>
      <c r="C29" s="41" t="s">
        <v>443</v>
      </c>
      <c r="D29" s="41" t="s">
        <v>469</v>
      </c>
      <c r="E29" s="41" t="s">
        <v>91</v>
      </c>
      <c r="F29" s="41" t="s">
        <v>20</v>
      </c>
      <c r="L29" s="41">
        <v>2</v>
      </c>
      <c r="M29" s="53">
        <v>2.6723827669349998</v>
      </c>
      <c r="N29" s="41">
        <v>10</v>
      </c>
      <c r="O29" s="52">
        <v>1.5945492336169999E-5</v>
      </c>
      <c r="P29" s="52">
        <v>0.11231244020320001</v>
      </c>
      <c r="Q29" s="52">
        <v>16.042393534374</v>
      </c>
      <c r="R29" s="52">
        <v>2.6628212699799999E-6</v>
      </c>
      <c r="S29" s="52">
        <v>1.4152892968499999E-2</v>
      </c>
      <c r="T29" s="52">
        <v>0.23233295073979998</v>
      </c>
      <c r="U29" s="52">
        <v>2.5279730351799999E-2</v>
      </c>
      <c r="V29" s="52">
        <v>6.6895013832839991</v>
      </c>
      <c r="W29" s="52">
        <v>0.14219647397240001</v>
      </c>
      <c r="X29" s="52">
        <v>593.76612158260082</v>
      </c>
      <c r="Y29" s="52">
        <v>2.2529076491E-2</v>
      </c>
      <c r="Z29" s="52"/>
      <c r="AA29" s="52"/>
      <c r="AB29" s="52"/>
      <c r="AC29" s="52"/>
      <c r="AD29" s="52"/>
      <c r="AE29" s="52"/>
      <c r="AF29" s="52"/>
      <c r="AG29" s="52"/>
      <c r="AH29" s="52"/>
      <c r="AI29" s="52"/>
      <c r="AJ29" s="52"/>
      <c r="AK29" s="52"/>
      <c r="AL29" s="52"/>
      <c r="AM29" s="52"/>
      <c r="AN29" s="52"/>
      <c r="AO29" s="52"/>
      <c r="AP29" s="52"/>
      <c r="AQ29" s="52"/>
      <c r="AR29" s="52"/>
      <c r="AS29" s="52"/>
      <c r="AT29" s="52"/>
      <c r="AU29" s="52">
        <v>4.4952032090490004</v>
      </c>
      <c r="AV29" s="52"/>
      <c r="AW29" s="52"/>
      <c r="AX29" s="52">
        <v>248.86272022016098</v>
      </c>
      <c r="AY29" s="52"/>
      <c r="AZ29" s="52"/>
      <c r="BA29" s="52"/>
      <c r="BB29" s="52">
        <v>4.5012853145700006E-2</v>
      </c>
      <c r="BC29" s="52">
        <v>1.469509078222E-4</v>
      </c>
      <c r="BD29" s="52">
        <v>4.5021812523059994</v>
      </c>
      <c r="BE29" s="52">
        <v>1.54625459682E-3</v>
      </c>
      <c r="BF29" s="52"/>
      <c r="BG29" s="52"/>
      <c r="BH29" s="52"/>
      <c r="BI29" s="52"/>
      <c r="BJ29" s="52"/>
      <c r="BK29" s="78">
        <v>0</v>
      </c>
      <c r="BL29" s="41" t="s">
        <v>109</v>
      </c>
      <c r="BM29" s="45"/>
    </row>
    <row r="30" spans="1:65" x14ac:dyDescent="0.35">
      <c r="A30" s="41" t="str">
        <f>Database_Productkaarten[[#This Row],[Product]]&amp;", "&amp;Database_Productkaarten[[#This Row],[Levensfase]]</f>
        <v>2L-ZOAB toplaag G.M. - PCR 1.0, A3</v>
      </c>
      <c r="B30" s="41" t="s">
        <v>1339</v>
      </c>
      <c r="C30" s="41" t="s">
        <v>443</v>
      </c>
      <c r="D30" s="41" t="s">
        <v>469</v>
      </c>
      <c r="E30" s="41" t="s">
        <v>91</v>
      </c>
      <c r="F30" s="41" t="s">
        <v>21</v>
      </c>
      <c r="L30" s="41">
        <v>2</v>
      </c>
      <c r="M30" s="53">
        <v>1.5406704699043883</v>
      </c>
      <c r="N30" s="41">
        <v>10</v>
      </c>
      <c r="O30" s="52">
        <v>4.7252396946614763E-6</v>
      </c>
      <c r="P30" s="52">
        <v>0.17772873115721505</v>
      </c>
      <c r="Q30" s="52">
        <v>20.95351421230658</v>
      </c>
      <c r="R30" s="52">
        <v>2.3720774642008689E-6</v>
      </c>
      <c r="S30" s="52">
        <v>3.4382210892196906E-3</v>
      </c>
      <c r="T30" s="52">
        <v>2.4083927087687487E-2</v>
      </c>
      <c r="U30" s="52">
        <v>4.4555332376394214E-3</v>
      </c>
      <c r="V30" s="52">
        <v>3.4396124345344949</v>
      </c>
      <c r="W30" s="52">
        <v>2.3364189110584674E-2</v>
      </c>
      <c r="X30" s="52">
        <v>94.819431775790676</v>
      </c>
      <c r="Y30" s="52">
        <v>2.377023732169881E-2</v>
      </c>
      <c r="Z30" s="52"/>
      <c r="AA30" s="52"/>
      <c r="AB30" s="52"/>
      <c r="AC30" s="52"/>
      <c r="AD30" s="52"/>
      <c r="AE30" s="52"/>
      <c r="AF30" s="52"/>
      <c r="AG30" s="52"/>
      <c r="AH30" s="52"/>
      <c r="AI30" s="52"/>
      <c r="AJ30" s="52"/>
      <c r="AK30" s="52"/>
      <c r="AL30" s="52"/>
      <c r="AM30" s="52"/>
      <c r="AN30" s="52"/>
      <c r="AO30" s="52"/>
      <c r="AP30" s="52"/>
      <c r="AQ30" s="52"/>
      <c r="AR30" s="52"/>
      <c r="AS30" s="52"/>
      <c r="AT30" s="52"/>
      <c r="AU30" s="52">
        <v>6.8350924685753327</v>
      </c>
      <c r="AV30" s="52"/>
      <c r="AW30" s="52"/>
      <c r="AX30" s="52">
        <v>362.9010876032371</v>
      </c>
      <c r="AY30" s="52"/>
      <c r="AZ30" s="52"/>
      <c r="BA30" s="52"/>
      <c r="BB30" s="52">
        <v>4.5669814925113329E-2</v>
      </c>
      <c r="BC30" s="52">
        <v>4.9910033282178092E-4</v>
      </c>
      <c r="BD30" s="52">
        <v>0.25125463357159794</v>
      </c>
      <c r="BE30" s="52">
        <v>3.5379362517558543E-4</v>
      </c>
      <c r="BF30" s="52"/>
      <c r="BG30" s="52"/>
      <c r="BH30" s="52"/>
      <c r="BI30" s="52"/>
      <c r="BJ30" s="52"/>
      <c r="BK30" s="78">
        <v>0</v>
      </c>
      <c r="BL30" s="41" t="s">
        <v>109</v>
      </c>
      <c r="BM30" s="45"/>
    </row>
    <row r="31" spans="1:65" x14ac:dyDescent="0.35">
      <c r="A31" s="41" t="str">
        <f>Database_Productkaarten[[#This Row],[Product]]&amp;", "&amp;Database_Productkaarten[[#This Row],[Levensfase]]</f>
        <v>2L-ZOAB toplaag G.M. - PCR 1.0, A4</v>
      </c>
      <c r="B31" s="41" t="s">
        <v>1339</v>
      </c>
      <c r="C31" s="41" t="s">
        <v>443</v>
      </c>
      <c r="D31" s="41" t="s">
        <v>469</v>
      </c>
      <c r="E31" s="41" t="s">
        <v>91</v>
      </c>
      <c r="F31" s="41" t="s">
        <v>22</v>
      </c>
      <c r="L31" s="41">
        <v>2</v>
      </c>
      <c r="M31" s="53">
        <v>0.62892669999999995</v>
      </c>
      <c r="N31" s="41">
        <v>10</v>
      </c>
      <c r="O31" s="52">
        <v>1.0978337000000001E-5</v>
      </c>
      <c r="P31" s="52">
        <v>4.3183727999999998E-2</v>
      </c>
      <c r="Q31" s="52">
        <v>5.7021305</v>
      </c>
      <c r="R31" s="52">
        <v>1.1335356E-6</v>
      </c>
      <c r="S31" s="52">
        <v>3.5752850000000001E-3</v>
      </c>
      <c r="T31" s="52">
        <v>1.9151161E-2</v>
      </c>
      <c r="U31" s="52">
        <v>3.8023555000000001E-3</v>
      </c>
      <c r="V31" s="52">
        <v>2.0049337999999999</v>
      </c>
      <c r="W31" s="52">
        <v>0.12926487</v>
      </c>
      <c r="X31" s="52">
        <v>338.63108999999997</v>
      </c>
      <c r="Y31" s="52">
        <v>1.1891815999999999E-2</v>
      </c>
      <c r="Z31" s="52"/>
      <c r="AA31" s="52"/>
      <c r="AB31" s="52"/>
      <c r="AC31" s="52"/>
      <c r="AD31" s="52"/>
      <c r="AE31" s="52"/>
      <c r="AF31" s="52"/>
      <c r="AG31" s="52"/>
      <c r="AH31" s="52"/>
      <c r="AI31" s="52"/>
      <c r="AJ31" s="52"/>
      <c r="AK31" s="52"/>
      <c r="AL31" s="52"/>
      <c r="AM31" s="52"/>
      <c r="AN31" s="52"/>
      <c r="AO31" s="52"/>
      <c r="AP31" s="52"/>
      <c r="AQ31" s="52"/>
      <c r="AR31" s="52"/>
      <c r="AS31" s="52"/>
      <c r="AT31" s="52"/>
      <c r="AU31" s="52">
        <v>0</v>
      </c>
      <c r="AV31" s="52"/>
      <c r="AW31" s="52"/>
      <c r="AX31" s="52">
        <v>0</v>
      </c>
      <c r="AY31" s="52"/>
      <c r="AZ31" s="52"/>
      <c r="BA31" s="52"/>
      <c r="BB31" s="52">
        <v>0</v>
      </c>
      <c r="BC31" s="52">
        <v>0</v>
      </c>
      <c r="BD31" s="52">
        <v>0</v>
      </c>
      <c r="BE31" s="52">
        <v>0</v>
      </c>
      <c r="BF31" s="52"/>
      <c r="BG31" s="52"/>
      <c r="BH31" s="52"/>
      <c r="BI31" s="52"/>
      <c r="BJ31" s="52"/>
      <c r="BK31" s="78">
        <v>0</v>
      </c>
      <c r="BL31" s="41" t="s">
        <v>109</v>
      </c>
      <c r="BM31" s="45"/>
    </row>
    <row r="32" spans="1:65" x14ac:dyDescent="0.35">
      <c r="A32" s="41" t="str">
        <f>Database_Productkaarten[[#This Row],[Product]]&amp;", "&amp;Database_Productkaarten[[#This Row],[Levensfase]]</f>
        <v>2L-ZOAB toplaag G.M. - PCR 1.0, A5</v>
      </c>
      <c r="B32" s="41" t="s">
        <v>1339</v>
      </c>
      <c r="C32" s="41" t="s">
        <v>443</v>
      </c>
      <c r="D32" s="41" t="s">
        <v>469</v>
      </c>
      <c r="E32" s="41" t="s">
        <v>91</v>
      </c>
      <c r="F32" s="41" t="s">
        <v>23</v>
      </c>
      <c r="L32" s="41">
        <v>2</v>
      </c>
      <c r="M32" s="53">
        <v>0.11589273999999999</v>
      </c>
      <c r="N32" s="41">
        <v>10</v>
      </c>
      <c r="O32" s="52">
        <v>2.9981767000000001E-7</v>
      </c>
      <c r="P32" s="52">
        <v>6.1549237000000003E-3</v>
      </c>
      <c r="Q32" s="52">
        <v>1.1890320000000001</v>
      </c>
      <c r="R32" s="52">
        <v>1.6118031999999999E-7</v>
      </c>
      <c r="S32" s="52">
        <v>4.0441559000000001E-4</v>
      </c>
      <c r="T32" s="52">
        <v>4.1422853000000004E-3</v>
      </c>
      <c r="U32" s="52">
        <v>9.0534960000000005E-4</v>
      </c>
      <c r="V32" s="52">
        <v>0.31393536</v>
      </c>
      <c r="W32" s="52">
        <v>4.4639175000000001E-3</v>
      </c>
      <c r="X32" s="52">
        <v>15.054501</v>
      </c>
      <c r="Y32" s="52">
        <v>5.2994459999999995E-4</v>
      </c>
      <c r="Z32" s="52"/>
      <c r="AA32" s="52"/>
      <c r="AB32" s="52"/>
      <c r="AC32" s="52"/>
      <c r="AD32" s="52"/>
      <c r="AE32" s="52"/>
      <c r="AF32" s="52"/>
      <c r="AG32" s="52"/>
      <c r="AH32" s="52"/>
      <c r="AI32" s="52"/>
      <c r="AJ32" s="52"/>
      <c r="AK32" s="52"/>
      <c r="AL32" s="52"/>
      <c r="AM32" s="52"/>
      <c r="AN32" s="52"/>
      <c r="AO32" s="52"/>
      <c r="AP32" s="52"/>
      <c r="AQ32" s="52"/>
      <c r="AR32" s="52"/>
      <c r="AS32" s="52"/>
      <c r="AT32" s="52"/>
      <c r="AU32" s="52">
        <v>7.5275787999999996E-2</v>
      </c>
      <c r="AV32" s="52"/>
      <c r="AW32" s="52"/>
      <c r="AX32" s="52">
        <v>13.79832</v>
      </c>
      <c r="AY32" s="52"/>
      <c r="AZ32" s="52"/>
      <c r="BA32" s="52"/>
      <c r="BB32" s="52">
        <v>1.7004556E-3</v>
      </c>
      <c r="BC32" s="52">
        <v>5.7951239999999996E-6</v>
      </c>
      <c r="BD32" s="52">
        <v>1.3837334999999999E-2</v>
      </c>
      <c r="BE32" s="52">
        <v>9.0259541999999994E-5</v>
      </c>
      <c r="BF32" s="52"/>
      <c r="BG32" s="52"/>
      <c r="BH32" s="52"/>
      <c r="BI32" s="52"/>
      <c r="BJ32" s="52"/>
      <c r="BK32" s="78">
        <v>0</v>
      </c>
      <c r="BL32" s="41" t="s">
        <v>109</v>
      </c>
      <c r="BM32" s="45"/>
    </row>
    <row r="33" spans="1:65" x14ac:dyDescent="0.35">
      <c r="A33" s="41" t="str">
        <f>Database_Productkaarten[[#This Row],[Product]]&amp;", "&amp;Database_Productkaarten[[#This Row],[Levensfase]]</f>
        <v>2L-ZOAB toplaag G.M. - PCR 1.0, B1</v>
      </c>
      <c r="B33" s="41" t="s">
        <v>1339</v>
      </c>
      <c r="C33" s="41" t="s">
        <v>443</v>
      </c>
      <c r="D33" s="41" t="s">
        <v>469</v>
      </c>
      <c r="E33" s="41" t="s">
        <v>91</v>
      </c>
      <c r="F33" s="41" t="s">
        <v>24</v>
      </c>
      <c r="L33" s="41">
        <v>2</v>
      </c>
      <c r="M33" s="53">
        <v>0.63803195999999995</v>
      </c>
      <c r="N33" s="41">
        <v>10</v>
      </c>
      <c r="O33" s="52">
        <v>0</v>
      </c>
      <c r="P33" s="52">
        <v>0</v>
      </c>
      <c r="Q33" s="52">
        <v>0</v>
      </c>
      <c r="R33" s="52">
        <v>0</v>
      </c>
      <c r="S33" s="52">
        <v>0</v>
      </c>
      <c r="T33" s="52">
        <v>0</v>
      </c>
      <c r="U33" s="52">
        <v>0</v>
      </c>
      <c r="V33" s="52">
        <v>2.2159960000000001</v>
      </c>
      <c r="W33" s="52">
        <v>3.1435906</v>
      </c>
      <c r="X33" s="52">
        <v>3441.1720999999998</v>
      </c>
      <c r="Y33" s="52">
        <v>2.7899999999999999E-3</v>
      </c>
      <c r="Z33" s="52"/>
      <c r="AA33" s="52"/>
      <c r="AB33" s="52"/>
      <c r="AC33" s="52"/>
      <c r="AD33" s="52"/>
      <c r="AE33" s="52"/>
      <c r="AF33" s="52"/>
      <c r="AG33" s="52"/>
      <c r="AH33" s="52"/>
      <c r="AI33" s="52"/>
      <c r="AJ33" s="52"/>
      <c r="AK33" s="52"/>
      <c r="AL33" s="52"/>
      <c r="AM33" s="52"/>
      <c r="AN33" s="52"/>
      <c r="AO33" s="52"/>
      <c r="AP33" s="52"/>
      <c r="AQ33" s="52"/>
      <c r="AR33" s="52"/>
      <c r="AS33" s="52"/>
      <c r="AT33" s="52"/>
      <c r="AU33" s="52">
        <v>0</v>
      </c>
      <c r="AV33" s="52"/>
      <c r="AW33" s="52"/>
      <c r="AX33" s="52">
        <v>0</v>
      </c>
      <c r="AY33" s="52"/>
      <c r="AZ33" s="52"/>
      <c r="BA33" s="52"/>
      <c r="BB33" s="52">
        <v>0</v>
      </c>
      <c r="BC33" s="52">
        <v>0</v>
      </c>
      <c r="BD33" s="52">
        <v>0</v>
      </c>
      <c r="BE33" s="52">
        <v>0</v>
      </c>
      <c r="BF33" s="52"/>
      <c r="BG33" s="52"/>
      <c r="BH33" s="52"/>
      <c r="BI33" s="52"/>
      <c r="BJ33" s="52"/>
      <c r="BK33" s="78">
        <v>0</v>
      </c>
      <c r="BL33" s="41" t="s">
        <v>109</v>
      </c>
      <c r="BM33" s="45"/>
    </row>
    <row r="34" spans="1:65" x14ac:dyDescent="0.35">
      <c r="A34" s="41" t="str">
        <f>Database_Productkaarten[[#This Row],[Product]]&amp;", "&amp;Database_Productkaarten[[#This Row],[Levensfase]]</f>
        <v>2L-ZOAB toplaag G.M. - PCR 1.0, C1</v>
      </c>
      <c r="B34" s="41" t="s">
        <v>1339</v>
      </c>
      <c r="C34" s="41" t="s">
        <v>443</v>
      </c>
      <c r="D34" s="41" t="s">
        <v>469</v>
      </c>
      <c r="E34" s="41" t="s">
        <v>91</v>
      </c>
      <c r="F34" s="41" t="s">
        <v>25</v>
      </c>
      <c r="L34" s="41">
        <v>2</v>
      </c>
      <c r="M34" s="53">
        <v>0.17755156</v>
      </c>
      <c r="N34" s="41">
        <v>10</v>
      </c>
      <c r="O34" s="52">
        <v>4.7748738999999998E-7</v>
      </c>
      <c r="P34" s="52">
        <v>9.8022859000000007E-3</v>
      </c>
      <c r="Q34" s="52">
        <v>1.8936436000000001</v>
      </c>
      <c r="R34" s="52">
        <v>2.5669458999999998E-7</v>
      </c>
      <c r="S34" s="52">
        <v>6.2586746000000001E-4</v>
      </c>
      <c r="T34" s="52">
        <v>5.5323285000000002E-3</v>
      </c>
      <c r="U34" s="52">
        <v>1.1650454999999999E-3</v>
      </c>
      <c r="V34" s="52">
        <v>0.49739214999999998</v>
      </c>
      <c r="W34" s="52">
        <v>7.1092020000000002E-3</v>
      </c>
      <c r="X34" s="52">
        <v>23.975687000000001</v>
      </c>
      <c r="Y34" s="52">
        <v>8.4398584999999997E-4</v>
      </c>
      <c r="Z34" s="52"/>
      <c r="AA34" s="52"/>
      <c r="AB34" s="52"/>
      <c r="AC34" s="52"/>
      <c r="AD34" s="52"/>
      <c r="AE34" s="52"/>
      <c r="AF34" s="52"/>
      <c r="AG34" s="52"/>
      <c r="AH34" s="52"/>
      <c r="AI34" s="52"/>
      <c r="AJ34" s="52"/>
      <c r="AK34" s="52"/>
      <c r="AL34" s="52"/>
      <c r="AM34" s="52"/>
      <c r="AN34" s="52"/>
      <c r="AO34" s="52"/>
      <c r="AP34" s="52"/>
      <c r="AQ34" s="52"/>
      <c r="AR34" s="52"/>
      <c r="AS34" s="52"/>
      <c r="AT34" s="52"/>
      <c r="AU34" s="52">
        <v>0.11988366</v>
      </c>
      <c r="AV34" s="52"/>
      <c r="AW34" s="52"/>
      <c r="AX34" s="52">
        <v>21.975102</v>
      </c>
      <c r="AY34" s="52"/>
      <c r="AZ34" s="52"/>
      <c r="BA34" s="52"/>
      <c r="BB34" s="52">
        <v>2.7081330000000002E-3</v>
      </c>
      <c r="BC34" s="52">
        <v>9.2292716000000002E-6</v>
      </c>
      <c r="BD34" s="52">
        <v>2.2037237000000001E-2</v>
      </c>
      <c r="BE34" s="52">
        <v>1.4374668000000001E-4</v>
      </c>
      <c r="BF34" s="52"/>
      <c r="BG34" s="52"/>
      <c r="BH34" s="52"/>
      <c r="BI34" s="52"/>
      <c r="BJ34" s="52"/>
      <c r="BK34" s="78">
        <v>0</v>
      </c>
      <c r="BL34" s="41" t="s">
        <v>109</v>
      </c>
      <c r="BM34" s="45"/>
    </row>
    <row r="35" spans="1:65" x14ac:dyDescent="0.35">
      <c r="A35" s="41" t="str">
        <f>Database_Productkaarten[[#This Row],[Product]]&amp;", "&amp;Database_Productkaarten[[#This Row],[Levensfase]]</f>
        <v>2L-ZOAB toplaag G.M. - PCR 1.0, C2</v>
      </c>
      <c r="B35" s="41" t="s">
        <v>1339</v>
      </c>
      <c r="C35" s="41" t="s">
        <v>443</v>
      </c>
      <c r="D35" s="41" t="s">
        <v>469</v>
      </c>
      <c r="E35" s="41" t="s">
        <v>91</v>
      </c>
      <c r="F35" s="41" t="s">
        <v>26</v>
      </c>
      <c r="L35" s="41">
        <v>2</v>
      </c>
      <c r="M35" s="53">
        <v>0.62892669999999995</v>
      </c>
      <c r="N35" s="41">
        <v>10</v>
      </c>
      <c r="O35" s="52">
        <v>1.0978337000000001E-5</v>
      </c>
      <c r="P35" s="52">
        <v>4.3183727999999998E-2</v>
      </c>
      <c r="Q35" s="52">
        <v>5.7021305</v>
      </c>
      <c r="R35" s="52">
        <v>1.1335356E-6</v>
      </c>
      <c r="S35" s="52">
        <v>3.5752850000000001E-3</v>
      </c>
      <c r="T35" s="52">
        <v>1.9151161E-2</v>
      </c>
      <c r="U35" s="52">
        <v>3.8023555000000001E-3</v>
      </c>
      <c r="V35" s="52">
        <v>2.0049337999999999</v>
      </c>
      <c r="W35" s="52">
        <v>0.12926487</v>
      </c>
      <c r="X35" s="52">
        <v>338.63108999999997</v>
      </c>
      <c r="Y35" s="52">
        <v>1.1891815999999999E-2</v>
      </c>
      <c r="Z35" s="52"/>
      <c r="AA35" s="52"/>
      <c r="AB35" s="52"/>
      <c r="AC35" s="52"/>
      <c r="AD35" s="52"/>
      <c r="AE35" s="52"/>
      <c r="AF35" s="52"/>
      <c r="AG35" s="52"/>
      <c r="AH35" s="52"/>
      <c r="AI35" s="52"/>
      <c r="AJ35" s="52"/>
      <c r="AK35" s="52"/>
      <c r="AL35" s="52"/>
      <c r="AM35" s="52"/>
      <c r="AN35" s="52"/>
      <c r="AO35" s="52"/>
      <c r="AP35" s="52"/>
      <c r="AQ35" s="52"/>
      <c r="AR35" s="52"/>
      <c r="AS35" s="52"/>
      <c r="AT35" s="52"/>
      <c r="AU35" s="52">
        <v>0</v>
      </c>
      <c r="AV35" s="52"/>
      <c r="AW35" s="52"/>
      <c r="AX35" s="52">
        <v>0</v>
      </c>
      <c r="AY35" s="52"/>
      <c r="AZ35" s="52"/>
      <c r="BA35" s="52"/>
      <c r="BB35" s="52">
        <v>0</v>
      </c>
      <c r="BC35" s="52">
        <v>0</v>
      </c>
      <c r="BD35" s="52">
        <v>0</v>
      </c>
      <c r="BE35" s="52">
        <v>0</v>
      </c>
      <c r="BF35" s="52"/>
      <c r="BG35" s="52"/>
      <c r="BH35" s="52"/>
      <c r="BI35" s="52"/>
      <c r="BJ35" s="52"/>
      <c r="BK35" s="78">
        <v>0</v>
      </c>
      <c r="BL35" s="41" t="s">
        <v>109</v>
      </c>
      <c r="BM35" s="45"/>
    </row>
    <row r="36" spans="1:65" x14ac:dyDescent="0.35">
      <c r="A36" s="41" t="str">
        <f>Database_Productkaarten[[#This Row],[Product]]&amp;", "&amp;Database_Productkaarten[[#This Row],[Levensfase]]</f>
        <v>2L-ZOAB toplaag G.M. - PCR 1.0, C3</v>
      </c>
      <c r="B36" s="41" t="s">
        <v>1339</v>
      </c>
      <c r="C36" s="41" t="s">
        <v>443</v>
      </c>
      <c r="D36" s="41" t="s">
        <v>469</v>
      </c>
      <c r="E36" s="41" t="s">
        <v>91</v>
      </c>
      <c r="F36" s="41" t="s">
        <v>27</v>
      </c>
      <c r="L36" s="41">
        <v>2</v>
      </c>
      <c r="M36" s="53">
        <v>0.16120214999999999</v>
      </c>
      <c r="N36" s="41">
        <v>10</v>
      </c>
      <c r="O36" s="52">
        <v>4.1291555000000003E-7</v>
      </c>
      <c r="P36" s="52">
        <v>8.4766977000000007E-3</v>
      </c>
      <c r="Q36" s="52">
        <v>1.6375614000000001</v>
      </c>
      <c r="R36" s="52">
        <v>2.2198111999999999E-7</v>
      </c>
      <c r="S36" s="52">
        <v>5.9777666000000002E-4</v>
      </c>
      <c r="T36" s="52">
        <v>5.9352911000000001E-3</v>
      </c>
      <c r="U36" s="52">
        <v>1.3067828999999999E-3</v>
      </c>
      <c r="V36" s="52">
        <v>0.43290835999999999</v>
      </c>
      <c r="W36" s="52">
        <v>6.1478063999999997E-3</v>
      </c>
      <c r="X36" s="52">
        <v>20.733394000000001</v>
      </c>
      <c r="Y36" s="52">
        <v>7.2985148000000004E-4</v>
      </c>
      <c r="Z36" s="52"/>
      <c r="AA36" s="52"/>
      <c r="AB36" s="52"/>
      <c r="AC36" s="52"/>
      <c r="AD36" s="52"/>
      <c r="AE36" s="52"/>
      <c r="AF36" s="52"/>
      <c r="AG36" s="52"/>
      <c r="AH36" s="52"/>
      <c r="AI36" s="52"/>
      <c r="AJ36" s="52"/>
      <c r="AK36" s="52"/>
      <c r="AL36" s="52"/>
      <c r="AM36" s="52"/>
      <c r="AN36" s="52"/>
      <c r="AO36" s="52"/>
      <c r="AP36" s="52"/>
      <c r="AQ36" s="52"/>
      <c r="AR36" s="52"/>
      <c r="AS36" s="52"/>
      <c r="AT36" s="52"/>
      <c r="AU36" s="52">
        <v>0.10367149000000001</v>
      </c>
      <c r="AV36" s="52"/>
      <c r="AW36" s="52"/>
      <c r="AX36" s="52">
        <v>19.003353000000001</v>
      </c>
      <c r="AY36" s="52"/>
      <c r="AZ36" s="52"/>
      <c r="BA36" s="52"/>
      <c r="BB36" s="52">
        <v>2.3419052000000001E-3</v>
      </c>
      <c r="BC36" s="52">
        <v>7.9811735999999999E-6</v>
      </c>
      <c r="BD36" s="52">
        <v>1.9057085000000001E-2</v>
      </c>
      <c r="BE36" s="52">
        <v>1.2430745000000001E-4</v>
      </c>
      <c r="BF36" s="52"/>
      <c r="BG36" s="52"/>
      <c r="BH36" s="52"/>
      <c r="BI36" s="52"/>
      <c r="BJ36" s="52"/>
      <c r="BK36" s="78">
        <v>0</v>
      </c>
      <c r="BL36" s="41" t="s">
        <v>109</v>
      </c>
      <c r="BM36" s="45"/>
    </row>
    <row r="37" spans="1:65" x14ac:dyDescent="0.35">
      <c r="A37" s="41" t="str">
        <f>Database_Productkaarten[[#This Row],[Product]]&amp;", "&amp;Database_Productkaarten[[#This Row],[Levensfase]]</f>
        <v>2L-ZOAB toplaag G.M. - PCR 1.0, D1</v>
      </c>
      <c r="B37" s="41" t="s">
        <v>1339</v>
      </c>
      <c r="C37" s="41" t="s">
        <v>443</v>
      </c>
      <c r="D37" s="41" t="s">
        <v>469</v>
      </c>
      <c r="E37" s="41" t="s">
        <v>91</v>
      </c>
      <c r="F37" s="41" t="s">
        <v>51</v>
      </c>
      <c r="L37" s="41">
        <v>2</v>
      </c>
      <c r="M37" s="53">
        <v>-4.3730025709195601</v>
      </c>
      <c r="N37" s="41">
        <v>10</v>
      </c>
      <c r="O37" s="52">
        <v>-5.8626143564799999E-5</v>
      </c>
      <c r="P37" s="52">
        <v>-0.67155593913690004</v>
      </c>
      <c r="Q37" s="52">
        <v>-37.138892671089764</v>
      </c>
      <c r="R37" s="52">
        <v>-2.6928006742900003E-6</v>
      </c>
      <c r="S37" s="52">
        <v>-7.1488131066479998E-2</v>
      </c>
      <c r="T37" s="52">
        <v>-0.21589429636274005</v>
      </c>
      <c r="U37" s="52">
        <v>-2.2968631579840002E-2</v>
      </c>
      <c r="V37" s="52">
        <v>-7.9019641276238799</v>
      </c>
      <c r="W37" s="52">
        <v>-1.0187022093095002</v>
      </c>
      <c r="X37" s="52">
        <v>-4448.6201821741261</v>
      </c>
      <c r="Y37" s="52">
        <v>-0.14406925540910001</v>
      </c>
      <c r="Z37" s="52"/>
      <c r="AA37" s="52"/>
      <c r="AB37" s="52"/>
      <c r="AC37" s="52"/>
      <c r="AD37" s="52"/>
      <c r="AE37" s="52"/>
      <c r="AF37" s="52"/>
      <c r="AG37" s="52"/>
      <c r="AH37" s="52"/>
      <c r="AI37" s="52"/>
      <c r="AJ37" s="52"/>
      <c r="AK37" s="52"/>
      <c r="AL37" s="52"/>
      <c r="AM37" s="52"/>
      <c r="AN37" s="52"/>
      <c r="AO37" s="52"/>
      <c r="AP37" s="52"/>
      <c r="AQ37" s="52"/>
      <c r="AR37" s="52"/>
      <c r="AS37" s="52"/>
      <c r="AT37" s="52"/>
      <c r="AU37" s="52">
        <v>-14.396620674834359</v>
      </c>
      <c r="AV37" s="52"/>
      <c r="AW37" s="52"/>
      <c r="AX37" s="52">
        <v>-1515.8800887996724</v>
      </c>
      <c r="AY37" s="52"/>
      <c r="AZ37" s="52"/>
      <c r="BA37" s="52"/>
      <c r="BB37" s="52">
        <v>-15.297011144927742</v>
      </c>
      <c r="BC37" s="52">
        <v>-5.2811226572299999E-4</v>
      </c>
      <c r="BD37" s="52">
        <v>-1.7015165708579199</v>
      </c>
      <c r="BE37" s="52">
        <v>-9.8951411881800008E-4</v>
      </c>
      <c r="BF37" s="52"/>
      <c r="BG37" s="52"/>
      <c r="BH37" s="52"/>
      <c r="BI37" s="52"/>
      <c r="BJ37" s="52"/>
      <c r="BK37" s="78">
        <v>0</v>
      </c>
      <c r="BL37" s="41" t="s">
        <v>109</v>
      </c>
      <c r="BM37" s="45"/>
    </row>
    <row r="38" spans="1:65" x14ac:dyDescent="0.35">
      <c r="A38" s="41" t="str">
        <f>Database_Productkaarten[[#This Row],[Product]]&amp;", "&amp;Database_Productkaarten[[#This Row],[Levensfase]]</f>
        <v>2L-ZOAB toplaag G.M. - PCR 1.0, D2</v>
      </c>
      <c r="B38" s="41" t="s">
        <v>1339</v>
      </c>
      <c r="C38" s="41" t="s">
        <v>443</v>
      </c>
      <c r="D38" s="41" t="s">
        <v>469</v>
      </c>
      <c r="E38" s="41" t="s">
        <v>91</v>
      </c>
      <c r="F38" s="41" t="s">
        <v>52</v>
      </c>
      <c r="L38" s="41">
        <v>2</v>
      </c>
      <c r="M38" s="53">
        <v>-1.6990729131502353</v>
      </c>
      <c r="N38" s="41">
        <v>10</v>
      </c>
      <c r="O38" s="52">
        <v>-1.0076576210747746E-5</v>
      </c>
      <c r="P38" s="52">
        <v>-7.127270501277469E-2</v>
      </c>
      <c r="Q38" s="52">
        <v>-10.179196344423755</v>
      </c>
      <c r="R38" s="52">
        <v>-1.6895225641467628E-6</v>
      </c>
      <c r="S38" s="52">
        <v>-9.0010716080219256E-3</v>
      </c>
      <c r="T38" s="52">
        <v>-0.14802832997244905</v>
      </c>
      <c r="U38" s="52">
        <v>-1.6060107302412224E-2</v>
      </c>
      <c r="V38" s="52">
        <v>-4.2521743264159753</v>
      </c>
      <c r="W38" s="52">
        <v>-9.0247988670993762E-2</v>
      </c>
      <c r="X38" s="52">
        <v>-377.35442617893182</v>
      </c>
      <c r="Y38" s="52">
        <v>-1.4304712740346006E-2</v>
      </c>
      <c r="Z38" s="52"/>
      <c r="AA38" s="52"/>
      <c r="AB38" s="52"/>
      <c r="AC38" s="52"/>
      <c r="AD38" s="52"/>
      <c r="AE38" s="52"/>
      <c r="AF38" s="52"/>
      <c r="AG38" s="52"/>
      <c r="AH38" s="52"/>
      <c r="AI38" s="52"/>
      <c r="AJ38" s="52"/>
      <c r="AK38" s="52"/>
      <c r="AL38" s="52"/>
      <c r="AM38" s="52"/>
      <c r="AN38" s="52"/>
      <c r="AO38" s="52"/>
      <c r="AP38" s="52"/>
      <c r="AQ38" s="52"/>
      <c r="AR38" s="52"/>
      <c r="AS38" s="52"/>
      <c r="AT38" s="52"/>
      <c r="AU38" s="52">
        <v>-2.8552368593112512</v>
      </c>
      <c r="AV38" s="52"/>
      <c r="AW38" s="52"/>
      <c r="AX38" s="52">
        <v>-157.92501231143234</v>
      </c>
      <c r="AY38" s="52"/>
      <c r="AZ38" s="52"/>
      <c r="BA38" s="52"/>
      <c r="BB38" s="52">
        <v>-2.8535022629519853E-2</v>
      </c>
      <c r="BC38" s="52">
        <v>-9.3171008036224755E-5</v>
      </c>
      <c r="BD38" s="52">
        <v>-2.8453092966081139</v>
      </c>
      <c r="BE38" s="52">
        <v>-9.8116454582857968E-4</v>
      </c>
      <c r="BF38" s="52"/>
      <c r="BG38" s="52"/>
      <c r="BH38" s="52"/>
      <c r="BI38" s="52"/>
      <c r="BJ38" s="52"/>
      <c r="BK38" s="78">
        <v>0</v>
      </c>
      <c r="BL38" s="41" t="s">
        <v>109</v>
      </c>
      <c r="BM38" s="45"/>
    </row>
    <row r="39" spans="1:65" x14ac:dyDescent="0.35">
      <c r="A39" s="41" t="str">
        <f>Database_Productkaarten[[#This Row],[Product]]&amp;", "&amp;Database_Productkaarten[[#This Row],[Levensfase]]</f>
        <v>AC bin/base 50% PR - PCR 1.0, Totaal</v>
      </c>
      <c r="B39" s="41" t="s">
        <v>1340</v>
      </c>
      <c r="C39" s="41" t="s">
        <v>443</v>
      </c>
      <c r="D39" s="41" t="s">
        <v>470</v>
      </c>
      <c r="E39" s="41" t="s">
        <v>91</v>
      </c>
      <c r="F39" s="41" t="s">
        <v>16</v>
      </c>
      <c r="L39" s="41">
        <v>2.37</v>
      </c>
      <c r="M39" s="53">
        <v>4.9410944484149733</v>
      </c>
      <c r="N39" s="41">
        <v>45</v>
      </c>
      <c r="O39" s="52">
        <v>4.3490602040421942E-5</v>
      </c>
      <c r="P39" s="52">
        <v>0.51616167275254365</v>
      </c>
      <c r="Q39" s="52">
        <v>51.942532724475164</v>
      </c>
      <c r="R39" s="52">
        <v>7.0568712897565263E-6</v>
      </c>
      <c r="S39" s="52">
        <v>3.3589675464681744E-2</v>
      </c>
      <c r="T39" s="52">
        <v>0.15934394657944059</v>
      </c>
      <c r="U39" s="52">
        <v>2.575024614636692E-2</v>
      </c>
      <c r="V39" s="52">
        <v>12.133702470493784</v>
      </c>
      <c r="W39" s="52">
        <v>0.59580728248741122</v>
      </c>
      <c r="X39" s="52">
        <v>2099.914249046878</v>
      </c>
      <c r="Y39" s="52">
        <v>8.3765635117157983E-2</v>
      </c>
      <c r="Z39" s="52"/>
      <c r="AA39" s="52"/>
      <c r="AB39" s="52"/>
      <c r="AC39" s="52"/>
      <c r="AD39" s="52"/>
      <c r="AE39" s="52"/>
      <c r="AF39" s="52"/>
      <c r="AG39" s="52"/>
      <c r="AH39" s="52"/>
      <c r="AI39" s="52"/>
      <c r="AJ39" s="52"/>
      <c r="AK39" s="52"/>
      <c r="AL39" s="52"/>
      <c r="AM39" s="52"/>
      <c r="AN39" s="52"/>
      <c r="AO39" s="52"/>
      <c r="AP39" s="52"/>
      <c r="AQ39" s="52"/>
      <c r="AR39" s="52"/>
      <c r="AS39" s="52"/>
      <c r="AT39" s="52"/>
      <c r="AU39" s="52">
        <v>9.2319334401492466</v>
      </c>
      <c r="AV39" s="52"/>
      <c r="AW39" s="52"/>
      <c r="AX39" s="52">
        <v>925.22314859787298</v>
      </c>
      <c r="AY39" s="52"/>
      <c r="AZ39" s="52"/>
      <c r="BA39" s="52"/>
      <c r="BB39" s="52">
        <v>4.1834236011501567</v>
      </c>
      <c r="BC39" s="52">
        <v>7.5567598928439499E-4</v>
      </c>
      <c r="BD39" s="52">
        <v>1.6553147994338697</v>
      </c>
      <c r="BE39" s="52">
        <v>1.307454702059202E-3</v>
      </c>
      <c r="BF39" s="52"/>
      <c r="BG39" s="52"/>
      <c r="BH39" s="52"/>
      <c r="BI39" s="52"/>
      <c r="BJ39" s="52"/>
      <c r="BK39" s="78">
        <v>0.5</v>
      </c>
      <c r="BL39" s="41" t="s">
        <v>109</v>
      </c>
      <c r="BM39" s="45"/>
    </row>
    <row r="40" spans="1:65" x14ac:dyDescent="0.35">
      <c r="A40" s="41" t="str">
        <f>Database_Productkaarten[[#This Row],[Product]]&amp;", "&amp;Database_Productkaarten[[#This Row],[Levensfase]]</f>
        <v>AC bin/base 50% PR - PCR 1.0, A1</v>
      </c>
      <c r="B40" s="41" t="s">
        <v>1340</v>
      </c>
      <c r="C40" s="41" t="s">
        <v>443</v>
      </c>
      <c r="D40" s="41" t="s">
        <v>470</v>
      </c>
      <c r="E40" s="41" t="s">
        <v>91</v>
      </c>
      <c r="F40" s="41" t="s">
        <v>19</v>
      </c>
      <c r="L40" s="41">
        <v>2.37</v>
      </c>
      <c r="M40" s="53">
        <v>2.7983614050000001</v>
      </c>
      <c r="N40" s="41">
        <v>45</v>
      </c>
      <c r="O40" s="52">
        <v>3.6193726399999996E-5</v>
      </c>
      <c r="P40" s="52">
        <v>0.48978998869999996</v>
      </c>
      <c r="Q40" s="52">
        <v>20.921709334000003</v>
      </c>
      <c r="R40" s="52">
        <v>1.7846834299999999E-6</v>
      </c>
      <c r="S40" s="52">
        <v>5.2117372080000002E-2</v>
      </c>
      <c r="T40" s="52">
        <v>0.1449169115</v>
      </c>
      <c r="U40" s="52">
        <v>1.3224940399999999E-2</v>
      </c>
      <c r="V40" s="52">
        <v>5.6586866469999997</v>
      </c>
      <c r="W40" s="52">
        <v>0.76057818889999995</v>
      </c>
      <c r="X40" s="52">
        <v>3330.8321992599999</v>
      </c>
      <c r="Y40" s="52">
        <v>9.8835934100000009E-2</v>
      </c>
      <c r="Z40" s="52"/>
      <c r="AA40" s="52"/>
      <c r="AB40" s="52"/>
      <c r="AC40" s="52"/>
      <c r="AD40" s="52"/>
      <c r="AE40" s="52"/>
      <c r="AF40" s="52"/>
      <c r="AG40" s="52"/>
      <c r="AH40" s="52"/>
      <c r="AI40" s="52"/>
      <c r="AJ40" s="52"/>
      <c r="AK40" s="52"/>
      <c r="AL40" s="52"/>
      <c r="AM40" s="52"/>
      <c r="AN40" s="52"/>
      <c r="AO40" s="52"/>
      <c r="AP40" s="52"/>
      <c r="AQ40" s="52"/>
      <c r="AR40" s="52"/>
      <c r="AS40" s="52"/>
      <c r="AT40" s="52"/>
      <c r="AU40" s="52">
        <v>7.6911923709999996</v>
      </c>
      <c r="AV40" s="52"/>
      <c r="AW40" s="52"/>
      <c r="AX40" s="52">
        <v>1102.5060530210001</v>
      </c>
      <c r="AY40" s="52"/>
      <c r="AZ40" s="52"/>
      <c r="BA40" s="52"/>
      <c r="BB40" s="52">
        <v>11.737941487300001</v>
      </c>
      <c r="BC40" s="52">
        <v>4.6795638899999997E-4</v>
      </c>
      <c r="BD40" s="52">
        <v>1.9555040200000005</v>
      </c>
      <c r="BE40" s="52">
        <v>5.1921453400000008E-4</v>
      </c>
      <c r="BF40" s="52"/>
      <c r="BG40" s="52"/>
      <c r="BH40" s="52"/>
      <c r="BI40" s="52"/>
      <c r="BJ40" s="52"/>
      <c r="BK40" s="78">
        <v>0.5</v>
      </c>
      <c r="BL40" s="41" t="s">
        <v>109</v>
      </c>
      <c r="BM40" s="45"/>
    </row>
    <row r="41" spans="1:65" x14ac:dyDescent="0.35">
      <c r="A41" s="41" t="str">
        <f>Database_Productkaarten[[#This Row],[Product]]&amp;", "&amp;Database_Productkaarten[[#This Row],[Levensfase]]</f>
        <v>AC bin/base 50% PR - PCR 1.0, A2</v>
      </c>
      <c r="B41" s="41" t="s">
        <v>1340</v>
      </c>
      <c r="C41" s="41" t="s">
        <v>443</v>
      </c>
      <c r="D41" s="41" t="s">
        <v>470</v>
      </c>
      <c r="E41" s="41" t="s">
        <v>91</v>
      </c>
      <c r="F41" s="41" t="s">
        <v>20</v>
      </c>
      <c r="L41" s="41">
        <v>2.37</v>
      </c>
      <c r="M41" s="53">
        <v>1.133268571875</v>
      </c>
      <c r="N41" s="41">
        <v>45</v>
      </c>
      <c r="O41" s="52">
        <v>9.1952835972500005E-6</v>
      </c>
      <c r="P41" s="52">
        <v>5.991508133150001E-2</v>
      </c>
      <c r="Q41" s="52">
        <v>8.9558495330400021</v>
      </c>
      <c r="R41" s="52">
        <v>1.43385225645E-6</v>
      </c>
      <c r="S41" s="52">
        <v>5.7005900225000012E-3</v>
      </c>
      <c r="T41" s="52">
        <v>7.0656663844000003E-2</v>
      </c>
      <c r="U41" s="52">
        <v>1.3392712330000001E-2</v>
      </c>
      <c r="V41" s="52">
        <v>2.6240903969599998</v>
      </c>
      <c r="W41" s="52">
        <v>6.6485449399999993E-2</v>
      </c>
      <c r="X41" s="52">
        <v>224.513587446695</v>
      </c>
      <c r="Y41" s="52">
        <v>1.1110103947500002E-2</v>
      </c>
      <c r="Z41" s="52"/>
      <c r="AA41" s="52"/>
      <c r="AB41" s="52"/>
      <c r="AC41" s="52"/>
      <c r="AD41" s="52"/>
      <c r="AE41" s="52"/>
      <c r="AF41" s="52"/>
      <c r="AG41" s="52"/>
      <c r="AH41" s="52"/>
      <c r="AI41" s="52"/>
      <c r="AJ41" s="52"/>
      <c r="AK41" s="52"/>
      <c r="AL41" s="52"/>
      <c r="AM41" s="52"/>
      <c r="AN41" s="52"/>
      <c r="AO41" s="52"/>
      <c r="AP41" s="52"/>
      <c r="AQ41" s="52"/>
      <c r="AR41" s="52"/>
      <c r="AS41" s="52"/>
      <c r="AT41" s="52"/>
      <c r="AU41" s="52">
        <v>2.4371391367349999</v>
      </c>
      <c r="AV41" s="52"/>
      <c r="AW41" s="52"/>
      <c r="AX41" s="52">
        <v>132.91790234184498</v>
      </c>
      <c r="AY41" s="52"/>
      <c r="AZ41" s="52"/>
      <c r="BA41" s="52"/>
      <c r="BB41" s="52">
        <v>2.9590112697000001E-2</v>
      </c>
      <c r="BC41" s="52">
        <v>9.0384945955000008E-5</v>
      </c>
      <c r="BD41" s="52">
        <v>2.1022967323700001</v>
      </c>
      <c r="BE41" s="52">
        <v>8.2987884654999995E-4</v>
      </c>
      <c r="BF41" s="52"/>
      <c r="BG41" s="52"/>
      <c r="BH41" s="52"/>
      <c r="BI41" s="52"/>
      <c r="BJ41" s="52"/>
      <c r="BK41" s="78">
        <v>0.5</v>
      </c>
      <c r="BL41" s="41" t="s">
        <v>109</v>
      </c>
      <c r="BM41" s="45"/>
    </row>
    <row r="42" spans="1:65" x14ac:dyDescent="0.35">
      <c r="A42" s="41" t="str">
        <f>Database_Productkaarten[[#This Row],[Product]]&amp;", "&amp;Database_Productkaarten[[#This Row],[Levensfase]]</f>
        <v>AC bin/base 50% PR - PCR 1.0, A3</v>
      </c>
      <c r="B42" s="41" t="s">
        <v>1340</v>
      </c>
      <c r="C42" s="41" t="s">
        <v>443</v>
      </c>
      <c r="D42" s="41" t="s">
        <v>470</v>
      </c>
      <c r="E42" s="41" t="s">
        <v>91</v>
      </c>
      <c r="F42" s="41" t="s">
        <v>21</v>
      </c>
      <c r="L42" s="41">
        <v>2.37</v>
      </c>
      <c r="M42" s="53">
        <v>1.6844533224676592</v>
      </c>
      <c r="N42" s="41">
        <v>45</v>
      </c>
      <c r="O42" s="52">
        <v>3.8283421204463277E-6</v>
      </c>
      <c r="P42" s="52">
        <v>0.20310701192599911</v>
      </c>
      <c r="Q42" s="52">
        <v>23.657752953746236</v>
      </c>
      <c r="R42" s="52">
        <v>2.7988178491131429E-6</v>
      </c>
      <c r="S42" s="52">
        <v>3.8296536315417318E-3</v>
      </c>
      <c r="T42" s="52">
        <v>2.3718441691887557E-2</v>
      </c>
      <c r="U42" s="52">
        <v>4.1264036540801605E-3</v>
      </c>
      <c r="V42" s="52">
        <v>3.5398775824369997</v>
      </c>
      <c r="W42" s="52">
        <v>2.2111582149375503E-2</v>
      </c>
      <c r="X42" s="52">
        <v>89.565904193716037</v>
      </c>
      <c r="Y42" s="52">
        <v>1.840419454672413E-2</v>
      </c>
      <c r="Z42" s="52"/>
      <c r="AA42" s="52"/>
      <c r="AB42" s="52"/>
      <c r="AC42" s="52"/>
      <c r="AD42" s="52"/>
      <c r="AE42" s="52"/>
      <c r="AF42" s="52"/>
      <c r="AG42" s="52"/>
      <c r="AH42" s="52"/>
      <c r="AI42" s="52"/>
      <c r="AJ42" s="52"/>
      <c r="AK42" s="52"/>
      <c r="AL42" s="52"/>
      <c r="AM42" s="52"/>
      <c r="AN42" s="52"/>
      <c r="AO42" s="52"/>
      <c r="AP42" s="52"/>
      <c r="AQ42" s="52"/>
      <c r="AR42" s="52"/>
      <c r="AS42" s="52"/>
      <c r="AT42" s="52"/>
      <c r="AU42" s="52">
        <v>5.2413429373018774</v>
      </c>
      <c r="AV42" s="52"/>
      <c r="AW42" s="52"/>
      <c r="AX42" s="52">
        <v>415.78848400314479</v>
      </c>
      <c r="AY42" s="52"/>
      <c r="AZ42" s="52"/>
      <c r="BA42" s="52"/>
      <c r="BB42" s="52">
        <v>3.4118539627923238E-2</v>
      </c>
      <c r="BC42" s="52">
        <v>5.3330183530816684E-4</v>
      </c>
      <c r="BD42" s="52">
        <v>0.2280671381593867</v>
      </c>
      <c r="BE42" s="52">
        <v>3.5162925933759052E-4</v>
      </c>
      <c r="BF42" s="52"/>
      <c r="BG42" s="52"/>
      <c r="BH42" s="52"/>
      <c r="BI42" s="52"/>
      <c r="BJ42" s="52"/>
      <c r="BK42" s="78">
        <v>0.5</v>
      </c>
      <c r="BL42" s="41" t="s">
        <v>109</v>
      </c>
      <c r="BM42" s="45"/>
    </row>
    <row r="43" spans="1:65" x14ac:dyDescent="0.35">
      <c r="A43" s="41" t="str">
        <f>Database_Productkaarten[[#This Row],[Product]]&amp;", "&amp;Database_Productkaarten[[#This Row],[Levensfase]]</f>
        <v>AC bin/base 50% PR - PCR 1.0, A4</v>
      </c>
      <c r="B43" s="41" t="s">
        <v>1340</v>
      </c>
      <c r="C43" s="41" t="s">
        <v>443</v>
      </c>
      <c r="D43" s="41" t="s">
        <v>470</v>
      </c>
      <c r="E43" s="41" t="s">
        <v>91</v>
      </c>
      <c r="F43" s="41" t="s">
        <v>22</v>
      </c>
      <c r="L43" s="41">
        <v>2.37</v>
      </c>
      <c r="M43" s="53">
        <v>0.62892669999999995</v>
      </c>
      <c r="N43" s="41">
        <v>45</v>
      </c>
      <c r="O43" s="52">
        <v>1.0978337000000001E-5</v>
      </c>
      <c r="P43" s="52">
        <v>4.3183727999999998E-2</v>
      </c>
      <c r="Q43" s="52">
        <v>5.7021305</v>
      </c>
      <c r="R43" s="52">
        <v>1.1335356E-6</v>
      </c>
      <c r="S43" s="52">
        <v>3.5752850000000001E-3</v>
      </c>
      <c r="T43" s="52">
        <v>1.9151161E-2</v>
      </c>
      <c r="U43" s="52">
        <v>3.8023555000000001E-3</v>
      </c>
      <c r="V43" s="52">
        <v>2.0049337999999999</v>
      </c>
      <c r="W43" s="52">
        <v>0.12926487</v>
      </c>
      <c r="X43" s="52">
        <v>338.63108999999997</v>
      </c>
      <c r="Y43" s="52">
        <v>1.1891815999999999E-2</v>
      </c>
      <c r="Z43" s="52"/>
      <c r="AA43" s="52"/>
      <c r="AB43" s="52"/>
      <c r="AC43" s="52"/>
      <c r="AD43" s="52"/>
      <c r="AE43" s="52"/>
      <c r="AF43" s="52"/>
      <c r="AG43" s="52"/>
      <c r="AH43" s="52"/>
      <c r="AI43" s="52"/>
      <c r="AJ43" s="52"/>
      <c r="AK43" s="52"/>
      <c r="AL43" s="52"/>
      <c r="AM43" s="52"/>
      <c r="AN43" s="52"/>
      <c r="AO43" s="52"/>
      <c r="AP43" s="52"/>
      <c r="AQ43" s="52"/>
      <c r="AR43" s="52"/>
      <c r="AS43" s="52"/>
      <c r="AT43" s="52"/>
      <c r="AU43" s="52">
        <v>0</v>
      </c>
      <c r="AV43" s="52"/>
      <c r="AW43" s="52"/>
      <c r="AX43" s="52">
        <v>0</v>
      </c>
      <c r="AY43" s="52"/>
      <c r="AZ43" s="52"/>
      <c r="BA43" s="52"/>
      <c r="BB43" s="52">
        <v>0</v>
      </c>
      <c r="BC43" s="52">
        <v>0</v>
      </c>
      <c r="BD43" s="52">
        <v>0</v>
      </c>
      <c r="BE43" s="52">
        <v>0</v>
      </c>
      <c r="BF43" s="52"/>
      <c r="BG43" s="52"/>
      <c r="BH43" s="52"/>
      <c r="BI43" s="52"/>
      <c r="BJ43" s="52"/>
      <c r="BK43" s="78">
        <v>0.5</v>
      </c>
      <c r="BL43" s="41" t="s">
        <v>109</v>
      </c>
      <c r="BM43" s="45"/>
    </row>
    <row r="44" spans="1:65" x14ac:dyDescent="0.35">
      <c r="A44" s="41" t="str">
        <f>Database_Productkaarten[[#This Row],[Product]]&amp;", "&amp;Database_Productkaarten[[#This Row],[Levensfase]]</f>
        <v>AC bin/base 50% PR - PCR 1.0, A5</v>
      </c>
      <c r="B44" s="41" t="s">
        <v>1340</v>
      </c>
      <c r="C44" s="41" t="s">
        <v>443</v>
      </c>
      <c r="D44" s="41" t="s">
        <v>470</v>
      </c>
      <c r="E44" s="41" t="s">
        <v>91</v>
      </c>
      <c r="F44" s="41" t="s">
        <v>23</v>
      </c>
      <c r="L44" s="41">
        <v>2.37</v>
      </c>
      <c r="M44" s="53">
        <v>0.14272683999999999</v>
      </c>
      <c r="N44" s="41">
        <v>45</v>
      </c>
      <c r="O44" s="52">
        <v>3.5533946E-7</v>
      </c>
      <c r="P44" s="52">
        <v>7.2947244E-3</v>
      </c>
      <c r="Q44" s="52">
        <v>1.4092232</v>
      </c>
      <c r="R44" s="52">
        <v>1.9102853E-7</v>
      </c>
      <c r="S44" s="52">
        <v>5.2450969E-4</v>
      </c>
      <c r="T44" s="52">
        <v>5.7148863000000003E-3</v>
      </c>
      <c r="U44" s="52">
        <v>1.2824398000000001E-3</v>
      </c>
      <c r="V44" s="52">
        <v>0.3740175</v>
      </c>
      <c r="W44" s="52">
        <v>5.2905690000000002E-3</v>
      </c>
      <c r="X44" s="52">
        <v>17.842372000000001</v>
      </c>
      <c r="Y44" s="52">
        <v>6.2808248999999996E-4</v>
      </c>
      <c r="Z44" s="52"/>
      <c r="AA44" s="52"/>
      <c r="AB44" s="52"/>
      <c r="AC44" s="52"/>
      <c r="AD44" s="52"/>
      <c r="AE44" s="52"/>
      <c r="AF44" s="52"/>
      <c r="AG44" s="52"/>
      <c r="AH44" s="52"/>
      <c r="AI44" s="52"/>
      <c r="AJ44" s="52"/>
      <c r="AK44" s="52"/>
      <c r="AL44" s="52"/>
      <c r="AM44" s="52"/>
      <c r="AN44" s="52"/>
      <c r="AO44" s="52"/>
      <c r="AP44" s="52"/>
      <c r="AQ44" s="52"/>
      <c r="AR44" s="52"/>
      <c r="AS44" s="52"/>
      <c r="AT44" s="52"/>
      <c r="AU44" s="52">
        <v>8.9215748999999997E-2</v>
      </c>
      <c r="AV44" s="52"/>
      <c r="AW44" s="52"/>
      <c r="AX44" s="52">
        <v>16.353563999999999</v>
      </c>
      <c r="AY44" s="52"/>
      <c r="AZ44" s="52"/>
      <c r="BA44" s="52"/>
      <c r="BB44" s="52">
        <v>2.0153547999999999E-3</v>
      </c>
      <c r="BC44" s="52">
        <v>6.8682951000000004E-6</v>
      </c>
      <c r="BD44" s="52">
        <v>1.6399804E-2</v>
      </c>
      <c r="BE44" s="52">
        <v>1.0697427E-4</v>
      </c>
      <c r="BF44" s="52"/>
      <c r="BG44" s="52"/>
      <c r="BH44" s="52"/>
      <c r="BI44" s="52"/>
      <c r="BJ44" s="52"/>
      <c r="BK44" s="78">
        <v>0.5</v>
      </c>
      <c r="BL44" s="41" t="s">
        <v>109</v>
      </c>
      <c r="BM44" s="45"/>
    </row>
    <row r="45" spans="1:65" x14ac:dyDescent="0.35">
      <c r="A45" s="41" t="str">
        <f>Database_Productkaarten[[#This Row],[Product]]&amp;", "&amp;Database_Productkaarten[[#This Row],[Levensfase]]</f>
        <v>AC bin/base 50% PR - PCR 1.0, B1</v>
      </c>
      <c r="B45" s="41" t="s">
        <v>1340</v>
      </c>
      <c r="C45" s="41" t="s">
        <v>443</v>
      </c>
      <c r="D45" s="41" t="s">
        <v>470</v>
      </c>
      <c r="E45" s="41" t="s">
        <v>91</v>
      </c>
      <c r="F45" s="41" t="s">
        <v>24</v>
      </c>
      <c r="L45" s="41">
        <v>2.37</v>
      </c>
      <c r="M45" s="53">
        <v>0</v>
      </c>
      <c r="N45" s="41">
        <v>45</v>
      </c>
      <c r="O45" s="52">
        <v>0</v>
      </c>
      <c r="P45" s="52">
        <v>0</v>
      </c>
      <c r="Q45" s="52">
        <v>0</v>
      </c>
      <c r="R45" s="52">
        <v>0</v>
      </c>
      <c r="S45" s="52">
        <v>0</v>
      </c>
      <c r="T45" s="52">
        <v>0</v>
      </c>
      <c r="U45" s="52">
        <v>0</v>
      </c>
      <c r="V45" s="52">
        <v>0</v>
      </c>
      <c r="W45" s="52">
        <v>0</v>
      </c>
      <c r="X45" s="52">
        <v>0</v>
      </c>
      <c r="Y45" s="52">
        <v>0</v>
      </c>
      <c r="Z45" s="52"/>
      <c r="AA45" s="52"/>
      <c r="AB45" s="52"/>
      <c r="AC45" s="52"/>
      <c r="AD45" s="52"/>
      <c r="AE45" s="52"/>
      <c r="AF45" s="52"/>
      <c r="AG45" s="52"/>
      <c r="AH45" s="52"/>
      <c r="AI45" s="52"/>
      <c r="AJ45" s="52"/>
      <c r="AK45" s="52"/>
      <c r="AL45" s="52"/>
      <c r="AM45" s="52"/>
      <c r="AN45" s="52"/>
      <c r="AO45" s="52"/>
      <c r="AP45" s="52"/>
      <c r="AQ45" s="52"/>
      <c r="AR45" s="52"/>
      <c r="AS45" s="52"/>
      <c r="AT45" s="52"/>
      <c r="AU45" s="52">
        <v>0</v>
      </c>
      <c r="AV45" s="52"/>
      <c r="AW45" s="52"/>
      <c r="AX45" s="52">
        <v>0</v>
      </c>
      <c r="AY45" s="52"/>
      <c r="AZ45" s="52"/>
      <c r="BA45" s="52"/>
      <c r="BB45" s="52">
        <v>0</v>
      </c>
      <c r="BC45" s="52">
        <v>0</v>
      </c>
      <c r="BD45" s="52">
        <v>0</v>
      </c>
      <c r="BE45" s="52">
        <v>0</v>
      </c>
      <c r="BF45" s="52"/>
      <c r="BG45" s="52"/>
      <c r="BH45" s="52"/>
      <c r="BI45" s="52"/>
      <c r="BJ45" s="52"/>
      <c r="BK45" s="78">
        <v>0.5</v>
      </c>
      <c r="BL45" s="41" t="s">
        <v>109</v>
      </c>
      <c r="BM45" s="45"/>
    </row>
    <row r="46" spans="1:65" x14ac:dyDescent="0.35">
      <c r="A46" s="41" t="str">
        <f>Database_Productkaarten[[#This Row],[Product]]&amp;", "&amp;Database_Productkaarten[[#This Row],[Levensfase]]</f>
        <v>AC bin/base 50% PR - PCR 1.0, C1</v>
      </c>
      <c r="B46" s="41" t="s">
        <v>1340</v>
      </c>
      <c r="C46" s="41" t="s">
        <v>443</v>
      </c>
      <c r="D46" s="41" t="s">
        <v>470</v>
      </c>
      <c r="E46" s="41" t="s">
        <v>91</v>
      </c>
      <c r="F46" s="41" t="s">
        <v>25</v>
      </c>
      <c r="L46" s="41">
        <v>2.37</v>
      </c>
      <c r="M46" s="53">
        <v>0.31815712000000002</v>
      </c>
      <c r="N46" s="41">
        <v>45</v>
      </c>
      <c r="O46" s="52">
        <v>8.5503557000000004E-7</v>
      </c>
      <c r="P46" s="52">
        <v>1.7552931000000001E-2</v>
      </c>
      <c r="Q46" s="52">
        <v>3.3909432000000002</v>
      </c>
      <c r="R46" s="52">
        <v>4.5966240999999998E-7</v>
      </c>
      <c r="S46" s="52">
        <v>1.1229438E-3</v>
      </c>
      <c r="T46" s="52">
        <v>9.9389952999999996E-3</v>
      </c>
      <c r="U46" s="52">
        <v>2.0946338000000001E-3</v>
      </c>
      <c r="V46" s="52">
        <v>0.89075641999999999</v>
      </c>
      <c r="W46" s="52">
        <v>1.2730432E-2</v>
      </c>
      <c r="X46" s="52">
        <v>42.933207000000003</v>
      </c>
      <c r="Y46" s="52">
        <v>1.5113234999999999E-3</v>
      </c>
      <c r="Z46" s="52"/>
      <c r="AA46" s="52"/>
      <c r="AB46" s="52"/>
      <c r="AC46" s="52"/>
      <c r="AD46" s="52"/>
      <c r="AE46" s="52"/>
      <c r="AF46" s="52"/>
      <c r="AG46" s="52"/>
      <c r="AH46" s="52"/>
      <c r="AI46" s="52"/>
      <c r="AJ46" s="52"/>
      <c r="AK46" s="52"/>
      <c r="AL46" s="52"/>
      <c r="AM46" s="52"/>
      <c r="AN46" s="52"/>
      <c r="AO46" s="52"/>
      <c r="AP46" s="52"/>
      <c r="AQ46" s="52"/>
      <c r="AR46" s="52"/>
      <c r="AS46" s="52"/>
      <c r="AT46" s="52"/>
      <c r="AU46" s="52">
        <v>0.21467539999999999</v>
      </c>
      <c r="AV46" s="52"/>
      <c r="AW46" s="52"/>
      <c r="AX46" s="52">
        <v>39.350763999999998</v>
      </c>
      <c r="AY46" s="52"/>
      <c r="AZ46" s="52"/>
      <c r="BA46" s="52"/>
      <c r="BB46" s="52">
        <v>4.8494475000000004E-3</v>
      </c>
      <c r="BC46" s="52">
        <v>1.6526835000000001E-5</v>
      </c>
      <c r="BD46" s="52">
        <v>3.9462029000000003E-2</v>
      </c>
      <c r="BE46" s="52">
        <v>2.5740684000000001E-4</v>
      </c>
      <c r="BF46" s="52"/>
      <c r="BG46" s="52"/>
      <c r="BH46" s="52"/>
      <c r="BI46" s="52"/>
      <c r="BJ46" s="52"/>
      <c r="BK46" s="78">
        <v>0.5</v>
      </c>
      <c r="BL46" s="41" t="s">
        <v>109</v>
      </c>
      <c r="BM46" s="45"/>
    </row>
    <row r="47" spans="1:65" x14ac:dyDescent="0.35">
      <c r="A47" s="41" t="str">
        <f>Database_Productkaarten[[#This Row],[Product]]&amp;", "&amp;Database_Productkaarten[[#This Row],[Levensfase]]</f>
        <v>AC bin/base 50% PR - PCR 1.0, C2</v>
      </c>
      <c r="B47" s="41" t="s">
        <v>1340</v>
      </c>
      <c r="C47" s="41" t="s">
        <v>443</v>
      </c>
      <c r="D47" s="41" t="s">
        <v>470</v>
      </c>
      <c r="E47" s="41" t="s">
        <v>91</v>
      </c>
      <c r="F47" s="41" t="s">
        <v>26</v>
      </c>
      <c r="L47" s="41">
        <v>2.37</v>
      </c>
      <c r="M47" s="53">
        <v>0.62892669999999995</v>
      </c>
      <c r="N47" s="41">
        <v>45</v>
      </c>
      <c r="O47" s="52">
        <v>1.0978337000000001E-5</v>
      </c>
      <c r="P47" s="52">
        <v>4.3183727999999998E-2</v>
      </c>
      <c r="Q47" s="52">
        <v>5.7021305</v>
      </c>
      <c r="R47" s="52">
        <v>1.1335356E-6</v>
      </c>
      <c r="S47" s="52">
        <v>3.5752850000000001E-3</v>
      </c>
      <c r="T47" s="52">
        <v>1.9151161E-2</v>
      </c>
      <c r="U47" s="52">
        <v>3.8023555000000001E-3</v>
      </c>
      <c r="V47" s="52">
        <v>2.0049337999999999</v>
      </c>
      <c r="W47" s="52">
        <v>0.12926487</v>
      </c>
      <c r="X47" s="52">
        <v>338.63108999999997</v>
      </c>
      <c r="Y47" s="52">
        <v>1.1891815999999999E-2</v>
      </c>
      <c r="Z47" s="52"/>
      <c r="AA47" s="52"/>
      <c r="AB47" s="52"/>
      <c r="AC47" s="52"/>
      <c r="AD47" s="52"/>
      <c r="AE47" s="52"/>
      <c r="AF47" s="52"/>
      <c r="AG47" s="52"/>
      <c r="AH47" s="52"/>
      <c r="AI47" s="52"/>
      <c r="AJ47" s="52"/>
      <c r="AK47" s="52"/>
      <c r="AL47" s="52"/>
      <c r="AM47" s="52"/>
      <c r="AN47" s="52"/>
      <c r="AO47" s="52"/>
      <c r="AP47" s="52"/>
      <c r="AQ47" s="52"/>
      <c r="AR47" s="52"/>
      <c r="AS47" s="52"/>
      <c r="AT47" s="52"/>
      <c r="AU47" s="52">
        <v>0</v>
      </c>
      <c r="AV47" s="52"/>
      <c r="AW47" s="52"/>
      <c r="AX47" s="52">
        <v>0</v>
      </c>
      <c r="AY47" s="52"/>
      <c r="AZ47" s="52"/>
      <c r="BA47" s="52"/>
      <c r="BB47" s="52">
        <v>0</v>
      </c>
      <c r="BC47" s="52">
        <v>0</v>
      </c>
      <c r="BD47" s="52">
        <v>0</v>
      </c>
      <c r="BE47" s="52">
        <v>0</v>
      </c>
      <c r="BF47" s="52"/>
      <c r="BG47" s="52"/>
      <c r="BH47" s="52"/>
      <c r="BI47" s="52"/>
      <c r="BJ47" s="52"/>
      <c r="BK47" s="78">
        <v>0.5</v>
      </c>
      <c r="BL47" s="41" t="s">
        <v>109</v>
      </c>
      <c r="BM47" s="45"/>
    </row>
    <row r="48" spans="1:65" x14ac:dyDescent="0.35">
      <c r="A48" s="41" t="str">
        <f>Database_Productkaarten[[#This Row],[Product]]&amp;", "&amp;Database_Productkaarten[[#This Row],[Levensfase]]</f>
        <v>AC bin/base 50% PR - PCR 1.0, C3</v>
      </c>
      <c r="B48" s="41" t="s">
        <v>1340</v>
      </c>
      <c r="C48" s="41" t="s">
        <v>443</v>
      </c>
      <c r="D48" s="41" t="s">
        <v>470</v>
      </c>
      <c r="E48" s="41" t="s">
        <v>91</v>
      </c>
      <c r="F48" s="41" t="s">
        <v>27</v>
      </c>
      <c r="L48" s="41">
        <v>2.37</v>
      </c>
      <c r="M48" s="53">
        <v>0.16120214999999999</v>
      </c>
      <c r="N48" s="41">
        <v>45</v>
      </c>
      <c r="O48" s="52">
        <v>4.1291555000000003E-7</v>
      </c>
      <c r="P48" s="52">
        <v>8.4766977000000007E-3</v>
      </c>
      <c r="Q48" s="52">
        <v>1.6375614000000001</v>
      </c>
      <c r="R48" s="52">
        <v>2.2198113E-7</v>
      </c>
      <c r="S48" s="52">
        <v>5.9777666999999998E-4</v>
      </c>
      <c r="T48" s="52">
        <v>5.9352911999999997E-3</v>
      </c>
      <c r="U48" s="52">
        <v>1.3067828999999999E-3</v>
      </c>
      <c r="V48" s="52">
        <v>0.43290835999999999</v>
      </c>
      <c r="W48" s="52">
        <v>6.1478065000000002E-3</v>
      </c>
      <c r="X48" s="52">
        <v>20.733394000000001</v>
      </c>
      <c r="Y48" s="52">
        <v>7.2985148000000004E-4</v>
      </c>
      <c r="Z48" s="52"/>
      <c r="AA48" s="52"/>
      <c r="AB48" s="52"/>
      <c r="AC48" s="52"/>
      <c r="AD48" s="52"/>
      <c r="AE48" s="52"/>
      <c r="AF48" s="52"/>
      <c r="AG48" s="52"/>
      <c r="AH48" s="52"/>
      <c r="AI48" s="52"/>
      <c r="AJ48" s="52"/>
      <c r="AK48" s="52"/>
      <c r="AL48" s="52"/>
      <c r="AM48" s="52"/>
      <c r="AN48" s="52"/>
      <c r="AO48" s="52"/>
      <c r="AP48" s="52"/>
      <c r="AQ48" s="52"/>
      <c r="AR48" s="52"/>
      <c r="AS48" s="52"/>
      <c r="AT48" s="52"/>
      <c r="AU48" s="52">
        <v>0.10367149000000001</v>
      </c>
      <c r="AV48" s="52"/>
      <c r="AW48" s="52"/>
      <c r="AX48" s="52">
        <v>19.003353000000001</v>
      </c>
      <c r="AY48" s="52"/>
      <c r="AZ48" s="52"/>
      <c r="BA48" s="52"/>
      <c r="BB48" s="52">
        <v>2.3419052000000001E-3</v>
      </c>
      <c r="BC48" s="52">
        <v>7.9811735999999999E-6</v>
      </c>
      <c r="BD48" s="52">
        <v>1.9057085000000001E-2</v>
      </c>
      <c r="BE48" s="52">
        <v>1.2430745000000001E-4</v>
      </c>
      <c r="BF48" s="52"/>
      <c r="BG48" s="52"/>
      <c r="BH48" s="52"/>
      <c r="BI48" s="52"/>
      <c r="BJ48" s="52"/>
      <c r="BK48" s="78">
        <v>0.5</v>
      </c>
      <c r="BL48" s="41" t="s">
        <v>109</v>
      </c>
      <c r="BM48" s="45"/>
    </row>
    <row r="49" spans="1:65" x14ac:dyDescent="0.35">
      <c r="A49" s="41" t="str">
        <f>Database_Productkaarten[[#This Row],[Product]]&amp;", "&amp;Database_Productkaarten[[#This Row],[Levensfase]]</f>
        <v>AC bin/base 50% PR - PCR 1.0, D1</v>
      </c>
      <c r="B49" s="41" t="s">
        <v>1340</v>
      </c>
      <c r="C49" s="41" t="s">
        <v>443</v>
      </c>
      <c r="D49" s="41" t="s">
        <v>470</v>
      </c>
      <c r="E49" s="41" t="s">
        <v>91</v>
      </c>
      <c r="F49" s="41" t="s">
        <v>51</v>
      </c>
      <c r="L49" s="41">
        <v>2.37</v>
      </c>
      <c r="M49" s="53">
        <v>-1.8183884176106633</v>
      </c>
      <c r="N49" s="41">
        <v>45</v>
      </c>
      <c r="O49" s="52">
        <v>-2.3275817538851426E-5</v>
      </c>
      <c r="P49" s="52">
        <v>-0.31734645077279788</v>
      </c>
      <c r="Q49" s="52">
        <v>-13.608378730610299</v>
      </c>
      <c r="R49" s="52">
        <v>-1.1667785283448496E-6</v>
      </c>
      <c r="S49" s="52">
        <v>-3.374953556983231E-2</v>
      </c>
      <c r="T49" s="52">
        <v>-9.4054705263913144E-2</v>
      </c>
      <c r="U49" s="52">
        <v>-8.5870749327706542E-3</v>
      </c>
      <c r="V49" s="52">
        <v>-3.6878987888499029</v>
      </c>
      <c r="W49" s="52">
        <v>-0.49271326961113826</v>
      </c>
      <c r="X49" s="52">
        <v>-2157.4045120547103</v>
      </c>
      <c r="Y49" s="52">
        <v>-6.4007192881809796E-2</v>
      </c>
      <c r="Z49" s="52"/>
      <c r="AA49" s="52"/>
      <c r="AB49" s="52"/>
      <c r="AC49" s="52"/>
      <c r="AD49" s="52"/>
      <c r="AE49" s="52"/>
      <c r="AF49" s="52"/>
      <c r="AG49" s="52"/>
      <c r="AH49" s="52"/>
      <c r="AI49" s="52"/>
      <c r="AJ49" s="52"/>
      <c r="AK49" s="52"/>
      <c r="AL49" s="52"/>
      <c r="AM49" s="52"/>
      <c r="AN49" s="52"/>
      <c r="AO49" s="52"/>
      <c r="AP49" s="52"/>
      <c r="AQ49" s="52"/>
      <c r="AR49" s="52"/>
      <c r="AS49" s="52"/>
      <c r="AT49" s="52"/>
      <c r="AU49" s="52">
        <v>-4.9627648143226191</v>
      </c>
      <c r="AV49" s="52"/>
      <c r="AW49" s="52"/>
      <c r="AX49" s="52">
        <v>-714.18690746964057</v>
      </c>
      <c r="AY49" s="52"/>
      <c r="AZ49" s="52"/>
      <c r="BA49" s="52"/>
      <c r="BB49" s="52">
        <v>-7.6081936171385935</v>
      </c>
      <c r="BC49" s="52">
        <v>-3.0853375470418824E-4</v>
      </c>
      <c r="BD49" s="52">
        <v>-1.3194127783762082</v>
      </c>
      <c r="BE49" s="52">
        <v>-3.4178211500933935E-4</v>
      </c>
      <c r="BF49" s="52"/>
      <c r="BG49" s="52"/>
      <c r="BH49" s="52"/>
      <c r="BI49" s="52"/>
      <c r="BJ49" s="52"/>
      <c r="BK49" s="78">
        <v>0.5</v>
      </c>
      <c r="BL49" s="41" t="s">
        <v>109</v>
      </c>
      <c r="BM49" s="45"/>
    </row>
    <row r="50" spans="1:65" x14ac:dyDescent="0.35">
      <c r="A50" s="41" t="str">
        <f>Database_Productkaarten[[#This Row],[Product]]&amp;", "&amp;Database_Productkaarten[[#This Row],[Levensfase]]</f>
        <v>AC bin/base 50% PR - PCR 1.0, D2</v>
      </c>
      <c r="B50" s="41" t="s">
        <v>1340</v>
      </c>
      <c r="C50" s="41" t="s">
        <v>443</v>
      </c>
      <c r="D50" s="41" t="s">
        <v>470</v>
      </c>
      <c r="E50" s="41" t="s">
        <v>91</v>
      </c>
      <c r="F50" s="41" t="s">
        <v>52</v>
      </c>
      <c r="L50" s="41">
        <v>2.37</v>
      </c>
      <c r="M50" s="53">
        <v>-0.73653994331702299</v>
      </c>
      <c r="N50" s="41">
        <v>45</v>
      </c>
      <c r="O50" s="52">
        <v>-6.0308971184229592E-6</v>
      </c>
      <c r="P50" s="52">
        <v>-3.8995767532157409E-2</v>
      </c>
      <c r="Q50" s="52">
        <v>-5.8263891657007836</v>
      </c>
      <c r="R50" s="52">
        <v>-9.3344698746176648E-7</v>
      </c>
      <c r="S50" s="52">
        <v>-3.7042048595276977E-3</v>
      </c>
      <c r="T50" s="52">
        <v>-4.5784859992533837E-2</v>
      </c>
      <c r="U50" s="52">
        <v>-8.6953028049425833E-3</v>
      </c>
      <c r="V50" s="52">
        <v>-1.7086032470533117</v>
      </c>
      <c r="W50" s="52">
        <v>-4.3353215850825966E-2</v>
      </c>
      <c r="X50" s="52">
        <v>-146.36408279882264</v>
      </c>
      <c r="Y50" s="52">
        <v>-7.2302940652563766E-3</v>
      </c>
      <c r="Z50" s="52"/>
      <c r="AA50" s="52"/>
      <c r="AB50" s="52"/>
      <c r="AC50" s="52"/>
      <c r="AD50" s="52"/>
      <c r="AE50" s="52"/>
      <c r="AF50" s="52"/>
      <c r="AG50" s="52"/>
      <c r="AH50" s="52"/>
      <c r="AI50" s="52"/>
      <c r="AJ50" s="52"/>
      <c r="AK50" s="52"/>
      <c r="AL50" s="52"/>
      <c r="AM50" s="52"/>
      <c r="AN50" s="52"/>
      <c r="AO50" s="52"/>
      <c r="AP50" s="52"/>
      <c r="AQ50" s="52"/>
      <c r="AR50" s="52"/>
      <c r="AS50" s="52"/>
      <c r="AT50" s="52"/>
      <c r="AU50" s="52">
        <v>-1.58253882956501</v>
      </c>
      <c r="AV50" s="52"/>
      <c r="AW50" s="52"/>
      <c r="AX50" s="52">
        <v>-86.510064298476365</v>
      </c>
      <c r="AY50" s="52"/>
      <c r="AZ50" s="52"/>
      <c r="BA50" s="52"/>
      <c r="BB50" s="52">
        <v>-1.9239628836175558E-2</v>
      </c>
      <c r="BC50" s="52">
        <v>-5.8809729974583837E-5</v>
      </c>
      <c r="BD50" s="52">
        <v>-1.3860592307193091</v>
      </c>
      <c r="BE50" s="52">
        <v>-5.4017438281904961E-4</v>
      </c>
      <c r="BF50" s="52"/>
      <c r="BG50" s="52"/>
      <c r="BH50" s="52"/>
      <c r="BI50" s="52"/>
      <c r="BJ50" s="52"/>
      <c r="BK50" s="78">
        <v>0.5</v>
      </c>
      <c r="BL50" s="41" t="s">
        <v>109</v>
      </c>
      <c r="BM50" s="45"/>
    </row>
    <row r="51" spans="1:65" x14ac:dyDescent="0.35">
      <c r="A51" s="41" t="str">
        <f>Database_Productkaarten[[#This Row],[Product]]&amp;", "&amp;Database_Productkaarten[[#This Row],[Levensfase]]</f>
        <v>AC bin/base 50% PR G.M. - PCR 1.0, Totaal</v>
      </c>
      <c r="B51" s="41" t="s">
        <v>1341</v>
      </c>
      <c r="C51" s="41" t="s">
        <v>443</v>
      </c>
      <c r="D51" s="41" t="s">
        <v>470</v>
      </c>
      <c r="E51" s="41" t="s">
        <v>91</v>
      </c>
      <c r="F51" s="41" t="s">
        <v>16</v>
      </c>
      <c r="L51" s="41">
        <v>2.37</v>
      </c>
      <c r="M51" s="53">
        <v>5.5226189684149727</v>
      </c>
      <c r="N51" s="41">
        <v>45</v>
      </c>
      <c r="O51" s="52">
        <v>2.1750960204042194E-4</v>
      </c>
      <c r="P51" s="52">
        <v>0.5598992927525438</v>
      </c>
      <c r="Q51" s="52">
        <v>57.545512124475167</v>
      </c>
      <c r="R51" s="52">
        <v>8.2005912897565249E-6</v>
      </c>
      <c r="S51" s="52">
        <v>3.6132835464681747E-2</v>
      </c>
      <c r="T51" s="52">
        <v>0.17922608657944056</v>
      </c>
      <c r="U51" s="52">
        <v>2.9432726146366918E-2</v>
      </c>
      <c r="V51" s="52">
        <v>14.233395710493786</v>
      </c>
      <c r="W51" s="52">
        <v>0.57610406248741131</v>
      </c>
      <c r="X51" s="52">
        <v>1979.6520090468778</v>
      </c>
      <c r="Y51" s="52">
        <v>8.7151035117157993E-2</v>
      </c>
      <c r="Z51" s="52"/>
      <c r="AA51" s="52"/>
      <c r="AB51" s="52"/>
      <c r="AC51" s="52"/>
      <c r="AD51" s="52"/>
      <c r="AE51" s="52"/>
      <c r="AF51" s="52"/>
      <c r="AG51" s="52"/>
      <c r="AH51" s="52"/>
      <c r="AI51" s="52"/>
      <c r="AJ51" s="52"/>
      <c r="AK51" s="52"/>
      <c r="AL51" s="52"/>
      <c r="AM51" s="52"/>
      <c r="AN51" s="52"/>
      <c r="AO51" s="52"/>
      <c r="AP51" s="52"/>
      <c r="AQ51" s="52"/>
      <c r="AR51" s="52"/>
      <c r="AS51" s="52"/>
      <c r="AT51" s="52"/>
      <c r="AU51" s="52">
        <v>16.269977780149247</v>
      </c>
      <c r="AV51" s="52"/>
      <c r="AW51" s="52"/>
      <c r="AX51" s="52">
        <v>1019.2238573978727</v>
      </c>
      <c r="AY51" s="52"/>
      <c r="AZ51" s="52"/>
      <c r="BA51" s="52"/>
      <c r="BB51" s="52">
        <v>3.1361253811501579</v>
      </c>
      <c r="BC51" s="52">
        <v>8.4509798928439491E-4</v>
      </c>
      <c r="BD51" s="52">
        <v>2.4983141194338701</v>
      </c>
      <c r="BE51" s="52">
        <v>2.0254527020592021E-3</v>
      </c>
      <c r="BF51" s="52"/>
      <c r="BG51" s="52"/>
      <c r="BH51" s="52"/>
      <c r="BI51" s="52"/>
      <c r="BJ51" s="52"/>
      <c r="BK51" s="78">
        <v>0.5</v>
      </c>
      <c r="BL51" s="41" t="s">
        <v>109</v>
      </c>
      <c r="BM51" s="45"/>
    </row>
    <row r="52" spans="1:65" x14ac:dyDescent="0.35">
      <c r="A52" s="41" t="str">
        <f>Database_Productkaarten[[#This Row],[Product]]&amp;", "&amp;Database_Productkaarten[[#This Row],[Levensfase]]</f>
        <v>AC bin/base 50% PR G.M. - PCR 1.0, A1</v>
      </c>
      <c r="B52" s="41" t="s">
        <v>1341</v>
      </c>
      <c r="C52" s="41" t="s">
        <v>443</v>
      </c>
      <c r="D52" s="41" t="s">
        <v>470</v>
      </c>
      <c r="E52" s="41" t="s">
        <v>91</v>
      </c>
      <c r="F52" s="41" t="s">
        <v>19</v>
      </c>
      <c r="L52" s="41">
        <v>2.37</v>
      </c>
      <c r="M52" s="53">
        <v>3.3798859250000004</v>
      </c>
      <c r="N52" s="41">
        <v>45</v>
      </c>
      <c r="O52" s="52">
        <v>2.1021272640000001E-4</v>
      </c>
      <c r="P52" s="52">
        <v>0.53352760870000004</v>
      </c>
      <c r="Q52" s="52">
        <v>26.524688733999998</v>
      </c>
      <c r="R52" s="52">
        <v>2.9284034299999997E-6</v>
      </c>
      <c r="S52" s="52">
        <v>5.4660532080000004E-2</v>
      </c>
      <c r="T52" s="52">
        <v>0.16479905149999999</v>
      </c>
      <c r="U52" s="52">
        <v>1.6907420399999998E-2</v>
      </c>
      <c r="V52" s="52">
        <v>7.7583798870000003</v>
      </c>
      <c r="W52" s="52">
        <v>0.74087496890000004</v>
      </c>
      <c r="X52" s="52">
        <v>3210.5699592599999</v>
      </c>
      <c r="Y52" s="52">
        <v>0.10222133410000001</v>
      </c>
      <c r="Z52" s="52"/>
      <c r="AA52" s="52"/>
      <c r="AB52" s="52"/>
      <c r="AC52" s="52"/>
      <c r="AD52" s="52"/>
      <c r="AE52" s="52"/>
      <c r="AF52" s="52"/>
      <c r="AG52" s="52"/>
      <c r="AH52" s="52"/>
      <c r="AI52" s="52"/>
      <c r="AJ52" s="52"/>
      <c r="AK52" s="52"/>
      <c r="AL52" s="52"/>
      <c r="AM52" s="52"/>
      <c r="AN52" s="52"/>
      <c r="AO52" s="52"/>
      <c r="AP52" s="52"/>
      <c r="AQ52" s="52"/>
      <c r="AR52" s="52"/>
      <c r="AS52" s="52"/>
      <c r="AT52" s="52"/>
      <c r="AU52" s="52">
        <v>14.729236710999999</v>
      </c>
      <c r="AV52" s="52"/>
      <c r="AW52" s="52"/>
      <c r="AX52" s="52">
        <v>1196.5067618210001</v>
      </c>
      <c r="AY52" s="52"/>
      <c r="AZ52" s="52"/>
      <c r="BA52" s="52"/>
      <c r="BB52" s="52">
        <v>10.690643267300002</v>
      </c>
      <c r="BC52" s="52">
        <v>5.5737838900000005E-4</v>
      </c>
      <c r="BD52" s="52">
        <v>2.7985033400000003</v>
      </c>
      <c r="BE52" s="52">
        <v>1.2372125340000002E-3</v>
      </c>
      <c r="BF52" s="52"/>
      <c r="BG52" s="52"/>
      <c r="BH52" s="52"/>
      <c r="BI52" s="52"/>
      <c r="BJ52" s="52"/>
      <c r="BK52" s="78">
        <v>0.5</v>
      </c>
      <c r="BL52" s="41" t="s">
        <v>109</v>
      </c>
      <c r="BM52" s="45"/>
    </row>
    <row r="53" spans="1:65" x14ac:dyDescent="0.35">
      <c r="A53" s="41" t="str">
        <f>Database_Productkaarten[[#This Row],[Product]]&amp;", "&amp;Database_Productkaarten[[#This Row],[Levensfase]]</f>
        <v>AC bin/base 50% PR G.M. - PCR 1.0, A2</v>
      </c>
      <c r="B53" s="41" t="s">
        <v>1341</v>
      </c>
      <c r="C53" s="41" t="s">
        <v>443</v>
      </c>
      <c r="D53" s="41" t="s">
        <v>470</v>
      </c>
      <c r="E53" s="41" t="s">
        <v>91</v>
      </c>
      <c r="F53" s="41" t="s">
        <v>20</v>
      </c>
      <c r="L53" s="41">
        <v>2.37</v>
      </c>
      <c r="M53" s="53">
        <v>1.133268571875</v>
      </c>
      <c r="N53" s="41">
        <v>45</v>
      </c>
      <c r="O53" s="52">
        <v>9.1952835972500005E-6</v>
      </c>
      <c r="P53" s="52">
        <v>5.991508133150001E-2</v>
      </c>
      <c r="Q53" s="52">
        <v>8.9558495330400021</v>
      </c>
      <c r="R53" s="52">
        <v>1.43385225645E-6</v>
      </c>
      <c r="S53" s="52">
        <v>5.7005900225000012E-3</v>
      </c>
      <c r="T53" s="52">
        <v>7.0656663844000003E-2</v>
      </c>
      <c r="U53" s="52">
        <v>1.3392712330000001E-2</v>
      </c>
      <c r="V53" s="52">
        <v>2.6240903969599998</v>
      </c>
      <c r="W53" s="52">
        <v>6.6485449399999993E-2</v>
      </c>
      <c r="X53" s="52">
        <v>224.513587446695</v>
      </c>
      <c r="Y53" s="52">
        <v>1.1110103947500002E-2</v>
      </c>
      <c r="Z53" s="52"/>
      <c r="AA53" s="52"/>
      <c r="AB53" s="52"/>
      <c r="AC53" s="52"/>
      <c r="AD53" s="52"/>
      <c r="AE53" s="52"/>
      <c r="AF53" s="52"/>
      <c r="AG53" s="52"/>
      <c r="AH53" s="52"/>
      <c r="AI53" s="52"/>
      <c r="AJ53" s="52"/>
      <c r="AK53" s="52"/>
      <c r="AL53" s="52"/>
      <c r="AM53" s="52"/>
      <c r="AN53" s="52"/>
      <c r="AO53" s="52"/>
      <c r="AP53" s="52"/>
      <c r="AQ53" s="52"/>
      <c r="AR53" s="52"/>
      <c r="AS53" s="52"/>
      <c r="AT53" s="52"/>
      <c r="AU53" s="52">
        <v>2.4371391367349999</v>
      </c>
      <c r="AV53" s="52"/>
      <c r="AW53" s="52"/>
      <c r="AX53" s="52">
        <v>132.91790234184498</v>
      </c>
      <c r="AY53" s="52"/>
      <c r="AZ53" s="52"/>
      <c r="BA53" s="52"/>
      <c r="BB53" s="52">
        <v>2.9590112697000001E-2</v>
      </c>
      <c r="BC53" s="52">
        <v>9.0384945955000008E-5</v>
      </c>
      <c r="BD53" s="52">
        <v>2.1022967323700001</v>
      </c>
      <c r="BE53" s="52">
        <v>8.2987884654999995E-4</v>
      </c>
      <c r="BF53" s="52"/>
      <c r="BG53" s="52"/>
      <c r="BH53" s="52"/>
      <c r="BI53" s="52"/>
      <c r="BJ53" s="52"/>
      <c r="BK53" s="78">
        <v>0.5</v>
      </c>
      <c r="BL53" s="41" t="s">
        <v>109</v>
      </c>
      <c r="BM53" s="45"/>
    </row>
    <row r="54" spans="1:65" x14ac:dyDescent="0.35">
      <c r="A54" s="41" t="str">
        <f>Database_Productkaarten[[#This Row],[Product]]&amp;", "&amp;Database_Productkaarten[[#This Row],[Levensfase]]</f>
        <v>AC bin/base 50% PR G.M. - PCR 1.0, A3</v>
      </c>
      <c r="B54" s="41" t="s">
        <v>1341</v>
      </c>
      <c r="C54" s="41" t="s">
        <v>443</v>
      </c>
      <c r="D54" s="41" t="s">
        <v>470</v>
      </c>
      <c r="E54" s="41" t="s">
        <v>91</v>
      </c>
      <c r="F54" s="41" t="s">
        <v>21</v>
      </c>
      <c r="L54" s="41">
        <v>2.37</v>
      </c>
      <c r="M54" s="53">
        <v>1.6844533224676592</v>
      </c>
      <c r="N54" s="41">
        <v>45</v>
      </c>
      <c r="O54" s="52">
        <v>3.8283421204463268E-6</v>
      </c>
      <c r="P54" s="52">
        <v>0.20310701192599909</v>
      </c>
      <c r="Q54" s="52">
        <v>23.657752953746236</v>
      </c>
      <c r="R54" s="52">
        <v>2.7988178491131425E-6</v>
      </c>
      <c r="S54" s="52">
        <v>3.8296536315417314E-3</v>
      </c>
      <c r="T54" s="52">
        <v>2.3718441691887557E-2</v>
      </c>
      <c r="U54" s="52">
        <v>4.1264036540801605E-3</v>
      </c>
      <c r="V54" s="52">
        <v>3.5398775824369997</v>
      </c>
      <c r="W54" s="52">
        <v>2.2111582149375503E-2</v>
      </c>
      <c r="X54" s="52">
        <v>89.565904193716037</v>
      </c>
      <c r="Y54" s="52">
        <v>1.8404194546724133E-2</v>
      </c>
      <c r="Z54" s="52"/>
      <c r="AA54" s="52"/>
      <c r="AB54" s="52"/>
      <c r="AC54" s="52"/>
      <c r="AD54" s="52"/>
      <c r="AE54" s="52"/>
      <c r="AF54" s="52"/>
      <c r="AG54" s="52"/>
      <c r="AH54" s="52"/>
      <c r="AI54" s="52"/>
      <c r="AJ54" s="52"/>
      <c r="AK54" s="52"/>
      <c r="AL54" s="52"/>
      <c r="AM54" s="52"/>
      <c r="AN54" s="52"/>
      <c r="AO54" s="52"/>
      <c r="AP54" s="52"/>
      <c r="AQ54" s="52"/>
      <c r="AR54" s="52"/>
      <c r="AS54" s="52"/>
      <c r="AT54" s="52"/>
      <c r="AU54" s="52">
        <v>5.2413429373018765</v>
      </c>
      <c r="AV54" s="52"/>
      <c r="AW54" s="52"/>
      <c r="AX54" s="52">
        <v>415.78848400314473</v>
      </c>
      <c r="AY54" s="52"/>
      <c r="AZ54" s="52"/>
      <c r="BA54" s="52"/>
      <c r="BB54" s="52">
        <v>3.4118539627923244E-2</v>
      </c>
      <c r="BC54" s="52">
        <v>5.3330183530816684E-4</v>
      </c>
      <c r="BD54" s="52">
        <v>0.2280671381593867</v>
      </c>
      <c r="BE54" s="52">
        <v>3.5162925933759052E-4</v>
      </c>
      <c r="BF54" s="52"/>
      <c r="BG54" s="52"/>
      <c r="BH54" s="52"/>
      <c r="BI54" s="52"/>
      <c r="BJ54" s="52"/>
      <c r="BK54" s="78">
        <v>0.5</v>
      </c>
      <c r="BL54" s="41" t="s">
        <v>109</v>
      </c>
      <c r="BM54" s="45"/>
    </row>
    <row r="55" spans="1:65" x14ac:dyDescent="0.35">
      <c r="A55" s="41" t="str">
        <f>Database_Productkaarten[[#This Row],[Product]]&amp;", "&amp;Database_Productkaarten[[#This Row],[Levensfase]]</f>
        <v>AC bin/base 50% PR G.M. - PCR 1.0, A4</v>
      </c>
      <c r="B55" s="41" t="s">
        <v>1341</v>
      </c>
      <c r="C55" s="41" t="s">
        <v>443</v>
      </c>
      <c r="D55" s="41" t="s">
        <v>470</v>
      </c>
      <c r="E55" s="41" t="s">
        <v>91</v>
      </c>
      <c r="F55" s="41" t="s">
        <v>22</v>
      </c>
      <c r="L55" s="41">
        <v>2.37</v>
      </c>
      <c r="M55" s="53">
        <v>0.62892669999999995</v>
      </c>
      <c r="N55" s="41">
        <v>45</v>
      </c>
      <c r="O55" s="52">
        <v>1.0978337000000001E-5</v>
      </c>
      <c r="P55" s="52">
        <v>4.3183727999999998E-2</v>
      </c>
      <c r="Q55" s="52">
        <v>5.7021305</v>
      </c>
      <c r="R55" s="52">
        <v>1.1335356E-6</v>
      </c>
      <c r="S55" s="52">
        <v>3.5752850000000001E-3</v>
      </c>
      <c r="T55" s="52">
        <v>1.9151161E-2</v>
      </c>
      <c r="U55" s="52">
        <v>3.8023555000000001E-3</v>
      </c>
      <c r="V55" s="52">
        <v>2.0049337999999999</v>
      </c>
      <c r="W55" s="52">
        <v>0.12926487</v>
      </c>
      <c r="X55" s="52">
        <v>338.63108999999997</v>
      </c>
      <c r="Y55" s="52">
        <v>1.1891815999999999E-2</v>
      </c>
      <c r="Z55" s="52"/>
      <c r="AA55" s="52"/>
      <c r="AB55" s="52"/>
      <c r="AC55" s="52"/>
      <c r="AD55" s="52"/>
      <c r="AE55" s="52"/>
      <c r="AF55" s="52"/>
      <c r="AG55" s="52"/>
      <c r="AH55" s="52"/>
      <c r="AI55" s="52"/>
      <c r="AJ55" s="52"/>
      <c r="AK55" s="52"/>
      <c r="AL55" s="52"/>
      <c r="AM55" s="52"/>
      <c r="AN55" s="52"/>
      <c r="AO55" s="52"/>
      <c r="AP55" s="52"/>
      <c r="AQ55" s="52"/>
      <c r="AR55" s="52"/>
      <c r="AS55" s="52"/>
      <c r="AT55" s="52"/>
      <c r="AU55" s="52">
        <v>0</v>
      </c>
      <c r="AV55" s="52"/>
      <c r="AW55" s="52"/>
      <c r="AX55" s="52">
        <v>0</v>
      </c>
      <c r="AY55" s="52"/>
      <c r="AZ55" s="52"/>
      <c r="BA55" s="52"/>
      <c r="BB55" s="52">
        <v>0</v>
      </c>
      <c r="BC55" s="52">
        <v>0</v>
      </c>
      <c r="BD55" s="52">
        <v>0</v>
      </c>
      <c r="BE55" s="52">
        <v>0</v>
      </c>
      <c r="BF55" s="52"/>
      <c r="BG55" s="52"/>
      <c r="BH55" s="52"/>
      <c r="BI55" s="52"/>
      <c r="BJ55" s="52"/>
      <c r="BK55" s="78">
        <v>0.5</v>
      </c>
      <c r="BL55" s="41" t="s">
        <v>109</v>
      </c>
      <c r="BM55" s="45"/>
    </row>
    <row r="56" spans="1:65" x14ac:dyDescent="0.35">
      <c r="A56" s="41" t="str">
        <f>Database_Productkaarten[[#This Row],[Product]]&amp;", "&amp;Database_Productkaarten[[#This Row],[Levensfase]]</f>
        <v>AC bin/base 50% PR G.M. - PCR 1.0, A5</v>
      </c>
      <c r="B56" s="41" t="s">
        <v>1341</v>
      </c>
      <c r="C56" s="41" t="s">
        <v>443</v>
      </c>
      <c r="D56" s="41" t="s">
        <v>470</v>
      </c>
      <c r="E56" s="41" t="s">
        <v>91</v>
      </c>
      <c r="F56" s="41" t="s">
        <v>23</v>
      </c>
      <c r="L56" s="41">
        <v>2.37</v>
      </c>
      <c r="M56" s="53">
        <v>0.14272683999999999</v>
      </c>
      <c r="N56" s="41">
        <v>45</v>
      </c>
      <c r="O56" s="52">
        <v>3.5533946E-7</v>
      </c>
      <c r="P56" s="52">
        <v>7.2947244E-3</v>
      </c>
      <c r="Q56" s="52">
        <v>1.4092232</v>
      </c>
      <c r="R56" s="52">
        <v>1.9102853E-7</v>
      </c>
      <c r="S56" s="52">
        <v>5.2450969E-4</v>
      </c>
      <c r="T56" s="52">
        <v>5.7148863000000003E-3</v>
      </c>
      <c r="U56" s="52">
        <v>1.2824398000000001E-3</v>
      </c>
      <c r="V56" s="52">
        <v>0.3740175</v>
      </c>
      <c r="W56" s="52">
        <v>5.2905690000000002E-3</v>
      </c>
      <c r="X56" s="52">
        <v>17.842372000000001</v>
      </c>
      <c r="Y56" s="52">
        <v>6.2808248999999996E-4</v>
      </c>
      <c r="Z56" s="52"/>
      <c r="AA56" s="52"/>
      <c r="AB56" s="52"/>
      <c r="AC56" s="52"/>
      <c r="AD56" s="52"/>
      <c r="AE56" s="52"/>
      <c r="AF56" s="52"/>
      <c r="AG56" s="52"/>
      <c r="AH56" s="52"/>
      <c r="AI56" s="52"/>
      <c r="AJ56" s="52"/>
      <c r="AK56" s="52"/>
      <c r="AL56" s="52"/>
      <c r="AM56" s="52"/>
      <c r="AN56" s="52"/>
      <c r="AO56" s="52"/>
      <c r="AP56" s="52"/>
      <c r="AQ56" s="52"/>
      <c r="AR56" s="52"/>
      <c r="AS56" s="52"/>
      <c r="AT56" s="52"/>
      <c r="AU56" s="52">
        <v>8.9215748999999997E-2</v>
      </c>
      <c r="AV56" s="52"/>
      <c r="AW56" s="52"/>
      <c r="AX56" s="52">
        <v>16.353563999999999</v>
      </c>
      <c r="AY56" s="52"/>
      <c r="AZ56" s="52"/>
      <c r="BA56" s="52"/>
      <c r="BB56" s="52">
        <v>2.0153547999999999E-3</v>
      </c>
      <c r="BC56" s="52">
        <v>6.8682951000000004E-6</v>
      </c>
      <c r="BD56" s="52">
        <v>1.6399804E-2</v>
      </c>
      <c r="BE56" s="52">
        <v>1.0697427E-4</v>
      </c>
      <c r="BF56" s="52"/>
      <c r="BG56" s="52"/>
      <c r="BH56" s="52"/>
      <c r="BI56" s="52"/>
      <c r="BJ56" s="52"/>
      <c r="BK56" s="78">
        <v>0.5</v>
      </c>
      <c r="BL56" s="41" t="s">
        <v>109</v>
      </c>
      <c r="BM56" s="45"/>
    </row>
    <row r="57" spans="1:65" x14ac:dyDescent="0.35">
      <c r="A57" s="41" t="str">
        <f>Database_Productkaarten[[#This Row],[Product]]&amp;", "&amp;Database_Productkaarten[[#This Row],[Levensfase]]</f>
        <v>AC bin/base 50% PR G.M. - PCR 1.0, B1</v>
      </c>
      <c r="B57" s="41" t="s">
        <v>1341</v>
      </c>
      <c r="C57" s="41" t="s">
        <v>443</v>
      </c>
      <c r="D57" s="41" t="s">
        <v>470</v>
      </c>
      <c r="E57" s="41" t="s">
        <v>91</v>
      </c>
      <c r="F57" s="41" t="s">
        <v>24</v>
      </c>
      <c r="L57" s="41">
        <v>2.37</v>
      </c>
      <c r="M57" s="53">
        <v>0</v>
      </c>
      <c r="N57" s="41">
        <v>45</v>
      </c>
      <c r="O57" s="52">
        <v>0</v>
      </c>
      <c r="P57" s="52">
        <v>0</v>
      </c>
      <c r="Q57" s="52">
        <v>0</v>
      </c>
      <c r="R57" s="52">
        <v>0</v>
      </c>
      <c r="S57" s="52">
        <v>0</v>
      </c>
      <c r="T57" s="52">
        <v>0</v>
      </c>
      <c r="U57" s="52">
        <v>0</v>
      </c>
      <c r="V57" s="52">
        <v>0</v>
      </c>
      <c r="W57" s="52">
        <v>0</v>
      </c>
      <c r="X57" s="52">
        <v>0</v>
      </c>
      <c r="Y57" s="52">
        <v>0</v>
      </c>
      <c r="Z57" s="52"/>
      <c r="AA57" s="52"/>
      <c r="AB57" s="52"/>
      <c r="AC57" s="52"/>
      <c r="AD57" s="52"/>
      <c r="AE57" s="52"/>
      <c r="AF57" s="52"/>
      <c r="AG57" s="52"/>
      <c r="AH57" s="52"/>
      <c r="AI57" s="52"/>
      <c r="AJ57" s="52"/>
      <c r="AK57" s="52"/>
      <c r="AL57" s="52"/>
      <c r="AM57" s="52"/>
      <c r="AN57" s="52"/>
      <c r="AO57" s="52"/>
      <c r="AP57" s="52"/>
      <c r="AQ57" s="52"/>
      <c r="AR57" s="52"/>
      <c r="AS57" s="52"/>
      <c r="AT57" s="52"/>
      <c r="AU57" s="52">
        <v>0</v>
      </c>
      <c r="AV57" s="52"/>
      <c r="AW57" s="52"/>
      <c r="AX57" s="52">
        <v>0</v>
      </c>
      <c r="AY57" s="52"/>
      <c r="AZ57" s="52"/>
      <c r="BA57" s="52"/>
      <c r="BB57" s="52">
        <v>0</v>
      </c>
      <c r="BC57" s="52">
        <v>0</v>
      </c>
      <c r="BD57" s="52">
        <v>0</v>
      </c>
      <c r="BE57" s="52">
        <v>0</v>
      </c>
      <c r="BF57" s="52"/>
      <c r="BG57" s="52"/>
      <c r="BH57" s="52"/>
      <c r="BI57" s="52"/>
      <c r="BJ57" s="52"/>
      <c r="BK57" s="78">
        <v>0.5</v>
      </c>
      <c r="BL57" s="41" t="s">
        <v>109</v>
      </c>
      <c r="BM57" s="45"/>
    </row>
    <row r="58" spans="1:65" x14ac:dyDescent="0.35">
      <c r="A58" s="41" t="str">
        <f>Database_Productkaarten[[#This Row],[Product]]&amp;", "&amp;Database_Productkaarten[[#This Row],[Levensfase]]</f>
        <v>AC bin/base 50% PR G.M. - PCR 1.0, C1</v>
      </c>
      <c r="B58" s="41" t="s">
        <v>1341</v>
      </c>
      <c r="C58" s="41" t="s">
        <v>443</v>
      </c>
      <c r="D58" s="41" t="s">
        <v>470</v>
      </c>
      <c r="E58" s="41" t="s">
        <v>91</v>
      </c>
      <c r="F58" s="41" t="s">
        <v>25</v>
      </c>
      <c r="L58" s="41">
        <v>2.37</v>
      </c>
      <c r="M58" s="53">
        <v>0.31815712000000002</v>
      </c>
      <c r="N58" s="41">
        <v>45</v>
      </c>
      <c r="O58" s="52">
        <v>8.5503557000000004E-7</v>
      </c>
      <c r="P58" s="52">
        <v>1.7552931000000001E-2</v>
      </c>
      <c r="Q58" s="52">
        <v>3.3909432000000002</v>
      </c>
      <c r="R58" s="52">
        <v>4.5966240999999998E-7</v>
      </c>
      <c r="S58" s="52">
        <v>1.1229438E-3</v>
      </c>
      <c r="T58" s="52">
        <v>9.9389952999999996E-3</v>
      </c>
      <c r="U58" s="52">
        <v>2.0946338000000001E-3</v>
      </c>
      <c r="V58" s="52">
        <v>0.89075641999999999</v>
      </c>
      <c r="W58" s="52">
        <v>1.2730432E-2</v>
      </c>
      <c r="X58" s="52">
        <v>42.933207000000003</v>
      </c>
      <c r="Y58" s="52">
        <v>1.5113234999999999E-3</v>
      </c>
      <c r="Z58" s="52"/>
      <c r="AA58" s="52"/>
      <c r="AB58" s="52"/>
      <c r="AC58" s="52"/>
      <c r="AD58" s="52"/>
      <c r="AE58" s="52"/>
      <c r="AF58" s="52"/>
      <c r="AG58" s="52"/>
      <c r="AH58" s="52"/>
      <c r="AI58" s="52"/>
      <c r="AJ58" s="52"/>
      <c r="AK58" s="52"/>
      <c r="AL58" s="52"/>
      <c r="AM58" s="52"/>
      <c r="AN58" s="52"/>
      <c r="AO58" s="52"/>
      <c r="AP58" s="52"/>
      <c r="AQ58" s="52"/>
      <c r="AR58" s="52"/>
      <c r="AS58" s="52"/>
      <c r="AT58" s="52"/>
      <c r="AU58" s="52">
        <v>0.21467539999999999</v>
      </c>
      <c r="AV58" s="52"/>
      <c r="AW58" s="52"/>
      <c r="AX58" s="52">
        <v>39.350763999999998</v>
      </c>
      <c r="AY58" s="52"/>
      <c r="AZ58" s="52"/>
      <c r="BA58" s="52"/>
      <c r="BB58" s="52">
        <v>4.8494475000000004E-3</v>
      </c>
      <c r="BC58" s="52">
        <v>1.6526835000000001E-5</v>
      </c>
      <c r="BD58" s="52">
        <v>3.9462029000000003E-2</v>
      </c>
      <c r="BE58" s="52">
        <v>2.5740684000000001E-4</v>
      </c>
      <c r="BF58" s="52"/>
      <c r="BG58" s="52"/>
      <c r="BH58" s="52"/>
      <c r="BI58" s="52"/>
      <c r="BJ58" s="52"/>
      <c r="BK58" s="78">
        <v>0.5</v>
      </c>
      <c r="BL58" s="41" t="s">
        <v>109</v>
      </c>
      <c r="BM58" s="45"/>
    </row>
    <row r="59" spans="1:65" x14ac:dyDescent="0.35">
      <c r="A59" s="41" t="str">
        <f>Database_Productkaarten[[#This Row],[Product]]&amp;", "&amp;Database_Productkaarten[[#This Row],[Levensfase]]</f>
        <v>AC bin/base 50% PR G.M. - PCR 1.0, C2</v>
      </c>
      <c r="B59" s="41" t="s">
        <v>1341</v>
      </c>
      <c r="C59" s="41" t="s">
        <v>443</v>
      </c>
      <c r="D59" s="41" t="s">
        <v>470</v>
      </c>
      <c r="E59" s="41" t="s">
        <v>91</v>
      </c>
      <c r="F59" s="41" t="s">
        <v>26</v>
      </c>
      <c r="L59" s="41">
        <v>2.37</v>
      </c>
      <c r="M59" s="53">
        <v>0.62892669999999995</v>
      </c>
      <c r="N59" s="41">
        <v>45</v>
      </c>
      <c r="O59" s="52">
        <v>1.0978337000000001E-5</v>
      </c>
      <c r="P59" s="52">
        <v>4.3183727999999998E-2</v>
      </c>
      <c r="Q59" s="52">
        <v>5.7021305</v>
      </c>
      <c r="R59" s="52">
        <v>1.1335356E-6</v>
      </c>
      <c r="S59" s="52">
        <v>3.5752850000000001E-3</v>
      </c>
      <c r="T59" s="52">
        <v>1.9151161E-2</v>
      </c>
      <c r="U59" s="52">
        <v>3.8023555000000001E-3</v>
      </c>
      <c r="V59" s="52">
        <v>2.0049337999999999</v>
      </c>
      <c r="W59" s="52">
        <v>0.12926487</v>
      </c>
      <c r="X59" s="52">
        <v>338.63108999999997</v>
      </c>
      <c r="Y59" s="52">
        <v>1.1891815999999999E-2</v>
      </c>
      <c r="Z59" s="52"/>
      <c r="AA59" s="52"/>
      <c r="AB59" s="52"/>
      <c r="AC59" s="52"/>
      <c r="AD59" s="52"/>
      <c r="AE59" s="52"/>
      <c r="AF59" s="52"/>
      <c r="AG59" s="52"/>
      <c r="AH59" s="52"/>
      <c r="AI59" s="52"/>
      <c r="AJ59" s="52"/>
      <c r="AK59" s="52"/>
      <c r="AL59" s="52"/>
      <c r="AM59" s="52"/>
      <c r="AN59" s="52"/>
      <c r="AO59" s="52"/>
      <c r="AP59" s="52"/>
      <c r="AQ59" s="52"/>
      <c r="AR59" s="52"/>
      <c r="AS59" s="52"/>
      <c r="AT59" s="52"/>
      <c r="AU59" s="52">
        <v>0</v>
      </c>
      <c r="AV59" s="52"/>
      <c r="AW59" s="52"/>
      <c r="AX59" s="52">
        <v>0</v>
      </c>
      <c r="AY59" s="52"/>
      <c r="AZ59" s="52"/>
      <c r="BA59" s="52"/>
      <c r="BB59" s="52">
        <v>0</v>
      </c>
      <c r="BC59" s="52">
        <v>0</v>
      </c>
      <c r="BD59" s="52">
        <v>0</v>
      </c>
      <c r="BE59" s="52">
        <v>0</v>
      </c>
      <c r="BF59" s="52"/>
      <c r="BG59" s="52"/>
      <c r="BH59" s="52"/>
      <c r="BI59" s="52"/>
      <c r="BJ59" s="52"/>
      <c r="BK59" s="78">
        <v>0.5</v>
      </c>
      <c r="BL59" s="41" t="s">
        <v>109</v>
      </c>
      <c r="BM59" s="45"/>
    </row>
    <row r="60" spans="1:65" x14ac:dyDescent="0.35">
      <c r="A60" s="41" t="str">
        <f>Database_Productkaarten[[#This Row],[Product]]&amp;", "&amp;Database_Productkaarten[[#This Row],[Levensfase]]</f>
        <v>AC bin/base 50% PR G.M. - PCR 1.0, C3</v>
      </c>
      <c r="B60" s="41" t="s">
        <v>1341</v>
      </c>
      <c r="C60" s="41" t="s">
        <v>443</v>
      </c>
      <c r="D60" s="41" t="s">
        <v>470</v>
      </c>
      <c r="E60" s="41" t="s">
        <v>91</v>
      </c>
      <c r="F60" s="41" t="s">
        <v>27</v>
      </c>
      <c r="L60" s="41">
        <v>2.37</v>
      </c>
      <c r="M60" s="53">
        <v>0.16120214999999999</v>
      </c>
      <c r="N60" s="41">
        <v>45</v>
      </c>
      <c r="O60" s="52">
        <v>4.1291555000000003E-7</v>
      </c>
      <c r="P60" s="52">
        <v>8.4766977000000007E-3</v>
      </c>
      <c r="Q60" s="52">
        <v>1.6375614000000001</v>
      </c>
      <c r="R60" s="52">
        <v>2.2198113E-7</v>
      </c>
      <c r="S60" s="52">
        <v>5.9777666999999998E-4</v>
      </c>
      <c r="T60" s="52">
        <v>5.9352911999999997E-3</v>
      </c>
      <c r="U60" s="52">
        <v>1.3067828999999999E-3</v>
      </c>
      <c r="V60" s="52">
        <v>0.43290835999999999</v>
      </c>
      <c r="W60" s="52">
        <v>6.1478065000000002E-3</v>
      </c>
      <c r="X60" s="52">
        <v>20.733394000000001</v>
      </c>
      <c r="Y60" s="52">
        <v>7.2985148000000004E-4</v>
      </c>
      <c r="Z60" s="52"/>
      <c r="AA60" s="52"/>
      <c r="AB60" s="52"/>
      <c r="AC60" s="52"/>
      <c r="AD60" s="52"/>
      <c r="AE60" s="52"/>
      <c r="AF60" s="52"/>
      <c r="AG60" s="52"/>
      <c r="AH60" s="52"/>
      <c r="AI60" s="52"/>
      <c r="AJ60" s="52"/>
      <c r="AK60" s="52"/>
      <c r="AL60" s="52"/>
      <c r="AM60" s="52"/>
      <c r="AN60" s="52"/>
      <c r="AO60" s="52"/>
      <c r="AP60" s="52"/>
      <c r="AQ60" s="52"/>
      <c r="AR60" s="52"/>
      <c r="AS60" s="52"/>
      <c r="AT60" s="52"/>
      <c r="AU60" s="52">
        <v>0.10367149000000001</v>
      </c>
      <c r="AV60" s="52"/>
      <c r="AW60" s="52"/>
      <c r="AX60" s="52">
        <v>19.003353000000001</v>
      </c>
      <c r="AY60" s="52"/>
      <c r="AZ60" s="52"/>
      <c r="BA60" s="52"/>
      <c r="BB60" s="52">
        <v>2.3419052000000001E-3</v>
      </c>
      <c r="BC60" s="52">
        <v>7.9811735999999999E-6</v>
      </c>
      <c r="BD60" s="52">
        <v>1.9057085000000001E-2</v>
      </c>
      <c r="BE60" s="52">
        <v>1.2430745000000001E-4</v>
      </c>
      <c r="BF60" s="52"/>
      <c r="BG60" s="52"/>
      <c r="BH60" s="52"/>
      <c r="BI60" s="52"/>
      <c r="BJ60" s="52"/>
      <c r="BK60" s="78">
        <v>0.5</v>
      </c>
      <c r="BL60" s="41" t="s">
        <v>109</v>
      </c>
      <c r="BM60" s="45"/>
    </row>
    <row r="61" spans="1:65" x14ac:dyDescent="0.35">
      <c r="A61" s="41" t="str">
        <f>Database_Productkaarten[[#This Row],[Product]]&amp;", "&amp;Database_Productkaarten[[#This Row],[Levensfase]]</f>
        <v>AC bin/base 50% PR G.M. - PCR 1.0, D1</v>
      </c>
      <c r="B61" s="41" t="s">
        <v>1341</v>
      </c>
      <c r="C61" s="41" t="s">
        <v>443</v>
      </c>
      <c r="D61" s="41" t="s">
        <v>470</v>
      </c>
      <c r="E61" s="41" t="s">
        <v>91</v>
      </c>
      <c r="F61" s="41" t="s">
        <v>51</v>
      </c>
      <c r="L61" s="41">
        <v>2.37</v>
      </c>
      <c r="M61" s="53">
        <v>-1.8183884176106637</v>
      </c>
      <c r="N61" s="41">
        <v>45</v>
      </c>
      <c r="O61" s="52">
        <v>-2.3275817538851426E-5</v>
      </c>
      <c r="P61" s="52">
        <v>-0.31734645077279788</v>
      </c>
      <c r="Q61" s="52">
        <v>-13.608378730610299</v>
      </c>
      <c r="R61" s="52">
        <v>-1.1667785283448496E-6</v>
      </c>
      <c r="S61" s="52">
        <v>-3.3749535569832304E-2</v>
      </c>
      <c r="T61" s="52">
        <v>-9.4054705263913158E-2</v>
      </c>
      <c r="U61" s="52">
        <v>-8.5870749327706542E-3</v>
      </c>
      <c r="V61" s="52">
        <v>-3.6878987888499033</v>
      </c>
      <c r="W61" s="52">
        <v>-0.49271326961113826</v>
      </c>
      <c r="X61" s="52">
        <v>-2157.4045120547103</v>
      </c>
      <c r="Y61" s="52">
        <v>-6.4007192881809796E-2</v>
      </c>
      <c r="Z61" s="52"/>
      <c r="AA61" s="52"/>
      <c r="AB61" s="52"/>
      <c r="AC61" s="52"/>
      <c r="AD61" s="52"/>
      <c r="AE61" s="52"/>
      <c r="AF61" s="52"/>
      <c r="AG61" s="52"/>
      <c r="AH61" s="52"/>
      <c r="AI61" s="52"/>
      <c r="AJ61" s="52"/>
      <c r="AK61" s="52"/>
      <c r="AL61" s="52"/>
      <c r="AM61" s="52"/>
      <c r="AN61" s="52"/>
      <c r="AO61" s="52"/>
      <c r="AP61" s="52"/>
      <c r="AQ61" s="52"/>
      <c r="AR61" s="52"/>
      <c r="AS61" s="52"/>
      <c r="AT61" s="52"/>
      <c r="AU61" s="52">
        <v>-4.9627648143226182</v>
      </c>
      <c r="AV61" s="52"/>
      <c r="AW61" s="52"/>
      <c r="AX61" s="52">
        <v>-714.18690746964057</v>
      </c>
      <c r="AY61" s="52"/>
      <c r="AZ61" s="52"/>
      <c r="BA61" s="52"/>
      <c r="BB61" s="52">
        <v>-7.6081936171385944</v>
      </c>
      <c r="BC61" s="52">
        <v>-3.0853375470418819E-4</v>
      </c>
      <c r="BD61" s="52">
        <v>-1.3194127783762082</v>
      </c>
      <c r="BE61" s="52">
        <v>-3.4178211500933935E-4</v>
      </c>
      <c r="BF61" s="52"/>
      <c r="BG61" s="52"/>
      <c r="BH61" s="52"/>
      <c r="BI61" s="52"/>
      <c r="BJ61" s="52"/>
      <c r="BK61" s="78">
        <v>0.5</v>
      </c>
      <c r="BL61" s="41" t="s">
        <v>109</v>
      </c>
      <c r="BM61" s="45"/>
    </row>
    <row r="62" spans="1:65" x14ac:dyDescent="0.35">
      <c r="A62" s="41" t="str">
        <f>Database_Productkaarten[[#This Row],[Product]]&amp;", "&amp;Database_Productkaarten[[#This Row],[Levensfase]]</f>
        <v>AC bin/base 50% PR G.M. - PCR 1.0, D2</v>
      </c>
      <c r="B62" s="41" t="s">
        <v>1341</v>
      </c>
      <c r="C62" s="41" t="s">
        <v>443</v>
      </c>
      <c r="D62" s="41" t="s">
        <v>470</v>
      </c>
      <c r="E62" s="41" t="s">
        <v>91</v>
      </c>
      <c r="F62" s="41" t="s">
        <v>52</v>
      </c>
      <c r="L62" s="41">
        <v>2.37</v>
      </c>
      <c r="M62" s="53">
        <v>-0.73653994331702299</v>
      </c>
      <c r="N62" s="41">
        <v>45</v>
      </c>
      <c r="O62" s="52">
        <v>-6.0308971184229592E-6</v>
      </c>
      <c r="P62" s="52">
        <v>-3.8995767532157409E-2</v>
      </c>
      <c r="Q62" s="52">
        <v>-5.8263891657007836</v>
      </c>
      <c r="R62" s="52">
        <v>-9.3344698746176648E-7</v>
      </c>
      <c r="S62" s="52">
        <v>-3.7042048595276977E-3</v>
      </c>
      <c r="T62" s="52">
        <v>-4.5784859992533837E-2</v>
      </c>
      <c r="U62" s="52">
        <v>-8.6953028049425833E-3</v>
      </c>
      <c r="V62" s="52">
        <v>-1.7086032470533117</v>
      </c>
      <c r="W62" s="52">
        <v>-4.3353215850825966E-2</v>
      </c>
      <c r="X62" s="52">
        <v>-146.36408279882264</v>
      </c>
      <c r="Y62" s="52">
        <v>-7.2302940652563766E-3</v>
      </c>
      <c r="Z62" s="52"/>
      <c r="AA62" s="52"/>
      <c r="AB62" s="52"/>
      <c r="AC62" s="52"/>
      <c r="AD62" s="52"/>
      <c r="AE62" s="52"/>
      <c r="AF62" s="52"/>
      <c r="AG62" s="52"/>
      <c r="AH62" s="52"/>
      <c r="AI62" s="52"/>
      <c r="AJ62" s="52"/>
      <c r="AK62" s="52"/>
      <c r="AL62" s="52"/>
      <c r="AM62" s="52"/>
      <c r="AN62" s="52"/>
      <c r="AO62" s="52"/>
      <c r="AP62" s="52"/>
      <c r="AQ62" s="52"/>
      <c r="AR62" s="52"/>
      <c r="AS62" s="52"/>
      <c r="AT62" s="52"/>
      <c r="AU62" s="52">
        <v>-1.58253882956501</v>
      </c>
      <c r="AV62" s="52"/>
      <c r="AW62" s="52"/>
      <c r="AX62" s="52">
        <v>-86.510064298476365</v>
      </c>
      <c r="AY62" s="52"/>
      <c r="AZ62" s="52"/>
      <c r="BA62" s="52"/>
      <c r="BB62" s="52">
        <v>-1.9239628836175558E-2</v>
      </c>
      <c r="BC62" s="52">
        <v>-5.8809729974583837E-5</v>
      </c>
      <c r="BD62" s="52">
        <v>-1.3860592307193091</v>
      </c>
      <c r="BE62" s="52">
        <v>-5.4017438281904961E-4</v>
      </c>
      <c r="BF62" s="52"/>
      <c r="BG62" s="52"/>
      <c r="BH62" s="52"/>
      <c r="BI62" s="52"/>
      <c r="BJ62" s="52"/>
      <c r="BK62" s="78">
        <v>0.5</v>
      </c>
      <c r="BL62" s="41" t="s">
        <v>109</v>
      </c>
      <c r="BM62" s="45"/>
    </row>
    <row r="63" spans="1:65" x14ac:dyDescent="0.35">
      <c r="A63" s="41" t="str">
        <f>Database_Productkaarten[[#This Row],[Product]]&amp;", "&amp;Database_Productkaarten[[#This Row],[Levensfase]]</f>
        <v>AC Surf 0% PR - PCR 1.0, Totaal</v>
      </c>
      <c r="B63" s="41" t="s">
        <v>1342</v>
      </c>
      <c r="C63" s="41" t="s">
        <v>443</v>
      </c>
      <c r="D63" s="41" t="s">
        <v>471</v>
      </c>
      <c r="E63" s="41" t="s">
        <v>91</v>
      </c>
      <c r="F63" s="41" t="s">
        <v>16</v>
      </c>
      <c r="L63" s="41">
        <v>2.35</v>
      </c>
      <c r="M63" s="53">
        <v>8.100916917850352</v>
      </c>
      <c r="N63" s="41">
        <v>14</v>
      </c>
      <c r="O63" s="52">
        <v>6.7503069885613864E-5</v>
      </c>
      <c r="P63" s="52">
        <v>1.0309415516492644</v>
      </c>
      <c r="Q63" s="52">
        <v>73.601907317692081</v>
      </c>
      <c r="R63" s="52">
        <v>8.9429362888725251E-6</v>
      </c>
      <c r="S63" s="52">
        <v>8.9253552700466809E-2</v>
      </c>
      <c r="T63" s="52">
        <v>0.34450239295087015</v>
      </c>
      <c r="U63" s="52">
        <v>4.2658889601183171E-2</v>
      </c>
      <c r="V63" s="52">
        <v>18.283886165550449</v>
      </c>
      <c r="W63" s="52">
        <v>1.7570817991561656</v>
      </c>
      <c r="X63" s="52">
        <v>6054.2991185685387</v>
      </c>
      <c r="Y63" s="52">
        <v>0.19265922255049259</v>
      </c>
      <c r="Z63" s="52"/>
      <c r="AA63" s="52"/>
      <c r="AB63" s="52"/>
      <c r="AC63" s="52"/>
      <c r="AD63" s="52"/>
      <c r="AE63" s="52"/>
      <c r="AF63" s="52"/>
      <c r="AG63" s="52"/>
      <c r="AH63" s="52"/>
      <c r="AI63" s="52"/>
      <c r="AJ63" s="52"/>
      <c r="AK63" s="52"/>
      <c r="AL63" s="52"/>
      <c r="AM63" s="52"/>
      <c r="AN63" s="52"/>
      <c r="AO63" s="52"/>
      <c r="AP63" s="52"/>
      <c r="AQ63" s="52"/>
      <c r="AR63" s="52"/>
      <c r="AS63" s="52"/>
      <c r="AT63" s="52"/>
      <c r="AU63" s="52">
        <v>18.08625709445662</v>
      </c>
      <c r="AV63" s="52"/>
      <c r="AW63" s="52"/>
      <c r="AX63" s="52">
        <v>2086.2527986606069</v>
      </c>
      <c r="AY63" s="52"/>
      <c r="AZ63" s="52"/>
      <c r="BA63" s="52"/>
      <c r="BB63" s="52">
        <v>16.252804269681256</v>
      </c>
      <c r="BC63" s="52">
        <v>1.1494357518943236E-3</v>
      </c>
      <c r="BD63" s="52">
        <v>3.3044450313384979</v>
      </c>
      <c r="BE63" s="52">
        <v>1.9137521690372999E-3</v>
      </c>
      <c r="BF63" s="52"/>
      <c r="BG63" s="52"/>
      <c r="BH63" s="52"/>
      <c r="BI63" s="52"/>
      <c r="BJ63" s="52"/>
      <c r="BK63" s="78">
        <v>0</v>
      </c>
      <c r="BL63" s="41" t="s">
        <v>109</v>
      </c>
      <c r="BM63" s="45"/>
    </row>
    <row r="64" spans="1:65" x14ac:dyDescent="0.35">
      <c r="A64" s="41" t="str">
        <f>Database_Productkaarten[[#This Row],[Product]]&amp;", "&amp;Database_Productkaarten[[#This Row],[Levensfase]]</f>
        <v>AC Surf 0% PR - PCR 1.0, A1</v>
      </c>
      <c r="B64" s="41" t="s">
        <v>1342</v>
      </c>
      <c r="C64" s="41" t="s">
        <v>443</v>
      </c>
      <c r="D64" s="41" t="s">
        <v>471</v>
      </c>
      <c r="E64" s="41" t="s">
        <v>91</v>
      </c>
      <c r="F64" s="41" t="s">
        <v>19</v>
      </c>
      <c r="L64" s="41">
        <v>2.35</v>
      </c>
      <c r="M64" s="53">
        <v>7.4658132340000005</v>
      </c>
      <c r="N64" s="41">
        <v>14</v>
      </c>
      <c r="O64" s="52">
        <v>8.5332144800000009E-5</v>
      </c>
      <c r="P64" s="52">
        <v>1.3809773499</v>
      </c>
      <c r="Q64" s="52">
        <v>55.140952557000006</v>
      </c>
      <c r="R64" s="52">
        <v>4.5123279900000001E-6</v>
      </c>
      <c r="S64" s="52">
        <v>0.14801811056</v>
      </c>
      <c r="T64" s="52">
        <v>0.39284897550000003</v>
      </c>
      <c r="U64" s="52">
        <v>3.4629650800000002E-2</v>
      </c>
      <c r="V64" s="52">
        <v>14.233369133</v>
      </c>
      <c r="W64" s="52">
        <v>2.1587464832999999</v>
      </c>
      <c r="X64" s="52">
        <v>9465.1222186470004</v>
      </c>
      <c r="Y64" s="52">
        <v>0.27639761169999999</v>
      </c>
      <c r="Z64" s="52"/>
      <c r="AA64" s="52"/>
      <c r="AB64" s="52"/>
      <c r="AC64" s="52"/>
      <c r="AD64" s="52"/>
      <c r="AE64" s="52"/>
      <c r="AF64" s="52"/>
      <c r="AG64" s="52"/>
      <c r="AH64" s="52"/>
      <c r="AI64" s="52"/>
      <c r="AJ64" s="52"/>
      <c r="AK64" s="52"/>
      <c r="AL64" s="52"/>
      <c r="AM64" s="52"/>
      <c r="AN64" s="52"/>
      <c r="AO64" s="52"/>
      <c r="AP64" s="52"/>
      <c r="AQ64" s="52"/>
      <c r="AR64" s="52"/>
      <c r="AS64" s="52"/>
      <c r="AT64" s="52"/>
      <c r="AU64" s="52">
        <v>19.910733958000002</v>
      </c>
      <c r="AV64" s="52"/>
      <c r="AW64" s="52"/>
      <c r="AX64" s="52">
        <v>3118.0247890119999</v>
      </c>
      <c r="AY64" s="52"/>
      <c r="AZ64" s="52"/>
      <c r="BA64" s="52"/>
      <c r="BB64" s="52">
        <v>33.322222722100001</v>
      </c>
      <c r="BC64" s="52">
        <v>1.069733373E-3</v>
      </c>
      <c r="BD64" s="52">
        <v>3.1506667300000002</v>
      </c>
      <c r="BE64" s="52">
        <v>1.1337981180000001E-3</v>
      </c>
      <c r="BF64" s="52"/>
      <c r="BG64" s="52"/>
      <c r="BH64" s="52"/>
      <c r="BI64" s="52"/>
      <c r="BJ64" s="52"/>
      <c r="BK64" s="78">
        <v>0</v>
      </c>
      <c r="BL64" s="41" t="s">
        <v>109</v>
      </c>
      <c r="BM64" s="45"/>
    </row>
    <row r="65" spans="1:65" x14ac:dyDescent="0.35">
      <c r="A65" s="41" t="str">
        <f>Database_Productkaarten[[#This Row],[Product]]&amp;", "&amp;Database_Productkaarten[[#This Row],[Levensfase]]</f>
        <v>AC Surf 0% PR - PCR 1.0, A2</v>
      </c>
      <c r="B65" s="41" t="s">
        <v>1342</v>
      </c>
      <c r="C65" s="41" t="s">
        <v>443</v>
      </c>
      <c r="D65" s="41" t="s">
        <v>471</v>
      </c>
      <c r="E65" s="41" t="s">
        <v>91</v>
      </c>
      <c r="F65" s="41" t="s">
        <v>20</v>
      </c>
      <c r="L65" s="41">
        <v>2.35</v>
      </c>
      <c r="M65" s="53">
        <v>2.7393857558250008</v>
      </c>
      <c r="N65" s="41">
        <v>14</v>
      </c>
      <c r="O65" s="52">
        <v>1.8490090033950002E-5</v>
      </c>
      <c r="P65" s="52">
        <v>0.1274367225461</v>
      </c>
      <c r="Q65" s="52">
        <v>18.627666669179998</v>
      </c>
      <c r="R65" s="52">
        <v>3.0335723029899996E-6</v>
      </c>
      <c r="S65" s="52">
        <v>1.4201976708700001E-2</v>
      </c>
      <c r="T65" s="52">
        <v>0.21031537546960002</v>
      </c>
      <c r="U65" s="52">
        <v>2.8731476857200001E-2</v>
      </c>
      <c r="V65" s="52">
        <v>6.61666717588</v>
      </c>
      <c r="W65" s="52">
        <v>0.15118794417599998</v>
      </c>
      <c r="X65" s="52">
        <v>577.5016847979449</v>
      </c>
      <c r="Y65" s="52">
        <v>2.4635907337700005E-2</v>
      </c>
      <c r="Z65" s="52"/>
      <c r="AA65" s="52"/>
      <c r="AB65" s="52"/>
      <c r="AC65" s="52"/>
      <c r="AD65" s="52"/>
      <c r="AE65" s="52"/>
      <c r="AF65" s="52"/>
      <c r="AG65" s="52"/>
      <c r="AH65" s="52"/>
      <c r="AI65" s="52"/>
      <c r="AJ65" s="52"/>
      <c r="AK65" s="52"/>
      <c r="AL65" s="52"/>
      <c r="AM65" s="52"/>
      <c r="AN65" s="52"/>
      <c r="AO65" s="52"/>
      <c r="AP65" s="52"/>
      <c r="AQ65" s="52"/>
      <c r="AR65" s="52"/>
      <c r="AS65" s="52"/>
      <c r="AT65" s="52"/>
      <c r="AU65" s="52">
        <v>5.1652706683049994</v>
      </c>
      <c r="AV65" s="52"/>
      <c r="AW65" s="52"/>
      <c r="AX65" s="52">
        <v>282.53445500789502</v>
      </c>
      <c r="AY65" s="52"/>
      <c r="AZ65" s="52"/>
      <c r="BA65" s="52"/>
      <c r="BB65" s="52">
        <v>5.6923448071799998E-2</v>
      </c>
      <c r="BC65" s="52">
        <v>1.79156480277E-4</v>
      </c>
      <c r="BD65" s="52">
        <v>4.6820975916700016</v>
      </c>
      <c r="BE65" s="52">
        <v>1.75929121313E-3</v>
      </c>
      <c r="BF65" s="52"/>
      <c r="BG65" s="52"/>
      <c r="BH65" s="52"/>
      <c r="BI65" s="52"/>
      <c r="BJ65" s="52"/>
      <c r="BK65" s="78">
        <v>0</v>
      </c>
      <c r="BL65" s="41" t="s">
        <v>109</v>
      </c>
      <c r="BM65" s="45"/>
    </row>
    <row r="66" spans="1:65" x14ac:dyDescent="0.35">
      <c r="A66" s="41" t="str">
        <f>Database_Productkaarten[[#This Row],[Product]]&amp;", "&amp;Database_Productkaarten[[#This Row],[Levensfase]]</f>
        <v>AC Surf 0% PR - PCR 1.0, A3</v>
      </c>
      <c r="B66" s="41" t="s">
        <v>1342</v>
      </c>
      <c r="C66" s="41" t="s">
        <v>443</v>
      </c>
      <c r="D66" s="41" t="s">
        <v>471</v>
      </c>
      <c r="E66" s="41" t="s">
        <v>91</v>
      </c>
      <c r="F66" s="41" t="s">
        <v>21</v>
      </c>
      <c r="L66" s="41">
        <v>2.35</v>
      </c>
      <c r="M66" s="53">
        <v>1.7340321317986724</v>
      </c>
      <c r="N66" s="41">
        <v>14</v>
      </c>
      <c r="O66" s="52">
        <v>5.086070991839545E-6</v>
      </c>
      <c r="P66" s="52">
        <v>0.20487124413656413</v>
      </c>
      <c r="Q66" s="52">
        <v>24.079934263136241</v>
      </c>
      <c r="R66" s="52">
        <v>2.7498441083506566E-6</v>
      </c>
      <c r="S66" s="52">
        <v>3.8984825961093385E-3</v>
      </c>
      <c r="T66" s="52">
        <v>2.6585664166204028E-2</v>
      </c>
      <c r="U66" s="52">
        <v>4.8449022266720864E-3</v>
      </c>
      <c r="V66" s="52">
        <v>3.6298877471357263</v>
      </c>
      <c r="W66" s="52">
        <v>2.5627109302998257E-2</v>
      </c>
      <c r="X66" s="52">
        <v>104.43381012089762</v>
      </c>
      <c r="Y66" s="52">
        <v>2.5446211845927394E-2</v>
      </c>
      <c r="Z66" s="52"/>
      <c r="AA66" s="52"/>
      <c r="AB66" s="52"/>
      <c r="AC66" s="52"/>
      <c r="AD66" s="52"/>
      <c r="AE66" s="52"/>
      <c r="AF66" s="52"/>
      <c r="AG66" s="52"/>
      <c r="AH66" s="52"/>
      <c r="AI66" s="52"/>
      <c r="AJ66" s="52"/>
      <c r="AK66" s="52"/>
      <c r="AL66" s="52"/>
      <c r="AM66" s="52"/>
      <c r="AN66" s="52"/>
      <c r="AO66" s="52"/>
      <c r="AP66" s="52"/>
      <c r="AQ66" s="52"/>
      <c r="AR66" s="52"/>
      <c r="AS66" s="52"/>
      <c r="AT66" s="52"/>
      <c r="AU66" s="52">
        <v>7.3099127404099828</v>
      </c>
      <c r="AV66" s="52"/>
      <c r="AW66" s="52"/>
      <c r="AX66" s="52">
        <v>418.49620017789823</v>
      </c>
      <c r="AY66" s="52"/>
      <c r="AZ66" s="52"/>
      <c r="BA66" s="52"/>
      <c r="BB66" s="52">
        <v>4.8574502135439478E-2</v>
      </c>
      <c r="BC66" s="52">
        <v>5.6761205188831103E-4</v>
      </c>
      <c r="BD66" s="52">
        <v>0.27606619391001763</v>
      </c>
      <c r="BE66" s="52">
        <v>3.9174402877781777E-4</v>
      </c>
      <c r="BF66" s="52"/>
      <c r="BG66" s="52"/>
      <c r="BH66" s="52"/>
      <c r="BI66" s="52"/>
      <c r="BJ66" s="52"/>
      <c r="BK66" s="78">
        <v>0</v>
      </c>
      <c r="BL66" s="41" t="s">
        <v>109</v>
      </c>
      <c r="BM66" s="45"/>
    </row>
    <row r="67" spans="1:65" x14ac:dyDescent="0.35">
      <c r="A67" s="41" t="str">
        <f>Database_Productkaarten[[#This Row],[Product]]&amp;", "&amp;Database_Productkaarten[[#This Row],[Levensfase]]</f>
        <v>AC Surf 0% PR - PCR 1.0, A4</v>
      </c>
      <c r="B67" s="41" t="s">
        <v>1342</v>
      </c>
      <c r="C67" s="41" t="s">
        <v>443</v>
      </c>
      <c r="D67" s="41" t="s">
        <v>471</v>
      </c>
      <c r="E67" s="41" t="s">
        <v>91</v>
      </c>
      <c r="F67" s="41" t="s">
        <v>22</v>
      </c>
      <c r="L67" s="41">
        <v>2.35</v>
      </c>
      <c r="M67" s="53">
        <v>0.62892669999999995</v>
      </c>
      <c r="N67" s="41">
        <v>14</v>
      </c>
      <c r="O67" s="52">
        <v>1.0978337000000001E-5</v>
      </c>
      <c r="P67" s="52">
        <v>4.3183727999999998E-2</v>
      </c>
      <c r="Q67" s="52">
        <v>5.7021305</v>
      </c>
      <c r="R67" s="52">
        <v>1.1335356E-6</v>
      </c>
      <c r="S67" s="52">
        <v>3.5752850000000001E-3</v>
      </c>
      <c r="T67" s="52">
        <v>1.9151161E-2</v>
      </c>
      <c r="U67" s="52">
        <v>3.8023555000000001E-3</v>
      </c>
      <c r="V67" s="52">
        <v>2.0049337999999999</v>
      </c>
      <c r="W67" s="52">
        <v>0.12926487</v>
      </c>
      <c r="X67" s="52">
        <v>338.63108999999997</v>
      </c>
      <c r="Y67" s="52">
        <v>1.1891815999999999E-2</v>
      </c>
      <c r="Z67" s="52"/>
      <c r="AA67" s="52"/>
      <c r="AB67" s="52"/>
      <c r="AC67" s="52"/>
      <c r="AD67" s="52"/>
      <c r="AE67" s="52"/>
      <c r="AF67" s="52"/>
      <c r="AG67" s="52"/>
      <c r="AH67" s="52"/>
      <c r="AI67" s="52"/>
      <c r="AJ67" s="52"/>
      <c r="AK67" s="52"/>
      <c r="AL67" s="52"/>
      <c r="AM67" s="52"/>
      <c r="AN67" s="52"/>
      <c r="AO67" s="52"/>
      <c r="AP67" s="52"/>
      <c r="AQ67" s="52"/>
      <c r="AR67" s="52"/>
      <c r="AS67" s="52"/>
      <c r="AT67" s="52"/>
      <c r="AU67" s="52">
        <v>0</v>
      </c>
      <c r="AV67" s="52"/>
      <c r="AW67" s="52"/>
      <c r="AX67" s="52">
        <v>0</v>
      </c>
      <c r="AY67" s="52"/>
      <c r="AZ67" s="52"/>
      <c r="BA67" s="52"/>
      <c r="BB67" s="52">
        <v>0</v>
      </c>
      <c r="BC67" s="52">
        <v>0</v>
      </c>
      <c r="BD67" s="52">
        <v>0</v>
      </c>
      <c r="BE67" s="52">
        <v>0</v>
      </c>
      <c r="BF67" s="52"/>
      <c r="BG67" s="52"/>
      <c r="BH67" s="52"/>
      <c r="BI67" s="52"/>
      <c r="BJ67" s="52"/>
      <c r="BK67" s="78">
        <v>0</v>
      </c>
      <c r="BL67" s="41" t="s">
        <v>109</v>
      </c>
      <c r="BM67" s="45"/>
    </row>
    <row r="68" spans="1:65" x14ac:dyDescent="0.35">
      <c r="A68" s="41" t="str">
        <f>Database_Productkaarten[[#This Row],[Product]]&amp;", "&amp;Database_Productkaarten[[#This Row],[Levensfase]]</f>
        <v>AC Surf 0% PR - PCR 1.0, A5</v>
      </c>
      <c r="B68" s="41" t="s">
        <v>1342</v>
      </c>
      <c r="C68" s="41" t="s">
        <v>443</v>
      </c>
      <c r="D68" s="41" t="s">
        <v>471</v>
      </c>
      <c r="E68" s="41" t="s">
        <v>91</v>
      </c>
      <c r="F68" s="41" t="s">
        <v>23</v>
      </c>
      <c r="L68" s="41">
        <v>2.35</v>
      </c>
      <c r="M68" s="53">
        <v>0.26142994000000003</v>
      </c>
      <c r="N68" s="41">
        <v>14</v>
      </c>
      <c r="O68" s="52">
        <v>6.4405276999999999E-7</v>
      </c>
      <c r="P68" s="52">
        <v>1.3221688000000001E-2</v>
      </c>
      <c r="Q68" s="52">
        <v>2.554217</v>
      </c>
      <c r="R68" s="52">
        <v>3.4623921999999999E-7</v>
      </c>
      <c r="S68" s="52">
        <v>9.5560771999999997E-4</v>
      </c>
      <c r="T68" s="52">
        <v>1.0774331999999999E-2</v>
      </c>
      <c r="U68" s="52">
        <v>2.4326081999999998E-3</v>
      </c>
      <c r="V68" s="52">
        <v>0.67890231999999995</v>
      </c>
      <c r="W68" s="52">
        <v>9.5891563000000003E-3</v>
      </c>
      <c r="X68" s="52">
        <v>32.339298999999997</v>
      </c>
      <c r="Y68" s="52">
        <v>1.1383995E-3</v>
      </c>
      <c r="Z68" s="52"/>
      <c r="AA68" s="52"/>
      <c r="AB68" s="52"/>
      <c r="AC68" s="52"/>
      <c r="AD68" s="52"/>
      <c r="AE68" s="52"/>
      <c r="AF68" s="52"/>
      <c r="AG68" s="52"/>
      <c r="AH68" s="52"/>
      <c r="AI68" s="52"/>
      <c r="AJ68" s="52"/>
      <c r="AK68" s="52"/>
      <c r="AL68" s="52"/>
      <c r="AM68" s="52"/>
      <c r="AN68" s="52"/>
      <c r="AO68" s="52"/>
      <c r="AP68" s="52"/>
      <c r="AQ68" s="52"/>
      <c r="AR68" s="52"/>
      <c r="AS68" s="52"/>
      <c r="AT68" s="52"/>
      <c r="AU68" s="52">
        <v>0.16170355</v>
      </c>
      <c r="AV68" s="52"/>
      <c r="AW68" s="52"/>
      <c r="AX68" s="52">
        <v>29.640834999999999</v>
      </c>
      <c r="AY68" s="52"/>
      <c r="AZ68" s="52"/>
      <c r="BA68" s="52"/>
      <c r="BB68" s="52">
        <v>3.6528305999999999E-3</v>
      </c>
      <c r="BC68" s="52">
        <v>1.2448785000000001E-5</v>
      </c>
      <c r="BD68" s="52">
        <v>2.9724645000000001E-2</v>
      </c>
      <c r="BE68" s="52">
        <v>1.9389087E-4</v>
      </c>
      <c r="BF68" s="52"/>
      <c r="BG68" s="52"/>
      <c r="BH68" s="52"/>
      <c r="BI68" s="52"/>
      <c r="BJ68" s="52"/>
      <c r="BK68" s="78">
        <v>0</v>
      </c>
      <c r="BL68" s="41" t="s">
        <v>109</v>
      </c>
      <c r="BM68" s="45"/>
    </row>
    <row r="69" spans="1:65" x14ac:dyDescent="0.35">
      <c r="A69" s="41" t="str">
        <f>Database_Productkaarten[[#This Row],[Product]]&amp;", "&amp;Database_Productkaarten[[#This Row],[Levensfase]]</f>
        <v>AC Surf 0% PR - PCR 1.0, B1</v>
      </c>
      <c r="B69" s="41" t="s">
        <v>1342</v>
      </c>
      <c r="C69" s="41" t="s">
        <v>443</v>
      </c>
      <c r="D69" s="41" t="s">
        <v>471</v>
      </c>
      <c r="E69" s="41" t="s">
        <v>91</v>
      </c>
      <c r="F69" s="41" t="s">
        <v>24</v>
      </c>
      <c r="L69" s="41">
        <v>2.35</v>
      </c>
      <c r="M69" s="53">
        <v>8.2079854999999993E-2</v>
      </c>
      <c r="N69" s="41">
        <v>14</v>
      </c>
      <c r="O69" s="52">
        <v>0</v>
      </c>
      <c r="P69" s="52">
        <v>0</v>
      </c>
      <c r="Q69" s="52">
        <v>0</v>
      </c>
      <c r="R69" s="52">
        <v>0</v>
      </c>
      <c r="S69" s="52">
        <v>0</v>
      </c>
      <c r="T69" s="52">
        <v>0</v>
      </c>
      <c r="U69" s="52">
        <v>0</v>
      </c>
      <c r="V69" s="52">
        <v>0.33065064999999999</v>
      </c>
      <c r="W69" s="52">
        <v>0.35447900999999998</v>
      </c>
      <c r="X69" s="52">
        <v>416.74824000000001</v>
      </c>
      <c r="Y69" s="52">
        <v>2.016962E-4</v>
      </c>
      <c r="Z69" s="52"/>
      <c r="AA69" s="52"/>
      <c r="AB69" s="52"/>
      <c r="AC69" s="52"/>
      <c r="AD69" s="52"/>
      <c r="AE69" s="52"/>
      <c r="AF69" s="52"/>
      <c r="AG69" s="52"/>
      <c r="AH69" s="52"/>
      <c r="AI69" s="52"/>
      <c r="AJ69" s="52"/>
      <c r="AK69" s="52"/>
      <c r="AL69" s="52"/>
      <c r="AM69" s="52"/>
      <c r="AN69" s="52"/>
      <c r="AO69" s="52"/>
      <c r="AP69" s="52"/>
      <c r="AQ69" s="52"/>
      <c r="AR69" s="52"/>
      <c r="AS69" s="52"/>
      <c r="AT69" s="52"/>
      <c r="AU69" s="52">
        <v>0</v>
      </c>
      <c r="AV69" s="52"/>
      <c r="AW69" s="52"/>
      <c r="AX69" s="52">
        <v>0</v>
      </c>
      <c r="AY69" s="52"/>
      <c r="AZ69" s="52"/>
      <c r="BA69" s="52"/>
      <c r="BB69" s="52">
        <v>0</v>
      </c>
      <c r="BC69" s="52">
        <v>0</v>
      </c>
      <c r="BD69" s="52">
        <v>0</v>
      </c>
      <c r="BE69" s="52">
        <v>0</v>
      </c>
      <c r="BF69" s="52"/>
      <c r="BG69" s="52"/>
      <c r="BH69" s="52"/>
      <c r="BI69" s="52"/>
      <c r="BJ69" s="52"/>
      <c r="BK69" s="78">
        <v>0</v>
      </c>
      <c r="BL69" s="41" t="s">
        <v>109</v>
      </c>
      <c r="BM69" s="45"/>
    </row>
    <row r="70" spans="1:65" x14ac:dyDescent="0.35">
      <c r="A70" s="41" t="str">
        <f>Database_Productkaarten[[#This Row],[Product]]&amp;", "&amp;Database_Productkaarten[[#This Row],[Levensfase]]</f>
        <v>AC Surf 0% PR - PCR 1.0, C1</v>
      </c>
      <c r="B70" s="41" t="s">
        <v>1342</v>
      </c>
      <c r="C70" s="41" t="s">
        <v>443</v>
      </c>
      <c r="D70" s="41" t="s">
        <v>471</v>
      </c>
      <c r="E70" s="41" t="s">
        <v>91</v>
      </c>
      <c r="F70" s="41" t="s">
        <v>25</v>
      </c>
      <c r="L70" s="41">
        <v>2.35</v>
      </c>
      <c r="M70" s="53">
        <v>0.13639726999999999</v>
      </c>
      <c r="N70" s="41">
        <v>14</v>
      </c>
      <c r="O70" s="52">
        <v>3.6644380999999999E-7</v>
      </c>
      <c r="P70" s="52">
        <v>7.5226846000000002E-3</v>
      </c>
      <c r="Q70" s="52">
        <v>1.4532613999999999</v>
      </c>
      <c r="R70" s="52">
        <v>1.9699817000000001E-7</v>
      </c>
      <c r="S70" s="52">
        <v>4.8171299999999999E-4</v>
      </c>
      <c r="T70" s="52">
        <v>4.2661764999999997E-3</v>
      </c>
      <c r="U70" s="52">
        <v>8.9941806E-4</v>
      </c>
      <c r="V70" s="52">
        <v>0.38176861000000001</v>
      </c>
      <c r="W70" s="52">
        <v>5.4558992000000002E-3</v>
      </c>
      <c r="X70" s="52">
        <v>18.399946</v>
      </c>
      <c r="Y70" s="52">
        <v>6.4771006999999995E-4</v>
      </c>
      <c r="Z70" s="52"/>
      <c r="AA70" s="52"/>
      <c r="AB70" s="52"/>
      <c r="AC70" s="52"/>
      <c r="AD70" s="52"/>
      <c r="AE70" s="52"/>
      <c r="AF70" s="52"/>
      <c r="AG70" s="52"/>
      <c r="AH70" s="52"/>
      <c r="AI70" s="52"/>
      <c r="AJ70" s="52"/>
      <c r="AK70" s="52"/>
      <c r="AL70" s="52"/>
      <c r="AM70" s="52"/>
      <c r="AN70" s="52"/>
      <c r="AO70" s="52"/>
      <c r="AP70" s="52"/>
      <c r="AQ70" s="52"/>
      <c r="AR70" s="52"/>
      <c r="AS70" s="52"/>
      <c r="AT70" s="52"/>
      <c r="AU70" s="52">
        <v>9.2003741E-2</v>
      </c>
      <c r="AV70" s="52"/>
      <c r="AW70" s="52"/>
      <c r="AX70" s="52">
        <v>16.864612999999999</v>
      </c>
      <c r="AY70" s="52"/>
      <c r="AZ70" s="52"/>
      <c r="BA70" s="52"/>
      <c r="BB70" s="52">
        <v>2.0783346E-3</v>
      </c>
      <c r="BC70" s="52">
        <v>7.0829294000000003E-6</v>
      </c>
      <c r="BD70" s="52">
        <v>1.6912297999999999E-2</v>
      </c>
      <c r="BE70" s="52">
        <v>1.1031722E-4</v>
      </c>
      <c r="BF70" s="52"/>
      <c r="BG70" s="52"/>
      <c r="BH70" s="52"/>
      <c r="BI70" s="52"/>
      <c r="BJ70" s="52"/>
      <c r="BK70" s="78">
        <v>0</v>
      </c>
      <c r="BL70" s="41" t="s">
        <v>109</v>
      </c>
      <c r="BM70" s="45"/>
    </row>
    <row r="71" spans="1:65" x14ac:dyDescent="0.35">
      <c r="A71" s="41" t="str">
        <f>Database_Productkaarten[[#This Row],[Product]]&amp;", "&amp;Database_Productkaarten[[#This Row],[Levensfase]]</f>
        <v>AC Surf 0% PR - PCR 1.0, C2</v>
      </c>
      <c r="B71" s="41" t="s">
        <v>1342</v>
      </c>
      <c r="C71" s="41" t="s">
        <v>443</v>
      </c>
      <c r="D71" s="41" t="s">
        <v>471</v>
      </c>
      <c r="E71" s="41" t="s">
        <v>91</v>
      </c>
      <c r="F71" s="41" t="s">
        <v>26</v>
      </c>
      <c r="L71" s="41">
        <v>2.35</v>
      </c>
      <c r="M71" s="53">
        <v>0.62892669999999995</v>
      </c>
      <c r="N71" s="41">
        <v>14</v>
      </c>
      <c r="O71" s="52">
        <v>1.0978337000000001E-5</v>
      </c>
      <c r="P71" s="52">
        <v>4.3183727999999998E-2</v>
      </c>
      <c r="Q71" s="52">
        <v>5.7021305</v>
      </c>
      <c r="R71" s="52">
        <v>1.1335356E-6</v>
      </c>
      <c r="S71" s="52">
        <v>3.5752850000000001E-3</v>
      </c>
      <c r="T71" s="52">
        <v>1.9151161E-2</v>
      </c>
      <c r="U71" s="52">
        <v>3.8023555000000001E-3</v>
      </c>
      <c r="V71" s="52">
        <v>2.0049337999999999</v>
      </c>
      <c r="W71" s="52">
        <v>0.12926487</v>
      </c>
      <c r="X71" s="52">
        <v>338.63108999999997</v>
      </c>
      <c r="Y71" s="52">
        <v>1.1891815999999999E-2</v>
      </c>
      <c r="Z71" s="52"/>
      <c r="AA71" s="52"/>
      <c r="AB71" s="52"/>
      <c r="AC71" s="52"/>
      <c r="AD71" s="52"/>
      <c r="AE71" s="52"/>
      <c r="AF71" s="52"/>
      <c r="AG71" s="52"/>
      <c r="AH71" s="52"/>
      <c r="AI71" s="52"/>
      <c r="AJ71" s="52"/>
      <c r="AK71" s="52"/>
      <c r="AL71" s="52"/>
      <c r="AM71" s="52"/>
      <c r="AN71" s="52"/>
      <c r="AO71" s="52"/>
      <c r="AP71" s="52"/>
      <c r="AQ71" s="52"/>
      <c r="AR71" s="52"/>
      <c r="AS71" s="52"/>
      <c r="AT71" s="52"/>
      <c r="AU71" s="52">
        <v>0</v>
      </c>
      <c r="AV71" s="52"/>
      <c r="AW71" s="52"/>
      <c r="AX71" s="52">
        <v>0</v>
      </c>
      <c r="AY71" s="52"/>
      <c r="AZ71" s="52"/>
      <c r="BA71" s="52"/>
      <c r="BB71" s="52">
        <v>0</v>
      </c>
      <c r="BC71" s="52">
        <v>0</v>
      </c>
      <c r="BD71" s="52">
        <v>0</v>
      </c>
      <c r="BE71" s="52">
        <v>0</v>
      </c>
      <c r="BF71" s="52"/>
      <c r="BG71" s="52"/>
      <c r="BH71" s="52"/>
      <c r="BI71" s="52"/>
      <c r="BJ71" s="52"/>
      <c r="BK71" s="78">
        <v>0</v>
      </c>
      <c r="BL71" s="41" t="s">
        <v>109</v>
      </c>
      <c r="BM71" s="45"/>
    </row>
    <row r="72" spans="1:65" x14ac:dyDescent="0.35">
      <c r="A72" s="41" t="str">
        <f>Database_Productkaarten[[#This Row],[Product]]&amp;", "&amp;Database_Productkaarten[[#This Row],[Levensfase]]</f>
        <v>AC Surf 0% PR - PCR 1.0, C3</v>
      </c>
      <c r="B72" s="41" t="s">
        <v>1342</v>
      </c>
      <c r="C72" s="41" t="s">
        <v>443</v>
      </c>
      <c r="D72" s="41" t="s">
        <v>471</v>
      </c>
      <c r="E72" s="41" t="s">
        <v>91</v>
      </c>
      <c r="F72" s="41" t="s">
        <v>27</v>
      </c>
      <c r="L72" s="41">
        <v>2.35</v>
      </c>
      <c r="M72" s="53">
        <v>0.16120214999999999</v>
      </c>
      <c r="N72" s="41">
        <v>14</v>
      </c>
      <c r="O72" s="52">
        <v>4.1291555000000003E-7</v>
      </c>
      <c r="P72" s="52">
        <v>8.4766977000000007E-3</v>
      </c>
      <c r="Q72" s="52">
        <v>1.6375614000000001</v>
      </c>
      <c r="R72" s="52">
        <v>2.2198113E-7</v>
      </c>
      <c r="S72" s="52">
        <v>5.9777666999999998E-4</v>
      </c>
      <c r="T72" s="52">
        <v>5.9352911999999997E-3</v>
      </c>
      <c r="U72" s="52">
        <v>1.3067828999999999E-3</v>
      </c>
      <c r="V72" s="52">
        <v>0.43290835999999999</v>
      </c>
      <c r="W72" s="52">
        <v>6.1478065000000002E-3</v>
      </c>
      <c r="X72" s="52">
        <v>20.733394000000001</v>
      </c>
      <c r="Y72" s="52">
        <v>7.2985148000000004E-4</v>
      </c>
      <c r="Z72" s="52"/>
      <c r="AA72" s="52"/>
      <c r="AB72" s="52"/>
      <c r="AC72" s="52"/>
      <c r="AD72" s="52"/>
      <c r="AE72" s="52"/>
      <c r="AF72" s="52"/>
      <c r="AG72" s="52"/>
      <c r="AH72" s="52"/>
      <c r="AI72" s="52"/>
      <c r="AJ72" s="52"/>
      <c r="AK72" s="52"/>
      <c r="AL72" s="52"/>
      <c r="AM72" s="52"/>
      <c r="AN72" s="52"/>
      <c r="AO72" s="52"/>
      <c r="AP72" s="52"/>
      <c r="AQ72" s="52"/>
      <c r="AR72" s="52"/>
      <c r="AS72" s="52"/>
      <c r="AT72" s="52"/>
      <c r="AU72" s="52">
        <v>0.10367149000000001</v>
      </c>
      <c r="AV72" s="52"/>
      <c r="AW72" s="52"/>
      <c r="AX72" s="52">
        <v>19.003353000000001</v>
      </c>
      <c r="AY72" s="52"/>
      <c r="AZ72" s="52"/>
      <c r="BA72" s="52"/>
      <c r="BB72" s="52">
        <v>2.3419052000000001E-3</v>
      </c>
      <c r="BC72" s="52">
        <v>7.9811735999999999E-6</v>
      </c>
      <c r="BD72" s="52">
        <v>1.9057085000000001E-2</v>
      </c>
      <c r="BE72" s="52">
        <v>1.2430745000000001E-4</v>
      </c>
      <c r="BF72" s="52"/>
      <c r="BG72" s="52"/>
      <c r="BH72" s="52"/>
      <c r="BI72" s="52"/>
      <c r="BJ72" s="52"/>
      <c r="BK72" s="78">
        <v>0</v>
      </c>
      <c r="BL72" s="41" t="s">
        <v>109</v>
      </c>
      <c r="BM72" s="45"/>
    </row>
    <row r="73" spans="1:65" x14ac:dyDescent="0.35">
      <c r="A73" s="41" t="str">
        <f>Database_Productkaarten[[#This Row],[Product]]&amp;", "&amp;Database_Productkaarten[[#This Row],[Levensfase]]</f>
        <v>AC Surf 0% PR - PCR 1.0, D1</v>
      </c>
      <c r="B73" s="41" t="s">
        <v>1342</v>
      </c>
      <c r="C73" s="41" t="s">
        <v>443</v>
      </c>
      <c r="D73" s="41" t="s">
        <v>471</v>
      </c>
      <c r="E73" s="41" t="s">
        <v>91</v>
      </c>
      <c r="F73" s="41" t="s">
        <v>51</v>
      </c>
      <c r="L73" s="41">
        <v>2.35</v>
      </c>
      <c r="M73" s="53">
        <v>-3.9940282190082397</v>
      </c>
      <c r="N73" s="41">
        <v>14</v>
      </c>
      <c r="O73" s="52">
        <v>-5.3083861559999999E-5</v>
      </c>
      <c r="P73" s="52">
        <v>-0.71692586487599985</v>
      </c>
      <c r="Q73" s="52">
        <v>-29.453415403005039</v>
      </c>
      <c r="R73" s="52">
        <v>-2.4570558369599997E-6</v>
      </c>
      <c r="S73" s="52">
        <v>-7.7011500167679978E-2</v>
      </c>
      <c r="T73" s="52">
        <v>-0.21047290098895999</v>
      </c>
      <c r="U73" s="52">
        <v>-1.950378109216E-2</v>
      </c>
      <c r="V73" s="52">
        <v>-7.8223977558315188</v>
      </c>
      <c r="W73" s="52">
        <v>-1.1166398682647993</v>
      </c>
      <c r="X73" s="52">
        <v>-4891.1566199070849</v>
      </c>
      <c r="Y73" s="52">
        <v>-0.14465848866560002</v>
      </c>
      <c r="Z73" s="52"/>
      <c r="AA73" s="52"/>
      <c r="AB73" s="52"/>
      <c r="AC73" s="52"/>
      <c r="AD73" s="52"/>
      <c r="AE73" s="52"/>
      <c r="AF73" s="52"/>
      <c r="AG73" s="52"/>
      <c r="AH73" s="52"/>
      <c r="AI73" s="52"/>
      <c r="AJ73" s="52"/>
      <c r="AK73" s="52"/>
      <c r="AL73" s="52"/>
      <c r="AM73" s="52"/>
      <c r="AN73" s="52"/>
      <c r="AO73" s="52"/>
      <c r="AP73" s="52"/>
      <c r="AQ73" s="52"/>
      <c r="AR73" s="52"/>
      <c r="AS73" s="52"/>
      <c r="AT73" s="52"/>
      <c r="AU73" s="52">
        <v>-11.369800508735439</v>
      </c>
      <c r="AV73" s="52"/>
      <c r="AW73" s="52"/>
      <c r="AX73" s="52">
        <v>-1618.7164207527067</v>
      </c>
      <c r="AY73" s="52"/>
      <c r="AZ73" s="52"/>
      <c r="BA73" s="52"/>
      <c r="BB73" s="52">
        <v>-17.146799885022556</v>
      </c>
      <c r="BC73" s="52">
        <v>-5.8071008679999982E-4</v>
      </c>
      <c r="BD73" s="52">
        <v>-1.9123424257876798</v>
      </c>
      <c r="BE73" s="52">
        <v>-6.8135050495999998E-4</v>
      </c>
      <c r="BF73" s="52"/>
      <c r="BG73" s="52"/>
      <c r="BH73" s="52"/>
      <c r="BI73" s="52"/>
      <c r="BJ73" s="52"/>
      <c r="BK73" s="78">
        <v>0</v>
      </c>
      <c r="BL73" s="41" t="s">
        <v>109</v>
      </c>
      <c r="BM73" s="45"/>
    </row>
    <row r="74" spans="1:65" x14ac:dyDescent="0.35">
      <c r="A74" s="41" t="str">
        <f>Database_Productkaarten[[#This Row],[Product]]&amp;", "&amp;Database_Productkaarten[[#This Row],[Levensfase]]</f>
        <v>AC Surf 0% PR - PCR 1.0, D2</v>
      </c>
      <c r="B74" s="41" t="s">
        <v>1342</v>
      </c>
      <c r="C74" s="41" t="s">
        <v>443</v>
      </c>
      <c r="D74" s="41" t="s">
        <v>471</v>
      </c>
      <c r="E74" s="41" t="s">
        <v>91</v>
      </c>
      <c r="F74" s="41" t="s">
        <v>52</v>
      </c>
      <c r="L74" s="41">
        <v>2.35</v>
      </c>
      <c r="M74" s="53">
        <v>-1.7432485997650797</v>
      </c>
      <c r="N74" s="41">
        <v>14</v>
      </c>
      <c r="O74" s="52">
        <v>-1.1701460510175659E-5</v>
      </c>
      <c r="P74" s="52">
        <v>-8.1006426357399977E-2</v>
      </c>
      <c r="Q74" s="52">
        <v>-11.842531568619121</v>
      </c>
      <c r="R74" s="52">
        <v>-1.9280419955081308E-6</v>
      </c>
      <c r="S74" s="52">
        <v>-9.0391843866624959E-3</v>
      </c>
      <c r="T74" s="52">
        <v>-0.13405284289597388</v>
      </c>
      <c r="U74" s="52">
        <v>-1.8286879350528897E-2</v>
      </c>
      <c r="V74" s="52">
        <v>-4.2077376746337602</v>
      </c>
      <c r="W74" s="52">
        <v>-9.6041481358032629E-2</v>
      </c>
      <c r="X74" s="52">
        <v>-367.08503409022074</v>
      </c>
      <c r="Y74" s="52">
        <v>-1.5663308917534816E-2</v>
      </c>
      <c r="Z74" s="52"/>
      <c r="AA74" s="52"/>
      <c r="AB74" s="52"/>
      <c r="AC74" s="52"/>
      <c r="AD74" s="52"/>
      <c r="AE74" s="52"/>
      <c r="AF74" s="52"/>
      <c r="AG74" s="52"/>
      <c r="AH74" s="52"/>
      <c r="AI74" s="52"/>
      <c r="AJ74" s="52"/>
      <c r="AK74" s="52"/>
      <c r="AL74" s="52"/>
      <c r="AM74" s="52"/>
      <c r="AN74" s="52"/>
      <c r="AO74" s="52"/>
      <c r="AP74" s="52"/>
      <c r="AQ74" s="52"/>
      <c r="AR74" s="52"/>
      <c r="AS74" s="52"/>
      <c r="AT74" s="52"/>
      <c r="AU74" s="52">
        <v>-3.2872385445229195</v>
      </c>
      <c r="AV74" s="52"/>
      <c r="AW74" s="52"/>
      <c r="AX74" s="52">
        <v>-179.59502578448095</v>
      </c>
      <c r="AY74" s="52"/>
      <c r="AZ74" s="52"/>
      <c r="BA74" s="52"/>
      <c r="BB74" s="52">
        <v>-3.6189588003407429E-2</v>
      </c>
      <c r="BC74" s="52">
        <v>-1.1386895447098782E-4</v>
      </c>
      <c r="BD74" s="52">
        <v>-2.9577370864538395</v>
      </c>
      <c r="BE74" s="52">
        <v>-1.1182462259105182E-3</v>
      </c>
      <c r="BF74" s="52"/>
      <c r="BG74" s="52"/>
      <c r="BH74" s="52"/>
      <c r="BI74" s="52"/>
      <c r="BJ74" s="52"/>
      <c r="BK74" s="78">
        <v>0</v>
      </c>
      <c r="BL74" s="41" t="s">
        <v>109</v>
      </c>
      <c r="BM74" s="45"/>
    </row>
    <row r="75" spans="1:65" x14ac:dyDescent="0.35">
      <c r="A75" s="41" t="str">
        <f>Database_Productkaarten[[#This Row],[Product]]&amp;", "&amp;Database_Productkaarten[[#This Row],[Levensfase]]</f>
        <v>AC surf 30% PR - PCR 1.0, Totaal</v>
      </c>
      <c r="B75" s="41" t="s">
        <v>1343</v>
      </c>
      <c r="C75" s="41" t="s">
        <v>443</v>
      </c>
      <c r="D75" s="41" t="s">
        <v>471</v>
      </c>
      <c r="E75" s="41" t="s">
        <v>91</v>
      </c>
      <c r="F75" s="41" t="s">
        <v>16</v>
      </c>
      <c r="L75" s="41">
        <v>2.35</v>
      </c>
      <c r="M75" s="53">
        <v>7.4475549476646963</v>
      </c>
      <c r="N75" s="41">
        <v>14</v>
      </c>
      <c r="O75" s="52">
        <v>5.9479383293940658E-5</v>
      </c>
      <c r="P75" s="52">
        <v>0.93843770315568453</v>
      </c>
      <c r="Q75" s="52">
        <v>69.655344783674011</v>
      </c>
      <c r="R75" s="52">
        <v>8.5590901309952463E-6</v>
      </c>
      <c r="S75" s="52">
        <v>7.8376393250239471E-2</v>
      </c>
      <c r="T75" s="52">
        <v>0.2996180097766391</v>
      </c>
      <c r="U75" s="52">
        <v>3.8704757434607127E-2</v>
      </c>
      <c r="V75" s="52">
        <v>16.822708176095311</v>
      </c>
      <c r="W75" s="52">
        <v>1.604696231686439</v>
      </c>
      <c r="X75" s="52">
        <v>5385.4039466198556</v>
      </c>
      <c r="Y75" s="52">
        <v>0.17105467008202427</v>
      </c>
      <c r="Z75" s="52"/>
      <c r="AA75" s="52"/>
      <c r="AB75" s="52"/>
      <c r="AC75" s="52"/>
      <c r="AD75" s="52"/>
      <c r="AE75" s="52"/>
      <c r="AF75" s="52"/>
      <c r="AG75" s="52"/>
      <c r="AH75" s="52"/>
      <c r="AI75" s="52"/>
      <c r="AJ75" s="52"/>
      <c r="AK75" s="52"/>
      <c r="AL75" s="52"/>
      <c r="AM75" s="52"/>
      <c r="AN75" s="52"/>
      <c r="AO75" s="52"/>
      <c r="AP75" s="52"/>
      <c r="AQ75" s="52"/>
      <c r="AR75" s="52"/>
      <c r="AS75" s="52"/>
      <c r="AT75" s="52"/>
      <c r="AU75" s="52">
        <v>15.839410088012022</v>
      </c>
      <c r="AV75" s="52"/>
      <c r="AW75" s="52"/>
      <c r="AX75" s="52">
        <v>1875.5611318835049</v>
      </c>
      <c r="AY75" s="52"/>
      <c r="AZ75" s="52"/>
      <c r="BA75" s="52"/>
      <c r="BB75" s="52">
        <v>14.042933490333887</v>
      </c>
      <c r="BC75" s="52">
        <v>1.0641645129292614E-3</v>
      </c>
      <c r="BD75" s="52">
        <v>2.5865084329948789</v>
      </c>
      <c r="BE75" s="52">
        <v>1.7290808757992292E-3</v>
      </c>
      <c r="BF75" s="52"/>
      <c r="BG75" s="52"/>
      <c r="BH75" s="52"/>
      <c r="BI75" s="52"/>
      <c r="BJ75" s="52"/>
      <c r="BK75" s="78">
        <v>0.3</v>
      </c>
      <c r="BL75" s="41" t="s">
        <v>109</v>
      </c>
      <c r="BM75" s="45"/>
    </row>
    <row r="76" spans="1:65" x14ac:dyDescent="0.35">
      <c r="A76" s="41" t="str">
        <f>Database_Productkaarten[[#This Row],[Product]]&amp;", "&amp;Database_Productkaarten[[#This Row],[Levensfase]]</f>
        <v>AC surf 30% PR - PCR 1.0, A1</v>
      </c>
      <c r="B76" s="41" t="s">
        <v>1343</v>
      </c>
      <c r="C76" s="41" t="s">
        <v>443</v>
      </c>
      <c r="D76" s="41" t="s">
        <v>471</v>
      </c>
      <c r="E76" s="41" t="s">
        <v>91</v>
      </c>
      <c r="F76" s="41" t="s">
        <v>19</v>
      </c>
      <c r="L76" s="41">
        <v>2.35</v>
      </c>
      <c r="M76" s="53">
        <v>5.7731068950000006</v>
      </c>
      <c r="N76" s="41">
        <v>14</v>
      </c>
      <c r="O76" s="52">
        <v>6.3695844799999994E-5</v>
      </c>
      <c r="P76" s="52">
        <v>1.0894992764</v>
      </c>
      <c r="Q76" s="52">
        <v>42.923917179</v>
      </c>
      <c r="R76" s="52">
        <v>3.3557362700000004E-6</v>
      </c>
      <c r="S76" s="52">
        <v>0.11604146456</v>
      </c>
      <c r="T76" s="52">
        <v>0.30127600300000001</v>
      </c>
      <c r="U76" s="52">
        <v>2.5074146300000003E-2</v>
      </c>
      <c r="V76" s="52">
        <v>10.857353684000001</v>
      </c>
      <c r="W76" s="52">
        <v>1.7041269518</v>
      </c>
      <c r="X76" s="52">
        <v>7487.6279233349997</v>
      </c>
      <c r="Y76" s="52">
        <v>0.21780204220000002</v>
      </c>
      <c r="Z76" s="52"/>
      <c r="AA76" s="52"/>
      <c r="AB76" s="52"/>
      <c r="AC76" s="52"/>
      <c r="AD76" s="52"/>
      <c r="AE76" s="52"/>
      <c r="AF76" s="52"/>
      <c r="AG76" s="52"/>
      <c r="AH76" s="52"/>
      <c r="AI76" s="52"/>
      <c r="AJ76" s="52"/>
      <c r="AK76" s="52"/>
      <c r="AL76" s="52"/>
      <c r="AM76" s="52"/>
      <c r="AN76" s="52"/>
      <c r="AO76" s="52"/>
      <c r="AP76" s="52"/>
      <c r="AQ76" s="52"/>
      <c r="AR76" s="52"/>
      <c r="AS76" s="52"/>
      <c r="AT76" s="52"/>
      <c r="AU76" s="52">
        <v>15.152721665000001</v>
      </c>
      <c r="AV76" s="52"/>
      <c r="AW76" s="52"/>
      <c r="AX76" s="52">
        <v>2456.115098749</v>
      </c>
      <c r="AY76" s="52"/>
      <c r="AZ76" s="52"/>
      <c r="BA76" s="52"/>
      <c r="BB76" s="52">
        <v>26.366015150600003</v>
      </c>
      <c r="BC76" s="52">
        <v>8.0678904799999995E-4</v>
      </c>
      <c r="BD76" s="52">
        <v>2.0829275780000001</v>
      </c>
      <c r="BE76" s="52">
        <v>7.4979669799999998E-4</v>
      </c>
      <c r="BF76" s="52"/>
      <c r="BG76" s="52"/>
      <c r="BH76" s="52"/>
      <c r="BI76" s="52"/>
      <c r="BJ76" s="52"/>
      <c r="BK76" s="78">
        <v>0.3</v>
      </c>
      <c r="BL76" s="41" t="s">
        <v>109</v>
      </c>
      <c r="BM76" s="45"/>
    </row>
    <row r="77" spans="1:65" x14ac:dyDescent="0.35">
      <c r="A77" s="41" t="str">
        <f>Database_Productkaarten[[#This Row],[Product]]&amp;", "&amp;Database_Productkaarten[[#This Row],[Levensfase]]</f>
        <v>AC surf 30% PR - PCR 1.0, A2</v>
      </c>
      <c r="B77" s="41" t="s">
        <v>1343</v>
      </c>
      <c r="C77" s="41" t="s">
        <v>443</v>
      </c>
      <c r="D77" s="41" t="s">
        <v>471</v>
      </c>
      <c r="E77" s="41" t="s">
        <v>91</v>
      </c>
      <c r="F77" s="41" t="s">
        <v>20</v>
      </c>
      <c r="L77" s="41">
        <v>2.35</v>
      </c>
      <c r="M77" s="53">
        <v>2.241783629355</v>
      </c>
      <c r="N77" s="41">
        <v>14</v>
      </c>
      <c r="O77" s="52">
        <v>1.5026321679710001E-5</v>
      </c>
      <c r="P77" s="52">
        <v>0.1100658268933</v>
      </c>
      <c r="Q77" s="52">
        <v>16.369508498562002</v>
      </c>
      <c r="R77" s="52">
        <v>2.6207561070700002E-6</v>
      </c>
      <c r="S77" s="52">
        <v>1.1463269415900002E-2</v>
      </c>
      <c r="T77" s="52">
        <v>0.15932147638160002</v>
      </c>
      <c r="U77" s="52">
        <v>2.5370373014799996E-2</v>
      </c>
      <c r="V77" s="52">
        <v>5.197454647452</v>
      </c>
      <c r="W77" s="52">
        <v>0.12335097841520001</v>
      </c>
      <c r="X77" s="52">
        <v>443.46159601799303</v>
      </c>
      <c r="Y77" s="52">
        <v>2.0820150263900002E-2</v>
      </c>
      <c r="Z77" s="52"/>
      <c r="AA77" s="52"/>
      <c r="AB77" s="52"/>
      <c r="AC77" s="52"/>
      <c r="AD77" s="52"/>
      <c r="AE77" s="52"/>
      <c r="AF77" s="52"/>
      <c r="AG77" s="52"/>
      <c r="AH77" s="52"/>
      <c r="AI77" s="52"/>
      <c r="AJ77" s="52"/>
      <c r="AK77" s="52"/>
      <c r="AL77" s="52"/>
      <c r="AM77" s="52"/>
      <c r="AN77" s="52"/>
      <c r="AO77" s="52"/>
      <c r="AP77" s="52"/>
      <c r="AQ77" s="52"/>
      <c r="AR77" s="52"/>
      <c r="AS77" s="52"/>
      <c r="AT77" s="52"/>
      <c r="AU77" s="52">
        <v>4.5857739338970003</v>
      </c>
      <c r="AV77" s="52"/>
      <c r="AW77" s="52"/>
      <c r="AX77" s="52">
        <v>244.09480228617298</v>
      </c>
      <c r="AY77" s="52"/>
      <c r="AZ77" s="52"/>
      <c r="BA77" s="52"/>
      <c r="BB77" s="52">
        <v>5.2640600074200003E-2</v>
      </c>
      <c r="BC77" s="52">
        <v>1.6153851065860001E-4</v>
      </c>
      <c r="BD77" s="52">
        <v>3.3830812016579999</v>
      </c>
      <c r="BE77" s="52">
        <v>1.52077811637E-3</v>
      </c>
      <c r="BF77" s="52"/>
      <c r="BG77" s="52"/>
      <c r="BH77" s="52"/>
      <c r="BI77" s="52"/>
      <c r="BJ77" s="52"/>
      <c r="BK77" s="78">
        <v>0.3</v>
      </c>
      <c r="BL77" s="41" t="s">
        <v>109</v>
      </c>
      <c r="BM77" s="45"/>
    </row>
    <row r="78" spans="1:65" x14ac:dyDescent="0.35">
      <c r="A78" s="41" t="str">
        <f>Database_Productkaarten[[#This Row],[Product]]&amp;", "&amp;Database_Productkaarten[[#This Row],[Levensfase]]</f>
        <v>AC surf 30% PR - PCR 1.0, A3</v>
      </c>
      <c r="B78" s="41" t="s">
        <v>1343</v>
      </c>
      <c r="C78" s="41" t="s">
        <v>443</v>
      </c>
      <c r="D78" s="41" t="s">
        <v>471</v>
      </c>
      <c r="E78" s="41" t="s">
        <v>91</v>
      </c>
      <c r="F78" s="41" t="s">
        <v>21</v>
      </c>
      <c r="L78" s="41">
        <v>2.35</v>
      </c>
      <c r="M78" s="53">
        <v>1.748060476202006</v>
      </c>
      <c r="N78" s="41">
        <v>14</v>
      </c>
      <c r="O78" s="52">
        <v>4.7148517874308341E-6</v>
      </c>
      <c r="P78" s="52">
        <v>0.20861227226100013</v>
      </c>
      <c r="Q78" s="52">
        <v>24.436166550406433</v>
      </c>
      <c r="R78" s="52">
        <v>2.8269882765073567E-6</v>
      </c>
      <c r="S78" s="52">
        <v>3.9486488343299722E-3</v>
      </c>
      <c r="T78" s="52">
        <v>2.6008062385765598E-2</v>
      </c>
      <c r="U78" s="52">
        <v>4.6621546356866612E-3</v>
      </c>
      <c r="V78" s="52">
        <v>3.6296330829724854</v>
      </c>
      <c r="W78" s="52">
        <v>2.4790191793375445E-2</v>
      </c>
      <c r="X78" s="52">
        <v>100.90135113747318</v>
      </c>
      <c r="Y78" s="52">
        <v>2.3312667602280599E-2</v>
      </c>
      <c r="Z78" s="52"/>
      <c r="AA78" s="52"/>
      <c r="AB78" s="52"/>
      <c r="AC78" s="52"/>
      <c r="AD78" s="52"/>
      <c r="AE78" s="52"/>
      <c r="AF78" s="52"/>
      <c r="AG78" s="52"/>
      <c r="AH78" s="52"/>
      <c r="AI78" s="52"/>
      <c r="AJ78" s="52"/>
      <c r="AK78" s="52"/>
      <c r="AL78" s="52"/>
      <c r="AM78" s="52"/>
      <c r="AN78" s="52"/>
      <c r="AO78" s="52"/>
      <c r="AP78" s="52"/>
      <c r="AQ78" s="52"/>
      <c r="AR78" s="52"/>
      <c r="AS78" s="52"/>
      <c r="AT78" s="52"/>
      <c r="AU78" s="52">
        <v>6.6803923791093389</v>
      </c>
      <c r="AV78" s="52"/>
      <c r="AW78" s="52"/>
      <c r="AX78" s="52">
        <v>426.46778445908245</v>
      </c>
      <c r="AY78" s="52"/>
      <c r="AZ78" s="52"/>
      <c r="BA78" s="52"/>
      <c r="BB78" s="52">
        <v>4.4109006229411975E-2</v>
      </c>
      <c r="BC78" s="52">
        <v>5.6687215429036093E-4</v>
      </c>
      <c r="BD78" s="52">
        <v>0.26366578930653251</v>
      </c>
      <c r="BE78" s="52">
        <v>3.8413475397336405E-4</v>
      </c>
      <c r="BF78" s="52"/>
      <c r="BG78" s="52"/>
      <c r="BH78" s="52"/>
      <c r="BI78" s="52"/>
      <c r="BJ78" s="52"/>
      <c r="BK78" s="78">
        <v>0.3</v>
      </c>
      <c r="BL78" s="41" t="s">
        <v>109</v>
      </c>
      <c r="BM78" s="45"/>
    </row>
    <row r="79" spans="1:65" x14ac:dyDescent="0.35">
      <c r="A79" s="41" t="str">
        <f>Database_Productkaarten[[#This Row],[Product]]&amp;", "&amp;Database_Productkaarten[[#This Row],[Levensfase]]</f>
        <v>AC surf 30% PR - PCR 1.0, A4</v>
      </c>
      <c r="B79" s="41" t="s">
        <v>1343</v>
      </c>
      <c r="C79" s="41" t="s">
        <v>443</v>
      </c>
      <c r="D79" s="41" t="s">
        <v>471</v>
      </c>
      <c r="E79" s="41" t="s">
        <v>91</v>
      </c>
      <c r="F79" s="41" t="s">
        <v>22</v>
      </c>
      <c r="L79" s="41">
        <v>2.35</v>
      </c>
      <c r="M79" s="53">
        <v>0.62892669999999995</v>
      </c>
      <c r="N79" s="41">
        <v>14</v>
      </c>
      <c r="O79" s="52">
        <v>1.0978337000000001E-5</v>
      </c>
      <c r="P79" s="52">
        <v>4.3183727999999998E-2</v>
      </c>
      <c r="Q79" s="52">
        <v>5.7021305</v>
      </c>
      <c r="R79" s="52">
        <v>1.1335356E-6</v>
      </c>
      <c r="S79" s="52">
        <v>3.5752850000000001E-3</v>
      </c>
      <c r="T79" s="52">
        <v>1.9151161E-2</v>
      </c>
      <c r="U79" s="52">
        <v>3.8023555000000001E-3</v>
      </c>
      <c r="V79" s="52">
        <v>2.0049337999999999</v>
      </c>
      <c r="W79" s="52">
        <v>0.12926487</v>
      </c>
      <c r="X79" s="52">
        <v>338.63108999999997</v>
      </c>
      <c r="Y79" s="52">
        <v>1.1891815999999999E-2</v>
      </c>
      <c r="Z79" s="52"/>
      <c r="AA79" s="52"/>
      <c r="AB79" s="52"/>
      <c r="AC79" s="52"/>
      <c r="AD79" s="52"/>
      <c r="AE79" s="52"/>
      <c r="AF79" s="52"/>
      <c r="AG79" s="52"/>
      <c r="AH79" s="52"/>
      <c r="AI79" s="52"/>
      <c r="AJ79" s="52"/>
      <c r="AK79" s="52"/>
      <c r="AL79" s="52"/>
      <c r="AM79" s="52"/>
      <c r="AN79" s="52"/>
      <c r="AO79" s="52"/>
      <c r="AP79" s="52"/>
      <c r="AQ79" s="52"/>
      <c r="AR79" s="52"/>
      <c r="AS79" s="52"/>
      <c r="AT79" s="52"/>
      <c r="AU79" s="52">
        <v>0</v>
      </c>
      <c r="AV79" s="52"/>
      <c r="AW79" s="52"/>
      <c r="AX79" s="52">
        <v>0</v>
      </c>
      <c r="AY79" s="52"/>
      <c r="AZ79" s="52"/>
      <c r="BA79" s="52"/>
      <c r="BB79" s="52">
        <v>0</v>
      </c>
      <c r="BC79" s="52">
        <v>0</v>
      </c>
      <c r="BD79" s="52">
        <v>0</v>
      </c>
      <c r="BE79" s="52">
        <v>0</v>
      </c>
      <c r="BF79" s="52"/>
      <c r="BG79" s="52"/>
      <c r="BH79" s="52"/>
      <c r="BI79" s="52"/>
      <c r="BJ79" s="52"/>
      <c r="BK79" s="78">
        <v>0.3</v>
      </c>
      <c r="BL79" s="41" t="s">
        <v>109</v>
      </c>
      <c r="BM79" s="45"/>
    </row>
    <row r="80" spans="1:65" x14ac:dyDescent="0.35">
      <c r="A80" s="41" t="str">
        <f>Database_Productkaarten[[#This Row],[Product]]&amp;", "&amp;Database_Productkaarten[[#This Row],[Levensfase]]</f>
        <v>AC surf 30% PR - PCR 1.0, A5</v>
      </c>
      <c r="B80" s="41" t="s">
        <v>1343</v>
      </c>
      <c r="C80" s="41" t="s">
        <v>443</v>
      </c>
      <c r="D80" s="41" t="s">
        <v>471</v>
      </c>
      <c r="E80" s="41" t="s">
        <v>91</v>
      </c>
      <c r="F80" s="41" t="s">
        <v>23</v>
      </c>
      <c r="L80" s="41">
        <v>2.35</v>
      </c>
      <c r="M80" s="53">
        <v>0.26142994000000003</v>
      </c>
      <c r="N80" s="41">
        <v>14</v>
      </c>
      <c r="O80" s="52">
        <v>6.4405276999999999E-7</v>
      </c>
      <c r="P80" s="52">
        <v>1.3221688000000001E-2</v>
      </c>
      <c r="Q80" s="52">
        <v>2.554217</v>
      </c>
      <c r="R80" s="52">
        <v>3.4623921999999999E-7</v>
      </c>
      <c r="S80" s="52">
        <v>9.5560771999999997E-4</v>
      </c>
      <c r="T80" s="52">
        <v>1.0774331999999999E-2</v>
      </c>
      <c r="U80" s="52">
        <v>2.4326081999999998E-3</v>
      </c>
      <c r="V80" s="52">
        <v>0.67890231999999995</v>
      </c>
      <c r="W80" s="52">
        <v>9.5891563000000003E-3</v>
      </c>
      <c r="X80" s="52">
        <v>32.339298999999997</v>
      </c>
      <c r="Y80" s="52">
        <v>1.1383995E-3</v>
      </c>
      <c r="Z80" s="52"/>
      <c r="AA80" s="52"/>
      <c r="AB80" s="52"/>
      <c r="AC80" s="52"/>
      <c r="AD80" s="52"/>
      <c r="AE80" s="52"/>
      <c r="AF80" s="52"/>
      <c r="AG80" s="52"/>
      <c r="AH80" s="52"/>
      <c r="AI80" s="52"/>
      <c r="AJ80" s="52"/>
      <c r="AK80" s="52"/>
      <c r="AL80" s="52"/>
      <c r="AM80" s="52"/>
      <c r="AN80" s="52"/>
      <c r="AO80" s="52"/>
      <c r="AP80" s="52"/>
      <c r="AQ80" s="52"/>
      <c r="AR80" s="52"/>
      <c r="AS80" s="52"/>
      <c r="AT80" s="52"/>
      <c r="AU80" s="52">
        <v>0.16170355</v>
      </c>
      <c r="AV80" s="52"/>
      <c r="AW80" s="52"/>
      <c r="AX80" s="52">
        <v>29.640834999999999</v>
      </c>
      <c r="AY80" s="52"/>
      <c r="AZ80" s="52"/>
      <c r="BA80" s="52"/>
      <c r="BB80" s="52">
        <v>3.6528305999999999E-3</v>
      </c>
      <c r="BC80" s="52">
        <v>1.2448785000000001E-5</v>
      </c>
      <c r="BD80" s="52">
        <v>2.9724645000000001E-2</v>
      </c>
      <c r="BE80" s="52">
        <v>1.9389087E-4</v>
      </c>
      <c r="BF80" s="52"/>
      <c r="BG80" s="52"/>
      <c r="BH80" s="52"/>
      <c r="BI80" s="52"/>
      <c r="BJ80" s="52"/>
      <c r="BK80" s="78">
        <v>0.3</v>
      </c>
      <c r="BL80" s="41" t="s">
        <v>109</v>
      </c>
      <c r="BM80" s="45"/>
    </row>
    <row r="81" spans="1:65" x14ac:dyDescent="0.35">
      <c r="A81" s="41" t="str">
        <f>Database_Productkaarten[[#This Row],[Product]]&amp;", "&amp;Database_Productkaarten[[#This Row],[Levensfase]]</f>
        <v>AC surf 30% PR - PCR 1.0, B1</v>
      </c>
      <c r="B81" s="41" t="s">
        <v>1343</v>
      </c>
      <c r="C81" s="41" t="s">
        <v>443</v>
      </c>
      <c r="D81" s="41" t="s">
        <v>471</v>
      </c>
      <c r="E81" s="41" t="s">
        <v>91</v>
      </c>
      <c r="F81" s="41" t="s">
        <v>24</v>
      </c>
      <c r="L81" s="41">
        <v>2.35</v>
      </c>
      <c r="M81" s="53">
        <v>8.2079854999999993E-2</v>
      </c>
      <c r="N81" s="41">
        <v>14</v>
      </c>
      <c r="O81" s="52">
        <v>0</v>
      </c>
      <c r="P81" s="52">
        <v>0</v>
      </c>
      <c r="Q81" s="52">
        <v>0</v>
      </c>
      <c r="R81" s="52">
        <v>0</v>
      </c>
      <c r="S81" s="52">
        <v>0</v>
      </c>
      <c r="T81" s="52">
        <v>0</v>
      </c>
      <c r="U81" s="52">
        <v>0</v>
      </c>
      <c r="V81" s="52">
        <v>0.33065064999999999</v>
      </c>
      <c r="W81" s="52">
        <v>0.35447900999999998</v>
      </c>
      <c r="X81" s="52">
        <v>416.74824000000001</v>
      </c>
      <c r="Y81" s="52">
        <v>2.016962E-4</v>
      </c>
      <c r="Z81" s="52"/>
      <c r="AA81" s="52"/>
      <c r="AB81" s="52"/>
      <c r="AC81" s="52"/>
      <c r="AD81" s="52"/>
      <c r="AE81" s="52"/>
      <c r="AF81" s="52"/>
      <c r="AG81" s="52"/>
      <c r="AH81" s="52"/>
      <c r="AI81" s="52"/>
      <c r="AJ81" s="52"/>
      <c r="AK81" s="52"/>
      <c r="AL81" s="52"/>
      <c r="AM81" s="52"/>
      <c r="AN81" s="52"/>
      <c r="AO81" s="52"/>
      <c r="AP81" s="52"/>
      <c r="AQ81" s="52"/>
      <c r="AR81" s="52"/>
      <c r="AS81" s="52"/>
      <c r="AT81" s="52"/>
      <c r="AU81" s="52">
        <v>0</v>
      </c>
      <c r="AV81" s="52"/>
      <c r="AW81" s="52"/>
      <c r="AX81" s="52">
        <v>0</v>
      </c>
      <c r="AY81" s="52"/>
      <c r="AZ81" s="52"/>
      <c r="BA81" s="52"/>
      <c r="BB81" s="52">
        <v>0</v>
      </c>
      <c r="BC81" s="52">
        <v>0</v>
      </c>
      <c r="BD81" s="52">
        <v>0</v>
      </c>
      <c r="BE81" s="52">
        <v>0</v>
      </c>
      <c r="BF81" s="52"/>
      <c r="BG81" s="52"/>
      <c r="BH81" s="52"/>
      <c r="BI81" s="52"/>
      <c r="BJ81" s="52"/>
      <c r="BK81" s="78">
        <v>0.3</v>
      </c>
      <c r="BL81" s="41" t="s">
        <v>109</v>
      </c>
      <c r="BM81" s="45"/>
    </row>
    <row r="82" spans="1:65" x14ac:dyDescent="0.35">
      <c r="A82" s="41" t="str">
        <f>Database_Productkaarten[[#This Row],[Product]]&amp;", "&amp;Database_Productkaarten[[#This Row],[Levensfase]]</f>
        <v>AC surf 30% PR - PCR 1.0, C1</v>
      </c>
      <c r="B82" s="41" t="s">
        <v>1343</v>
      </c>
      <c r="C82" s="41" t="s">
        <v>443</v>
      </c>
      <c r="D82" s="41" t="s">
        <v>471</v>
      </c>
      <c r="E82" s="41" t="s">
        <v>91</v>
      </c>
      <c r="F82" s="41" t="s">
        <v>25</v>
      </c>
      <c r="L82" s="41">
        <v>2.35</v>
      </c>
      <c r="M82" s="53">
        <v>0.13639726999999999</v>
      </c>
      <c r="N82" s="41">
        <v>14</v>
      </c>
      <c r="O82" s="52">
        <v>3.6644380999999999E-7</v>
      </c>
      <c r="P82" s="52">
        <v>7.5226846000000002E-3</v>
      </c>
      <c r="Q82" s="52">
        <v>1.4532613999999999</v>
      </c>
      <c r="R82" s="52">
        <v>1.9699817000000001E-7</v>
      </c>
      <c r="S82" s="52">
        <v>4.8171299999999999E-4</v>
      </c>
      <c r="T82" s="52">
        <v>4.2661764999999997E-3</v>
      </c>
      <c r="U82" s="52">
        <v>8.9941806E-4</v>
      </c>
      <c r="V82" s="52">
        <v>0.38176861000000001</v>
      </c>
      <c r="W82" s="52">
        <v>5.4558992000000002E-3</v>
      </c>
      <c r="X82" s="52">
        <v>18.399946</v>
      </c>
      <c r="Y82" s="52">
        <v>6.4771006999999995E-4</v>
      </c>
      <c r="Z82" s="52"/>
      <c r="AA82" s="52"/>
      <c r="AB82" s="52"/>
      <c r="AC82" s="52"/>
      <c r="AD82" s="52"/>
      <c r="AE82" s="52"/>
      <c r="AF82" s="52"/>
      <c r="AG82" s="52"/>
      <c r="AH82" s="52"/>
      <c r="AI82" s="52"/>
      <c r="AJ82" s="52"/>
      <c r="AK82" s="52"/>
      <c r="AL82" s="52"/>
      <c r="AM82" s="52"/>
      <c r="AN82" s="52"/>
      <c r="AO82" s="52"/>
      <c r="AP82" s="52"/>
      <c r="AQ82" s="52"/>
      <c r="AR82" s="52"/>
      <c r="AS82" s="52"/>
      <c r="AT82" s="52"/>
      <c r="AU82" s="52">
        <v>9.2003741E-2</v>
      </c>
      <c r="AV82" s="52"/>
      <c r="AW82" s="52"/>
      <c r="AX82" s="52">
        <v>16.864612999999999</v>
      </c>
      <c r="AY82" s="52"/>
      <c r="AZ82" s="52"/>
      <c r="BA82" s="52"/>
      <c r="BB82" s="52">
        <v>2.0783346E-3</v>
      </c>
      <c r="BC82" s="52">
        <v>7.0829294000000003E-6</v>
      </c>
      <c r="BD82" s="52">
        <v>1.6912297999999999E-2</v>
      </c>
      <c r="BE82" s="52">
        <v>1.1031722E-4</v>
      </c>
      <c r="BF82" s="52"/>
      <c r="BG82" s="52"/>
      <c r="BH82" s="52"/>
      <c r="BI82" s="52"/>
      <c r="BJ82" s="52"/>
      <c r="BK82" s="78">
        <v>0.3</v>
      </c>
      <c r="BL82" s="41" t="s">
        <v>109</v>
      </c>
      <c r="BM82" s="45"/>
    </row>
    <row r="83" spans="1:65" x14ac:dyDescent="0.35">
      <c r="A83" s="41" t="str">
        <f>Database_Productkaarten[[#This Row],[Product]]&amp;", "&amp;Database_Productkaarten[[#This Row],[Levensfase]]</f>
        <v>AC surf 30% PR - PCR 1.0, C2</v>
      </c>
      <c r="B83" s="41" t="s">
        <v>1343</v>
      </c>
      <c r="C83" s="41" t="s">
        <v>443</v>
      </c>
      <c r="D83" s="41" t="s">
        <v>471</v>
      </c>
      <c r="E83" s="41" t="s">
        <v>91</v>
      </c>
      <c r="F83" s="41" t="s">
        <v>26</v>
      </c>
      <c r="L83" s="41">
        <v>2.35</v>
      </c>
      <c r="M83" s="53">
        <v>0.62892669999999995</v>
      </c>
      <c r="N83" s="41">
        <v>14</v>
      </c>
      <c r="O83" s="52">
        <v>1.0978337000000001E-5</v>
      </c>
      <c r="P83" s="52">
        <v>4.3183727999999998E-2</v>
      </c>
      <c r="Q83" s="52">
        <v>5.7021305</v>
      </c>
      <c r="R83" s="52">
        <v>1.1335356E-6</v>
      </c>
      <c r="S83" s="52">
        <v>3.5752850000000001E-3</v>
      </c>
      <c r="T83" s="52">
        <v>1.9151161E-2</v>
      </c>
      <c r="U83" s="52">
        <v>3.8023555000000001E-3</v>
      </c>
      <c r="V83" s="52">
        <v>2.0049337999999999</v>
      </c>
      <c r="W83" s="52">
        <v>0.12926487</v>
      </c>
      <c r="X83" s="52">
        <v>338.63108999999997</v>
      </c>
      <c r="Y83" s="52">
        <v>1.1891815999999999E-2</v>
      </c>
      <c r="Z83" s="52"/>
      <c r="AA83" s="52"/>
      <c r="AB83" s="52"/>
      <c r="AC83" s="52"/>
      <c r="AD83" s="52"/>
      <c r="AE83" s="52"/>
      <c r="AF83" s="52"/>
      <c r="AG83" s="52"/>
      <c r="AH83" s="52"/>
      <c r="AI83" s="52"/>
      <c r="AJ83" s="52"/>
      <c r="AK83" s="52"/>
      <c r="AL83" s="52"/>
      <c r="AM83" s="52"/>
      <c r="AN83" s="52"/>
      <c r="AO83" s="52"/>
      <c r="AP83" s="52"/>
      <c r="AQ83" s="52"/>
      <c r="AR83" s="52"/>
      <c r="AS83" s="52"/>
      <c r="AT83" s="52"/>
      <c r="AU83" s="52">
        <v>0</v>
      </c>
      <c r="AV83" s="52"/>
      <c r="AW83" s="52"/>
      <c r="AX83" s="52">
        <v>0</v>
      </c>
      <c r="AY83" s="52"/>
      <c r="AZ83" s="52"/>
      <c r="BA83" s="52"/>
      <c r="BB83" s="52">
        <v>0</v>
      </c>
      <c r="BC83" s="52">
        <v>0</v>
      </c>
      <c r="BD83" s="52">
        <v>0</v>
      </c>
      <c r="BE83" s="52">
        <v>0</v>
      </c>
      <c r="BF83" s="52"/>
      <c r="BG83" s="52"/>
      <c r="BH83" s="52"/>
      <c r="BI83" s="52"/>
      <c r="BJ83" s="52"/>
      <c r="BK83" s="78">
        <v>0.3</v>
      </c>
      <c r="BL83" s="41" t="s">
        <v>109</v>
      </c>
      <c r="BM83" s="45"/>
    </row>
    <row r="84" spans="1:65" x14ac:dyDescent="0.35">
      <c r="A84" s="41" t="str">
        <f>Database_Productkaarten[[#This Row],[Product]]&amp;", "&amp;Database_Productkaarten[[#This Row],[Levensfase]]</f>
        <v>AC surf 30% PR - PCR 1.0, C3</v>
      </c>
      <c r="B84" s="41" t="s">
        <v>1343</v>
      </c>
      <c r="C84" s="41" t="s">
        <v>443</v>
      </c>
      <c r="D84" s="41" t="s">
        <v>471</v>
      </c>
      <c r="E84" s="41" t="s">
        <v>91</v>
      </c>
      <c r="F84" s="41" t="s">
        <v>27</v>
      </c>
      <c r="L84" s="41">
        <v>2.35</v>
      </c>
      <c r="M84" s="53">
        <v>0.16120214999999999</v>
      </c>
      <c r="N84" s="41">
        <v>14</v>
      </c>
      <c r="O84" s="52">
        <v>4.1291555000000003E-7</v>
      </c>
      <c r="P84" s="52">
        <v>8.4766977000000007E-3</v>
      </c>
      <c r="Q84" s="52">
        <v>1.6375614000000001</v>
      </c>
      <c r="R84" s="52">
        <v>2.2198113E-7</v>
      </c>
      <c r="S84" s="52">
        <v>5.9777666999999998E-4</v>
      </c>
      <c r="T84" s="52">
        <v>5.9352911999999997E-3</v>
      </c>
      <c r="U84" s="52">
        <v>1.3067828999999999E-3</v>
      </c>
      <c r="V84" s="52">
        <v>0.43290835999999999</v>
      </c>
      <c r="W84" s="52">
        <v>6.1478065000000002E-3</v>
      </c>
      <c r="X84" s="52">
        <v>20.733394000000001</v>
      </c>
      <c r="Y84" s="52">
        <v>7.2985148000000004E-4</v>
      </c>
      <c r="Z84" s="52"/>
      <c r="AA84" s="52"/>
      <c r="AB84" s="52"/>
      <c r="AC84" s="52"/>
      <c r="AD84" s="52"/>
      <c r="AE84" s="52"/>
      <c r="AF84" s="52"/>
      <c r="AG84" s="52"/>
      <c r="AH84" s="52"/>
      <c r="AI84" s="52"/>
      <c r="AJ84" s="52"/>
      <c r="AK84" s="52"/>
      <c r="AL84" s="52"/>
      <c r="AM84" s="52"/>
      <c r="AN84" s="52"/>
      <c r="AO84" s="52"/>
      <c r="AP84" s="52"/>
      <c r="AQ84" s="52"/>
      <c r="AR84" s="52"/>
      <c r="AS84" s="52"/>
      <c r="AT84" s="52"/>
      <c r="AU84" s="52">
        <v>0.10367149000000001</v>
      </c>
      <c r="AV84" s="52"/>
      <c r="AW84" s="52"/>
      <c r="AX84" s="52">
        <v>19.003353000000001</v>
      </c>
      <c r="AY84" s="52"/>
      <c r="AZ84" s="52"/>
      <c r="BA84" s="52"/>
      <c r="BB84" s="52">
        <v>2.3419052000000001E-3</v>
      </c>
      <c r="BC84" s="52">
        <v>7.9811735999999999E-6</v>
      </c>
      <c r="BD84" s="52">
        <v>1.9057085000000001E-2</v>
      </c>
      <c r="BE84" s="52">
        <v>1.2430745000000001E-4</v>
      </c>
      <c r="BF84" s="52"/>
      <c r="BG84" s="52"/>
      <c r="BH84" s="52"/>
      <c r="BI84" s="52"/>
      <c r="BJ84" s="52"/>
      <c r="BK84" s="78">
        <v>0.3</v>
      </c>
      <c r="BL84" s="41" t="s">
        <v>109</v>
      </c>
      <c r="BM84" s="45"/>
    </row>
    <row r="85" spans="1:65" x14ac:dyDescent="0.35">
      <c r="A85" s="41" t="str">
        <f>Database_Productkaarten[[#This Row],[Product]]&amp;", "&amp;Database_Productkaarten[[#This Row],[Levensfase]]</f>
        <v>AC surf 30% PR - PCR 1.0, D1</v>
      </c>
      <c r="B85" s="41" t="s">
        <v>1343</v>
      </c>
      <c r="C85" s="41" t="s">
        <v>443</v>
      </c>
      <c r="D85" s="41" t="s">
        <v>471</v>
      </c>
      <c r="E85" s="41" t="s">
        <v>91</v>
      </c>
      <c r="F85" s="41" t="s">
        <v>51</v>
      </c>
      <c r="L85" s="41">
        <v>2.35</v>
      </c>
      <c r="M85" s="53">
        <v>-2.8364291189220756</v>
      </c>
      <c r="N85" s="41">
        <v>14</v>
      </c>
      <c r="O85" s="52">
        <v>-3.8205383680516636E-5</v>
      </c>
      <c r="P85" s="52">
        <v>-0.51778696580029493</v>
      </c>
      <c r="Q85" s="52">
        <v>-21.074056724277821</v>
      </c>
      <c r="R85" s="52">
        <v>-1.668906769592877E-6</v>
      </c>
      <c r="S85" s="52">
        <v>-5.52150677573899E-2</v>
      </c>
      <c r="T85" s="52">
        <v>-0.14806395131410113</v>
      </c>
      <c r="U85" s="52">
        <v>-1.3036330788829849E-2</v>
      </c>
      <c r="V85" s="52">
        <v>-5.5069061650125013</v>
      </c>
      <c r="W85" s="52">
        <v>-0.8062254483130058</v>
      </c>
      <c r="X85" s="52">
        <v>-3540.3105850493666</v>
      </c>
      <c r="Y85" s="52">
        <v>-0.10460308172142559</v>
      </c>
      <c r="Z85" s="52"/>
      <c r="AA85" s="52"/>
      <c r="AB85" s="52"/>
      <c r="AC85" s="52"/>
      <c r="AD85" s="52"/>
      <c r="AE85" s="52"/>
      <c r="AF85" s="52"/>
      <c r="AG85" s="52"/>
      <c r="AH85" s="52"/>
      <c r="AI85" s="52"/>
      <c r="AJ85" s="52"/>
      <c r="AK85" s="52"/>
      <c r="AL85" s="52"/>
      <c r="AM85" s="52"/>
      <c r="AN85" s="52"/>
      <c r="AO85" s="52"/>
      <c r="AP85" s="52"/>
      <c r="AQ85" s="52"/>
      <c r="AR85" s="52"/>
      <c r="AS85" s="52"/>
      <c r="AT85" s="52"/>
      <c r="AU85" s="52">
        <v>-8.1158668604584534</v>
      </c>
      <c r="AV85" s="52"/>
      <c r="AW85" s="52"/>
      <c r="AX85" s="52">
        <v>-1166.8388920240288</v>
      </c>
      <c r="AY85" s="52"/>
      <c r="AZ85" s="52"/>
      <c r="BA85" s="52"/>
      <c r="BB85" s="52">
        <v>-12.395570645485787</v>
      </c>
      <c r="BC85" s="52">
        <v>-3.993992418809443E-4</v>
      </c>
      <c r="BD85" s="52">
        <v>-1.1664073130824304</v>
      </c>
      <c r="BE85" s="52">
        <v>-4.2102250252926886E-4</v>
      </c>
      <c r="BF85" s="52"/>
      <c r="BG85" s="52"/>
      <c r="BH85" s="52"/>
      <c r="BI85" s="52"/>
      <c r="BJ85" s="52"/>
      <c r="BK85" s="78">
        <v>0.3</v>
      </c>
      <c r="BL85" s="41" t="s">
        <v>109</v>
      </c>
      <c r="BM85" s="45"/>
    </row>
    <row r="86" spans="1:65" x14ac:dyDescent="0.35">
      <c r="A86" s="41" t="str">
        <f>Database_Productkaarten[[#This Row],[Product]]&amp;", "&amp;Database_Productkaarten[[#This Row],[Levensfase]]</f>
        <v>AC surf 30% PR - PCR 1.0, D2</v>
      </c>
      <c r="B86" s="41" t="s">
        <v>1343</v>
      </c>
      <c r="C86" s="41" t="s">
        <v>443</v>
      </c>
      <c r="D86" s="41" t="s">
        <v>471</v>
      </c>
      <c r="E86" s="41" t="s">
        <v>91</v>
      </c>
      <c r="F86" s="41" t="s">
        <v>52</v>
      </c>
      <c r="L86" s="41">
        <v>2.35</v>
      </c>
      <c r="M86" s="53">
        <v>-1.3779295489702363</v>
      </c>
      <c r="N86" s="41">
        <v>14</v>
      </c>
      <c r="O86" s="52">
        <v>-9.1323374126835272E-6</v>
      </c>
      <c r="P86" s="52">
        <v>-6.7541232998320683E-2</v>
      </c>
      <c r="Q86" s="52">
        <v>-10.0494915200166</v>
      </c>
      <c r="R86" s="52">
        <v>-1.6077734829892331E-6</v>
      </c>
      <c r="S86" s="52">
        <v>-7.0475891926005795E-3</v>
      </c>
      <c r="T86" s="52">
        <v>-9.8201702476625324E-2</v>
      </c>
      <c r="U86" s="52">
        <v>-1.5609105887049682E-2</v>
      </c>
      <c r="V86" s="52">
        <v>-3.1889246133166749</v>
      </c>
      <c r="W86" s="52">
        <v>-7.5548054109130874E-2</v>
      </c>
      <c r="X86" s="52">
        <v>-271.75939782124362</v>
      </c>
      <c r="Y86" s="52">
        <v>-1.2778397512730813E-2</v>
      </c>
      <c r="Z86" s="52"/>
      <c r="AA86" s="52"/>
      <c r="AB86" s="52"/>
      <c r="AC86" s="52"/>
      <c r="AD86" s="52"/>
      <c r="AE86" s="52"/>
      <c r="AF86" s="52"/>
      <c r="AG86" s="52"/>
      <c r="AH86" s="52"/>
      <c r="AI86" s="52"/>
      <c r="AJ86" s="52"/>
      <c r="AK86" s="52"/>
      <c r="AL86" s="52"/>
      <c r="AM86" s="52"/>
      <c r="AN86" s="52"/>
      <c r="AO86" s="52"/>
      <c r="AP86" s="52"/>
      <c r="AQ86" s="52"/>
      <c r="AR86" s="52"/>
      <c r="AS86" s="52"/>
      <c r="AT86" s="52"/>
      <c r="AU86" s="52">
        <v>-2.8209898105358651</v>
      </c>
      <c r="AV86" s="52"/>
      <c r="AW86" s="52"/>
      <c r="AX86" s="52">
        <v>-149.78646258672197</v>
      </c>
      <c r="AY86" s="52"/>
      <c r="AZ86" s="52"/>
      <c r="BA86" s="52"/>
      <c r="BB86" s="52">
        <v>-3.2333691483939789E-2</v>
      </c>
      <c r="BC86" s="52">
        <v>-9.9148846138755572E-5</v>
      </c>
      <c r="BD86" s="52">
        <v>-2.0424528508872233</v>
      </c>
      <c r="BE86" s="52">
        <v>-9.3312173001486591E-4</v>
      </c>
      <c r="BF86" s="52"/>
      <c r="BG86" s="52"/>
      <c r="BH86" s="52"/>
      <c r="BI86" s="52"/>
      <c r="BJ86" s="52"/>
      <c r="BK86" s="78">
        <v>0.3</v>
      </c>
      <c r="BL86" s="41" t="s">
        <v>109</v>
      </c>
      <c r="BM86" s="45"/>
    </row>
    <row r="87" spans="1:65" x14ac:dyDescent="0.35">
      <c r="A87" s="41" t="str">
        <f>Database_Productkaarten[[#This Row],[Product]]&amp;", "&amp;Database_Productkaarten[[#This Row],[Levensfase]]</f>
        <v>AC Surf G.M. 0% PR - PCR 1.0, Totaal</v>
      </c>
      <c r="B87" s="41" t="s">
        <v>1344</v>
      </c>
      <c r="C87" s="41" t="s">
        <v>443</v>
      </c>
      <c r="D87" s="41" t="s">
        <v>471</v>
      </c>
      <c r="E87" s="41" t="s">
        <v>91</v>
      </c>
      <c r="F87" s="41" t="s">
        <v>16</v>
      </c>
      <c r="L87" s="41">
        <v>2.35</v>
      </c>
      <c r="M87" s="53">
        <v>9.787380492653174</v>
      </c>
      <c r="N87" s="41">
        <v>14</v>
      </c>
      <c r="O87" s="52">
        <v>5.7215916934873407E-4</v>
      </c>
      <c r="P87" s="52">
        <v>1.1577827120555297</v>
      </c>
      <c r="Q87" s="52">
        <v>89.85085417234329</v>
      </c>
      <c r="R87" s="52">
        <v>1.2259767801848575E-5</v>
      </c>
      <c r="S87" s="52">
        <v>9.6628943342874349E-2</v>
      </c>
      <c r="T87" s="52">
        <v>0.40216346973304018</v>
      </c>
      <c r="U87" s="52">
        <v>5.333855206121918E-2</v>
      </c>
      <c r="V87" s="52">
        <v>24.373104709846693</v>
      </c>
      <c r="W87" s="52">
        <v>1.6999446387516539</v>
      </c>
      <c r="X87" s="52">
        <v>5705.5467496548536</v>
      </c>
      <c r="Y87" s="52">
        <v>0.20247738976740015</v>
      </c>
      <c r="Z87" s="52"/>
      <c r="AA87" s="52"/>
      <c r="AB87" s="52"/>
      <c r="AC87" s="52"/>
      <c r="AD87" s="52"/>
      <c r="AE87" s="52"/>
      <c r="AF87" s="52"/>
      <c r="AG87" s="52"/>
      <c r="AH87" s="52"/>
      <c r="AI87" s="52"/>
      <c r="AJ87" s="52"/>
      <c r="AK87" s="52"/>
      <c r="AL87" s="52"/>
      <c r="AM87" s="52"/>
      <c r="AN87" s="52"/>
      <c r="AO87" s="52"/>
      <c r="AP87" s="52"/>
      <c r="AQ87" s="52"/>
      <c r="AR87" s="52"/>
      <c r="AS87" s="52"/>
      <c r="AT87" s="52"/>
      <c r="AU87" s="52">
        <v>38.49674777913868</v>
      </c>
      <c r="AV87" s="52"/>
      <c r="AW87" s="52"/>
      <c r="AX87" s="52">
        <v>2358.8594186202722</v>
      </c>
      <c r="AY87" s="52"/>
      <c r="AZ87" s="52"/>
      <c r="BA87" s="52"/>
      <c r="BB87" s="52">
        <v>13.215641925127532</v>
      </c>
      <c r="BC87" s="52">
        <v>1.4087637215522927E-3</v>
      </c>
      <c r="BD87" s="52">
        <v>5.7491946147504871</v>
      </c>
      <c r="BE87" s="52">
        <v>3.9959732003042496E-3</v>
      </c>
      <c r="BF87" s="52"/>
      <c r="BG87" s="52"/>
      <c r="BH87" s="52"/>
      <c r="BI87" s="52"/>
      <c r="BJ87" s="52"/>
      <c r="BK87" s="78">
        <v>0</v>
      </c>
      <c r="BL87" s="41" t="s">
        <v>109</v>
      </c>
      <c r="BM87" s="45"/>
    </row>
    <row r="88" spans="1:65" x14ac:dyDescent="0.35">
      <c r="A88" s="41" t="str">
        <f>Database_Productkaarten[[#This Row],[Product]]&amp;", "&amp;Database_Productkaarten[[#This Row],[Levensfase]]</f>
        <v>AC Surf G.M. 0% PR - PCR 1.0, A1</v>
      </c>
      <c r="B88" s="41" t="s">
        <v>1344</v>
      </c>
      <c r="C88" s="41" t="s">
        <v>443</v>
      </c>
      <c r="D88" s="41" t="s">
        <v>471</v>
      </c>
      <c r="E88" s="41" t="s">
        <v>91</v>
      </c>
      <c r="F88" s="41" t="s">
        <v>19</v>
      </c>
      <c r="L88" s="41">
        <v>2.35</v>
      </c>
      <c r="M88" s="53">
        <v>9.1522343419999999</v>
      </c>
      <c r="N88" s="41">
        <v>14</v>
      </c>
      <c r="O88" s="52">
        <v>5.8998724479999997E-4</v>
      </c>
      <c r="P88" s="52">
        <v>1.5078164479</v>
      </c>
      <c r="Q88" s="52">
        <v>71.389592816999993</v>
      </c>
      <c r="R88" s="52">
        <v>7.8291159899999999E-6</v>
      </c>
      <c r="S88" s="52">
        <v>0.15539327456000002</v>
      </c>
      <c r="T88" s="52">
        <v>0.45050718150000002</v>
      </c>
      <c r="U88" s="52">
        <v>4.5308842799999999E-2</v>
      </c>
      <c r="V88" s="52">
        <v>20.322479528999999</v>
      </c>
      <c r="W88" s="52">
        <v>2.1016071453</v>
      </c>
      <c r="X88" s="52">
        <v>9116.3617226469996</v>
      </c>
      <c r="Y88" s="52">
        <v>0.2862152717</v>
      </c>
      <c r="Z88" s="52"/>
      <c r="AA88" s="52"/>
      <c r="AB88" s="52"/>
      <c r="AC88" s="52"/>
      <c r="AD88" s="52"/>
      <c r="AE88" s="52"/>
      <c r="AF88" s="52"/>
      <c r="AG88" s="52"/>
      <c r="AH88" s="52"/>
      <c r="AI88" s="52"/>
      <c r="AJ88" s="52"/>
      <c r="AK88" s="52"/>
      <c r="AL88" s="52"/>
      <c r="AM88" s="52"/>
      <c r="AN88" s="52"/>
      <c r="AO88" s="52"/>
      <c r="AP88" s="52"/>
      <c r="AQ88" s="52"/>
      <c r="AR88" s="52"/>
      <c r="AS88" s="52"/>
      <c r="AT88" s="52"/>
      <c r="AU88" s="52">
        <v>40.321062544</v>
      </c>
      <c r="AV88" s="52"/>
      <c r="AW88" s="52"/>
      <c r="AX88" s="52">
        <v>3390.6268445320002</v>
      </c>
      <c r="AY88" s="52"/>
      <c r="AZ88" s="52"/>
      <c r="BA88" s="52"/>
      <c r="BB88" s="52">
        <v>30.285057884100002</v>
      </c>
      <c r="BC88" s="52">
        <v>1.329057173E-3</v>
      </c>
      <c r="BD88" s="52">
        <v>5.5953647580000005</v>
      </c>
      <c r="BE88" s="52">
        <v>3.2159923180000004E-3</v>
      </c>
      <c r="BF88" s="52"/>
      <c r="BG88" s="52"/>
      <c r="BH88" s="52"/>
      <c r="BI88" s="52"/>
      <c r="BJ88" s="52"/>
      <c r="BK88" s="78">
        <v>0</v>
      </c>
      <c r="BL88" s="41" t="s">
        <v>109</v>
      </c>
      <c r="BM88" s="45"/>
    </row>
    <row r="89" spans="1:65" x14ac:dyDescent="0.35">
      <c r="A89" s="41" t="str">
        <f>Database_Productkaarten[[#This Row],[Product]]&amp;", "&amp;Database_Productkaarten[[#This Row],[Levensfase]]</f>
        <v>AC Surf G.M. 0% PR - PCR 1.0, A2</v>
      </c>
      <c r="B89" s="41" t="s">
        <v>1344</v>
      </c>
      <c r="C89" s="41" t="s">
        <v>443</v>
      </c>
      <c r="D89" s="41" t="s">
        <v>471</v>
      </c>
      <c r="E89" s="41" t="s">
        <v>91</v>
      </c>
      <c r="F89" s="41" t="s">
        <v>20</v>
      </c>
      <c r="L89" s="41">
        <v>2.35</v>
      </c>
      <c r="M89" s="53">
        <v>2.7393857558250008</v>
      </c>
      <c r="N89" s="41">
        <v>14</v>
      </c>
      <c r="O89" s="52">
        <v>1.8490090033950002E-5</v>
      </c>
      <c r="P89" s="52">
        <v>0.1274367225461</v>
      </c>
      <c r="Q89" s="52">
        <v>18.627666669179998</v>
      </c>
      <c r="R89" s="52">
        <v>3.0335723029899996E-6</v>
      </c>
      <c r="S89" s="52">
        <v>1.4201976708700001E-2</v>
      </c>
      <c r="T89" s="52">
        <v>0.21031537546960002</v>
      </c>
      <c r="U89" s="52">
        <v>2.8731476857200001E-2</v>
      </c>
      <c r="V89" s="52">
        <v>6.61666717588</v>
      </c>
      <c r="W89" s="52">
        <v>0.15118794417599998</v>
      </c>
      <c r="X89" s="52">
        <v>577.5016847979449</v>
      </c>
      <c r="Y89" s="52">
        <v>2.4635907337700005E-2</v>
      </c>
      <c r="Z89" s="52"/>
      <c r="AA89" s="52"/>
      <c r="AB89" s="52"/>
      <c r="AC89" s="52"/>
      <c r="AD89" s="52"/>
      <c r="AE89" s="52"/>
      <c r="AF89" s="52"/>
      <c r="AG89" s="52"/>
      <c r="AH89" s="52"/>
      <c r="AI89" s="52"/>
      <c r="AJ89" s="52"/>
      <c r="AK89" s="52"/>
      <c r="AL89" s="52"/>
      <c r="AM89" s="52"/>
      <c r="AN89" s="52"/>
      <c r="AO89" s="52"/>
      <c r="AP89" s="52"/>
      <c r="AQ89" s="52"/>
      <c r="AR89" s="52"/>
      <c r="AS89" s="52"/>
      <c r="AT89" s="52"/>
      <c r="AU89" s="52">
        <v>5.1652706683049994</v>
      </c>
      <c r="AV89" s="52"/>
      <c r="AW89" s="52"/>
      <c r="AX89" s="52">
        <v>282.53445500789496</v>
      </c>
      <c r="AY89" s="52"/>
      <c r="AZ89" s="52"/>
      <c r="BA89" s="52"/>
      <c r="BB89" s="52">
        <v>5.6923448071799998E-2</v>
      </c>
      <c r="BC89" s="52">
        <v>1.7915648027700003E-4</v>
      </c>
      <c r="BD89" s="52">
        <v>4.6820975916700016</v>
      </c>
      <c r="BE89" s="52">
        <v>1.75929121313E-3</v>
      </c>
      <c r="BF89" s="52"/>
      <c r="BG89" s="52"/>
      <c r="BH89" s="52"/>
      <c r="BI89" s="52"/>
      <c r="BJ89" s="52"/>
      <c r="BK89" s="78">
        <v>0</v>
      </c>
      <c r="BL89" s="41" t="s">
        <v>109</v>
      </c>
      <c r="BM89" s="45"/>
    </row>
    <row r="90" spans="1:65" x14ac:dyDescent="0.35">
      <c r="A90" s="41" t="str">
        <f>Database_Productkaarten[[#This Row],[Product]]&amp;", "&amp;Database_Productkaarten[[#This Row],[Levensfase]]</f>
        <v>AC Surf G.M. 0% PR - PCR 1.0, A3</v>
      </c>
      <c r="B90" s="41" t="s">
        <v>1344</v>
      </c>
      <c r="C90" s="41" t="s">
        <v>443</v>
      </c>
      <c r="D90" s="41" t="s">
        <v>471</v>
      </c>
      <c r="E90" s="41" t="s">
        <v>91</v>
      </c>
      <c r="F90" s="41" t="s">
        <v>21</v>
      </c>
      <c r="L90" s="41">
        <v>2.35</v>
      </c>
      <c r="M90" s="53">
        <v>1.7340321317986724</v>
      </c>
      <c r="N90" s="41">
        <v>14</v>
      </c>
      <c r="O90" s="52">
        <v>5.0860709918395441E-6</v>
      </c>
      <c r="P90" s="52">
        <v>0.20487124413656413</v>
      </c>
      <c r="Q90" s="52">
        <v>24.079934263136241</v>
      </c>
      <c r="R90" s="52">
        <v>2.7498441083506566E-6</v>
      </c>
      <c r="S90" s="52">
        <v>3.8984825961093385E-3</v>
      </c>
      <c r="T90" s="52">
        <v>2.6585664166204032E-2</v>
      </c>
      <c r="U90" s="52">
        <v>4.8449022266720864E-3</v>
      </c>
      <c r="V90" s="52">
        <v>3.6298877471357263</v>
      </c>
      <c r="W90" s="52">
        <v>2.5627109302998261E-2</v>
      </c>
      <c r="X90" s="52">
        <v>104.4338101208976</v>
      </c>
      <c r="Y90" s="52">
        <v>2.544621184592739E-2</v>
      </c>
      <c r="Z90" s="52"/>
      <c r="AA90" s="52"/>
      <c r="AB90" s="52"/>
      <c r="AC90" s="52"/>
      <c r="AD90" s="52"/>
      <c r="AE90" s="52"/>
      <c r="AF90" s="52"/>
      <c r="AG90" s="52"/>
      <c r="AH90" s="52"/>
      <c r="AI90" s="52"/>
      <c r="AJ90" s="52"/>
      <c r="AK90" s="52"/>
      <c r="AL90" s="52"/>
      <c r="AM90" s="52"/>
      <c r="AN90" s="52"/>
      <c r="AO90" s="52"/>
      <c r="AP90" s="52"/>
      <c r="AQ90" s="52"/>
      <c r="AR90" s="52"/>
      <c r="AS90" s="52"/>
      <c r="AT90" s="52"/>
      <c r="AU90" s="52">
        <v>7.3099127404099828</v>
      </c>
      <c r="AV90" s="52"/>
      <c r="AW90" s="52"/>
      <c r="AX90" s="52">
        <v>418.49620017789817</v>
      </c>
      <c r="AY90" s="52"/>
      <c r="AZ90" s="52"/>
      <c r="BA90" s="52"/>
      <c r="BB90" s="52">
        <v>4.8574502135439485E-2</v>
      </c>
      <c r="BC90" s="52">
        <v>5.6761205188831092E-4</v>
      </c>
      <c r="BD90" s="52">
        <v>0.27606619391001763</v>
      </c>
      <c r="BE90" s="52">
        <v>3.9174402877781782E-4</v>
      </c>
      <c r="BF90" s="52"/>
      <c r="BG90" s="52"/>
      <c r="BH90" s="52"/>
      <c r="BI90" s="52"/>
      <c r="BJ90" s="52"/>
      <c r="BK90" s="78">
        <v>0</v>
      </c>
      <c r="BL90" s="41" t="s">
        <v>109</v>
      </c>
      <c r="BM90" s="45"/>
    </row>
    <row r="91" spans="1:65" x14ac:dyDescent="0.35">
      <c r="A91" s="41" t="str">
        <f>Database_Productkaarten[[#This Row],[Product]]&amp;", "&amp;Database_Productkaarten[[#This Row],[Levensfase]]</f>
        <v>AC Surf G.M. 0% PR - PCR 1.0, A4</v>
      </c>
      <c r="B91" s="41" t="s">
        <v>1344</v>
      </c>
      <c r="C91" s="41" t="s">
        <v>443</v>
      </c>
      <c r="D91" s="41" t="s">
        <v>471</v>
      </c>
      <c r="E91" s="41" t="s">
        <v>91</v>
      </c>
      <c r="F91" s="41" t="s">
        <v>22</v>
      </c>
      <c r="L91" s="41">
        <v>2.35</v>
      </c>
      <c r="M91" s="53">
        <v>0.62892669999999995</v>
      </c>
      <c r="N91" s="41">
        <v>14</v>
      </c>
      <c r="O91" s="52">
        <v>1.0978337000000001E-5</v>
      </c>
      <c r="P91" s="52">
        <v>4.3183727999999998E-2</v>
      </c>
      <c r="Q91" s="52">
        <v>5.7021305</v>
      </c>
      <c r="R91" s="52">
        <v>1.1335356E-6</v>
      </c>
      <c r="S91" s="52">
        <v>3.5752850000000001E-3</v>
      </c>
      <c r="T91" s="52">
        <v>1.9151161E-2</v>
      </c>
      <c r="U91" s="52">
        <v>3.8023555000000001E-3</v>
      </c>
      <c r="V91" s="52">
        <v>2.0049337999999999</v>
      </c>
      <c r="W91" s="52">
        <v>0.12926487</v>
      </c>
      <c r="X91" s="52">
        <v>338.63108999999997</v>
      </c>
      <c r="Y91" s="52">
        <v>1.1891815999999999E-2</v>
      </c>
      <c r="Z91" s="52"/>
      <c r="AA91" s="52"/>
      <c r="AB91" s="52"/>
      <c r="AC91" s="52"/>
      <c r="AD91" s="52"/>
      <c r="AE91" s="52"/>
      <c r="AF91" s="52"/>
      <c r="AG91" s="52"/>
      <c r="AH91" s="52"/>
      <c r="AI91" s="52"/>
      <c r="AJ91" s="52"/>
      <c r="AK91" s="52"/>
      <c r="AL91" s="52"/>
      <c r="AM91" s="52"/>
      <c r="AN91" s="52"/>
      <c r="AO91" s="52"/>
      <c r="AP91" s="52"/>
      <c r="AQ91" s="52"/>
      <c r="AR91" s="52"/>
      <c r="AS91" s="52"/>
      <c r="AT91" s="52"/>
      <c r="AU91" s="52">
        <v>0</v>
      </c>
      <c r="AV91" s="52"/>
      <c r="AW91" s="52"/>
      <c r="AX91" s="52">
        <v>0</v>
      </c>
      <c r="AY91" s="52"/>
      <c r="AZ91" s="52"/>
      <c r="BA91" s="52"/>
      <c r="BB91" s="52">
        <v>0</v>
      </c>
      <c r="BC91" s="52">
        <v>0</v>
      </c>
      <c r="BD91" s="52">
        <v>0</v>
      </c>
      <c r="BE91" s="52">
        <v>0</v>
      </c>
      <c r="BF91" s="52"/>
      <c r="BG91" s="52"/>
      <c r="BH91" s="52"/>
      <c r="BI91" s="52"/>
      <c r="BJ91" s="52"/>
      <c r="BK91" s="78">
        <v>0</v>
      </c>
      <c r="BL91" s="41" t="s">
        <v>109</v>
      </c>
      <c r="BM91" s="45"/>
    </row>
    <row r="92" spans="1:65" x14ac:dyDescent="0.35">
      <c r="A92" s="41" t="str">
        <f>Database_Productkaarten[[#This Row],[Product]]&amp;", "&amp;Database_Productkaarten[[#This Row],[Levensfase]]</f>
        <v>AC Surf G.M. 0% PR - PCR 1.0, A5</v>
      </c>
      <c r="B92" s="41" t="s">
        <v>1344</v>
      </c>
      <c r="C92" s="41" t="s">
        <v>443</v>
      </c>
      <c r="D92" s="41" t="s">
        <v>471</v>
      </c>
      <c r="E92" s="41" t="s">
        <v>91</v>
      </c>
      <c r="F92" s="41" t="s">
        <v>23</v>
      </c>
      <c r="L92" s="41">
        <v>2.35</v>
      </c>
      <c r="M92" s="53">
        <v>0.26142994000000003</v>
      </c>
      <c r="N92" s="41">
        <v>14</v>
      </c>
      <c r="O92" s="52">
        <v>6.4405276999999999E-7</v>
      </c>
      <c r="P92" s="52">
        <v>1.3221688000000001E-2</v>
      </c>
      <c r="Q92" s="52">
        <v>2.554217</v>
      </c>
      <c r="R92" s="52">
        <v>3.4623921999999999E-7</v>
      </c>
      <c r="S92" s="52">
        <v>9.5560771999999997E-4</v>
      </c>
      <c r="T92" s="52">
        <v>1.0774331999999999E-2</v>
      </c>
      <c r="U92" s="52">
        <v>2.4326081999999998E-3</v>
      </c>
      <c r="V92" s="52">
        <v>0.67890231999999995</v>
      </c>
      <c r="W92" s="52">
        <v>9.5891563000000003E-3</v>
      </c>
      <c r="X92" s="52">
        <v>32.339298999999997</v>
      </c>
      <c r="Y92" s="52">
        <v>1.1383995E-3</v>
      </c>
      <c r="Z92" s="52"/>
      <c r="AA92" s="52"/>
      <c r="AB92" s="52"/>
      <c r="AC92" s="52"/>
      <c r="AD92" s="52"/>
      <c r="AE92" s="52"/>
      <c r="AF92" s="52"/>
      <c r="AG92" s="52"/>
      <c r="AH92" s="52"/>
      <c r="AI92" s="52"/>
      <c r="AJ92" s="52"/>
      <c r="AK92" s="52"/>
      <c r="AL92" s="52"/>
      <c r="AM92" s="52"/>
      <c r="AN92" s="52"/>
      <c r="AO92" s="52"/>
      <c r="AP92" s="52"/>
      <c r="AQ92" s="52"/>
      <c r="AR92" s="52"/>
      <c r="AS92" s="52"/>
      <c r="AT92" s="52"/>
      <c r="AU92" s="52">
        <v>0.16170355</v>
      </c>
      <c r="AV92" s="52"/>
      <c r="AW92" s="52"/>
      <c r="AX92" s="52">
        <v>29.640834999999999</v>
      </c>
      <c r="AY92" s="52"/>
      <c r="AZ92" s="52"/>
      <c r="BA92" s="52"/>
      <c r="BB92" s="52">
        <v>3.6528305999999999E-3</v>
      </c>
      <c r="BC92" s="52">
        <v>1.2448785000000001E-5</v>
      </c>
      <c r="BD92" s="52">
        <v>2.9724645000000001E-2</v>
      </c>
      <c r="BE92" s="52">
        <v>1.9389087E-4</v>
      </c>
      <c r="BF92" s="52"/>
      <c r="BG92" s="52"/>
      <c r="BH92" s="52"/>
      <c r="BI92" s="52"/>
      <c r="BJ92" s="52"/>
      <c r="BK92" s="78">
        <v>0</v>
      </c>
      <c r="BL92" s="41" t="s">
        <v>109</v>
      </c>
      <c r="BM92" s="45"/>
    </row>
    <row r="93" spans="1:65" x14ac:dyDescent="0.35">
      <c r="A93" s="41" t="str">
        <f>Database_Productkaarten[[#This Row],[Product]]&amp;", "&amp;Database_Productkaarten[[#This Row],[Levensfase]]</f>
        <v>AC Surf G.M. 0% PR - PCR 1.0, B1</v>
      </c>
      <c r="B93" s="41" t="s">
        <v>1344</v>
      </c>
      <c r="C93" s="41" t="s">
        <v>443</v>
      </c>
      <c r="D93" s="41" t="s">
        <v>471</v>
      </c>
      <c r="E93" s="41" t="s">
        <v>91</v>
      </c>
      <c r="F93" s="41" t="s">
        <v>24</v>
      </c>
      <c r="L93" s="41">
        <v>2.35</v>
      </c>
      <c r="M93" s="53">
        <v>8.2079854999999993E-2</v>
      </c>
      <c r="N93" s="41">
        <v>14</v>
      </c>
      <c r="O93" s="52">
        <v>0</v>
      </c>
      <c r="P93" s="52">
        <v>0</v>
      </c>
      <c r="Q93" s="52">
        <v>0</v>
      </c>
      <c r="R93" s="52">
        <v>0</v>
      </c>
      <c r="S93" s="52">
        <v>0</v>
      </c>
      <c r="T93" s="52">
        <v>0</v>
      </c>
      <c r="U93" s="52">
        <v>0</v>
      </c>
      <c r="V93" s="52">
        <v>0.33065064999999999</v>
      </c>
      <c r="W93" s="52">
        <v>0.35447900999999998</v>
      </c>
      <c r="X93" s="52">
        <v>416.74824000000001</v>
      </c>
      <c r="Y93" s="52">
        <v>2.016962E-4</v>
      </c>
      <c r="Z93" s="52"/>
      <c r="AA93" s="52"/>
      <c r="AB93" s="52"/>
      <c r="AC93" s="52"/>
      <c r="AD93" s="52"/>
      <c r="AE93" s="52"/>
      <c r="AF93" s="52"/>
      <c r="AG93" s="52"/>
      <c r="AH93" s="52"/>
      <c r="AI93" s="52"/>
      <c r="AJ93" s="52"/>
      <c r="AK93" s="52"/>
      <c r="AL93" s="52"/>
      <c r="AM93" s="52"/>
      <c r="AN93" s="52"/>
      <c r="AO93" s="52"/>
      <c r="AP93" s="52"/>
      <c r="AQ93" s="52"/>
      <c r="AR93" s="52"/>
      <c r="AS93" s="52"/>
      <c r="AT93" s="52"/>
      <c r="AU93" s="52">
        <v>0</v>
      </c>
      <c r="AV93" s="52"/>
      <c r="AW93" s="52"/>
      <c r="AX93" s="52">
        <v>0</v>
      </c>
      <c r="AY93" s="52"/>
      <c r="AZ93" s="52"/>
      <c r="BA93" s="52"/>
      <c r="BB93" s="52">
        <v>0</v>
      </c>
      <c r="BC93" s="52">
        <v>0</v>
      </c>
      <c r="BD93" s="52">
        <v>0</v>
      </c>
      <c r="BE93" s="52">
        <v>0</v>
      </c>
      <c r="BF93" s="52"/>
      <c r="BG93" s="52"/>
      <c r="BH93" s="52"/>
      <c r="BI93" s="52"/>
      <c r="BJ93" s="52"/>
      <c r="BK93" s="78">
        <v>0</v>
      </c>
      <c r="BL93" s="41" t="s">
        <v>109</v>
      </c>
      <c r="BM93" s="45"/>
    </row>
    <row r="94" spans="1:65" x14ac:dyDescent="0.35">
      <c r="A94" s="41" t="str">
        <f>Database_Productkaarten[[#This Row],[Product]]&amp;", "&amp;Database_Productkaarten[[#This Row],[Levensfase]]</f>
        <v>AC Surf G.M. 0% PR - PCR 1.0, C1</v>
      </c>
      <c r="B94" s="41" t="s">
        <v>1344</v>
      </c>
      <c r="C94" s="41" t="s">
        <v>443</v>
      </c>
      <c r="D94" s="41" t="s">
        <v>471</v>
      </c>
      <c r="E94" s="41" t="s">
        <v>91</v>
      </c>
      <c r="F94" s="41" t="s">
        <v>25</v>
      </c>
      <c r="L94" s="41">
        <v>2.35</v>
      </c>
      <c r="M94" s="53">
        <v>0.13639726999999999</v>
      </c>
      <c r="N94" s="41">
        <v>14</v>
      </c>
      <c r="O94" s="52">
        <v>3.6644380999999999E-7</v>
      </c>
      <c r="P94" s="52">
        <v>7.5226846000000002E-3</v>
      </c>
      <c r="Q94" s="52">
        <v>1.4532613999999999</v>
      </c>
      <c r="R94" s="52">
        <v>1.9699817000000001E-7</v>
      </c>
      <c r="S94" s="52">
        <v>4.8171299999999999E-4</v>
      </c>
      <c r="T94" s="52">
        <v>4.2661764999999997E-3</v>
      </c>
      <c r="U94" s="52">
        <v>8.9941806E-4</v>
      </c>
      <c r="V94" s="52">
        <v>0.38176861000000001</v>
      </c>
      <c r="W94" s="52">
        <v>5.4558992000000002E-3</v>
      </c>
      <c r="X94" s="52">
        <v>18.399946</v>
      </c>
      <c r="Y94" s="52">
        <v>6.4771006999999995E-4</v>
      </c>
      <c r="Z94" s="52"/>
      <c r="AA94" s="52"/>
      <c r="AB94" s="52"/>
      <c r="AC94" s="52"/>
      <c r="AD94" s="52"/>
      <c r="AE94" s="52"/>
      <c r="AF94" s="52"/>
      <c r="AG94" s="52"/>
      <c r="AH94" s="52"/>
      <c r="AI94" s="52"/>
      <c r="AJ94" s="52"/>
      <c r="AK94" s="52"/>
      <c r="AL94" s="52"/>
      <c r="AM94" s="52"/>
      <c r="AN94" s="52"/>
      <c r="AO94" s="52"/>
      <c r="AP94" s="52"/>
      <c r="AQ94" s="52"/>
      <c r="AR94" s="52"/>
      <c r="AS94" s="52"/>
      <c r="AT94" s="52"/>
      <c r="AU94" s="52">
        <v>9.2003741E-2</v>
      </c>
      <c r="AV94" s="52"/>
      <c r="AW94" s="52"/>
      <c r="AX94" s="52">
        <v>16.864612999999999</v>
      </c>
      <c r="AY94" s="52"/>
      <c r="AZ94" s="52"/>
      <c r="BA94" s="52"/>
      <c r="BB94" s="52">
        <v>2.0783346E-3</v>
      </c>
      <c r="BC94" s="52">
        <v>7.0829294000000003E-6</v>
      </c>
      <c r="BD94" s="52">
        <v>1.6912297999999999E-2</v>
      </c>
      <c r="BE94" s="52">
        <v>1.1031722E-4</v>
      </c>
      <c r="BF94" s="52"/>
      <c r="BG94" s="52"/>
      <c r="BH94" s="52"/>
      <c r="BI94" s="52"/>
      <c r="BJ94" s="52"/>
      <c r="BK94" s="78">
        <v>0</v>
      </c>
      <c r="BL94" s="41" t="s">
        <v>109</v>
      </c>
      <c r="BM94" s="45"/>
    </row>
    <row r="95" spans="1:65" x14ac:dyDescent="0.35">
      <c r="A95" s="41" t="str">
        <f>Database_Productkaarten[[#This Row],[Product]]&amp;", "&amp;Database_Productkaarten[[#This Row],[Levensfase]]</f>
        <v>AC Surf G.M. 0% PR - PCR 1.0, C2</v>
      </c>
      <c r="B95" s="41" t="s">
        <v>1344</v>
      </c>
      <c r="C95" s="41" t="s">
        <v>443</v>
      </c>
      <c r="D95" s="41" t="s">
        <v>471</v>
      </c>
      <c r="E95" s="41" t="s">
        <v>91</v>
      </c>
      <c r="F95" s="41" t="s">
        <v>26</v>
      </c>
      <c r="L95" s="41">
        <v>2.35</v>
      </c>
      <c r="M95" s="53">
        <v>0.62892669999999995</v>
      </c>
      <c r="N95" s="41">
        <v>14</v>
      </c>
      <c r="O95" s="52">
        <v>1.0978337000000001E-5</v>
      </c>
      <c r="P95" s="52">
        <v>4.3183727999999998E-2</v>
      </c>
      <c r="Q95" s="52">
        <v>5.7021305</v>
      </c>
      <c r="R95" s="52">
        <v>1.1335356E-6</v>
      </c>
      <c r="S95" s="52">
        <v>3.5752850000000001E-3</v>
      </c>
      <c r="T95" s="52">
        <v>1.9151161E-2</v>
      </c>
      <c r="U95" s="52">
        <v>3.8023555000000001E-3</v>
      </c>
      <c r="V95" s="52">
        <v>2.0049337999999999</v>
      </c>
      <c r="W95" s="52">
        <v>0.12926487</v>
      </c>
      <c r="X95" s="52">
        <v>338.63108999999997</v>
      </c>
      <c r="Y95" s="52">
        <v>1.1891815999999999E-2</v>
      </c>
      <c r="Z95" s="52"/>
      <c r="AA95" s="52"/>
      <c r="AB95" s="52"/>
      <c r="AC95" s="52"/>
      <c r="AD95" s="52"/>
      <c r="AE95" s="52"/>
      <c r="AF95" s="52"/>
      <c r="AG95" s="52"/>
      <c r="AH95" s="52"/>
      <c r="AI95" s="52"/>
      <c r="AJ95" s="52"/>
      <c r="AK95" s="52"/>
      <c r="AL95" s="52"/>
      <c r="AM95" s="52"/>
      <c r="AN95" s="52"/>
      <c r="AO95" s="52"/>
      <c r="AP95" s="52"/>
      <c r="AQ95" s="52"/>
      <c r="AR95" s="52"/>
      <c r="AS95" s="52"/>
      <c r="AT95" s="52"/>
      <c r="AU95" s="52">
        <v>0</v>
      </c>
      <c r="AV95" s="52"/>
      <c r="AW95" s="52"/>
      <c r="AX95" s="52">
        <v>0</v>
      </c>
      <c r="AY95" s="52"/>
      <c r="AZ95" s="52"/>
      <c r="BA95" s="52"/>
      <c r="BB95" s="52">
        <v>0</v>
      </c>
      <c r="BC95" s="52">
        <v>0</v>
      </c>
      <c r="BD95" s="52">
        <v>0</v>
      </c>
      <c r="BE95" s="52">
        <v>0</v>
      </c>
      <c r="BF95" s="52"/>
      <c r="BG95" s="52"/>
      <c r="BH95" s="52"/>
      <c r="BI95" s="52"/>
      <c r="BJ95" s="52"/>
      <c r="BK95" s="78">
        <v>0</v>
      </c>
      <c r="BL95" s="41" t="s">
        <v>109</v>
      </c>
      <c r="BM95" s="45"/>
    </row>
    <row r="96" spans="1:65" x14ac:dyDescent="0.35">
      <c r="A96" s="41" t="str">
        <f>Database_Productkaarten[[#This Row],[Product]]&amp;", "&amp;Database_Productkaarten[[#This Row],[Levensfase]]</f>
        <v>AC Surf G.M. 0% PR - PCR 1.0, C3</v>
      </c>
      <c r="B96" s="41" t="s">
        <v>1344</v>
      </c>
      <c r="C96" s="41" t="s">
        <v>443</v>
      </c>
      <c r="D96" s="41" t="s">
        <v>471</v>
      </c>
      <c r="E96" s="41" t="s">
        <v>91</v>
      </c>
      <c r="F96" s="41" t="s">
        <v>27</v>
      </c>
      <c r="L96" s="41">
        <v>2.35</v>
      </c>
      <c r="M96" s="53">
        <v>0.16120214999999999</v>
      </c>
      <c r="N96" s="41">
        <v>14</v>
      </c>
      <c r="O96" s="52">
        <v>4.1291555000000003E-7</v>
      </c>
      <c r="P96" s="52">
        <v>8.4766977000000007E-3</v>
      </c>
      <c r="Q96" s="52">
        <v>1.6375614000000001</v>
      </c>
      <c r="R96" s="52">
        <v>2.2198113E-7</v>
      </c>
      <c r="S96" s="52">
        <v>5.9777666999999998E-4</v>
      </c>
      <c r="T96" s="52">
        <v>5.9352911999999997E-3</v>
      </c>
      <c r="U96" s="52">
        <v>1.3067828999999999E-3</v>
      </c>
      <c r="V96" s="52">
        <v>0.43290835999999999</v>
      </c>
      <c r="W96" s="52">
        <v>6.1478065000000002E-3</v>
      </c>
      <c r="X96" s="52">
        <v>20.733394000000001</v>
      </c>
      <c r="Y96" s="52">
        <v>7.2985148000000004E-4</v>
      </c>
      <c r="Z96" s="52"/>
      <c r="AA96" s="52"/>
      <c r="AB96" s="52"/>
      <c r="AC96" s="52"/>
      <c r="AD96" s="52"/>
      <c r="AE96" s="52"/>
      <c r="AF96" s="52"/>
      <c r="AG96" s="52"/>
      <c r="AH96" s="52"/>
      <c r="AI96" s="52"/>
      <c r="AJ96" s="52"/>
      <c r="AK96" s="52"/>
      <c r="AL96" s="52"/>
      <c r="AM96" s="52"/>
      <c r="AN96" s="52"/>
      <c r="AO96" s="52"/>
      <c r="AP96" s="52"/>
      <c r="AQ96" s="52"/>
      <c r="AR96" s="52"/>
      <c r="AS96" s="52"/>
      <c r="AT96" s="52"/>
      <c r="AU96" s="52">
        <v>0.10367149000000001</v>
      </c>
      <c r="AV96" s="52"/>
      <c r="AW96" s="52"/>
      <c r="AX96" s="52">
        <v>19.003353000000001</v>
      </c>
      <c r="AY96" s="52"/>
      <c r="AZ96" s="52"/>
      <c r="BA96" s="52"/>
      <c r="BB96" s="52">
        <v>2.3419052000000001E-3</v>
      </c>
      <c r="BC96" s="52">
        <v>7.9811735999999999E-6</v>
      </c>
      <c r="BD96" s="52">
        <v>1.9057085000000001E-2</v>
      </c>
      <c r="BE96" s="52">
        <v>1.2430745000000001E-4</v>
      </c>
      <c r="BF96" s="52"/>
      <c r="BG96" s="52"/>
      <c r="BH96" s="52"/>
      <c r="BI96" s="52"/>
      <c r="BJ96" s="52"/>
      <c r="BK96" s="78">
        <v>0</v>
      </c>
      <c r="BL96" s="41" t="s">
        <v>109</v>
      </c>
      <c r="BM96" s="45"/>
    </row>
    <row r="97" spans="1:65" x14ac:dyDescent="0.35">
      <c r="A97" s="41" t="str">
        <f>Database_Productkaarten[[#This Row],[Product]]&amp;", "&amp;Database_Productkaarten[[#This Row],[Levensfase]]</f>
        <v>AC Surf G.M. 0% PR - PCR 1.0, D1</v>
      </c>
      <c r="B97" s="41" t="s">
        <v>1344</v>
      </c>
      <c r="C97" s="41" t="s">
        <v>443</v>
      </c>
      <c r="D97" s="41" t="s">
        <v>471</v>
      </c>
      <c r="E97" s="41" t="s">
        <v>91</v>
      </c>
      <c r="F97" s="41" t="s">
        <v>51</v>
      </c>
      <c r="L97" s="41">
        <v>2.35</v>
      </c>
      <c r="M97" s="53">
        <v>-3.9940160053732399</v>
      </c>
      <c r="N97" s="41">
        <v>14</v>
      </c>
      <c r="O97" s="52">
        <v>-5.3083033576000006E-5</v>
      </c>
      <c r="P97" s="52">
        <v>-0.7169252562884999</v>
      </c>
      <c r="Q97" s="52">
        <v>-29.453326462865036</v>
      </c>
      <c r="R97" s="52">
        <v>-2.45704680885E-6</v>
      </c>
      <c r="S97" s="52">
        <v>-7.701142864887997E-2</v>
      </c>
      <c r="T97" s="52">
        <v>-0.21047225807945996</v>
      </c>
      <c r="U97" s="52">
        <v>-1.9503658210159997E-2</v>
      </c>
      <c r="V97" s="52">
        <v>-7.8223579410965183</v>
      </c>
      <c r="W97" s="52">
        <v>-1.1166392736002995</v>
      </c>
      <c r="X97" s="52">
        <v>-4891.1542202810751</v>
      </c>
      <c r="Y97" s="52">
        <v>-0.14465825697109999</v>
      </c>
      <c r="Z97" s="52"/>
      <c r="AA97" s="52"/>
      <c r="AB97" s="52"/>
      <c r="AC97" s="52"/>
      <c r="AD97" s="52"/>
      <c r="AE97" s="52"/>
      <c r="AF97" s="52"/>
      <c r="AG97" s="52"/>
      <c r="AH97" s="52"/>
      <c r="AI97" s="52"/>
      <c r="AJ97" s="52"/>
      <c r="AK97" s="52"/>
      <c r="AL97" s="52"/>
      <c r="AM97" s="52"/>
      <c r="AN97" s="52"/>
      <c r="AO97" s="52"/>
      <c r="AP97" s="52"/>
      <c r="AQ97" s="52"/>
      <c r="AR97" s="52"/>
      <c r="AS97" s="52"/>
      <c r="AT97" s="52"/>
      <c r="AU97" s="52">
        <v>-11.36970112221044</v>
      </c>
      <c r="AV97" s="52"/>
      <c r="AW97" s="52"/>
      <c r="AX97" s="52">
        <v>-1618.7150802410915</v>
      </c>
      <c r="AY97" s="52"/>
      <c r="AZ97" s="52"/>
      <c r="BA97" s="52"/>
      <c r="BB97" s="52">
        <v>-17.146798097462053</v>
      </c>
      <c r="BC97" s="52">
        <v>-5.8070805973499981E-4</v>
      </c>
      <c r="BD97" s="52">
        <v>-1.9123252125876797</v>
      </c>
      <c r="BE97" s="52">
        <v>-6.8134373300999997E-4</v>
      </c>
      <c r="BF97" s="52"/>
      <c r="BG97" s="52"/>
      <c r="BH97" s="52"/>
      <c r="BI97" s="52"/>
      <c r="BJ97" s="52"/>
      <c r="BK97" s="78">
        <v>0</v>
      </c>
      <c r="BL97" s="41" t="s">
        <v>109</v>
      </c>
      <c r="BM97" s="45"/>
    </row>
    <row r="98" spans="1:65" x14ac:dyDescent="0.35">
      <c r="A98" s="41" t="str">
        <f>Database_Productkaarten[[#This Row],[Product]]&amp;", "&amp;Database_Productkaarten[[#This Row],[Levensfase]]</f>
        <v>AC Surf G.M. 0% PR - PCR 1.0, D2</v>
      </c>
      <c r="B98" s="41" t="s">
        <v>1344</v>
      </c>
      <c r="C98" s="41" t="s">
        <v>443</v>
      </c>
      <c r="D98" s="41" t="s">
        <v>471</v>
      </c>
      <c r="E98" s="41" t="s">
        <v>91</v>
      </c>
      <c r="F98" s="41" t="s">
        <v>52</v>
      </c>
      <c r="L98" s="41">
        <v>2.35</v>
      </c>
      <c r="M98" s="53">
        <v>-1.7432183465972551</v>
      </c>
      <c r="N98" s="41">
        <v>14</v>
      </c>
      <c r="O98" s="52">
        <v>-1.1701289031055512E-5</v>
      </c>
      <c r="P98" s="52">
        <v>-8.1004972538634465E-2</v>
      </c>
      <c r="Q98" s="52">
        <v>-11.842313914107899</v>
      </c>
      <c r="R98" s="52">
        <v>-1.9280075106420814E-6</v>
      </c>
      <c r="S98" s="52">
        <v>-9.0390292630549967E-3</v>
      </c>
      <c r="T98" s="52">
        <v>-0.13405061502330387</v>
      </c>
      <c r="U98" s="52">
        <v>-1.8286531772492898E-2</v>
      </c>
      <c r="V98" s="52">
        <v>-4.2076693410725197</v>
      </c>
      <c r="W98" s="52">
        <v>-9.603989842704462E-2</v>
      </c>
      <c r="X98" s="52">
        <v>-367.07930662991629</v>
      </c>
      <c r="Y98" s="52">
        <v>-1.5663033395127313E-2</v>
      </c>
      <c r="Z98" s="52"/>
      <c r="AA98" s="52"/>
      <c r="AB98" s="52"/>
      <c r="AC98" s="52"/>
      <c r="AD98" s="52"/>
      <c r="AE98" s="52"/>
      <c r="AF98" s="52"/>
      <c r="AG98" s="52"/>
      <c r="AH98" s="52"/>
      <c r="AI98" s="52"/>
      <c r="AJ98" s="52"/>
      <c r="AK98" s="52"/>
      <c r="AL98" s="52"/>
      <c r="AM98" s="52"/>
      <c r="AN98" s="52"/>
      <c r="AO98" s="52"/>
      <c r="AP98" s="52"/>
      <c r="AQ98" s="52"/>
      <c r="AR98" s="52"/>
      <c r="AS98" s="52"/>
      <c r="AT98" s="52"/>
      <c r="AU98" s="52">
        <v>-3.2871758323658549</v>
      </c>
      <c r="AV98" s="52"/>
      <c r="AW98" s="52"/>
      <c r="AX98" s="52">
        <v>-179.59180185643118</v>
      </c>
      <c r="AY98" s="52"/>
      <c r="AZ98" s="52"/>
      <c r="BA98" s="52"/>
      <c r="BB98" s="52">
        <v>-3.6188882117651422E-2</v>
      </c>
      <c r="BC98" s="52">
        <v>-1.1386681187801883E-4</v>
      </c>
      <c r="BD98" s="52">
        <v>-2.9577027442418493</v>
      </c>
      <c r="BE98" s="52">
        <v>-1.1182261665935683E-3</v>
      </c>
      <c r="BF98" s="52"/>
      <c r="BG98" s="52"/>
      <c r="BH98" s="52"/>
      <c r="BI98" s="52"/>
      <c r="BJ98" s="52"/>
      <c r="BK98" s="78">
        <v>0</v>
      </c>
      <c r="BL98" s="41" t="s">
        <v>109</v>
      </c>
      <c r="BM98" s="45"/>
    </row>
    <row r="99" spans="1:65" x14ac:dyDescent="0.35">
      <c r="A99" s="45" t="str">
        <f>Database_Productkaarten[[#This Row],[Product]]&amp;", "&amp;Database_Productkaarten[[#This Row],[Levensfase]]</f>
        <v>AC 11 surf DL-A rood*, Totaal</v>
      </c>
      <c r="B99" s="41" t="s">
        <v>1262</v>
      </c>
      <c r="C99" s="41" t="s">
        <v>443</v>
      </c>
      <c r="D99" s="41" t="s">
        <v>471</v>
      </c>
      <c r="E99" s="41" t="s">
        <v>91</v>
      </c>
      <c r="F99" s="41" t="s">
        <v>16</v>
      </c>
      <c r="G99" s="45"/>
      <c r="H99" s="45"/>
      <c r="I99" s="45"/>
      <c r="J99" s="45"/>
      <c r="K99" s="45"/>
      <c r="L99" s="41">
        <v>2.35</v>
      </c>
      <c r="M99" s="54">
        <f>M87*1.5</f>
        <v>14.681070738979761</v>
      </c>
      <c r="N99" s="41">
        <v>14</v>
      </c>
      <c r="O99" s="55">
        <f>O87*1.5</f>
        <v>8.5823875402310111E-4</v>
      </c>
      <c r="P99" s="55">
        <f t="shared" ref="P99:BJ99" si="0">P87*1.5</f>
        <v>1.7366740680832946</v>
      </c>
      <c r="Q99" s="55">
        <f t="shared" si="0"/>
        <v>134.77628125851493</v>
      </c>
      <c r="R99" s="55">
        <f t="shared" si="0"/>
        <v>1.8389651702772862E-5</v>
      </c>
      <c r="S99" s="55">
        <f t="shared" si="0"/>
        <v>0.14494341501431152</v>
      </c>
      <c r="T99" s="55">
        <f t="shared" si="0"/>
        <v>0.60324520459956021</v>
      </c>
      <c r="U99" s="55">
        <f t="shared" si="0"/>
        <v>8.000782809182877E-2</v>
      </c>
      <c r="V99" s="55">
        <f t="shared" si="0"/>
        <v>36.559657064770036</v>
      </c>
      <c r="W99" s="55">
        <f t="shared" si="0"/>
        <v>2.549916958127481</v>
      </c>
      <c r="X99" s="55">
        <f t="shared" si="0"/>
        <v>8558.3201244822812</v>
      </c>
      <c r="Y99" s="55">
        <f t="shared" si="0"/>
        <v>0.30371608465110023</v>
      </c>
      <c r="Z99" s="55">
        <f t="shared" si="0"/>
        <v>0</v>
      </c>
      <c r="AA99" s="55">
        <f t="shared" si="0"/>
        <v>0</v>
      </c>
      <c r="AB99" s="55">
        <f t="shared" si="0"/>
        <v>0</v>
      </c>
      <c r="AC99" s="55">
        <f t="shared" si="0"/>
        <v>0</v>
      </c>
      <c r="AD99" s="55">
        <f t="shared" si="0"/>
        <v>0</v>
      </c>
      <c r="AE99" s="55">
        <f t="shared" si="0"/>
        <v>0</v>
      </c>
      <c r="AF99" s="55">
        <f t="shared" si="0"/>
        <v>0</v>
      </c>
      <c r="AG99" s="55">
        <f t="shared" si="0"/>
        <v>0</v>
      </c>
      <c r="AH99" s="55">
        <f t="shared" si="0"/>
        <v>0</v>
      </c>
      <c r="AI99" s="55">
        <f t="shared" si="0"/>
        <v>0</v>
      </c>
      <c r="AJ99" s="55">
        <f t="shared" si="0"/>
        <v>0</v>
      </c>
      <c r="AK99" s="55">
        <f t="shared" si="0"/>
        <v>0</v>
      </c>
      <c r="AL99" s="55">
        <f t="shared" si="0"/>
        <v>0</v>
      </c>
      <c r="AM99" s="55">
        <f t="shared" si="0"/>
        <v>0</v>
      </c>
      <c r="AN99" s="55">
        <f t="shared" si="0"/>
        <v>0</v>
      </c>
      <c r="AO99" s="55">
        <f t="shared" si="0"/>
        <v>0</v>
      </c>
      <c r="AP99" s="55">
        <f t="shared" si="0"/>
        <v>0</v>
      </c>
      <c r="AQ99" s="55">
        <f t="shared" si="0"/>
        <v>0</v>
      </c>
      <c r="AR99" s="55">
        <f t="shared" si="0"/>
        <v>0</v>
      </c>
      <c r="AS99" s="55">
        <f t="shared" si="0"/>
        <v>0</v>
      </c>
      <c r="AT99" s="55">
        <f t="shared" si="0"/>
        <v>0</v>
      </c>
      <c r="AU99" s="55">
        <f t="shared" si="0"/>
        <v>57.745121668708023</v>
      </c>
      <c r="AV99" s="55">
        <f t="shared" si="0"/>
        <v>0</v>
      </c>
      <c r="AW99" s="55">
        <f t="shared" si="0"/>
        <v>0</v>
      </c>
      <c r="AX99" s="55">
        <f t="shared" si="0"/>
        <v>3538.2891279304085</v>
      </c>
      <c r="AY99" s="55">
        <f t="shared" si="0"/>
        <v>0</v>
      </c>
      <c r="AZ99" s="55">
        <f t="shared" si="0"/>
        <v>0</v>
      </c>
      <c r="BA99" s="55">
        <f t="shared" si="0"/>
        <v>0</v>
      </c>
      <c r="BB99" s="55">
        <f t="shared" si="0"/>
        <v>19.823462887691299</v>
      </c>
      <c r="BC99" s="55">
        <f t="shared" si="0"/>
        <v>2.1131455823284392E-3</v>
      </c>
      <c r="BD99" s="55">
        <f t="shared" si="0"/>
        <v>8.6237919221257311</v>
      </c>
      <c r="BE99" s="55">
        <f t="shared" si="0"/>
        <v>5.9939598004563749E-3</v>
      </c>
      <c r="BF99" s="55">
        <f t="shared" si="0"/>
        <v>0</v>
      </c>
      <c r="BG99" s="55">
        <f t="shared" si="0"/>
        <v>0</v>
      </c>
      <c r="BH99" s="55">
        <f t="shared" si="0"/>
        <v>0</v>
      </c>
      <c r="BI99" s="55">
        <f t="shared" si="0"/>
        <v>0</v>
      </c>
      <c r="BJ99" s="55">
        <f t="shared" si="0"/>
        <v>0</v>
      </c>
      <c r="BK99" s="78">
        <v>0</v>
      </c>
      <c r="BL99" s="45"/>
      <c r="BM99" s="45" t="s">
        <v>1263</v>
      </c>
    </row>
    <row r="100" spans="1:65" x14ac:dyDescent="0.35">
      <c r="A100" s="45" t="str">
        <f>Database_Productkaarten[[#This Row],[Product]]&amp;", "&amp;Database_Productkaarten[[#This Row],[Levensfase]]</f>
        <v>AC 11 surf DL-A rood*, A1</v>
      </c>
      <c r="B100" s="41" t="s">
        <v>1262</v>
      </c>
      <c r="C100" s="41" t="s">
        <v>443</v>
      </c>
      <c r="D100" s="41" t="s">
        <v>471</v>
      </c>
      <c r="E100" s="41" t="s">
        <v>91</v>
      </c>
      <c r="F100" s="41" t="s">
        <v>19</v>
      </c>
      <c r="G100" s="45"/>
      <c r="H100" s="45"/>
      <c r="I100" s="45"/>
      <c r="J100" s="45"/>
      <c r="K100" s="45"/>
      <c r="L100" s="41">
        <v>2.35</v>
      </c>
      <c r="M100" s="54">
        <f t="shared" ref="M100:M110" si="1">M88*1.5</f>
        <v>13.728351513</v>
      </c>
      <c r="N100" s="41">
        <v>14</v>
      </c>
      <c r="O100" s="55">
        <f t="shared" ref="O100:BJ100" si="2">O88*1.5</f>
        <v>8.8498086720000002E-4</v>
      </c>
      <c r="P100" s="55">
        <f t="shared" si="2"/>
        <v>2.2617246718500001</v>
      </c>
      <c r="Q100" s="55">
        <f t="shared" si="2"/>
        <v>107.08438922549999</v>
      </c>
      <c r="R100" s="55">
        <f t="shared" si="2"/>
        <v>1.1743673985E-5</v>
      </c>
      <c r="S100" s="55">
        <f t="shared" si="2"/>
        <v>0.23308991184000002</v>
      </c>
      <c r="T100" s="55">
        <f t="shared" si="2"/>
        <v>0.67576077225000009</v>
      </c>
      <c r="U100" s="55">
        <f t="shared" si="2"/>
        <v>6.7963264199999998E-2</v>
      </c>
      <c r="V100" s="55">
        <f t="shared" si="2"/>
        <v>30.483719293499998</v>
      </c>
      <c r="W100" s="55">
        <f t="shared" si="2"/>
        <v>3.1524107179500001</v>
      </c>
      <c r="X100" s="55">
        <f t="shared" si="2"/>
        <v>13674.542583970499</v>
      </c>
      <c r="Y100" s="55">
        <f t="shared" si="2"/>
        <v>0.42932290755000002</v>
      </c>
      <c r="Z100" s="55">
        <f t="shared" si="2"/>
        <v>0</v>
      </c>
      <c r="AA100" s="55">
        <f t="shared" si="2"/>
        <v>0</v>
      </c>
      <c r="AB100" s="55">
        <f t="shared" si="2"/>
        <v>0</v>
      </c>
      <c r="AC100" s="55">
        <f t="shared" si="2"/>
        <v>0</v>
      </c>
      <c r="AD100" s="55">
        <f t="shared" si="2"/>
        <v>0</v>
      </c>
      <c r="AE100" s="55">
        <f t="shared" si="2"/>
        <v>0</v>
      </c>
      <c r="AF100" s="55">
        <f t="shared" si="2"/>
        <v>0</v>
      </c>
      <c r="AG100" s="55">
        <f t="shared" si="2"/>
        <v>0</v>
      </c>
      <c r="AH100" s="55">
        <f t="shared" si="2"/>
        <v>0</v>
      </c>
      <c r="AI100" s="55">
        <f t="shared" si="2"/>
        <v>0</v>
      </c>
      <c r="AJ100" s="55">
        <f t="shared" si="2"/>
        <v>0</v>
      </c>
      <c r="AK100" s="55">
        <f t="shared" si="2"/>
        <v>0</v>
      </c>
      <c r="AL100" s="55">
        <f t="shared" si="2"/>
        <v>0</v>
      </c>
      <c r="AM100" s="55">
        <f t="shared" si="2"/>
        <v>0</v>
      </c>
      <c r="AN100" s="55">
        <f t="shared" si="2"/>
        <v>0</v>
      </c>
      <c r="AO100" s="55">
        <f t="shared" si="2"/>
        <v>0</v>
      </c>
      <c r="AP100" s="55">
        <f t="shared" si="2"/>
        <v>0</v>
      </c>
      <c r="AQ100" s="55">
        <f t="shared" si="2"/>
        <v>0</v>
      </c>
      <c r="AR100" s="55">
        <f t="shared" si="2"/>
        <v>0</v>
      </c>
      <c r="AS100" s="55">
        <f t="shared" si="2"/>
        <v>0</v>
      </c>
      <c r="AT100" s="55">
        <f t="shared" si="2"/>
        <v>0</v>
      </c>
      <c r="AU100" s="55">
        <f t="shared" si="2"/>
        <v>60.481593816</v>
      </c>
      <c r="AV100" s="55">
        <f t="shared" si="2"/>
        <v>0</v>
      </c>
      <c r="AW100" s="55">
        <f t="shared" si="2"/>
        <v>0</v>
      </c>
      <c r="AX100" s="55">
        <f t="shared" si="2"/>
        <v>5085.9402667980003</v>
      </c>
      <c r="AY100" s="55">
        <f t="shared" si="2"/>
        <v>0</v>
      </c>
      <c r="AZ100" s="55">
        <f t="shared" si="2"/>
        <v>0</v>
      </c>
      <c r="BA100" s="55">
        <f t="shared" si="2"/>
        <v>0</v>
      </c>
      <c r="BB100" s="55">
        <f t="shared" si="2"/>
        <v>45.427586826150005</v>
      </c>
      <c r="BC100" s="55">
        <f t="shared" si="2"/>
        <v>1.9935857595000002E-3</v>
      </c>
      <c r="BD100" s="55">
        <f t="shared" si="2"/>
        <v>8.3930471369999999</v>
      </c>
      <c r="BE100" s="55">
        <f t="shared" si="2"/>
        <v>4.8239884770000007E-3</v>
      </c>
      <c r="BF100" s="55">
        <f t="shared" si="2"/>
        <v>0</v>
      </c>
      <c r="BG100" s="55">
        <f t="shared" si="2"/>
        <v>0</v>
      </c>
      <c r="BH100" s="55">
        <f t="shared" si="2"/>
        <v>0</v>
      </c>
      <c r="BI100" s="55">
        <f t="shared" si="2"/>
        <v>0</v>
      </c>
      <c r="BJ100" s="55">
        <f t="shared" si="2"/>
        <v>0</v>
      </c>
      <c r="BK100" s="78">
        <v>0</v>
      </c>
      <c r="BL100" s="45"/>
      <c r="BM100" s="45" t="s">
        <v>1263</v>
      </c>
    </row>
    <row r="101" spans="1:65" x14ac:dyDescent="0.35">
      <c r="A101" s="45" t="str">
        <f>Database_Productkaarten[[#This Row],[Product]]&amp;", "&amp;Database_Productkaarten[[#This Row],[Levensfase]]</f>
        <v>AC 11 surf DL-A rood*, A2</v>
      </c>
      <c r="B101" s="41" t="s">
        <v>1262</v>
      </c>
      <c r="C101" s="41" t="s">
        <v>443</v>
      </c>
      <c r="D101" s="41" t="s">
        <v>471</v>
      </c>
      <c r="E101" s="41" t="s">
        <v>91</v>
      </c>
      <c r="F101" s="41" t="s">
        <v>20</v>
      </c>
      <c r="G101" s="45"/>
      <c r="H101" s="45"/>
      <c r="I101" s="45"/>
      <c r="J101" s="45"/>
      <c r="K101" s="45"/>
      <c r="L101" s="41">
        <v>2.35</v>
      </c>
      <c r="M101" s="54">
        <f t="shared" si="1"/>
        <v>4.1090786337375009</v>
      </c>
      <c r="N101" s="41">
        <v>14</v>
      </c>
      <c r="O101" s="55">
        <f t="shared" ref="O101:BJ101" si="3">O89*1.5</f>
        <v>2.7735135050925004E-5</v>
      </c>
      <c r="P101" s="55">
        <f t="shared" si="3"/>
        <v>0.19115508381915</v>
      </c>
      <c r="Q101" s="55">
        <f t="shared" si="3"/>
        <v>27.941500003769995</v>
      </c>
      <c r="R101" s="55">
        <f t="shared" si="3"/>
        <v>4.5503584544849991E-6</v>
      </c>
      <c r="S101" s="55">
        <f t="shared" si="3"/>
        <v>2.1302965063050003E-2</v>
      </c>
      <c r="T101" s="55">
        <f t="shared" si="3"/>
        <v>0.31547306320440005</v>
      </c>
      <c r="U101" s="55">
        <f t="shared" si="3"/>
        <v>4.3097215285800003E-2</v>
      </c>
      <c r="V101" s="55">
        <f t="shared" si="3"/>
        <v>9.92500076382</v>
      </c>
      <c r="W101" s="55">
        <f t="shared" si="3"/>
        <v>0.22678191626399996</v>
      </c>
      <c r="X101" s="55">
        <f t="shared" si="3"/>
        <v>866.2525271969173</v>
      </c>
      <c r="Y101" s="55">
        <f t="shared" si="3"/>
        <v>3.6953861006550008E-2</v>
      </c>
      <c r="Z101" s="55">
        <f t="shared" si="3"/>
        <v>0</v>
      </c>
      <c r="AA101" s="55">
        <f t="shared" si="3"/>
        <v>0</v>
      </c>
      <c r="AB101" s="55">
        <f t="shared" si="3"/>
        <v>0</v>
      </c>
      <c r="AC101" s="55">
        <f t="shared" si="3"/>
        <v>0</v>
      </c>
      <c r="AD101" s="55">
        <f t="shared" si="3"/>
        <v>0</v>
      </c>
      <c r="AE101" s="55">
        <f t="shared" si="3"/>
        <v>0</v>
      </c>
      <c r="AF101" s="55">
        <f t="shared" si="3"/>
        <v>0</v>
      </c>
      <c r="AG101" s="55">
        <f t="shared" si="3"/>
        <v>0</v>
      </c>
      <c r="AH101" s="55">
        <f t="shared" si="3"/>
        <v>0</v>
      </c>
      <c r="AI101" s="55">
        <f t="shared" si="3"/>
        <v>0</v>
      </c>
      <c r="AJ101" s="55">
        <f t="shared" si="3"/>
        <v>0</v>
      </c>
      <c r="AK101" s="55">
        <f t="shared" si="3"/>
        <v>0</v>
      </c>
      <c r="AL101" s="55">
        <f t="shared" si="3"/>
        <v>0</v>
      </c>
      <c r="AM101" s="55">
        <f t="shared" si="3"/>
        <v>0</v>
      </c>
      <c r="AN101" s="55">
        <f t="shared" si="3"/>
        <v>0</v>
      </c>
      <c r="AO101" s="55">
        <f t="shared" si="3"/>
        <v>0</v>
      </c>
      <c r="AP101" s="55">
        <f t="shared" si="3"/>
        <v>0</v>
      </c>
      <c r="AQ101" s="55">
        <f t="shared" si="3"/>
        <v>0</v>
      </c>
      <c r="AR101" s="55">
        <f t="shared" si="3"/>
        <v>0</v>
      </c>
      <c r="AS101" s="55">
        <f t="shared" si="3"/>
        <v>0</v>
      </c>
      <c r="AT101" s="55">
        <f t="shared" si="3"/>
        <v>0</v>
      </c>
      <c r="AU101" s="55">
        <f t="shared" si="3"/>
        <v>7.7479060024574995</v>
      </c>
      <c r="AV101" s="55">
        <f t="shared" si="3"/>
        <v>0</v>
      </c>
      <c r="AW101" s="55">
        <f t="shared" si="3"/>
        <v>0</v>
      </c>
      <c r="AX101" s="55">
        <f t="shared" si="3"/>
        <v>423.80168251184244</v>
      </c>
      <c r="AY101" s="55">
        <f t="shared" si="3"/>
        <v>0</v>
      </c>
      <c r="AZ101" s="55">
        <f t="shared" si="3"/>
        <v>0</v>
      </c>
      <c r="BA101" s="55">
        <f t="shared" si="3"/>
        <v>0</v>
      </c>
      <c r="BB101" s="55">
        <f t="shared" si="3"/>
        <v>8.5385172107699997E-2</v>
      </c>
      <c r="BC101" s="55">
        <f t="shared" si="3"/>
        <v>2.6873472041550006E-4</v>
      </c>
      <c r="BD101" s="55">
        <f t="shared" si="3"/>
        <v>7.0231463875050029</v>
      </c>
      <c r="BE101" s="55">
        <f t="shared" si="3"/>
        <v>2.638936819695E-3</v>
      </c>
      <c r="BF101" s="55">
        <f t="shared" si="3"/>
        <v>0</v>
      </c>
      <c r="BG101" s="55">
        <f t="shared" si="3"/>
        <v>0</v>
      </c>
      <c r="BH101" s="55">
        <f t="shared" si="3"/>
        <v>0</v>
      </c>
      <c r="BI101" s="55">
        <f t="shared" si="3"/>
        <v>0</v>
      </c>
      <c r="BJ101" s="55">
        <f t="shared" si="3"/>
        <v>0</v>
      </c>
      <c r="BK101" s="78">
        <v>0</v>
      </c>
      <c r="BL101" s="45"/>
      <c r="BM101" s="45" t="s">
        <v>1263</v>
      </c>
    </row>
    <row r="102" spans="1:65" x14ac:dyDescent="0.35">
      <c r="A102" s="45" t="str">
        <f>Database_Productkaarten[[#This Row],[Product]]&amp;", "&amp;Database_Productkaarten[[#This Row],[Levensfase]]</f>
        <v>AC 11 surf DL-A rood*, A3</v>
      </c>
      <c r="B102" s="41" t="s">
        <v>1262</v>
      </c>
      <c r="C102" s="41" t="s">
        <v>443</v>
      </c>
      <c r="D102" s="41" t="s">
        <v>471</v>
      </c>
      <c r="E102" s="41" t="s">
        <v>91</v>
      </c>
      <c r="F102" s="41" t="s">
        <v>21</v>
      </c>
      <c r="G102" s="45"/>
      <c r="H102" s="45"/>
      <c r="I102" s="45"/>
      <c r="J102" s="45"/>
      <c r="K102" s="45"/>
      <c r="L102" s="41">
        <v>2.35</v>
      </c>
      <c r="M102" s="54">
        <f t="shared" si="1"/>
        <v>2.6010481976980087</v>
      </c>
      <c r="N102" s="41">
        <v>14</v>
      </c>
      <c r="O102" s="55">
        <f t="shared" ref="O102:BJ102" si="4">O90*1.5</f>
        <v>7.6291064877593158E-6</v>
      </c>
      <c r="P102" s="55">
        <f t="shared" si="4"/>
        <v>0.30730686620484621</v>
      </c>
      <c r="Q102" s="55">
        <f t="shared" si="4"/>
        <v>36.119901394704364</v>
      </c>
      <c r="R102" s="55">
        <f t="shared" si="4"/>
        <v>4.1247661625259852E-6</v>
      </c>
      <c r="S102" s="55">
        <f t="shared" si="4"/>
        <v>5.8477238941640076E-3</v>
      </c>
      <c r="T102" s="55">
        <f t="shared" si="4"/>
        <v>3.9878496249306047E-2</v>
      </c>
      <c r="U102" s="55">
        <f t="shared" si="4"/>
        <v>7.26735334000813E-3</v>
      </c>
      <c r="V102" s="55">
        <f t="shared" si="4"/>
        <v>5.4448316207035896</v>
      </c>
      <c r="W102" s="55">
        <f t="shared" si="4"/>
        <v>3.8440663954497391E-2</v>
      </c>
      <c r="X102" s="55">
        <f t="shared" si="4"/>
        <v>156.65071518134641</v>
      </c>
      <c r="Y102" s="55">
        <f t="shared" si="4"/>
        <v>3.8169317768891084E-2</v>
      </c>
      <c r="Z102" s="55">
        <f t="shared" si="4"/>
        <v>0</v>
      </c>
      <c r="AA102" s="55">
        <f t="shared" si="4"/>
        <v>0</v>
      </c>
      <c r="AB102" s="55">
        <f t="shared" si="4"/>
        <v>0</v>
      </c>
      <c r="AC102" s="55">
        <f t="shared" si="4"/>
        <v>0</v>
      </c>
      <c r="AD102" s="55">
        <f t="shared" si="4"/>
        <v>0</v>
      </c>
      <c r="AE102" s="55">
        <f t="shared" si="4"/>
        <v>0</v>
      </c>
      <c r="AF102" s="55">
        <f t="shared" si="4"/>
        <v>0</v>
      </c>
      <c r="AG102" s="55">
        <f t="shared" si="4"/>
        <v>0</v>
      </c>
      <c r="AH102" s="55">
        <f t="shared" si="4"/>
        <v>0</v>
      </c>
      <c r="AI102" s="55">
        <f t="shared" si="4"/>
        <v>0</v>
      </c>
      <c r="AJ102" s="55">
        <f t="shared" si="4"/>
        <v>0</v>
      </c>
      <c r="AK102" s="55">
        <f t="shared" si="4"/>
        <v>0</v>
      </c>
      <c r="AL102" s="55">
        <f t="shared" si="4"/>
        <v>0</v>
      </c>
      <c r="AM102" s="55">
        <f t="shared" si="4"/>
        <v>0</v>
      </c>
      <c r="AN102" s="55">
        <f t="shared" si="4"/>
        <v>0</v>
      </c>
      <c r="AO102" s="55">
        <f t="shared" si="4"/>
        <v>0</v>
      </c>
      <c r="AP102" s="55">
        <f t="shared" si="4"/>
        <v>0</v>
      </c>
      <c r="AQ102" s="55">
        <f t="shared" si="4"/>
        <v>0</v>
      </c>
      <c r="AR102" s="55">
        <f t="shared" si="4"/>
        <v>0</v>
      </c>
      <c r="AS102" s="55">
        <f t="shared" si="4"/>
        <v>0</v>
      </c>
      <c r="AT102" s="55">
        <f t="shared" si="4"/>
        <v>0</v>
      </c>
      <c r="AU102" s="55">
        <f t="shared" si="4"/>
        <v>10.964869110614973</v>
      </c>
      <c r="AV102" s="55">
        <f t="shared" si="4"/>
        <v>0</v>
      </c>
      <c r="AW102" s="55">
        <f t="shared" si="4"/>
        <v>0</v>
      </c>
      <c r="AX102" s="55">
        <f t="shared" si="4"/>
        <v>627.74430026684729</v>
      </c>
      <c r="AY102" s="55">
        <f t="shared" si="4"/>
        <v>0</v>
      </c>
      <c r="AZ102" s="55">
        <f t="shared" si="4"/>
        <v>0</v>
      </c>
      <c r="BA102" s="55">
        <f t="shared" si="4"/>
        <v>0</v>
      </c>
      <c r="BB102" s="55">
        <f t="shared" si="4"/>
        <v>7.2861753203159227E-2</v>
      </c>
      <c r="BC102" s="55">
        <f t="shared" si="4"/>
        <v>8.5141807783246644E-4</v>
      </c>
      <c r="BD102" s="55">
        <f t="shared" si="4"/>
        <v>0.41409929086502645</v>
      </c>
      <c r="BE102" s="55">
        <f t="shared" si="4"/>
        <v>5.8761604316672671E-4</v>
      </c>
      <c r="BF102" s="55">
        <f t="shared" si="4"/>
        <v>0</v>
      </c>
      <c r="BG102" s="55">
        <f t="shared" si="4"/>
        <v>0</v>
      </c>
      <c r="BH102" s="55">
        <f t="shared" si="4"/>
        <v>0</v>
      </c>
      <c r="BI102" s="55">
        <f t="shared" si="4"/>
        <v>0</v>
      </c>
      <c r="BJ102" s="55">
        <f t="shared" si="4"/>
        <v>0</v>
      </c>
      <c r="BK102" s="78">
        <v>0</v>
      </c>
      <c r="BL102" s="45"/>
      <c r="BM102" s="45" t="s">
        <v>1263</v>
      </c>
    </row>
    <row r="103" spans="1:65" x14ac:dyDescent="0.35">
      <c r="A103" s="45" t="str">
        <f>Database_Productkaarten[[#This Row],[Product]]&amp;", "&amp;Database_Productkaarten[[#This Row],[Levensfase]]</f>
        <v>AC 11 surf DL-A rood*, A4</v>
      </c>
      <c r="B103" s="41" t="s">
        <v>1262</v>
      </c>
      <c r="C103" s="41" t="s">
        <v>443</v>
      </c>
      <c r="D103" s="41" t="s">
        <v>471</v>
      </c>
      <c r="E103" s="41" t="s">
        <v>91</v>
      </c>
      <c r="F103" s="41" t="s">
        <v>22</v>
      </c>
      <c r="G103" s="45"/>
      <c r="H103" s="45"/>
      <c r="I103" s="45"/>
      <c r="J103" s="45"/>
      <c r="K103" s="45"/>
      <c r="L103" s="41">
        <v>2.35</v>
      </c>
      <c r="M103" s="54">
        <f t="shared" si="1"/>
        <v>0.94339004999999987</v>
      </c>
      <c r="N103" s="41">
        <v>14</v>
      </c>
      <c r="O103" s="55">
        <f t="shared" ref="O103:BJ103" si="5">O91*1.5</f>
        <v>1.6467505500000003E-5</v>
      </c>
      <c r="P103" s="55">
        <f t="shared" si="5"/>
        <v>6.4775591999999993E-2</v>
      </c>
      <c r="Q103" s="55">
        <f t="shared" si="5"/>
        <v>8.5531957500000004</v>
      </c>
      <c r="R103" s="55">
        <f t="shared" si="5"/>
        <v>1.7003034000000001E-6</v>
      </c>
      <c r="S103" s="55">
        <f t="shared" si="5"/>
        <v>5.3629274999999997E-3</v>
      </c>
      <c r="T103" s="55">
        <f t="shared" si="5"/>
        <v>2.87267415E-2</v>
      </c>
      <c r="U103" s="55">
        <f t="shared" si="5"/>
        <v>5.7035332500000001E-3</v>
      </c>
      <c r="V103" s="55">
        <f t="shared" si="5"/>
        <v>3.0074006999999998</v>
      </c>
      <c r="W103" s="55">
        <f t="shared" si="5"/>
        <v>0.19389730500000002</v>
      </c>
      <c r="X103" s="55">
        <f t="shared" si="5"/>
        <v>507.94663499999996</v>
      </c>
      <c r="Y103" s="55">
        <f t="shared" si="5"/>
        <v>1.7837723999999999E-2</v>
      </c>
      <c r="Z103" s="55">
        <f t="shared" si="5"/>
        <v>0</v>
      </c>
      <c r="AA103" s="55">
        <f t="shared" si="5"/>
        <v>0</v>
      </c>
      <c r="AB103" s="55">
        <f t="shared" si="5"/>
        <v>0</v>
      </c>
      <c r="AC103" s="55">
        <f t="shared" si="5"/>
        <v>0</v>
      </c>
      <c r="AD103" s="55">
        <f t="shared" si="5"/>
        <v>0</v>
      </c>
      <c r="AE103" s="55">
        <f t="shared" si="5"/>
        <v>0</v>
      </c>
      <c r="AF103" s="55">
        <f t="shared" si="5"/>
        <v>0</v>
      </c>
      <c r="AG103" s="55">
        <f t="shared" si="5"/>
        <v>0</v>
      </c>
      <c r="AH103" s="55">
        <f t="shared" si="5"/>
        <v>0</v>
      </c>
      <c r="AI103" s="55">
        <f t="shared" si="5"/>
        <v>0</v>
      </c>
      <c r="AJ103" s="55">
        <f t="shared" si="5"/>
        <v>0</v>
      </c>
      <c r="AK103" s="55">
        <f t="shared" si="5"/>
        <v>0</v>
      </c>
      <c r="AL103" s="55">
        <f t="shared" si="5"/>
        <v>0</v>
      </c>
      <c r="AM103" s="55">
        <f t="shared" si="5"/>
        <v>0</v>
      </c>
      <c r="AN103" s="55">
        <f t="shared" si="5"/>
        <v>0</v>
      </c>
      <c r="AO103" s="55">
        <f t="shared" si="5"/>
        <v>0</v>
      </c>
      <c r="AP103" s="55">
        <f t="shared" si="5"/>
        <v>0</v>
      </c>
      <c r="AQ103" s="55">
        <f t="shared" si="5"/>
        <v>0</v>
      </c>
      <c r="AR103" s="55">
        <f t="shared" si="5"/>
        <v>0</v>
      </c>
      <c r="AS103" s="55">
        <f t="shared" si="5"/>
        <v>0</v>
      </c>
      <c r="AT103" s="55">
        <f t="shared" si="5"/>
        <v>0</v>
      </c>
      <c r="AU103" s="55">
        <f t="shared" si="5"/>
        <v>0</v>
      </c>
      <c r="AV103" s="55">
        <f t="shared" si="5"/>
        <v>0</v>
      </c>
      <c r="AW103" s="55">
        <f t="shared" si="5"/>
        <v>0</v>
      </c>
      <c r="AX103" s="55">
        <f t="shared" si="5"/>
        <v>0</v>
      </c>
      <c r="AY103" s="55">
        <f t="shared" si="5"/>
        <v>0</v>
      </c>
      <c r="AZ103" s="55">
        <f t="shared" si="5"/>
        <v>0</v>
      </c>
      <c r="BA103" s="55">
        <f t="shared" si="5"/>
        <v>0</v>
      </c>
      <c r="BB103" s="55">
        <f t="shared" si="5"/>
        <v>0</v>
      </c>
      <c r="BC103" s="55">
        <f t="shared" si="5"/>
        <v>0</v>
      </c>
      <c r="BD103" s="55">
        <f t="shared" si="5"/>
        <v>0</v>
      </c>
      <c r="BE103" s="55">
        <f t="shared" si="5"/>
        <v>0</v>
      </c>
      <c r="BF103" s="55">
        <f t="shared" si="5"/>
        <v>0</v>
      </c>
      <c r="BG103" s="55">
        <f t="shared" si="5"/>
        <v>0</v>
      </c>
      <c r="BH103" s="55">
        <f t="shared" si="5"/>
        <v>0</v>
      </c>
      <c r="BI103" s="55">
        <f t="shared" si="5"/>
        <v>0</v>
      </c>
      <c r="BJ103" s="55">
        <f t="shared" si="5"/>
        <v>0</v>
      </c>
      <c r="BK103" s="78">
        <v>0</v>
      </c>
      <c r="BL103" s="45"/>
      <c r="BM103" s="45" t="s">
        <v>1263</v>
      </c>
    </row>
    <row r="104" spans="1:65" x14ac:dyDescent="0.35">
      <c r="A104" s="45" t="str">
        <f>Database_Productkaarten[[#This Row],[Product]]&amp;", "&amp;Database_Productkaarten[[#This Row],[Levensfase]]</f>
        <v>AC 11 surf DL-A rood*, A5</v>
      </c>
      <c r="B104" s="41" t="s">
        <v>1262</v>
      </c>
      <c r="C104" s="41" t="s">
        <v>443</v>
      </c>
      <c r="D104" s="41" t="s">
        <v>471</v>
      </c>
      <c r="E104" s="41" t="s">
        <v>91</v>
      </c>
      <c r="F104" s="41" t="s">
        <v>23</v>
      </c>
      <c r="G104" s="45"/>
      <c r="H104" s="45"/>
      <c r="I104" s="45"/>
      <c r="J104" s="45"/>
      <c r="K104" s="45"/>
      <c r="L104" s="41">
        <v>2.35</v>
      </c>
      <c r="M104" s="54">
        <f t="shared" si="1"/>
        <v>0.39214491000000007</v>
      </c>
      <c r="N104" s="41">
        <v>14</v>
      </c>
      <c r="O104" s="55">
        <f t="shared" ref="O104:BJ104" si="6">O92*1.5</f>
        <v>9.6607915500000004E-7</v>
      </c>
      <c r="P104" s="55">
        <f t="shared" si="6"/>
        <v>1.9832532E-2</v>
      </c>
      <c r="Q104" s="55">
        <f t="shared" si="6"/>
        <v>3.8313255000000002</v>
      </c>
      <c r="R104" s="55">
        <f t="shared" si="6"/>
        <v>5.1935883E-7</v>
      </c>
      <c r="S104" s="55">
        <f t="shared" si="6"/>
        <v>1.43341158E-3</v>
      </c>
      <c r="T104" s="55">
        <f t="shared" si="6"/>
        <v>1.6161498E-2</v>
      </c>
      <c r="U104" s="55">
        <f t="shared" si="6"/>
        <v>3.6489122999999995E-3</v>
      </c>
      <c r="V104" s="55">
        <f t="shared" si="6"/>
        <v>1.01835348</v>
      </c>
      <c r="W104" s="55">
        <f t="shared" si="6"/>
        <v>1.4383734450000001E-2</v>
      </c>
      <c r="X104" s="55">
        <f t="shared" si="6"/>
        <v>48.508948499999995</v>
      </c>
      <c r="Y104" s="55">
        <f t="shared" si="6"/>
        <v>1.7075992500000001E-3</v>
      </c>
      <c r="Z104" s="55">
        <f t="shared" si="6"/>
        <v>0</v>
      </c>
      <c r="AA104" s="55">
        <f t="shared" si="6"/>
        <v>0</v>
      </c>
      <c r="AB104" s="55">
        <f t="shared" si="6"/>
        <v>0</v>
      </c>
      <c r="AC104" s="55">
        <f t="shared" si="6"/>
        <v>0</v>
      </c>
      <c r="AD104" s="55">
        <f t="shared" si="6"/>
        <v>0</v>
      </c>
      <c r="AE104" s="55">
        <f t="shared" si="6"/>
        <v>0</v>
      </c>
      <c r="AF104" s="55">
        <f t="shared" si="6"/>
        <v>0</v>
      </c>
      <c r="AG104" s="55">
        <f t="shared" si="6"/>
        <v>0</v>
      </c>
      <c r="AH104" s="55">
        <f t="shared" si="6"/>
        <v>0</v>
      </c>
      <c r="AI104" s="55">
        <f t="shared" si="6"/>
        <v>0</v>
      </c>
      <c r="AJ104" s="55">
        <f t="shared" si="6"/>
        <v>0</v>
      </c>
      <c r="AK104" s="55">
        <f t="shared" si="6"/>
        <v>0</v>
      </c>
      <c r="AL104" s="55">
        <f t="shared" si="6"/>
        <v>0</v>
      </c>
      <c r="AM104" s="55">
        <f t="shared" si="6"/>
        <v>0</v>
      </c>
      <c r="AN104" s="55">
        <f t="shared" si="6"/>
        <v>0</v>
      </c>
      <c r="AO104" s="55">
        <f t="shared" si="6"/>
        <v>0</v>
      </c>
      <c r="AP104" s="55">
        <f t="shared" si="6"/>
        <v>0</v>
      </c>
      <c r="AQ104" s="55">
        <f t="shared" si="6"/>
        <v>0</v>
      </c>
      <c r="AR104" s="55">
        <f t="shared" si="6"/>
        <v>0</v>
      </c>
      <c r="AS104" s="55">
        <f t="shared" si="6"/>
        <v>0</v>
      </c>
      <c r="AT104" s="55">
        <f t="shared" si="6"/>
        <v>0</v>
      </c>
      <c r="AU104" s="55">
        <f t="shared" si="6"/>
        <v>0.24255532499999999</v>
      </c>
      <c r="AV104" s="55">
        <f t="shared" si="6"/>
        <v>0</v>
      </c>
      <c r="AW104" s="55">
        <f t="shared" si="6"/>
        <v>0</v>
      </c>
      <c r="AX104" s="55">
        <f t="shared" si="6"/>
        <v>44.461252500000001</v>
      </c>
      <c r="AY104" s="55">
        <f t="shared" si="6"/>
        <v>0</v>
      </c>
      <c r="AZ104" s="55">
        <f t="shared" si="6"/>
        <v>0</v>
      </c>
      <c r="BA104" s="55">
        <f t="shared" si="6"/>
        <v>0</v>
      </c>
      <c r="BB104" s="55">
        <f t="shared" si="6"/>
        <v>5.4792458999999996E-3</v>
      </c>
      <c r="BC104" s="55">
        <f t="shared" si="6"/>
        <v>1.8673177500000001E-5</v>
      </c>
      <c r="BD104" s="55">
        <f t="shared" si="6"/>
        <v>4.4586967500000005E-2</v>
      </c>
      <c r="BE104" s="55">
        <f t="shared" si="6"/>
        <v>2.9083630500000002E-4</v>
      </c>
      <c r="BF104" s="55">
        <f t="shared" si="6"/>
        <v>0</v>
      </c>
      <c r="BG104" s="55">
        <f t="shared" si="6"/>
        <v>0</v>
      </c>
      <c r="BH104" s="55">
        <f t="shared" si="6"/>
        <v>0</v>
      </c>
      <c r="BI104" s="55">
        <f t="shared" si="6"/>
        <v>0</v>
      </c>
      <c r="BJ104" s="55">
        <f t="shared" si="6"/>
        <v>0</v>
      </c>
      <c r="BK104" s="78">
        <v>0</v>
      </c>
      <c r="BL104" s="45"/>
      <c r="BM104" s="45" t="s">
        <v>1263</v>
      </c>
    </row>
    <row r="105" spans="1:65" x14ac:dyDescent="0.35">
      <c r="A105" s="45" t="str">
        <f>Database_Productkaarten[[#This Row],[Product]]&amp;", "&amp;Database_Productkaarten[[#This Row],[Levensfase]]</f>
        <v>AC 11 surf DL-A rood*, B1</v>
      </c>
      <c r="B105" s="41" t="s">
        <v>1262</v>
      </c>
      <c r="C105" s="41" t="s">
        <v>443</v>
      </c>
      <c r="D105" s="41" t="s">
        <v>471</v>
      </c>
      <c r="E105" s="41" t="s">
        <v>91</v>
      </c>
      <c r="F105" s="41" t="s">
        <v>24</v>
      </c>
      <c r="G105" s="45"/>
      <c r="H105" s="45"/>
      <c r="I105" s="45"/>
      <c r="J105" s="45"/>
      <c r="K105" s="45"/>
      <c r="L105" s="41">
        <v>2.35</v>
      </c>
      <c r="M105" s="54">
        <f t="shared" si="1"/>
        <v>0.1231197825</v>
      </c>
      <c r="N105" s="41">
        <v>14</v>
      </c>
      <c r="O105" s="55">
        <f t="shared" ref="O105:BJ105" si="7">O93*1.5</f>
        <v>0</v>
      </c>
      <c r="P105" s="55">
        <f t="shared" si="7"/>
        <v>0</v>
      </c>
      <c r="Q105" s="55">
        <f t="shared" si="7"/>
        <v>0</v>
      </c>
      <c r="R105" s="55">
        <f t="shared" si="7"/>
        <v>0</v>
      </c>
      <c r="S105" s="55">
        <f t="shared" si="7"/>
        <v>0</v>
      </c>
      <c r="T105" s="55">
        <f t="shared" si="7"/>
        <v>0</v>
      </c>
      <c r="U105" s="55">
        <f t="shared" si="7"/>
        <v>0</v>
      </c>
      <c r="V105" s="55">
        <f t="shared" si="7"/>
        <v>0.49597597500000001</v>
      </c>
      <c r="W105" s="55">
        <f t="shared" si="7"/>
        <v>0.531718515</v>
      </c>
      <c r="X105" s="55">
        <f t="shared" si="7"/>
        <v>625.12236000000007</v>
      </c>
      <c r="Y105" s="55">
        <f t="shared" si="7"/>
        <v>3.0254430000000002E-4</v>
      </c>
      <c r="Z105" s="55">
        <f t="shared" si="7"/>
        <v>0</v>
      </c>
      <c r="AA105" s="55">
        <f t="shared" si="7"/>
        <v>0</v>
      </c>
      <c r="AB105" s="55">
        <f t="shared" si="7"/>
        <v>0</v>
      </c>
      <c r="AC105" s="55">
        <f t="shared" si="7"/>
        <v>0</v>
      </c>
      <c r="AD105" s="55">
        <f t="shared" si="7"/>
        <v>0</v>
      </c>
      <c r="AE105" s="55">
        <f t="shared" si="7"/>
        <v>0</v>
      </c>
      <c r="AF105" s="55">
        <f t="shared" si="7"/>
        <v>0</v>
      </c>
      <c r="AG105" s="55">
        <f t="shared" si="7"/>
        <v>0</v>
      </c>
      <c r="AH105" s="55">
        <f t="shared" si="7"/>
        <v>0</v>
      </c>
      <c r="AI105" s="55">
        <f t="shared" si="7"/>
        <v>0</v>
      </c>
      <c r="AJ105" s="55">
        <f t="shared" si="7"/>
        <v>0</v>
      </c>
      <c r="AK105" s="55">
        <f t="shared" si="7"/>
        <v>0</v>
      </c>
      <c r="AL105" s="55">
        <f t="shared" si="7"/>
        <v>0</v>
      </c>
      <c r="AM105" s="55">
        <f t="shared" si="7"/>
        <v>0</v>
      </c>
      <c r="AN105" s="55">
        <f t="shared" si="7"/>
        <v>0</v>
      </c>
      <c r="AO105" s="55">
        <f t="shared" si="7"/>
        <v>0</v>
      </c>
      <c r="AP105" s="55">
        <f t="shared" si="7"/>
        <v>0</v>
      </c>
      <c r="AQ105" s="55">
        <f t="shared" si="7"/>
        <v>0</v>
      </c>
      <c r="AR105" s="55">
        <f t="shared" si="7"/>
        <v>0</v>
      </c>
      <c r="AS105" s="55">
        <f t="shared" si="7"/>
        <v>0</v>
      </c>
      <c r="AT105" s="55">
        <f t="shared" si="7"/>
        <v>0</v>
      </c>
      <c r="AU105" s="55">
        <f t="shared" si="7"/>
        <v>0</v>
      </c>
      <c r="AV105" s="55">
        <f t="shared" si="7"/>
        <v>0</v>
      </c>
      <c r="AW105" s="55">
        <f t="shared" si="7"/>
        <v>0</v>
      </c>
      <c r="AX105" s="55">
        <f t="shared" si="7"/>
        <v>0</v>
      </c>
      <c r="AY105" s="55">
        <f t="shared" si="7"/>
        <v>0</v>
      </c>
      <c r="AZ105" s="55">
        <f t="shared" si="7"/>
        <v>0</v>
      </c>
      <c r="BA105" s="55">
        <f t="shared" si="7"/>
        <v>0</v>
      </c>
      <c r="BB105" s="55">
        <f t="shared" si="7"/>
        <v>0</v>
      </c>
      <c r="BC105" s="55">
        <f t="shared" si="7"/>
        <v>0</v>
      </c>
      <c r="BD105" s="55">
        <f t="shared" si="7"/>
        <v>0</v>
      </c>
      <c r="BE105" s="55">
        <f t="shared" si="7"/>
        <v>0</v>
      </c>
      <c r="BF105" s="55">
        <f t="shared" si="7"/>
        <v>0</v>
      </c>
      <c r="BG105" s="55">
        <f t="shared" si="7"/>
        <v>0</v>
      </c>
      <c r="BH105" s="55">
        <f t="shared" si="7"/>
        <v>0</v>
      </c>
      <c r="BI105" s="55">
        <f t="shared" si="7"/>
        <v>0</v>
      </c>
      <c r="BJ105" s="55">
        <f t="shared" si="7"/>
        <v>0</v>
      </c>
      <c r="BK105" s="78">
        <v>0</v>
      </c>
      <c r="BL105" s="45"/>
      <c r="BM105" s="45" t="s">
        <v>1263</v>
      </c>
    </row>
    <row r="106" spans="1:65" x14ac:dyDescent="0.35">
      <c r="A106" s="45" t="str">
        <f>Database_Productkaarten[[#This Row],[Product]]&amp;", "&amp;Database_Productkaarten[[#This Row],[Levensfase]]</f>
        <v>AC 11 surf DL-A rood*, C1</v>
      </c>
      <c r="B106" s="41" t="s">
        <v>1262</v>
      </c>
      <c r="C106" s="41" t="s">
        <v>443</v>
      </c>
      <c r="D106" s="41" t="s">
        <v>471</v>
      </c>
      <c r="E106" s="41" t="s">
        <v>91</v>
      </c>
      <c r="F106" s="41" t="s">
        <v>25</v>
      </c>
      <c r="G106" s="45"/>
      <c r="H106" s="45"/>
      <c r="I106" s="45"/>
      <c r="J106" s="45"/>
      <c r="K106" s="45"/>
      <c r="L106" s="41">
        <v>2.35</v>
      </c>
      <c r="M106" s="54">
        <f t="shared" si="1"/>
        <v>0.20459590499999997</v>
      </c>
      <c r="N106" s="41">
        <v>14</v>
      </c>
      <c r="O106" s="55">
        <f t="shared" ref="O106:BJ106" si="8">O94*1.5</f>
        <v>5.4966571500000004E-7</v>
      </c>
      <c r="P106" s="55">
        <f t="shared" si="8"/>
        <v>1.1284026900000001E-2</v>
      </c>
      <c r="Q106" s="55">
        <f t="shared" si="8"/>
        <v>2.1798921</v>
      </c>
      <c r="R106" s="55">
        <f t="shared" si="8"/>
        <v>2.9549725500000001E-7</v>
      </c>
      <c r="S106" s="55">
        <f t="shared" si="8"/>
        <v>7.2256950000000001E-4</v>
      </c>
      <c r="T106" s="55">
        <f t="shared" si="8"/>
        <v>6.3992647499999996E-3</v>
      </c>
      <c r="U106" s="55">
        <f t="shared" si="8"/>
        <v>1.34912709E-3</v>
      </c>
      <c r="V106" s="55">
        <f t="shared" si="8"/>
        <v>0.57265291500000004</v>
      </c>
      <c r="W106" s="55">
        <f t="shared" si="8"/>
        <v>8.1838488000000008E-3</v>
      </c>
      <c r="X106" s="55">
        <f t="shared" si="8"/>
        <v>27.599919</v>
      </c>
      <c r="Y106" s="55">
        <f t="shared" si="8"/>
        <v>9.7156510499999999E-4</v>
      </c>
      <c r="Z106" s="55">
        <f t="shared" si="8"/>
        <v>0</v>
      </c>
      <c r="AA106" s="55">
        <f t="shared" si="8"/>
        <v>0</v>
      </c>
      <c r="AB106" s="55">
        <f t="shared" si="8"/>
        <v>0</v>
      </c>
      <c r="AC106" s="55">
        <f t="shared" si="8"/>
        <v>0</v>
      </c>
      <c r="AD106" s="55">
        <f t="shared" si="8"/>
        <v>0</v>
      </c>
      <c r="AE106" s="55">
        <f t="shared" si="8"/>
        <v>0</v>
      </c>
      <c r="AF106" s="55">
        <f t="shared" si="8"/>
        <v>0</v>
      </c>
      <c r="AG106" s="55">
        <f t="shared" si="8"/>
        <v>0</v>
      </c>
      <c r="AH106" s="55">
        <f t="shared" si="8"/>
        <v>0</v>
      </c>
      <c r="AI106" s="55">
        <f t="shared" si="8"/>
        <v>0</v>
      </c>
      <c r="AJ106" s="55">
        <f t="shared" si="8"/>
        <v>0</v>
      </c>
      <c r="AK106" s="55">
        <f t="shared" si="8"/>
        <v>0</v>
      </c>
      <c r="AL106" s="55">
        <f t="shared" si="8"/>
        <v>0</v>
      </c>
      <c r="AM106" s="55">
        <f t="shared" si="8"/>
        <v>0</v>
      </c>
      <c r="AN106" s="55">
        <f t="shared" si="8"/>
        <v>0</v>
      </c>
      <c r="AO106" s="55">
        <f t="shared" si="8"/>
        <v>0</v>
      </c>
      <c r="AP106" s="55">
        <f t="shared" si="8"/>
        <v>0</v>
      </c>
      <c r="AQ106" s="55">
        <f t="shared" si="8"/>
        <v>0</v>
      </c>
      <c r="AR106" s="55">
        <f t="shared" si="8"/>
        <v>0</v>
      </c>
      <c r="AS106" s="55">
        <f t="shared" si="8"/>
        <v>0</v>
      </c>
      <c r="AT106" s="55">
        <f t="shared" si="8"/>
        <v>0</v>
      </c>
      <c r="AU106" s="55">
        <f t="shared" si="8"/>
        <v>0.13800561150000001</v>
      </c>
      <c r="AV106" s="55">
        <f t="shared" si="8"/>
        <v>0</v>
      </c>
      <c r="AW106" s="55">
        <f t="shared" si="8"/>
        <v>0</v>
      </c>
      <c r="AX106" s="55">
        <f t="shared" si="8"/>
        <v>25.296919499999998</v>
      </c>
      <c r="AY106" s="55">
        <f t="shared" si="8"/>
        <v>0</v>
      </c>
      <c r="AZ106" s="55">
        <f t="shared" si="8"/>
        <v>0</v>
      </c>
      <c r="BA106" s="55">
        <f t="shared" si="8"/>
        <v>0</v>
      </c>
      <c r="BB106" s="55">
        <f t="shared" si="8"/>
        <v>3.1175018999999998E-3</v>
      </c>
      <c r="BC106" s="55">
        <f t="shared" si="8"/>
        <v>1.0624394100000001E-5</v>
      </c>
      <c r="BD106" s="55">
        <f t="shared" si="8"/>
        <v>2.5368446999999999E-2</v>
      </c>
      <c r="BE106" s="55">
        <f t="shared" si="8"/>
        <v>1.6547582999999999E-4</v>
      </c>
      <c r="BF106" s="55">
        <f t="shared" si="8"/>
        <v>0</v>
      </c>
      <c r="BG106" s="55">
        <f t="shared" si="8"/>
        <v>0</v>
      </c>
      <c r="BH106" s="55">
        <f t="shared" si="8"/>
        <v>0</v>
      </c>
      <c r="BI106" s="55">
        <f t="shared" si="8"/>
        <v>0</v>
      </c>
      <c r="BJ106" s="55">
        <f t="shared" si="8"/>
        <v>0</v>
      </c>
      <c r="BK106" s="78">
        <v>0</v>
      </c>
      <c r="BL106" s="45"/>
      <c r="BM106" s="45" t="s">
        <v>1263</v>
      </c>
    </row>
    <row r="107" spans="1:65" x14ac:dyDescent="0.35">
      <c r="A107" s="45" t="str">
        <f>Database_Productkaarten[[#This Row],[Product]]&amp;", "&amp;Database_Productkaarten[[#This Row],[Levensfase]]</f>
        <v>AC 11 surf DL-A rood*, C2</v>
      </c>
      <c r="B107" s="41" t="s">
        <v>1262</v>
      </c>
      <c r="C107" s="41" t="s">
        <v>443</v>
      </c>
      <c r="D107" s="41" t="s">
        <v>471</v>
      </c>
      <c r="E107" s="41" t="s">
        <v>91</v>
      </c>
      <c r="F107" s="41" t="s">
        <v>26</v>
      </c>
      <c r="G107" s="45"/>
      <c r="H107" s="45"/>
      <c r="I107" s="45"/>
      <c r="J107" s="45"/>
      <c r="K107" s="45"/>
      <c r="L107" s="41">
        <v>2.35</v>
      </c>
      <c r="M107" s="54">
        <f t="shared" si="1"/>
        <v>0.94339004999999987</v>
      </c>
      <c r="N107" s="41">
        <v>14</v>
      </c>
      <c r="O107" s="55">
        <f t="shared" ref="O107:BJ107" si="9">O95*1.5</f>
        <v>1.6467505500000003E-5</v>
      </c>
      <c r="P107" s="55">
        <f t="shared" si="9"/>
        <v>6.4775591999999993E-2</v>
      </c>
      <c r="Q107" s="55">
        <f t="shared" si="9"/>
        <v>8.5531957500000004</v>
      </c>
      <c r="R107" s="55">
        <f t="shared" si="9"/>
        <v>1.7003034000000001E-6</v>
      </c>
      <c r="S107" s="55">
        <f t="shared" si="9"/>
        <v>5.3629274999999997E-3</v>
      </c>
      <c r="T107" s="55">
        <f t="shared" si="9"/>
        <v>2.87267415E-2</v>
      </c>
      <c r="U107" s="55">
        <f t="shared" si="9"/>
        <v>5.7035332500000001E-3</v>
      </c>
      <c r="V107" s="55">
        <f t="shared" si="9"/>
        <v>3.0074006999999998</v>
      </c>
      <c r="W107" s="55">
        <f t="shared" si="9"/>
        <v>0.19389730500000002</v>
      </c>
      <c r="X107" s="55">
        <f t="shared" si="9"/>
        <v>507.94663499999996</v>
      </c>
      <c r="Y107" s="55">
        <f t="shared" si="9"/>
        <v>1.7837723999999999E-2</v>
      </c>
      <c r="Z107" s="55">
        <f t="shared" si="9"/>
        <v>0</v>
      </c>
      <c r="AA107" s="55">
        <f t="shared" si="9"/>
        <v>0</v>
      </c>
      <c r="AB107" s="55">
        <f t="shared" si="9"/>
        <v>0</v>
      </c>
      <c r="AC107" s="55">
        <f t="shared" si="9"/>
        <v>0</v>
      </c>
      <c r="AD107" s="55">
        <f t="shared" si="9"/>
        <v>0</v>
      </c>
      <c r="AE107" s="55">
        <f t="shared" si="9"/>
        <v>0</v>
      </c>
      <c r="AF107" s="55">
        <f t="shared" si="9"/>
        <v>0</v>
      </c>
      <c r="AG107" s="55">
        <f t="shared" si="9"/>
        <v>0</v>
      </c>
      <c r="AH107" s="55">
        <f t="shared" si="9"/>
        <v>0</v>
      </c>
      <c r="AI107" s="55">
        <f t="shared" si="9"/>
        <v>0</v>
      </c>
      <c r="AJ107" s="55">
        <f t="shared" si="9"/>
        <v>0</v>
      </c>
      <c r="AK107" s="55">
        <f t="shared" si="9"/>
        <v>0</v>
      </c>
      <c r="AL107" s="55">
        <f t="shared" si="9"/>
        <v>0</v>
      </c>
      <c r="AM107" s="55">
        <f t="shared" si="9"/>
        <v>0</v>
      </c>
      <c r="AN107" s="55">
        <f t="shared" si="9"/>
        <v>0</v>
      </c>
      <c r="AO107" s="55">
        <f t="shared" si="9"/>
        <v>0</v>
      </c>
      <c r="AP107" s="55">
        <f t="shared" si="9"/>
        <v>0</v>
      </c>
      <c r="AQ107" s="55">
        <f t="shared" si="9"/>
        <v>0</v>
      </c>
      <c r="AR107" s="55">
        <f t="shared" si="9"/>
        <v>0</v>
      </c>
      <c r="AS107" s="55">
        <f t="shared" si="9"/>
        <v>0</v>
      </c>
      <c r="AT107" s="55">
        <f t="shared" si="9"/>
        <v>0</v>
      </c>
      <c r="AU107" s="55">
        <f t="shared" si="9"/>
        <v>0</v>
      </c>
      <c r="AV107" s="55">
        <f t="shared" si="9"/>
        <v>0</v>
      </c>
      <c r="AW107" s="55">
        <f t="shared" si="9"/>
        <v>0</v>
      </c>
      <c r="AX107" s="55">
        <f t="shared" si="9"/>
        <v>0</v>
      </c>
      <c r="AY107" s="55">
        <f t="shared" si="9"/>
        <v>0</v>
      </c>
      <c r="AZ107" s="55">
        <f t="shared" si="9"/>
        <v>0</v>
      </c>
      <c r="BA107" s="55">
        <f t="shared" si="9"/>
        <v>0</v>
      </c>
      <c r="BB107" s="55">
        <f t="shared" si="9"/>
        <v>0</v>
      </c>
      <c r="BC107" s="55">
        <f t="shared" si="9"/>
        <v>0</v>
      </c>
      <c r="BD107" s="55">
        <f t="shared" si="9"/>
        <v>0</v>
      </c>
      <c r="BE107" s="55">
        <f t="shared" si="9"/>
        <v>0</v>
      </c>
      <c r="BF107" s="55">
        <f t="shared" si="9"/>
        <v>0</v>
      </c>
      <c r="BG107" s="55">
        <f t="shared" si="9"/>
        <v>0</v>
      </c>
      <c r="BH107" s="55">
        <f t="shared" si="9"/>
        <v>0</v>
      </c>
      <c r="BI107" s="55">
        <f t="shared" si="9"/>
        <v>0</v>
      </c>
      <c r="BJ107" s="55">
        <f t="shared" si="9"/>
        <v>0</v>
      </c>
      <c r="BK107" s="78">
        <v>0</v>
      </c>
      <c r="BL107" s="45"/>
      <c r="BM107" s="45" t="s">
        <v>1263</v>
      </c>
    </row>
    <row r="108" spans="1:65" x14ac:dyDescent="0.35">
      <c r="A108" s="45" t="str">
        <f>Database_Productkaarten[[#This Row],[Product]]&amp;", "&amp;Database_Productkaarten[[#This Row],[Levensfase]]</f>
        <v>AC 11 surf DL-A rood*, C3</v>
      </c>
      <c r="B108" s="41" t="s">
        <v>1262</v>
      </c>
      <c r="C108" s="41" t="s">
        <v>443</v>
      </c>
      <c r="D108" s="41" t="s">
        <v>471</v>
      </c>
      <c r="E108" s="41" t="s">
        <v>91</v>
      </c>
      <c r="F108" s="41" t="s">
        <v>27</v>
      </c>
      <c r="G108" s="45"/>
      <c r="H108" s="45"/>
      <c r="I108" s="45"/>
      <c r="J108" s="45"/>
      <c r="K108" s="45"/>
      <c r="L108" s="41">
        <v>2.35</v>
      </c>
      <c r="M108" s="54">
        <f t="shared" si="1"/>
        <v>0.24180322499999998</v>
      </c>
      <c r="N108" s="41">
        <v>14</v>
      </c>
      <c r="O108" s="55">
        <f t="shared" ref="O108:BJ108" si="10">O96*1.5</f>
        <v>6.1937332500000006E-7</v>
      </c>
      <c r="P108" s="55">
        <f t="shared" si="10"/>
        <v>1.2715046550000001E-2</v>
      </c>
      <c r="Q108" s="55">
        <f t="shared" si="10"/>
        <v>2.4563421000000001</v>
      </c>
      <c r="R108" s="55">
        <f t="shared" si="10"/>
        <v>3.32971695E-7</v>
      </c>
      <c r="S108" s="55">
        <f t="shared" si="10"/>
        <v>8.9666500500000003E-4</v>
      </c>
      <c r="T108" s="55">
        <f t="shared" si="10"/>
        <v>8.9029368000000005E-3</v>
      </c>
      <c r="U108" s="55">
        <f t="shared" si="10"/>
        <v>1.9601743499999998E-3</v>
      </c>
      <c r="V108" s="55">
        <f t="shared" si="10"/>
        <v>0.64936254000000004</v>
      </c>
      <c r="W108" s="55">
        <f t="shared" si="10"/>
        <v>9.2217097500000011E-3</v>
      </c>
      <c r="X108" s="55">
        <f t="shared" si="10"/>
        <v>31.100090999999999</v>
      </c>
      <c r="Y108" s="55">
        <f t="shared" si="10"/>
        <v>1.0947772200000001E-3</v>
      </c>
      <c r="Z108" s="55">
        <f t="shared" si="10"/>
        <v>0</v>
      </c>
      <c r="AA108" s="55">
        <f t="shared" si="10"/>
        <v>0</v>
      </c>
      <c r="AB108" s="55">
        <f t="shared" si="10"/>
        <v>0</v>
      </c>
      <c r="AC108" s="55">
        <f t="shared" si="10"/>
        <v>0</v>
      </c>
      <c r="AD108" s="55">
        <f t="shared" si="10"/>
        <v>0</v>
      </c>
      <c r="AE108" s="55">
        <f t="shared" si="10"/>
        <v>0</v>
      </c>
      <c r="AF108" s="55">
        <f t="shared" si="10"/>
        <v>0</v>
      </c>
      <c r="AG108" s="55">
        <f t="shared" si="10"/>
        <v>0</v>
      </c>
      <c r="AH108" s="55">
        <f t="shared" si="10"/>
        <v>0</v>
      </c>
      <c r="AI108" s="55">
        <f t="shared" si="10"/>
        <v>0</v>
      </c>
      <c r="AJ108" s="55">
        <f t="shared" si="10"/>
        <v>0</v>
      </c>
      <c r="AK108" s="55">
        <f t="shared" si="10"/>
        <v>0</v>
      </c>
      <c r="AL108" s="55">
        <f t="shared" si="10"/>
        <v>0</v>
      </c>
      <c r="AM108" s="55">
        <f t="shared" si="10"/>
        <v>0</v>
      </c>
      <c r="AN108" s="55">
        <f t="shared" si="10"/>
        <v>0</v>
      </c>
      <c r="AO108" s="55">
        <f t="shared" si="10"/>
        <v>0</v>
      </c>
      <c r="AP108" s="55">
        <f t="shared" si="10"/>
        <v>0</v>
      </c>
      <c r="AQ108" s="55">
        <f t="shared" si="10"/>
        <v>0</v>
      </c>
      <c r="AR108" s="55">
        <f t="shared" si="10"/>
        <v>0</v>
      </c>
      <c r="AS108" s="55">
        <f t="shared" si="10"/>
        <v>0</v>
      </c>
      <c r="AT108" s="55">
        <f t="shared" si="10"/>
        <v>0</v>
      </c>
      <c r="AU108" s="55">
        <f t="shared" si="10"/>
        <v>0.15550723500000002</v>
      </c>
      <c r="AV108" s="55">
        <f t="shared" si="10"/>
        <v>0</v>
      </c>
      <c r="AW108" s="55">
        <f t="shared" si="10"/>
        <v>0</v>
      </c>
      <c r="AX108" s="55">
        <f t="shared" si="10"/>
        <v>28.505029499999999</v>
      </c>
      <c r="AY108" s="55">
        <f t="shared" si="10"/>
        <v>0</v>
      </c>
      <c r="AZ108" s="55">
        <f t="shared" si="10"/>
        <v>0</v>
      </c>
      <c r="BA108" s="55">
        <f t="shared" si="10"/>
        <v>0</v>
      </c>
      <c r="BB108" s="55">
        <f t="shared" si="10"/>
        <v>3.5128578000000001E-3</v>
      </c>
      <c r="BC108" s="55">
        <f t="shared" si="10"/>
        <v>1.19717604E-5</v>
      </c>
      <c r="BD108" s="55">
        <f t="shared" si="10"/>
        <v>2.8585627500000002E-2</v>
      </c>
      <c r="BE108" s="55">
        <f t="shared" si="10"/>
        <v>1.8646117500000002E-4</v>
      </c>
      <c r="BF108" s="55">
        <f t="shared" si="10"/>
        <v>0</v>
      </c>
      <c r="BG108" s="55">
        <f t="shared" si="10"/>
        <v>0</v>
      </c>
      <c r="BH108" s="55">
        <f t="shared" si="10"/>
        <v>0</v>
      </c>
      <c r="BI108" s="55">
        <f t="shared" si="10"/>
        <v>0</v>
      </c>
      <c r="BJ108" s="55">
        <f t="shared" si="10"/>
        <v>0</v>
      </c>
      <c r="BK108" s="78">
        <v>0</v>
      </c>
      <c r="BL108" s="45"/>
      <c r="BM108" s="45" t="s">
        <v>1263</v>
      </c>
    </row>
    <row r="109" spans="1:65" x14ac:dyDescent="0.35">
      <c r="A109" s="45" t="str">
        <f>Database_Productkaarten[[#This Row],[Product]]&amp;", "&amp;Database_Productkaarten[[#This Row],[Levensfase]]</f>
        <v>AC 11 surf DL-A rood*, D1</v>
      </c>
      <c r="B109" s="41" t="s">
        <v>1262</v>
      </c>
      <c r="C109" s="41" t="s">
        <v>443</v>
      </c>
      <c r="D109" s="41" t="s">
        <v>471</v>
      </c>
      <c r="E109" s="41" t="s">
        <v>91</v>
      </c>
      <c r="F109" s="41" t="s">
        <v>51</v>
      </c>
      <c r="G109" s="45"/>
      <c r="H109" s="45"/>
      <c r="I109" s="45"/>
      <c r="J109" s="45"/>
      <c r="K109" s="45"/>
      <c r="L109" s="41">
        <v>2.35</v>
      </c>
      <c r="M109" s="54">
        <f t="shared" si="1"/>
        <v>-5.9910240080598598</v>
      </c>
      <c r="N109" s="41">
        <v>14</v>
      </c>
      <c r="O109" s="55">
        <f t="shared" ref="O109:BJ109" si="11">O97*1.5</f>
        <v>-7.9624550364000015E-5</v>
      </c>
      <c r="P109" s="55">
        <f t="shared" si="11"/>
        <v>-1.0753878844327498</v>
      </c>
      <c r="Q109" s="55">
        <f t="shared" si="11"/>
        <v>-44.179989694297554</v>
      </c>
      <c r="R109" s="55">
        <f t="shared" si="11"/>
        <v>-3.685570213275E-6</v>
      </c>
      <c r="S109" s="55">
        <f t="shared" si="11"/>
        <v>-0.11551714297331996</v>
      </c>
      <c r="T109" s="55">
        <f t="shared" si="11"/>
        <v>-0.31570838711918991</v>
      </c>
      <c r="U109" s="55">
        <f t="shared" si="11"/>
        <v>-2.9255487315239997E-2</v>
      </c>
      <c r="V109" s="55">
        <f t="shared" si="11"/>
        <v>-11.733536911644777</v>
      </c>
      <c r="W109" s="55">
        <f t="shared" si="11"/>
        <v>-1.6749589104004492</v>
      </c>
      <c r="X109" s="55">
        <f t="shared" si="11"/>
        <v>-7336.7313304216132</v>
      </c>
      <c r="Y109" s="55">
        <f t="shared" si="11"/>
        <v>-0.21698738545664997</v>
      </c>
      <c r="Z109" s="55">
        <f t="shared" si="11"/>
        <v>0</v>
      </c>
      <c r="AA109" s="55">
        <f t="shared" si="11"/>
        <v>0</v>
      </c>
      <c r="AB109" s="55">
        <f t="shared" si="11"/>
        <v>0</v>
      </c>
      <c r="AC109" s="55">
        <f t="shared" si="11"/>
        <v>0</v>
      </c>
      <c r="AD109" s="55">
        <f t="shared" si="11"/>
        <v>0</v>
      </c>
      <c r="AE109" s="55">
        <f t="shared" si="11"/>
        <v>0</v>
      </c>
      <c r="AF109" s="55">
        <f t="shared" si="11"/>
        <v>0</v>
      </c>
      <c r="AG109" s="55">
        <f t="shared" si="11"/>
        <v>0</v>
      </c>
      <c r="AH109" s="55">
        <f t="shared" si="11"/>
        <v>0</v>
      </c>
      <c r="AI109" s="55">
        <f t="shared" si="11"/>
        <v>0</v>
      </c>
      <c r="AJ109" s="55">
        <f t="shared" si="11"/>
        <v>0</v>
      </c>
      <c r="AK109" s="55">
        <f t="shared" si="11"/>
        <v>0</v>
      </c>
      <c r="AL109" s="55">
        <f t="shared" si="11"/>
        <v>0</v>
      </c>
      <c r="AM109" s="55">
        <f t="shared" si="11"/>
        <v>0</v>
      </c>
      <c r="AN109" s="55">
        <f t="shared" si="11"/>
        <v>0</v>
      </c>
      <c r="AO109" s="55">
        <f t="shared" si="11"/>
        <v>0</v>
      </c>
      <c r="AP109" s="55">
        <f t="shared" si="11"/>
        <v>0</v>
      </c>
      <c r="AQ109" s="55">
        <f t="shared" si="11"/>
        <v>0</v>
      </c>
      <c r="AR109" s="55">
        <f t="shared" si="11"/>
        <v>0</v>
      </c>
      <c r="AS109" s="55">
        <f t="shared" si="11"/>
        <v>0</v>
      </c>
      <c r="AT109" s="55">
        <f t="shared" si="11"/>
        <v>0</v>
      </c>
      <c r="AU109" s="55">
        <f t="shared" si="11"/>
        <v>-17.054551683315658</v>
      </c>
      <c r="AV109" s="55">
        <f t="shared" si="11"/>
        <v>0</v>
      </c>
      <c r="AW109" s="55">
        <f t="shared" si="11"/>
        <v>0</v>
      </c>
      <c r="AX109" s="55">
        <f t="shared" si="11"/>
        <v>-2428.0726203616373</v>
      </c>
      <c r="AY109" s="55">
        <f t="shared" si="11"/>
        <v>0</v>
      </c>
      <c r="AZ109" s="55">
        <f t="shared" si="11"/>
        <v>0</v>
      </c>
      <c r="BA109" s="55">
        <f t="shared" si="11"/>
        <v>0</v>
      </c>
      <c r="BB109" s="55">
        <f t="shared" si="11"/>
        <v>-25.72019714619308</v>
      </c>
      <c r="BC109" s="55">
        <f t="shared" si="11"/>
        <v>-8.7106208960249971E-4</v>
      </c>
      <c r="BD109" s="55">
        <f t="shared" si="11"/>
        <v>-2.8684878188815195</v>
      </c>
      <c r="BE109" s="55">
        <f t="shared" si="11"/>
        <v>-1.022015599515E-3</v>
      </c>
      <c r="BF109" s="55">
        <f t="shared" si="11"/>
        <v>0</v>
      </c>
      <c r="BG109" s="55">
        <f t="shared" si="11"/>
        <v>0</v>
      </c>
      <c r="BH109" s="55">
        <f t="shared" si="11"/>
        <v>0</v>
      </c>
      <c r="BI109" s="55">
        <f t="shared" si="11"/>
        <v>0</v>
      </c>
      <c r="BJ109" s="55">
        <f t="shared" si="11"/>
        <v>0</v>
      </c>
      <c r="BK109" s="78">
        <v>0</v>
      </c>
      <c r="BL109" s="45"/>
      <c r="BM109" s="45" t="s">
        <v>1263</v>
      </c>
    </row>
    <row r="110" spans="1:65" x14ac:dyDescent="0.35">
      <c r="A110" s="45" t="str">
        <f>Database_Productkaarten[[#This Row],[Product]]&amp;", "&amp;Database_Productkaarten[[#This Row],[Levensfase]]</f>
        <v>AC 11 surf DL-A rood*, D2</v>
      </c>
      <c r="B110" s="41" t="s">
        <v>1262</v>
      </c>
      <c r="C110" s="41" t="s">
        <v>443</v>
      </c>
      <c r="D110" s="41" t="s">
        <v>471</v>
      </c>
      <c r="E110" s="41" t="s">
        <v>91</v>
      </c>
      <c r="F110" s="41" t="s">
        <v>52</v>
      </c>
      <c r="G110" s="45"/>
      <c r="H110" s="45"/>
      <c r="I110" s="45"/>
      <c r="J110" s="45"/>
      <c r="K110" s="45"/>
      <c r="L110" s="41">
        <v>2.35</v>
      </c>
      <c r="M110" s="54">
        <f t="shared" si="1"/>
        <v>-2.6148275198958828</v>
      </c>
      <c r="N110" s="41">
        <v>14</v>
      </c>
      <c r="O110" s="55">
        <f t="shared" ref="O110:BJ110" si="12">O98*1.5</f>
        <v>-1.7551933546583267E-5</v>
      </c>
      <c r="P110" s="55">
        <f t="shared" si="12"/>
        <v>-0.12150745880795169</v>
      </c>
      <c r="Q110" s="55">
        <f t="shared" si="12"/>
        <v>-17.76347087116185</v>
      </c>
      <c r="R110" s="55">
        <f t="shared" si="12"/>
        <v>-2.8920112659631223E-6</v>
      </c>
      <c r="S110" s="55">
        <f t="shared" si="12"/>
        <v>-1.3558543894582494E-2</v>
      </c>
      <c r="T110" s="55">
        <f t="shared" si="12"/>
        <v>-0.20107592253495582</v>
      </c>
      <c r="U110" s="55">
        <f t="shared" si="12"/>
        <v>-2.7429797658739347E-2</v>
      </c>
      <c r="V110" s="55">
        <f t="shared" si="12"/>
        <v>-6.3115040116087791</v>
      </c>
      <c r="W110" s="55">
        <f t="shared" si="12"/>
        <v>-0.14405984764056692</v>
      </c>
      <c r="X110" s="55">
        <f t="shared" si="12"/>
        <v>-550.6189599448744</v>
      </c>
      <c r="Y110" s="55">
        <f t="shared" si="12"/>
        <v>-2.3494550092690969E-2</v>
      </c>
      <c r="Z110" s="55">
        <f t="shared" si="12"/>
        <v>0</v>
      </c>
      <c r="AA110" s="55">
        <f t="shared" si="12"/>
        <v>0</v>
      </c>
      <c r="AB110" s="55">
        <f t="shared" si="12"/>
        <v>0</v>
      </c>
      <c r="AC110" s="55">
        <f t="shared" si="12"/>
        <v>0</v>
      </c>
      <c r="AD110" s="55">
        <f t="shared" si="12"/>
        <v>0</v>
      </c>
      <c r="AE110" s="55">
        <f t="shared" si="12"/>
        <v>0</v>
      </c>
      <c r="AF110" s="55">
        <f t="shared" si="12"/>
        <v>0</v>
      </c>
      <c r="AG110" s="55">
        <f t="shared" si="12"/>
        <v>0</v>
      </c>
      <c r="AH110" s="55">
        <f t="shared" si="12"/>
        <v>0</v>
      </c>
      <c r="AI110" s="55">
        <f t="shared" si="12"/>
        <v>0</v>
      </c>
      <c r="AJ110" s="55">
        <f t="shared" si="12"/>
        <v>0</v>
      </c>
      <c r="AK110" s="55">
        <f t="shared" si="12"/>
        <v>0</v>
      </c>
      <c r="AL110" s="55">
        <f t="shared" si="12"/>
        <v>0</v>
      </c>
      <c r="AM110" s="55">
        <f t="shared" si="12"/>
        <v>0</v>
      </c>
      <c r="AN110" s="55">
        <f t="shared" si="12"/>
        <v>0</v>
      </c>
      <c r="AO110" s="55">
        <f t="shared" si="12"/>
        <v>0</v>
      </c>
      <c r="AP110" s="55">
        <f t="shared" si="12"/>
        <v>0</v>
      </c>
      <c r="AQ110" s="55">
        <f t="shared" si="12"/>
        <v>0</v>
      </c>
      <c r="AR110" s="55">
        <f t="shared" si="12"/>
        <v>0</v>
      </c>
      <c r="AS110" s="55">
        <f t="shared" si="12"/>
        <v>0</v>
      </c>
      <c r="AT110" s="55">
        <f t="shared" si="12"/>
        <v>0</v>
      </c>
      <c r="AU110" s="55">
        <f t="shared" si="12"/>
        <v>-4.9307637485487827</v>
      </c>
      <c r="AV110" s="55">
        <f t="shared" si="12"/>
        <v>0</v>
      </c>
      <c r="AW110" s="55">
        <f t="shared" si="12"/>
        <v>0</v>
      </c>
      <c r="AX110" s="55">
        <f t="shared" si="12"/>
        <v>-269.38770278464676</v>
      </c>
      <c r="AY110" s="55">
        <f t="shared" si="12"/>
        <v>0</v>
      </c>
      <c r="AZ110" s="55">
        <f t="shared" si="12"/>
        <v>0</v>
      </c>
      <c r="BA110" s="55">
        <f t="shared" si="12"/>
        <v>0</v>
      </c>
      <c r="BB110" s="55">
        <f t="shared" si="12"/>
        <v>-5.4283323176477133E-2</v>
      </c>
      <c r="BC110" s="55">
        <f t="shared" si="12"/>
        <v>-1.7080021781702825E-4</v>
      </c>
      <c r="BD110" s="55">
        <f t="shared" si="12"/>
        <v>-4.4365541163627737</v>
      </c>
      <c r="BE110" s="55">
        <f t="shared" si="12"/>
        <v>-1.6773392498903525E-3</v>
      </c>
      <c r="BF110" s="55">
        <f t="shared" si="12"/>
        <v>0</v>
      </c>
      <c r="BG110" s="55">
        <f t="shared" si="12"/>
        <v>0</v>
      </c>
      <c r="BH110" s="55">
        <f t="shared" si="12"/>
        <v>0</v>
      </c>
      <c r="BI110" s="55">
        <f t="shared" si="12"/>
        <v>0</v>
      </c>
      <c r="BJ110" s="55">
        <f t="shared" si="12"/>
        <v>0</v>
      </c>
      <c r="BK110" s="78">
        <v>0</v>
      </c>
      <c r="BL110" s="45"/>
      <c r="BM110" s="45" t="s">
        <v>1263</v>
      </c>
    </row>
    <row r="111" spans="1:65" x14ac:dyDescent="0.35">
      <c r="A111" s="41" t="str">
        <f>Database_Productkaarten[[#This Row],[Product]]&amp;", "&amp;Database_Productkaarten[[#This Row],[Levensfase]]</f>
        <v>AC Surf G.M. 30% PR - PCR 1.0, Totaal</v>
      </c>
      <c r="B111" s="41" t="s">
        <v>1355</v>
      </c>
      <c r="C111" s="41" t="s">
        <v>443</v>
      </c>
      <c r="D111" s="41" t="s">
        <v>471</v>
      </c>
      <c r="E111" s="41" t="s">
        <v>91</v>
      </c>
      <c r="F111" s="41" t="s">
        <v>16</v>
      </c>
      <c r="L111" s="41">
        <v>2.35</v>
      </c>
      <c r="M111" s="53">
        <v>8.7850613436646938</v>
      </c>
      <c r="N111" s="41">
        <v>14</v>
      </c>
      <c r="O111" s="52">
        <v>4.597230832939408E-4</v>
      </c>
      <c r="P111" s="52">
        <v>1.0390342291556844</v>
      </c>
      <c r="Q111" s="52">
        <v>82.542197403673995</v>
      </c>
      <c r="R111" s="52">
        <v>1.1189646130995247E-5</v>
      </c>
      <c r="S111" s="52">
        <v>8.4225661250239489E-2</v>
      </c>
      <c r="T111" s="52">
        <v>0.34534693177663911</v>
      </c>
      <c r="U111" s="52">
        <v>4.7174461434607122E-2</v>
      </c>
      <c r="V111" s="52">
        <v>21.652002628095307</v>
      </c>
      <c r="W111" s="52">
        <v>1.5593788256864392</v>
      </c>
      <c r="X111" s="52">
        <v>5108.8007946198559</v>
      </c>
      <c r="Y111" s="52">
        <v>0.1788410900820242</v>
      </c>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v>32.026912070012024</v>
      </c>
      <c r="AV111" s="52"/>
      <c r="AW111" s="52"/>
      <c r="AX111" s="52">
        <v>2091.7627621235056</v>
      </c>
      <c r="AY111" s="52"/>
      <c r="AZ111" s="52"/>
      <c r="BA111" s="52"/>
      <c r="BB111" s="52">
        <v>11.634147584333888</v>
      </c>
      <c r="BC111" s="52">
        <v>1.2698351129292612E-3</v>
      </c>
      <c r="BD111" s="52">
        <v>4.5254068689948781</v>
      </c>
      <c r="BE111" s="52">
        <v>3.3804762757992297E-3</v>
      </c>
      <c r="BF111" s="52"/>
      <c r="BG111" s="52"/>
      <c r="BH111" s="52"/>
      <c r="BI111" s="52"/>
      <c r="BJ111" s="52"/>
      <c r="BK111" s="78">
        <v>0.3</v>
      </c>
      <c r="BL111" s="41" t="s">
        <v>109</v>
      </c>
      <c r="BM111" s="45"/>
    </row>
    <row r="112" spans="1:65" x14ac:dyDescent="0.35">
      <c r="A112" s="41" t="str">
        <f>Database_Productkaarten[[#This Row],[Product]]&amp;", "&amp;Database_Productkaarten[[#This Row],[Levensfase]]</f>
        <v>AC Surf G.M. 30% PR - PCR 1.0, A1</v>
      </c>
      <c r="B112" s="41" t="s">
        <v>1355</v>
      </c>
      <c r="C112" s="41" t="s">
        <v>443</v>
      </c>
      <c r="D112" s="41" t="s">
        <v>471</v>
      </c>
      <c r="E112" s="41" t="s">
        <v>91</v>
      </c>
      <c r="F112" s="41" t="s">
        <v>19</v>
      </c>
      <c r="L112" s="41">
        <v>2.35</v>
      </c>
      <c r="M112" s="53">
        <v>7.1106132910000008</v>
      </c>
      <c r="N112" s="41">
        <v>14</v>
      </c>
      <c r="O112" s="52">
        <v>4.639395448E-4</v>
      </c>
      <c r="P112" s="52">
        <v>1.1900958024000001</v>
      </c>
      <c r="Q112" s="52">
        <v>55.810769798999999</v>
      </c>
      <c r="R112" s="52">
        <v>5.986292269999999E-6</v>
      </c>
      <c r="S112" s="52">
        <v>0.12189073256000001</v>
      </c>
      <c r="T112" s="52">
        <v>0.34700492500000002</v>
      </c>
      <c r="U112" s="52">
        <v>3.3543850299999997E-2</v>
      </c>
      <c r="V112" s="52">
        <v>15.686648136000001</v>
      </c>
      <c r="W112" s="52">
        <v>1.6588095458000001</v>
      </c>
      <c r="X112" s="52">
        <v>7211.024771335</v>
      </c>
      <c r="Y112" s="52">
        <v>0.22558846220000001</v>
      </c>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v>31.340223646999998</v>
      </c>
      <c r="AV112" s="52"/>
      <c r="AW112" s="52"/>
      <c r="AX112" s="52">
        <v>2672.3167289890002</v>
      </c>
      <c r="AY112" s="52"/>
      <c r="AZ112" s="52"/>
      <c r="BA112" s="52"/>
      <c r="BB112" s="52">
        <v>23.957229244600004</v>
      </c>
      <c r="BC112" s="52">
        <v>1.0124596479999999E-3</v>
      </c>
      <c r="BD112" s="52">
        <v>4.0218260140000002</v>
      </c>
      <c r="BE112" s="52">
        <v>2.401192098E-3</v>
      </c>
      <c r="BF112" s="52"/>
      <c r="BG112" s="52"/>
      <c r="BH112" s="52"/>
      <c r="BI112" s="52"/>
      <c r="BJ112" s="52"/>
      <c r="BK112" s="78">
        <v>0.3</v>
      </c>
      <c r="BL112" s="41" t="s">
        <v>109</v>
      </c>
      <c r="BM112" s="45"/>
    </row>
    <row r="113" spans="1:65" x14ac:dyDescent="0.35">
      <c r="A113" s="41" t="str">
        <f>Database_Productkaarten[[#This Row],[Product]]&amp;", "&amp;Database_Productkaarten[[#This Row],[Levensfase]]</f>
        <v>AC Surf G.M. 30% PR - PCR 1.0, A2</v>
      </c>
      <c r="B113" s="41" t="s">
        <v>1355</v>
      </c>
      <c r="C113" s="41" t="s">
        <v>443</v>
      </c>
      <c r="D113" s="41" t="s">
        <v>471</v>
      </c>
      <c r="E113" s="41" t="s">
        <v>91</v>
      </c>
      <c r="F113" s="41" t="s">
        <v>20</v>
      </c>
      <c r="L113" s="41">
        <v>2.35</v>
      </c>
      <c r="M113" s="53">
        <v>2.241783629355</v>
      </c>
      <c r="N113" s="41">
        <v>14</v>
      </c>
      <c r="O113" s="52">
        <v>1.5026321679710001E-5</v>
      </c>
      <c r="P113" s="52">
        <v>0.1100658268933</v>
      </c>
      <c r="Q113" s="52">
        <v>16.369508498562002</v>
      </c>
      <c r="R113" s="52">
        <v>2.6207561070700002E-6</v>
      </c>
      <c r="S113" s="52">
        <v>1.1463269415900002E-2</v>
      </c>
      <c r="T113" s="52">
        <v>0.15932147638160002</v>
      </c>
      <c r="U113" s="52">
        <v>2.5370373014799996E-2</v>
      </c>
      <c r="V113" s="52">
        <v>5.197454647452</v>
      </c>
      <c r="W113" s="52">
        <v>0.12335097841520001</v>
      </c>
      <c r="X113" s="52">
        <v>443.46159601799303</v>
      </c>
      <c r="Y113" s="52">
        <v>2.0820150263900002E-2</v>
      </c>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v>4.5857739338970003</v>
      </c>
      <c r="AV113" s="52"/>
      <c r="AW113" s="52"/>
      <c r="AX113" s="52">
        <v>244.09480228617301</v>
      </c>
      <c r="AY113" s="52"/>
      <c r="AZ113" s="52"/>
      <c r="BA113" s="52"/>
      <c r="BB113" s="52">
        <v>5.264060007420001E-2</v>
      </c>
      <c r="BC113" s="52">
        <v>1.6153851065860001E-4</v>
      </c>
      <c r="BD113" s="52">
        <v>3.3830812016579999</v>
      </c>
      <c r="BE113" s="52">
        <v>1.52077811637E-3</v>
      </c>
      <c r="BF113" s="52"/>
      <c r="BG113" s="52"/>
      <c r="BH113" s="52"/>
      <c r="BI113" s="52"/>
      <c r="BJ113" s="52"/>
      <c r="BK113" s="78">
        <v>0.3</v>
      </c>
      <c r="BL113" s="41" t="s">
        <v>109</v>
      </c>
      <c r="BM113" s="45"/>
    </row>
    <row r="114" spans="1:65" x14ac:dyDescent="0.35">
      <c r="A114" s="41" t="str">
        <f>Database_Productkaarten[[#This Row],[Product]]&amp;", "&amp;Database_Productkaarten[[#This Row],[Levensfase]]</f>
        <v>AC Surf G.M. 30% PR - PCR 1.0, A3</v>
      </c>
      <c r="B114" s="41" t="s">
        <v>1355</v>
      </c>
      <c r="C114" s="41" t="s">
        <v>443</v>
      </c>
      <c r="D114" s="41" t="s">
        <v>471</v>
      </c>
      <c r="E114" s="41" t="s">
        <v>91</v>
      </c>
      <c r="F114" s="41" t="s">
        <v>21</v>
      </c>
      <c r="L114" s="41">
        <v>2.35</v>
      </c>
      <c r="M114" s="53">
        <v>1.7480604762020062</v>
      </c>
      <c r="N114" s="41">
        <v>14</v>
      </c>
      <c r="O114" s="52">
        <v>4.7148517874308341E-6</v>
      </c>
      <c r="P114" s="52">
        <v>0.20861227226100013</v>
      </c>
      <c r="Q114" s="52">
        <v>24.43616655040643</v>
      </c>
      <c r="R114" s="52">
        <v>2.8269882765073571E-6</v>
      </c>
      <c r="S114" s="52">
        <v>3.9486488343299722E-3</v>
      </c>
      <c r="T114" s="52">
        <v>2.6008062385765595E-2</v>
      </c>
      <c r="U114" s="52">
        <v>4.6621546356866612E-3</v>
      </c>
      <c r="V114" s="52">
        <v>3.629633082972485</v>
      </c>
      <c r="W114" s="52">
        <v>2.4790191793375448E-2</v>
      </c>
      <c r="X114" s="52">
        <v>100.90135113747318</v>
      </c>
      <c r="Y114" s="52">
        <v>2.3312667602280599E-2</v>
      </c>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v>6.6803923791093398</v>
      </c>
      <c r="AV114" s="52"/>
      <c r="AW114" s="52"/>
      <c r="AX114" s="52">
        <v>426.46778445908245</v>
      </c>
      <c r="AY114" s="52"/>
      <c r="AZ114" s="52"/>
      <c r="BA114" s="52"/>
      <c r="BB114" s="52">
        <v>4.4109006229411982E-2</v>
      </c>
      <c r="BC114" s="52">
        <v>5.6687215429036093E-4</v>
      </c>
      <c r="BD114" s="52">
        <v>0.26366578930653251</v>
      </c>
      <c r="BE114" s="52">
        <v>3.8413475397336405E-4</v>
      </c>
      <c r="BF114" s="52"/>
      <c r="BG114" s="52"/>
      <c r="BH114" s="52"/>
      <c r="BI114" s="52"/>
      <c r="BJ114" s="52"/>
      <c r="BK114" s="78">
        <v>0.3</v>
      </c>
      <c r="BL114" s="41" t="s">
        <v>109</v>
      </c>
      <c r="BM114" s="45"/>
    </row>
    <row r="115" spans="1:65" x14ac:dyDescent="0.35">
      <c r="A115" s="41" t="str">
        <f>Database_Productkaarten[[#This Row],[Product]]&amp;", "&amp;Database_Productkaarten[[#This Row],[Levensfase]]</f>
        <v>AC Surf G.M. 30% PR - PCR 1.0, A4</v>
      </c>
      <c r="B115" s="41" t="s">
        <v>1355</v>
      </c>
      <c r="C115" s="41" t="s">
        <v>443</v>
      </c>
      <c r="D115" s="41" t="s">
        <v>471</v>
      </c>
      <c r="E115" s="41" t="s">
        <v>91</v>
      </c>
      <c r="F115" s="41" t="s">
        <v>22</v>
      </c>
      <c r="L115" s="41">
        <v>2.35</v>
      </c>
      <c r="M115" s="53">
        <v>0.62892669999999995</v>
      </c>
      <c r="N115" s="41">
        <v>14</v>
      </c>
      <c r="O115" s="52">
        <v>1.0978337000000001E-5</v>
      </c>
      <c r="P115" s="52">
        <v>4.3183727999999998E-2</v>
      </c>
      <c r="Q115" s="52">
        <v>5.7021305</v>
      </c>
      <c r="R115" s="52">
        <v>1.1335356E-6</v>
      </c>
      <c r="S115" s="52">
        <v>3.5752850000000001E-3</v>
      </c>
      <c r="T115" s="52">
        <v>1.9151161E-2</v>
      </c>
      <c r="U115" s="52">
        <v>3.8023555000000001E-3</v>
      </c>
      <c r="V115" s="52">
        <v>2.0049337999999999</v>
      </c>
      <c r="W115" s="52">
        <v>0.12926487</v>
      </c>
      <c r="X115" s="52">
        <v>338.63108999999997</v>
      </c>
      <c r="Y115" s="52">
        <v>1.1891815999999999E-2</v>
      </c>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v>0</v>
      </c>
      <c r="AV115" s="52"/>
      <c r="AW115" s="52"/>
      <c r="AX115" s="52">
        <v>0</v>
      </c>
      <c r="AY115" s="52"/>
      <c r="AZ115" s="52"/>
      <c r="BA115" s="52"/>
      <c r="BB115" s="52">
        <v>0</v>
      </c>
      <c r="BC115" s="52">
        <v>0</v>
      </c>
      <c r="BD115" s="52">
        <v>0</v>
      </c>
      <c r="BE115" s="52">
        <v>0</v>
      </c>
      <c r="BF115" s="52"/>
      <c r="BG115" s="52"/>
      <c r="BH115" s="52"/>
      <c r="BI115" s="52"/>
      <c r="BJ115" s="52"/>
      <c r="BK115" s="78">
        <v>0.3</v>
      </c>
      <c r="BL115" s="41" t="s">
        <v>109</v>
      </c>
      <c r="BM115" s="45"/>
    </row>
    <row r="116" spans="1:65" x14ac:dyDescent="0.35">
      <c r="A116" s="41" t="str">
        <f>Database_Productkaarten[[#This Row],[Product]]&amp;", "&amp;Database_Productkaarten[[#This Row],[Levensfase]]</f>
        <v>AC Surf G.M. 30% PR - PCR 1.0, A5</v>
      </c>
      <c r="B116" s="41" t="s">
        <v>1355</v>
      </c>
      <c r="C116" s="41" t="s">
        <v>443</v>
      </c>
      <c r="D116" s="41" t="s">
        <v>471</v>
      </c>
      <c r="E116" s="41" t="s">
        <v>91</v>
      </c>
      <c r="F116" s="41" t="s">
        <v>23</v>
      </c>
      <c r="L116" s="41">
        <v>2.35</v>
      </c>
      <c r="M116" s="53">
        <v>0.26142994000000003</v>
      </c>
      <c r="N116" s="41">
        <v>14</v>
      </c>
      <c r="O116" s="52">
        <v>6.4405276999999999E-7</v>
      </c>
      <c r="P116" s="52">
        <v>1.3221688000000001E-2</v>
      </c>
      <c r="Q116" s="52">
        <v>2.554217</v>
      </c>
      <c r="R116" s="52">
        <v>3.4623921999999999E-7</v>
      </c>
      <c r="S116" s="52">
        <v>9.5560771999999997E-4</v>
      </c>
      <c r="T116" s="52">
        <v>1.0774331999999999E-2</v>
      </c>
      <c r="U116" s="52">
        <v>2.4326081999999998E-3</v>
      </c>
      <c r="V116" s="52">
        <v>0.67890231999999995</v>
      </c>
      <c r="W116" s="52">
        <v>9.5891563000000003E-3</v>
      </c>
      <c r="X116" s="52">
        <v>32.339298999999997</v>
      </c>
      <c r="Y116" s="52">
        <v>1.1383995E-3</v>
      </c>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v>0.16170355</v>
      </c>
      <c r="AV116" s="52"/>
      <c r="AW116" s="52"/>
      <c r="AX116" s="52">
        <v>29.640834999999999</v>
      </c>
      <c r="AY116" s="52"/>
      <c r="AZ116" s="52"/>
      <c r="BA116" s="52"/>
      <c r="BB116" s="52">
        <v>3.6528305999999999E-3</v>
      </c>
      <c r="BC116" s="52">
        <v>1.2448785000000001E-5</v>
      </c>
      <c r="BD116" s="52">
        <v>2.9724645000000001E-2</v>
      </c>
      <c r="BE116" s="52">
        <v>1.9389087E-4</v>
      </c>
      <c r="BF116" s="52"/>
      <c r="BG116" s="52"/>
      <c r="BH116" s="52"/>
      <c r="BI116" s="52"/>
      <c r="BJ116" s="52"/>
      <c r="BK116" s="78">
        <v>0.3</v>
      </c>
      <c r="BL116" s="41" t="s">
        <v>109</v>
      </c>
      <c r="BM116" s="45"/>
    </row>
    <row r="117" spans="1:65" x14ac:dyDescent="0.35">
      <c r="A117" s="41" t="str">
        <f>Database_Productkaarten[[#This Row],[Product]]&amp;", "&amp;Database_Productkaarten[[#This Row],[Levensfase]]</f>
        <v>AC Surf G.M. 30% PR - PCR 1.0, B1</v>
      </c>
      <c r="B117" s="41" t="s">
        <v>1355</v>
      </c>
      <c r="C117" s="41" t="s">
        <v>443</v>
      </c>
      <c r="D117" s="41" t="s">
        <v>471</v>
      </c>
      <c r="E117" s="41" t="s">
        <v>91</v>
      </c>
      <c r="F117" s="41" t="s">
        <v>24</v>
      </c>
      <c r="L117" s="41">
        <v>2.35</v>
      </c>
      <c r="M117" s="53">
        <v>8.2079854999999993E-2</v>
      </c>
      <c r="N117" s="41">
        <v>14</v>
      </c>
      <c r="O117" s="52">
        <v>0</v>
      </c>
      <c r="P117" s="52">
        <v>0</v>
      </c>
      <c r="Q117" s="52">
        <v>0</v>
      </c>
      <c r="R117" s="52">
        <v>0</v>
      </c>
      <c r="S117" s="52">
        <v>0</v>
      </c>
      <c r="T117" s="52">
        <v>0</v>
      </c>
      <c r="U117" s="52">
        <v>0</v>
      </c>
      <c r="V117" s="52">
        <v>0.33065064999999999</v>
      </c>
      <c r="W117" s="52">
        <v>0.35447900999999998</v>
      </c>
      <c r="X117" s="52">
        <v>416.74824000000001</v>
      </c>
      <c r="Y117" s="52">
        <v>2.016962E-4</v>
      </c>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v>0</v>
      </c>
      <c r="AV117" s="52"/>
      <c r="AW117" s="52"/>
      <c r="AX117" s="52">
        <v>0</v>
      </c>
      <c r="AY117" s="52"/>
      <c r="AZ117" s="52"/>
      <c r="BA117" s="52"/>
      <c r="BB117" s="52">
        <v>0</v>
      </c>
      <c r="BC117" s="52">
        <v>0</v>
      </c>
      <c r="BD117" s="52">
        <v>0</v>
      </c>
      <c r="BE117" s="52">
        <v>0</v>
      </c>
      <c r="BF117" s="52"/>
      <c r="BG117" s="52"/>
      <c r="BH117" s="52"/>
      <c r="BI117" s="52"/>
      <c r="BJ117" s="52"/>
      <c r="BK117" s="78">
        <v>0.3</v>
      </c>
      <c r="BL117" s="41" t="s">
        <v>109</v>
      </c>
      <c r="BM117" s="45"/>
    </row>
    <row r="118" spans="1:65" x14ac:dyDescent="0.35">
      <c r="A118" s="41" t="str">
        <f>Database_Productkaarten[[#This Row],[Product]]&amp;", "&amp;Database_Productkaarten[[#This Row],[Levensfase]]</f>
        <v>AC Surf G.M. 30% PR - PCR 1.0, C1</v>
      </c>
      <c r="B118" s="41" t="s">
        <v>1355</v>
      </c>
      <c r="C118" s="41" t="s">
        <v>443</v>
      </c>
      <c r="D118" s="41" t="s">
        <v>471</v>
      </c>
      <c r="E118" s="41" t="s">
        <v>91</v>
      </c>
      <c r="F118" s="41" t="s">
        <v>25</v>
      </c>
      <c r="L118" s="41">
        <v>2.35</v>
      </c>
      <c r="M118" s="53">
        <v>0.13639726999999999</v>
      </c>
      <c r="N118" s="41">
        <v>14</v>
      </c>
      <c r="O118" s="52">
        <v>3.6644380999999999E-7</v>
      </c>
      <c r="P118" s="52">
        <v>7.5226846000000002E-3</v>
      </c>
      <c r="Q118" s="52">
        <v>1.4532613999999999</v>
      </c>
      <c r="R118" s="52">
        <v>1.9699817000000001E-7</v>
      </c>
      <c r="S118" s="52">
        <v>4.8171299999999999E-4</v>
      </c>
      <c r="T118" s="52">
        <v>4.2661764999999997E-3</v>
      </c>
      <c r="U118" s="52">
        <v>8.9941806E-4</v>
      </c>
      <c r="V118" s="52">
        <v>0.38176861000000001</v>
      </c>
      <c r="W118" s="52">
        <v>5.4558992000000002E-3</v>
      </c>
      <c r="X118" s="52">
        <v>18.399946</v>
      </c>
      <c r="Y118" s="52">
        <v>6.4771006999999995E-4</v>
      </c>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v>9.2003741E-2</v>
      </c>
      <c r="AV118" s="52"/>
      <c r="AW118" s="52"/>
      <c r="AX118" s="52">
        <v>16.864612999999999</v>
      </c>
      <c r="AY118" s="52"/>
      <c r="AZ118" s="52"/>
      <c r="BA118" s="52"/>
      <c r="BB118" s="52">
        <v>2.0783346E-3</v>
      </c>
      <c r="BC118" s="52">
        <v>7.0829294000000003E-6</v>
      </c>
      <c r="BD118" s="52">
        <v>1.6912297999999999E-2</v>
      </c>
      <c r="BE118" s="52">
        <v>1.1031722E-4</v>
      </c>
      <c r="BF118" s="52"/>
      <c r="BG118" s="52"/>
      <c r="BH118" s="52"/>
      <c r="BI118" s="52"/>
      <c r="BJ118" s="52"/>
      <c r="BK118" s="78">
        <v>0.3</v>
      </c>
      <c r="BL118" s="41" t="s">
        <v>109</v>
      </c>
      <c r="BM118" s="45"/>
    </row>
    <row r="119" spans="1:65" x14ac:dyDescent="0.35">
      <c r="A119" s="41" t="str">
        <f>Database_Productkaarten[[#This Row],[Product]]&amp;", "&amp;Database_Productkaarten[[#This Row],[Levensfase]]</f>
        <v>AC Surf G.M. 30% PR - PCR 1.0, C2</v>
      </c>
      <c r="B119" s="41" t="s">
        <v>1355</v>
      </c>
      <c r="C119" s="41" t="s">
        <v>443</v>
      </c>
      <c r="D119" s="41" t="s">
        <v>471</v>
      </c>
      <c r="E119" s="41" t="s">
        <v>91</v>
      </c>
      <c r="F119" s="41" t="s">
        <v>26</v>
      </c>
      <c r="L119" s="41">
        <v>2.35</v>
      </c>
      <c r="M119" s="53">
        <v>0.62892669999999995</v>
      </c>
      <c r="N119" s="41">
        <v>14</v>
      </c>
      <c r="O119" s="52">
        <v>1.0978337000000001E-5</v>
      </c>
      <c r="P119" s="52">
        <v>4.3183727999999998E-2</v>
      </c>
      <c r="Q119" s="52">
        <v>5.7021305</v>
      </c>
      <c r="R119" s="52">
        <v>1.1335356E-6</v>
      </c>
      <c r="S119" s="52">
        <v>3.5752850000000001E-3</v>
      </c>
      <c r="T119" s="52">
        <v>1.9151161E-2</v>
      </c>
      <c r="U119" s="52">
        <v>3.8023555000000001E-3</v>
      </c>
      <c r="V119" s="52">
        <v>2.0049337999999999</v>
      </c>
      <c r="W119" s="52">
        <v>0.12926487</v>
      </c>
      <c r="X119" s="52">
        <v>338.63108999999997</v>
      </c>
      <c r="Y119" s="52">
        <v>1.1891815999999999E-2</v>
      </c>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v>0</v>
      </c>
      <c r="AV119" s="52"/>
      <c r="AW119" s="52"/>
      <c r="AX119" s="52">
        <v>0</v>
      </c>
      <c r="AY119" s="52"/>
      <c r="AZ119" s="52"/>
      <c r="BA119" s="52"/>
      <c r="BB119" s="52">
        <v>0</v>
      </c>
      <c r="BC119" s="52">
        <v>0</v>
      </c>
      <c r="BD119" s="52">
        <v>0</v>
      </c>
      <c r="BE119" s="52">
        <v>0</v>
      </c>
      <c r="BF119" s="52"/>
      <c r="BG119" s="52"/>
      <c r="BH119" s="52"/>
      <c r="BI119" s="52"/>
      <c r="BJ119" s="52"/>
      <c r="BK119" s="78">
        <v>0.3</v>
      </c>
      <c r="BL119" s="41" t="s">
        <v>109</v>
      </c>
      <c r="BM119" s="45"/>
    </row>
    <row r="120" spans="1:65" x14ac:dyDescent="0.35">
      <c r="A120" s="41" t="str">
        <f>Database_Productkaarten[[#This Row],[Product]]&amp;", "&amp;Database_Productkaarten[[#This Row],[Levensfase]]</f>
        <v>AC Surf G.M. 30% PR - PCR 1.0, C3</v>
      </c>
      <c r="B120" s="41" t="s">
        <v>1355</v>
      </c>
      <c r="C120" s="41" t="s">
        <v>443</v>
      </c>
      <c r="D120" s="41" t="s">
        <v>471</v>
      </c>
      <c r="E120" s="41" t="s">
        <v>91</v>
      </c>
      <c r="F120" s="41" t="s">
        <v>27</v>
      </c>
      <c r="L120" s="41">
        <v>2.35</v>
      </c>
      <c r="M120" s="53">
        <v>0.16120214999999999</v>
      </c>
      <c r="N120" s="41">
        <v>14</v>
      </c>
      <c r="O120" s="52">
        <v>4.1291555000000003E-7</v>
      </c>
      <c r="P120" s="52">
        <v>8.4766977000000007E-3</v>
      </c>
      <c r="Q120" s="52">
        <v>1.6375614000000001</v>
      </c>
      <c r="R120" s="52">
        <v>2.2198113E-7</v>
      </c>
      <c r="S120" s="52">
        <v>5.9777666999999998E-4</v>
      </c>
      <c r="T120" s="52">
        <v>5.9352911999999997E-3</v>
      </c>
      <c r="U120" s="52">
        <v>1.3067828999999999E-3</v>
      </c>
      <c r="V120" s="52">
        <v>0.43290835999999999</v>
      </c>
      <c r="W120" s="52">
        <v>6.1478065000000002E-3</v>
      </c>
      <c r="X120" s="52">
        <v>20.733394000000001</v>
      </c>
      <c r="Y120" s="52">
        <v>7.2985148000000004E-4</v>
      </c>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v>0.10367149000000001</v>
      </c>
      <c r="AV120" s="52"/>
      <c r="AW120" s="52"/>
      <c r="AX120" s="52">
        <v>19.003353000000001</v>
      </c>
      <c r="AY120" s="52"/>
      <c r="AZ120" s="52"/>
      <c r="BA120" s="52"/>
      <c r="BB120" s="52">
        <v>2.3419052000000001E-3</v>
      </c>
      <c r="BC120" s="52">
        <v>7.9811735999999999E-6</v>
      </c>
      <c r="BD120" s="52">
        <v>1.9057085000000001E-2</v>
      </c>
      <c r="BE120" s="52">
        <v>1.2430745000000001E-4</v>
      </c>
      <c r="BF120" s="52"/>
      <c r="BG120" s="52"/>
      <c r="BH120" s="52"/>
      <c r="BI120" s="52"/>
      <c r="BJ120" s="52"/>
      <c r="BK120" s="78">
        <v>0.3</v>
      </c>
      <c r="BL120" s="41" t="s">
        <v>109</v>
      </c>
      <c r="BM120" s="45"/>
    </row>
    <row r="121" spans="1:65" x14ac:dyDescent="0.35">
      <c r="A121" s="41" t="str">
        <f>Database_Productkaarten[[#This Row],[Product]]&amp;", "&amp;Database_Productkaarten[[#This Row],[Levensfase]]</f>
        <v>AC Surf G.M. 30% PR - PCR 1.0, D1</v>
      </c>
      <c r="B121" s="41" t="s">
        <v>1355</v>
      </c>
      <c r="C121" s="41" t="s">
        <v>443</v>
      </c>
      <c r="D121" s="41" t="s">
        <v>471</v>
      </c>
      <c r="E121" s="41" t="s">
        <v>91</v>
      </c>
      <c r="F121" s="41" t="s">
        <v>51</v>
      </c>
      <c r="L121" s="41">
        <v>2.35</v>
      </c>
      <c r="M121" s="53">
        <v>-2.8364291189220756</v>
      </c>
      <c r="N121" s="41">
        <v>14</v>
      </c>
      <c r="O121" s="52">
        <v>-3.8205383680516636E-5</v>
      </c>
      <c r="P121" s="52">
        <v>-0.51778696580029493</v>
      </c>
      <c r="Q121" s="52">
        <v>-21.074056724277821</v>
      </c>
      <c r="R121" s="52">
        <v>-1.668906769592877E-6</v>
      </c>
      <c r="S121" s="52">
        <v>-5.5215067757389893E-2</v>
      </c>
      <c r="T121" s="52">
        <v>-0.14806395131410113</v>
      </c>
      <c r="U121" s="52">
        <v>-1.3036330788829849E-2</v>
      </c>
      <c r="V121" s="52">
        <v>-5.5069061650125013</v>
      </c>
      <c r="W121" s="52">
        <v>-0.8062254483130058</v>
      </c>
      <c r="X121" s="52">
        <v>-3540.3105850493666</v>
      </c>
      <c r="Y121" s="52">
        <v>-0.10460308172142559</v>
      </c>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v>-8.1158668604584534</v>
      </c>
      <c r="AV121" s="52"/>
      <c r="AW121" s="52"/>
      <c r="AX121" s="52">
        <v>-1166.8388920240288</v>
      </c>
      <c r="AY121" s="52"/>
      <c r="AZ121" s="52"/>
      <c r="BA121" s="52"/>
      <c r="BB121" s="52">
        <v>-12.395570645485787</v>
      </c>
      <c r="BC121" s="52">
        <v>-3.993992418809443E-4</v>
      </c>
      <c r="BD121" s="52">
        <v>-1.1664073130824304</v>
      </c>
      <c r="BE121" s="52">
        <v>-4.2102250252926886E-4</v>
      </c>
      <c r="BF121" s="52"/>
      <c r="BG121" s="52"/>
      <c r="BH121" s="52"/>
      <c r="BI121" s="52"/>
      <c r="BJ121" s="52"/>
      <c r="BK121" s="78">
        <v>0.3</v>
      </c>
      <c r="BL121" s="41" t="s">
        <v>109</v>
      </c>
      <c r="BM121" s="45"/>
    </row>
    <row r="122" spans="1:65" x14ac:dyDescent="0.35">
      <c r="A122" s="41" t="str">
        <f>Database_Productkaarten[[#This Row],[Product]]&amp;", "&amp;Database_Productkaarten[[#This Row],[Levensfase]]</f>
        <v>AC Surf G.M. 30% PR - PCR 1.0, D2</v>
      </c>
      <c r="B122" s="41" t="s">
        <v>1355</v>
      </c>
      <c r="C122" s="41" t="s">
        <v>443</v>
      </c>
      <c r="D122" s="41" t="s">
        <v>471</v>
      </c>
      <c r="E122" s="41" t="s">
        <v>91</v>
      </c>
      <c r="F122" s="41" t="s">
        <v>52</v>
      </c>
      <c r="L122" s="41">
        <v>2.35</v>
      </c>
      <c r="M122" s="53">
        <v>-1.3779295489702363</v>
      </c>
      <c r="N122" s="41">
        <v>14</v>
      </c>
      <c r="O122" s="52">
        <v>-9.1323374126835272E-6</v>
      </c>
      <c r="P122" s="52">
        <v>-6.7541232998320683E-2</v>
      </c>
      <c r="Q122" s="52">
        <v>-10.0494915200166</v>
      </c>
      <c r="R122" s="52">
        <v>-1.6077734829892327E-6</v>
      </c>
      <c r="S122" s="52">
        <v>-7.0475891926005795E-3</v>
      </c>
      <c r="T122" s="52">
        <v>-9.8201702476625324E-2</v>
      </c>
      <c r="U122" s="52">
        <v>-1.5609105887049682E-2</v>
      </c>
      <c r="V122" s="52">
        <v>-3.1889246133166749</v>
      </c>
      <c r="W122" s="52">
        <v>-7.5548054109130874E-2</v>
      </c>
      <c r="X122" s="52">
        <v>-271.75939782124362</v>
      </c>
      <c r="Y122" s="52">
        <v>-1.2778397512730813E-2</v>
      </c>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v>-2.8209898105358651</v>
      </c>
      <c r="AV122" s="52"/>
      <c r="AW122" s="52"/>
      <c r="AX122" s="52">
        <v>-149.78646258672197</v>
      </c>
      <c r="AY122" s="52"/>
      <c r="AZ122" s="52"/>
      <c r="BA122" s="52"/>
      <c r="BB122" s="52">
        <v>-3.2333691483939789E-2</v>
      </c>
      <c r="BC122" s="52">
        <v>-9.9148846138755572E-5</v>
      </c>
      <c r="BD122" s="52">
        <v>-2.0424528508872233</v>
      </c>
      <c r="BE122" s="52">
        <v>-9.331217300148658E-4</v>
      </c>
      <c r="BF122" s="52"/>
      <c r="BG122" s="52"/>
      <c r="BH122" s="52"/>
      <c r="BI122" s="52"/>
      <c r="BJ122" s="52"/>
      <c r="BK122" s="78">
        <v>0.3</v>
      </c>
      <c r="BL122" s="41" t="s">
        <v>109</v>
      </c>
      <c r="BM122" s="45"/>
    </row>
    <row r="123" spans="1:65" x14ac:dyDescent="0.35">
      <c r="A123" s="41" t="str">
        <f>Database_Productkaarten[[#This Row],[Product]]&amp;", "&amp;Database_Productkaarten[[#This Row],[Levensfase]]</f>
        <v>DZOAB - PCR 1.0, Totaal</v>
      </c>
      <c r="B123" s="41" t="s">
        <v>1345</v>
      </c>
      <c r="C123" s="41" t="s">
        <v>443</v>
      </c>
      <c r="D123" s="41" t="s">
        <v>469</v>
      </c>
      <c r="E123" s="41" t="s">
        <v>91</v>
      </c>
      <c r="F123" s="41" t="s">
        <v>16</v>
      </c>
      <c r="L123" s="41">
        <v>2</v>
      </c>
      <c r="M123" s="53">
        <v>8.4660860546076666</v>
      </c>
      <c r="N123" s="41">
        <v>14</v>
      </c>
      <c r="O123" s="52">
        <v>7.2972609277757809E-5</v>
      </c>
      <c r="P123" s="52">
        <v>0.9397432960476132</v>
      </c>
      <c r="Q123" s="52">
        <v>70.946395374741357</v>
      </c>
      <c r="R123" s="52">
        <v>8.341710193631614E-6</v>
      </c>
      <c r="S123" s="52">
        <v>8.2576534347257646E-2</v>
      </c>
      <c r="T123" s="52">
        <v>0.34137771491679403</v>
      </c>
      <c r="U123" s="52">
        <v>4.1335854337070863E-2</v>
      </c>
      <c r="V123" s="52">
        <v>20.621151599250673</v>
      </c>
      <c r="W123" s="52">
        <v>4.4502761238313324</v>
      </c>
      <c r="X123" s="52">
        <v>8646.9253035837628</v>
      </c>
      <c r="Y123" s="52">
        <v>0.18917295127401151</v>
      </c>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v>24.455438825169136</v>
      </c>
      <c r="AV123" s="52"/>
      <c r="AW123" s="52"/>
      <c r="AX123" s="52">
        <v>1886.0156407586546</v>
      </c>
      <c r="AY123" s="52"/>
      <c r="AZ123" s="52"/>
      <c r="BA123" s="52"/>
      <c r="BB123" s="52">
        <v>14.543120041593852</v>
      </c>
      <c r="BC123" s="52">
        <v>1.0303217885427357E-3</v>
      </c>
      <c r="BD123" s="52">
        <v>3.2645691965079795</v>
      </c>
      <c r="BE123" s="52">
        <v>1.8808039442294463E-3</v>
      </c>
      <c r="BF123" s="52"/>
      <c r="BG123" s="52"/>
      <c r="BH123" s="52"/>
      <c r="BI123" s="52"/>
      <c r="BJ123" s="52"/>
      <c r="BK123" s="78">
        <v>0</v>
      </c>
      <c r="BL123" s="41" t="s">
        <v>109</v>
      </c>
      <c r="BM123" s="45"/>
    </row>
    <row r="124" spans="1:65" x14ac:dyDescent="0.35">
      <c r="A124" s="41" t="str">
        <f>Database_Productkaarten[[#This Row],[Product]]&amp;", "&amp;Database_Productkaarten[[#This Row],[Levensfase]]</f>
        <v>DZOAB - PCR 1.0, A1</v>
      </c>
      <c r="B124" s="41" t="s">
        <v>1345</v>
      </c>
      <c r="C124" s="41" t="s">
        <v>443</v>
      </c>
      <c r="D124" s="41" t="s">
        <v>469</v>
      </c>
      <c r="E124" s="41" t="s">
        <v>91</v>
      </c>
      <c r="F124" s="41" t="s">
        <v>19</v>
      </c>
      <c r="L124" s="41">
        <v>2</v>
      </c>
      <c r="M124" s="53">
        <v>8.0021813759999993</v>
      </c>
      <c r="N124" s="41">
        <v>14</v>
      </c>
      <c r="O124" s="52">
        <v>9.8219776000000005E-5</v>
      </c>
      <c r="P124" s="52">
        <v>1.2838186024999998</v>
      </c>
      <c r="Q124" s="52">
        <v>65.544260489999999</v>
      </c>
      <c r="R124" s="52">
        <v>4.813346050000001E-6</v>
      </c>
      <c r="S124" s="52">
        <v>0.13677830120000001</v>
      </c>
      <c r="T124" s="52">
        <v>0.39561156750000004</v>
      </c>
      <c r="U124" s="52">
        <v>3.9824421999999998E-2</v>
      </c>
      <c r="V124" s="52">
        <v>15.206570611</v>
      </c>
      <c r="W124" s="52">
        <v>1.9743167175000003</v>
      </c>
      <c r="X124" s="52">
        <v>8607.7152714820004</v>
      </c>
      <c r="Y124" s="52">
        <v>0.27294726550000004</v>
      </c>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v>30.19716</v>
      </c>
      <c r="AV124" s="52"/>
      <c r="AW124" s="52"/>
      <c r="AX124" s="52">
        <v>2897.6653037070005</v>
      </c>
      <c r="AY124" s="52"/>
      <c r="AZ124" s="52"/>
      <c r="BA124" s="52"/>
      <c r="BB124" s="52">
        <v>29.772121743500001</v>
      </c>
      <c r="BC124" s="52">
        <v>9.8695863499999987E-4</v>
      </c>
      <c r="BD124" s="52">
        <v>2.9887204380000001</v>
      </c>
      <c r="BE124" s="52">
        <v>1.6040374099999999E-3</v>
      </c>
      <c r="BF124" s="52"/>
      <c r="BG124" s="52"/>
      <c r="BH124" s="52"/>
      <c r="BI124" s="52"/>
      <c r="BJ124" s="52"/>
      <c r="BK124" s="78">
        <v>0</v>
      </c>
      <c r="BL124" s="41" t="s">
        <v>109</v>
      </c>
      <c r="BM124" s="45"/>
    </row>
    <row r="125" spans="1:65" x14ac:dyDescent="0.35">
      <c r="A125" s="41" t="str">
        <f>Database_Productkaarten[[#This Row],[Product]]&amp;", "&amp;Database_Productkaarten[[#This Row],[Levensfase]]</f>
        <v>DZOAB - PCR 1.0, A2</v>
      </c>
      <c r="B125" s="41" t="s">
        <v>1345</v>
      </c>
      <c r="C125" s="41" t="s">
        <v>443</v>
      </c>
      <c r="D125" s="41" t="s">
        <v>469</v>
      </c>
      <c r="E125" s="41" t="s">
        <v>91</v>
      </c>
      <c r="F125" s="41" t="s">
        <v>20</v>
      </c>
      <c r="L125" s="41">
        <v>2</v>
      </c>
      <c r="M125" s="53">
        <v>2.6857362006749996</v>
      </c>
      <c r="N125" s="41">
        <v>14</v>
      </c>
      <c r="O125" s="52">
        <v>1.6086767898249997E-5</v>
      </c>
      <c r="P125" s="52">
        <v>0.1128454847503</v>
      </c>
      <c r="Q125" s="52">
        <v>16.111532753819997</v>
      </c>
      <c r="R125" s="52">
        <v>2.6756988017699998E-6</v>
      </c>
      <c r="S125" s="52">
        <v>1.4225234922099999E-2</v>
      </c>
      <c r="T125" s="52">
        <v>0.23354089699279998</v>
      </c>
      <c r="U125" s="52">
        <v>2.5367593043600003E-2</v>
      </c>
      <c r="V125" s="52">
        <v>6.7297222181199992</v>
      </c>
      <c r="W125" s="52">
        <v>0.14306931889599997</v>
      </c>
      <c r="X125" s="52">
        <v>597.67257651155489</v>
      </c>
      <c r="Y125" s="52">
        <v>2.26419819291E-2</v>
      </c>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v>4.5105800011949997</v>
      </c>
      <c r="AV125" s="52"/>
      <c r="AW125" s="52"/>
      <c r="AX125" s="52">
        <v>250.04317595960498</v>
      </c>
      <c r="AY125" s="52"/>
      <c r="AZ125" s="52"/>
      <c r="BA125" s="52"/>
      <c r="BB125" s="52">
        <v>4.5153532763399999E-2</v>
      </c>
      <c r="BC125" s="52">
        <v>1.4752799205499997E-4</v>
      </c>
      <c r="BD125" s="52">
        <v>4.5532346953300005</v>
      </c>
      <c r="BE125" s="52">
        <v>1.55362684019E-3</v>
      </c>
      <c r="BF125" s="52"/>
      <c r="BG125" s="52"/>
      <c r="BH125" s="52"/>
      <c r="BI125" s="52"/>
      <c r="BJ125" s="52"/>
      <c r="BK125" s="78">
        <v>0</v>
      </c>
      <c r="BL125" s="41" t="s">
        <v>109</v>
      </c>
      <c r="BM125" s="45"/>
    </row>
    <row r="126" spans="1:65" x14ac:dyDescent="0.35">
      <c r="A126" s="41" t="str">
        <f>Database_Productkaarten[[#This Row],[Product]]&amp;", "&amp;Database_Productkaarten[[#This Row],[Levensfase]]</f>
        <v>DZOAB - PCR 1.0, A3</v>
      </c>
      <c r="B126" s="41" t="s">
        <v>1345</v>
      </c>
      <c r="C126" s="41" t="s">
        <v>443</v>
      </c>
      <c r="D126" s="41" t="s">
        <v>469</v>
      </c>
      <c r="E126" s="41" t="s">
        <v>91</v>
      </c>
      <c r="F126" s="41" t="s">
        <v>21</v>
      </c>
      <c r="L126" s="41">
        <v>2</v>
      </c>
      <c r="M126" s="53">
        <v>1.5317739814690736</v>
      </c>
      <c r="N126" s="41">
        <v>14</v>
      </c>
      <c r="O126" s="52">
        <v>4.7174600250721616E-6</v>
      </c>
      <c r="P126" s="52">
        <v>0.1764405815122575</v>
      </c>
      <c r="Q126" s="52">
        <v>20.806796080498042</v>
      </c>
      <c r="R126" s="52">
        <v>2.3535924373134367E-6</v>
      </c>
      <c r="S126" s="52">
        <v>3.4166722688650209E-3</v>
      </c>
      <c r="T126" s="52">
        <v>2.398567491423503E-2</v>
      </c>
      <c r="U126" s="52">
        <v>4.4423025463982916E-3</v>
      </c>
      <c r="V126" s="52">
        <v>3.4311700526608346</v>
      </c>
      <c r="W126" s="52">
        <v>2.3282296850856619E-2</v>
      </c>
      <c r="X126" s="52">
        <v>94.470981745237495</v>
      </c>
      <c r="Y126" s="52">
        <v>2.3743189338830933E-2</v>
      </c>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v>6.8279859591671412</v>
      </c>
      <c r="AV126" s="52"/>
      <c r="AW126" s="52"/>
      <c r="AX126" s="52">
        <v>360.25575448631531</v>
      </c>
      <c r="AY126" s="52"/>
      <c r="AZ126" s="52"/>
      <c r="BA126" s="52"/>
      <c r="BB126" s="52">
        <v>4.5639981488067971E-2</v>
      </c>
      <c r="BC126" s="52">
        <v>4.9607490575926966E-4</v>
      </c>
      <c r="BD126" s="52">
        <v>0.25042830772104896</v>
      </c>
      <c r="BE126" s="52">
        <v>3.5227758699920615E-4</v>
      </c>
      <c r="BF126" s="52"/>
      <c r="BG126" s="52"/>
      <c r="BH126" s="52"/>
      <c r="BI126" s="52"/>
      <c r="BJ126" s="52"/>
      <c r="BK126" s="78">
        <v>0</v>
      </c>
      <c r="BL126" s="41" t="s">
        <v>109</v>
      </c>
      <c r="BM126" s="45"/>
    </row>
    <row r="127" spans="1:65" x14ac:dyDescent="0.35">
      <c r="A127" s="41" t="str">
        <f>Database_Productkaarten[[#This Row],[Product]]&amp;", "&amp;Database_Productkaarten[[#This Row],[Levensfase]]</f>
        <v>DZOAB - PCR 1.0, A4</v>
      </c>
      <c r="B127" s="41" t="s">
        <v>1345</v>
      </c>
      <c r="C127" s="41" t="s">
        <v>443</v>
      </c>
      <c r="D127" s="41" t="s">
        <v>469</v>
      </c>
      <c r="E127" s="41" t="s">
        <v>91</v>
      </c>
      <c r="F127" s="41" t="s">
        <v>22</v>
      </c>
      <c r="L127" s="41">
        <v>2</v>
      </c>
      <c r="M127" s="53">
        <v>0.62892669999999995</v>
      </c>
      <c r="N127" s="41">
        <v>14</v>
      </c>
      <c r="O127" s="52">
        <v>1.0978337000000001E-5</v>
      </c>
      <c r="P127" s="52">
        <v>4.3183727999999998E-2</v>
      </c>
      <c r="Q127" s="52">
        <v>5.7021305</v>
      </c>
      <c r="R127" s="52">
        <v>1.1335356E-6</v>
      </c>
      <c r="S127" s="52">
        <v>3.5752850000000001E-3</v>
      </c>
      <c r="T127" s="52">
        <v>1.9151161E-2</v>
      </c>
      <c r="U127" s="52">
        <v>3.8023555000000001E-3</v>
      </c>
      <c r="V127" s="52">
        <v>2.0049337999999999</v>
      </c>
      <c r="W127" s="52">
        <v>0.12926487</v>
      </c>
      <c r="X127" s="52">
        <v>338.63108999999997</v>
      </c>
      <c r="Y127" s="52">
        <v>1.1891815999999999E-2</v>
      </c>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v>0</v>
      </c>
      <c r="AV127" s="52"/>
      <c r="AW127" s="52"/>
      <c r="AX127" s="52">
        <v>0</v>
      </c>
      <c r="AY127" s="52"/>
      <c r="AZ127" s="52"/>
      <c r="BA127" s="52"/>
      <c r="BB127" s="52">
        <v>0</v>
      </c>
      <c r="BC127" s="52">
        <v>0</v>
      </c>
      <c r="BD127" s="52">
        <v>0</v>
      </c>
      <c r="BE127" s="52">
        <v>0</v>
      </c>
      <c r="BF127" s="52"/>
      <c r="BG127" s="52"/>
      <c r="BH127" s="52"/>
      <c r="BI127" s="52"/>
      <c r="BJ127" s="52"/>
      <c r="BK127" s="78">
        <v>0</v>
      </c>
      <c r="BL127" s="41" t="s">
        <v>109</v>
      </c>
      <c r="BM127" s="45"/>
    </row>
    <row r="128" spans="1:65" x14ac:dyDescent="0.35">
      <c r="A128" s="41" t="str">
        <f>Database_Productkaarten[[#This Row],[Product]]&amp;", "&amp;Database_Productkaarten[[#This Row],[Levensfase]]</f>
        <v>DZOAB - PCR 1.0, A5</v>
      </c>
      <c r="B128" s="41" t="s">
        <v>1345</v>
      </c>
      <c r="C128" s="41" t="s">
        <v>443</v>
      </c>
      <c r="D128" s="41" t="s">
        <v>469</v>
      </c>
      <c r="E128" s="41" t="s">
        <v>91</v>
      </c>
      <c r="F128" s="41" t="s">
        <v>23</v>
      </c>
      <c r="L128" s="41">
        <v>2</v>
      </c>
      <c r="M128" s="53">
        <v>0.11589273999999999</v>
      </c>
      <c r="N128" s="41">
        <v>14</v>
      </c>
      <c r="O128" s="52">
        <v>2.9981767000000001E-7</v>
      </c>
      <c r="P128" s="52">
        <v>6.1549237000000003E-3</v>
      </c>
      <c r="Q128" s="52">
        <v>1.1890320000000001</v>
      </c>
      <c r="R128" s="52">
        <v>1.6118031999999999E-7</v>
      </c>
      <c r="S128" s="52">
        <v>4.0441559000000001E-4</v>
      </c>
      <c r="T128" s="52">
        <v>4.1422853000000004E-3</v>
      </c>
      <c r="U128" s="52">
        <v>9.0534960000000005E-4</v>
      </c>
      <c r="V128" s="52">
        <v>0.31393536</v>
      </c>
      <c r="W128" s="52">
        <v>4.4639175000000001E-3</v>
      </c>
      <c r="X128" s="52">
        <v>15.054501</v>
      </c>
      <c r="Y128" s="52">
        <v>5.2994459999999995E-4</v>
      </c>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v>7.5275787999999996E-2</v>
      </c>
      <c r="AV128" s="52"/>
      <c r="AW128" s="52"/>
      <c r="AX128" s="52">
        <v>13.79832</v>
      </c>
      <c r="AY128" s="52"/>
      <c r="AZ128" s="52"/>
      <c r="BA128" s="52"/>
      <c r="BB128" s="52">
        <v>1.7004556E-3</v>
      </c>
      <c r="BC128" s="52">
        <v>5.7951239999999996E-6</v>
      </c>
      <c r="BD128" s="52">
        <v>1.3837334999999999E-2</v>
      </c>
      <c r="BE128" s="52">
        <v>9.0259541999999994E-5</v>
      </c>
      <c r="BF128" s="52"/>
      <c r="BG128" s="52"/>
      <c r="BH128" s="52"/>
      <c r="BI128" s="52"/>
      <c r="BJ128" s="52"/>
      <c r="BK128" s="78">
        <v>0</v>
      </c>
      <c r="BL128" s="41" t="s">
        <v>109</v>
      </c>
      <c r="BM128" s="45"/>
    </row>
    <row r="129" spans="1:65" x14ac:dyDescent="0.35">
      <c r="A129" s="41" t="str">
        <f>Database_Productkaarten[[#This Row],[Product]]&amp;", "&amp;Database_Productkaarten[[#This Row],[Levensfase]]</f>
        <v>DZOAB - PCR 1.0, B1</v>
      </c>
      <c r="B129" s="41" t="s">
        <v>1345</v>
      </c>
      <c r="C129" s="41" t="s">
        <v>443</v>
      </c>
      <c r="D129" s="41" t="s">
        <v>469</v>
      </c>
      <c r="E129" s="41" t="s">
        <v>91</v>
      </c>
      <c r="F129" s="41" t="s">
        <v>24</v>
      </c>
      <c r="L129" s="41">
        <v>2</v>
      </c>
      <c r="M129" s="53">
        <v>0.63803195999999995</v>
      </c>
      <c r="N129" s="41">
        <v>14</v>
      </c>
      <c r="O129" s="52">
        <v>0</v>
      </c>
      <c r="P129" s="52">
        <v>0</v>
      </c>
      <c r="Q129" s="52">
        <v>0</v>
      </c>
      <c r="R129" s="52">
        <v>0</v>
      </c>
      <c r="S129" s="52">
        <v>0</v>
      </c>
      <c r="T129" s="52">
        <v>0</v>
      </c>
      <c r="U129" s="52">
        <v>0</v>
      </c>
      <c r="V129" s="52">
        <v>2.2159960000000001</v>
      </c>
      <c r="W129" s="52">
        <v>3.1435906</v>
      </c>
      <c r="X129" s="52">
        <v>3441.1720999999998</v>
      </c>
      <c r="Y129" s="52">
        <v>2.7899999999999999E-3</v>
      </c>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v>0</v>
      </c>
      <c r="AV129" s="52"/>
      <c r="AW129" s="52"/>
      <c r="AX129" s="52">
        <v>0</v>
      </c>
      <c r="AY129" s="52"/>
      <c r="AZ129" s="52"/>
      <c r="BA129" s="52"/>
      <c r="BB129" s="52">
        <v>0</v>
      </c>
      <c r="BC129" s="52">
        <v>0</v>
      </c>
      <c r="BD129" s="52">
        <v>0</v>
      </c>
      <c r="BE129" s="52">
        <v>0</v>
      </c>
      <c r="BF129" s="52"/>
      <c r="BG129" s="52"/>
      <c r="BH129" s="52"/>
      <c r="BI129" s="52"/>
      <c r="BJ129" s="52"/>
      <c r="BK129" s="78">
        <v>0</v>
      </c>
      <c r="BL129" s="41" t="s">
        <v>109</v>
      </c>
      <c r="BM129" s="45"/>
    </row>
    <row r="130" spans="1:65" x14ac:dyDescent="0.35">
      <c r="A130" s="41" t="str">
        <f>Database_Productkaarten[[#This Row],[Product]]&amp;", "&amp;Database_Productkaarten[[#This Row],[Levensfase]]</f>
        <v>DZOAB - PCR 1.0, C1</v>
      </c>
      <c r="B130" s="41" t="s">
        <v>1345</v>
      </c>
      <c r="C130" s="41" t="s">
        <v>443</v>
      </c>
      <c r="D130" s="41" t="s">
        <v>469</v>
      </c>
      <c r="E130" s="41" t="s">
        <v>91</v>
      </c>
      <c r="F130" s="41" t="s">
        <v>25</v>
      </c>
      <c r="L130" s="41">
        <v>2</v>
      </c>
      <c r="M130" s="53">
        <v>0.17755156</v>
      </c>
      <c r="N130" s="41">
        <v>14</v>
      </c>
      <c r="O130" s="52">
        <v>4.7748738999999998E-7</v>
      </c>
      <c r="P130" s="52">
        <v>9.8022859000000007E-3</v>
      </c>
      <c r="Q130" s="52">
        <v>1.8936436000000001</v>
      </c>
      <c r="R130" s="52">
        <v>2.5669458999999998E-7</v>
      </c>
      <c r="S130" s="52">
        <v>6.2586746000000001E-4</v>
      </c>
      <c r="T130" s="52">
        <v>5.5323285000000002E-3</v>
      </c>
      <c r="U130" s="52">
        <v>1.1650454999999999E-3</v>
      </c>
      <c r="V130" s="52">
        <v>0.49739214999999998</v>
      </c>
      <c r="W130" s="52">
        <v>7.1092020000000002E-3</v>
      </c>
      <c r="X130" s="52">
        <v>23.975687000000001</v>
      </c>
      <c r="Y130" s="52">
        <v>8.4398584999999997E-4</v>
      </c>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v>0.11988366</v>
      </c>
      <c r="AV130" s="52"/>
      <c r="AW130" s="52"/>
      <c r="AX130" s="52">
        <v>21.975102</v>
      </c>
      <c r="AY130" s="52"/>
      <c r="AZ130" s="52"/>
      <c r="BA130" s="52"/>
      <c r="BB130" s="52">
        <v>2.7081330000000002E-3</v>
      </c>
      <c r="BC130" s="52">
        <v>9.2292716000000002E-6</v>
      </c>
      <c r="BD130" s="52">
        <v>2.2037237000000001E-2</v>
      </c>
      <c r="BE130" s="52">
        <v>1.4374668000000001E-4</v>
      </c>
      <c r="BF130" s="52"/>
      <c r="BG130" s="52"/>
      <c r="BH130" s="52"/>
      <c r="BI130" s="52"/>
      <c r="BJ130" s="52"/>
      <c r="BK130" s="78">
        <v>0</v>
      </c>
      <c r="BL130" s="41" t="s">
        <v>109</v>
      </c>
      <c r="BM130" s="45"/>
    </row>
    <row r="131" spans="1:65" x14ac:dyDescent="0.35">
      <c r="A131" s="41" t="str">
        <f>Database_Productkaarten[[#This Row],[Product]]&amp;", "&amp;Database_Productkaarten[[#This Row],[Levensfase]]</f>
        <v>DZOAB - PCR 1.0, C2</v>
      </c>
      <c r="B131" s="41" t="s">
        <v>1345</v>
      </c>
      <c r="C131" s="41" t="s">
        <v>443</v>
      </c>
      <c r="D131" s="41" t="s">
        <v>469</v>
      </c>
      <c r="E131" s="41" t="s">
        <v>91</v>
      </c>
      <c r="F131" s="41" t="s">
        <v>26</v>
      </c>
      <c r="L131" s="41">
        <v>2</v>
      </c>
      <c r="M131" s="53">
        <v>0.62892669999999995</v>
      </c>
      <c r="N131" s="41">
        <v>14</v>
      </c>
      <c r="O131" s="52">
        <v>1.0978337000000001E-5</v>
      </c>
      <c r="P131" s="52">
        <v>4.3183727999999998E-2</v>
      </c>
      <c r="Q131" s="52">
        <v>5.7021305</v>
      </c>
      <c r="R131" s="52">
        <v>1.1335356E-6</v>
      </c>
      <c r="S131" s="52">
        <v>3.5752850000000001E-3</v>
      </c>
      <c r="T131" s="52">
        <v>1.9151161E-2</v>
      </c>
      <c r="U131" s="52">
        <v>3.8023555000000001E-3</v>
      </c>
      <c r="V131" s="52">
        <v>2.0049337999999999</v>
      </c>
      <c r="W131" s="52">
        <v>0.12926487</v>
      </c>
      <c r="X131" s="52">
        <v>338.63108999999997</v>
      </c>
      <c r="Y131" s="52">
        <v>1.1891815999999999E-2</v>
      </c>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v>0</v>
      </c>
      <c r="AV131" s="52"/>
      <c r="AW131" s="52"/>
      <c r="AX131" s="52">
        <v>0</v>
      </c>
      <c r="AY131" s="52"/>
      <c r="AZ131" s="52"/>
      <c r="BA131" s="52"/>
      <c r="BB131" s="52">
        <v>0</v>
      </c>
      <c r="BC131" s="52">
        <v>0</v>
      </c>
      <c r="BD131" s="52">
        <v>0</v>
      </c>
      <c r="BE131" s="52">
        <v>0</v>
      </c>
      <c r="BF131" s="52"/>
      <c r="BG131" s="52"/>
      <c r="BH131" s="52"/>
      <c r="BI131" s="52"/>
      <c r="BJ131" s="52"/>
      <c r="BK131" s="78">
        <v>0</v>
      </c>
      <c r="BL131" s="41" t="s">
        <v>109</v>
      </c>
      <c r="BM131" s="45"/>
    </row>
    <row r="132" spans="1:65" x14ac:dyDescent="0.35">
      <c r="A132" s="41" t="str">
        <f>Database_Productkaarten[[#This Row],[Product]]&amp;", "&amp;Database_Productkaarten[[#This Row],[Levensfase]]</f>
        <v>DZOAB - PCR 1.0, C3</v>
      </c>
      <c r="B132" s="41" t="s">
        <v>1345</v>
      </c>
      <c r="C132" s="41" t="s">
        <v>443</v>
      </c>
      <c r="D132" s="41" t="s">
        <v>469</v>
      </c>
      <c r="E132" s="41" t="s">
        <v>91</v>
      </c>
      <c r="F132" s="41" t="s">
        <v>27</v>
      </c>
      <c r="L132" s="41">
        <v>2</v>
      </c>
      <c r="M132" s="53">
        <v>0.16120214999999999</v>
      </c>
      <c r="N132" s="41">
        <v>14</v>
      </c>
      <c r="O132" s="52">
        <v>4.1291555000000003E-7</v>
      </c>
      <c r="P132" s="52">
        <v>8.4766977000000007E-3</v>
      </c>
      <c r="Q132" s="52">
        <v>1.6375614000000001</v>
      </c>
      <c r="R132" s="52">
        <v>2.2198111999999999E-7</v>
      </c>
      <c r="S132" s="52">
        <v>5.9777666000000002E-4</v>
      </c>
      <c r="T132" s="52">
        <v>5.9352911000000001E-3</v>
      </c>
      <c r="U132" s="52">
        <v>1.3067828999999999E-3</v>
      </c>
      <c r="V132" s="52">
        <v>0.43290835999999999</v>
      </c>
      <c r="W132" s="52">
        <v>6.1478063999999997E-3</v>
      </c>
      <c r="X132" s="52">
        <v>20.733394000000001</v>
      </c>
      <c r="Y132" s="52">
        <v>7.2985148000000004E-4</v>
      </c>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v>0.10367149000000001</v>
      </c>
      <c r="AV132" s="52"/>
      <c r="AW132" s="52"/>
      <c r="AX132" s="52">
        <v>19.003353000000001</v>
      </c>
      <c r="AY132" s="52"/>
      <c r="AZ132" s="52"/>
      <c r="BA132" s="52"/>
      <c r="BB132" s="52">
        <v>2.3419052000000001E-3</v>
      </c>
      <c r="BC132" s="52">
        <v>7.9811735999999999E-6</v>
      </c>
      <c r="BD132" s="52">
        <v>1.9057085000000001E-2</v>
      </c>
      <c r="BE132" s="52">
        <v>1.2430745000000001E-4</v>
      </c>
      <c r="BF132" s="52"/>
      <c r="BG132" s="52"/>
      <c r="BH132" s="52"/>
      <c r="BI132" s="52"/>
      <c r="BJ132" s="52"/>
      <c r="BK132" s="78">
        <v>0</v>
      </c>
      <c r="BL132" s="41" t="s">
        <v>109</v>
      </c>
      <c r="BM132" s="45"/>
    </row>
    <row r="133" spans="1:65" x14ac:dyDescent="0.35">
      <c r="A133" s="41" t="str">
        <f>Database_Productkaarten[[#This Row],[Product]]&amp;", "&amp;Database_Productkaarten[[#This Row],[Levensfase]]</f>
        <v>DZOAB - PCR 1.0, D1</v>
      </c>
      <c r="B133" s="41" t="s">
        <v>1345</v>
      </c>
      <c r="C133" s="41" t="s">
        <v>443</v>
      </c>
      <c r="D133" s="41" t="s">
        <v>469</v>
      </c>
      <c r="E133" s="41" t="s">
        <v>91</v>
      </c>
      <c r="F133" s="41" t="s">
        <v>51</v>
      </c>
      <c r="L133" s="41">
        <v>2</v>
      </c>
      <c r="M133" s="53">
        <v>-4.3928511326875608</v>
      </c>
      <c r="N133" s="41">
        <v>14</v>
      </c>
      <c r="O133" s="52">
        <v>-5.9035884223999989E-5</v>
      </c>
      <c r="P133" s="52">
        <v>-0.67236215284150003</v>
      </c>
      <c r="Q133" s="52">
        <v>-37.386534861301762</v>
      </c>
      <c r="R133" s="52">
        <v>-2.70575998195E-6</v>
      </c>
      <c r="S133" s="52">
        <v>-7.1556768856720007E-2</v>
      </c>
      <c r="T133" s="52">
        <v>-0.21661813504374003</v>
      </c>
      <c r="U133" s="52">
        <v>-2.3106383167040001E-2</v>
      </c>
      <c r="V133" s="52">
        <v>-7.9329717302818796</v>
      </c>
      <c r="W133" s="52">
        <v>-1.0193018342857001</v>
      </c>
      <c r="X133" s="52">
        <v>-4450.9643345771137</v>
      </c>
      <c r="Y133" s="52">
        <v>-0.14442679265090003</v>
      </c>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v>-14.503586248814361</v>
      </c>
      <c r="AV133" s="52"/>
      <c r="AW133" s="52"/>
      <c r="AX133" s="52">
        <v>-1517.6305386413344</v>
      </c>
      <c r="AY133" s="52"/>
      <c r="AZ133" s="52"/>
      <c r="BA133" s="52"/>
      <c r="BB133" s="52">
        <v>-15.297801516743142</v>
      </c>
      <c r="BC133" s="52">
        <v>-5.2938330076500006E-4</v>
      </c>
      <c r="BD133" s="52">
        <v>-1.7122863009979201</v>
      </c>
      <c r="BE133" s="52">
        <v>-9.9900679979000005E-4</v>
      </c>
      <c r="BF133" s="52"/>
      <c r="BG133" s="52"/>
      <c r="BH133" s="52"/>
      <c r="BI133" s="52"/>
      <c r="BJ133" s="52"/>
      <c r="BK133" s="78">
        <v>0</v>
      </c>
      <c r="BL133" s="41" t="s">
        <v>109</v>
      </c>
      <c r="BM133" s="45"/>
    </row>
    <row r="134" spans="1:65" x14ac:dyDescent="0.35">
      <c r="A134" s="41" t="str">
        <f>Database_Productkaarten[[#This Row],[Product]]&amp;", "&amp;Database_Productkaarten[[#This Row],[Levensfase]]</f>
        <v>DZOAB - PCR 1.0, D2</v>
      </c>
      <c r="B134" s="41" t="s">
        <v>1345</v>
      </c>
      <c r="C134" s="41" t="s">
        <v>443</v>
      </c>
      <c r="D134" s="41" t="s">
        <v>469</v>
      </c>
      <c r="E134" s="41" t="s">
        <v>91</v>
      </c>
      <c r="F134" s="41" t="s">
        <v>52</v>
      </c>
      <c r="L134" s="41">
        <v>2</v>
      </c>
      <c r="M134" s="53">
        <v>-1.7112861808488449</v>
      </c>
      <c r="N134" s="41">
        <v>14</v>
      </c>
      <c r="O134" s="52">
        <v>-1.0162405031564366E-5</v>
      </c>
      <c r="P134" s="52">
        <v>-7.1800583173444094E-2</v>
      </c>
      <c r="Q134" s="52">
        <v>-10.2541570882749</v>
      </c>
      <c r="R134" s="52">
        <v>-1.7020943435018227E-6</v>
      </c>
      <c r="S134" s="52">
        <v>-9.0655348969873231E-3</v>
      </c>
      <c r="T134" s="52">
        <v>-0.14905451634650105</v>
      </c>
      <c r="U134" s="52">
        <v>-1.6173969085887422E-2</v>
      </c>
      <c r="V134" s="52">
        <v>-4.283439022248281</v>
      </c>
      <c r="W134" s="52">
        <v>-9.0931641029824151E-2</v>
      </c>
      <c r="X134" s="52">
        <v>-380.16705357792011</v>
      </c>
      <c r="Y134" s="52">
        <v>-1.4410106773019403E-2</v>
      </c>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v>-2.8755318243786445</v>
      </c>
      <c r="AV134" s="52"/>
      <c r="AW134" s="52"/>
      <c r="AX134" s="52">
        <v>-159.0948297529315</v>
      </c>
      <c r="AY134" s="52"/>
      <c r="AZ134" s="52"/>
      <c r="BA134" s="52"/>
      <c r="BB134" s="52">
        <v>-2.8744193214472656E-2</v>
      </c>
      <c r="BC134" s="52">
        <v>-9.3862012706533962E-5</v>
      </c>
      <c r="BD134" s="52">
        <v>-2.8704596005451499</v>
      </c>
      <c r="BE134" s="52">
        <v>-9.8844476516975958E-4</v>
      </c>
      <c r="BF134" s="52"/>
      <c r="BG134" s="52"/>
      <c r="BH134" s="52"/>
      <c r="BI134" s="52"/>
      <c r="BJ134" s="52"/>
      <c r="BK134" s="78">
        <v>0</v>
      </c>
      <c r="BL134" s="41" t="s">
        <v>109</v>
      </c>
      <c r="BM134" s="45"/>
    </row>
    <row r="135" spans="1:65" x14ac:dyDescent="0.35">
      <c r="A135" s="41" t="str">
        <f>Database_Productkaarten[[#This Row],[Product]]&amp;", "&amp;Database_Productkaarten[[#This Row],[Levensfase]]</f>
        <v>DZOAB 30% PR - PCR 1.0, Totaal</v>
      </c>
      <c r="B135" s="41" t="s">
        <v>1346</v>
      </c>
      <c r="C135" s="41" t="s">
        <v>443</v>
      </c>
      <c r="D135" s="41" t="s">
        <v>469</v>
      </c>
      <c r="E135" s="41" t="s">
        <v>91</v>
      </c>
      <c r="F135" s="41" t="s">
        <v>16</v>
      </c>
      <c r="L135" s="41">
        <v>2</v>
      </c>
      <c r="M135" s="53">
        <v>7.6116890528607675</v>
      </c>
      <c r="N135" s="41">
        <v>14</v>
      </c>
      <c r="O135" s="52">
        <v>6.3772245834857854E-5</v>
      </c>
      <c r="P135" s="52">
        <v>0.83715269361172562</v>
      </c>
      <c r="Q135" s="52">
        <v>64.495258896554077</v>
      </c>
      <c r="R135" s="52">
        <v>7.8403067403585563E-6</v>
      </c>
      <c r="S135" s="52">
        <v>7.0819494731252153E-2</v>
      </c>
      <c r="T135" s="52">
        <v>0.28832641084865462</v>
      </c>
      <c r="U135" s="52">
        <v>3.5664299797831742E-2</v>
      </c>
      <c r="V135" s="52">
        <v>18.952149798518555</v>
      </c>
      <c r="W135" s="52">
        <v>4.285474752326274</v>
      </c>
      <c r="X135" s="52">
        <v>7927.2876037347814</v>
      </c>
      <c r="Y135" s="52">
        <v>0.16372883093965965</v>
      </c>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v>21.676841472205762</v>
      </c>
      <c r="AV135" s="52"/>
      <c r="AW135" s="52"/>
      <c r="AX135" s="52">
        <v>1653.8121510642011</v>
      </c>
      <c r="AY135" s="52"/>
      <c r="AZ135" s="52"/>
      <c r="BA135" s="52"/>
      <c r="BB135" s="52">
        <v>12.24761128175334</v>
      </c>
      <c r="BC135" s="52">
        <v>9.5115711328277845E-4</v>
      </c>
      <c r="BD135" s="52">
        <v>2.6153022220397606</v>
      </c>
      <c r="BE135" s="52">
        <v>1.5954936252242128E-3</v>
      </c>
      <c r="BF135" s="52"/>
      <c r="BG135" s="52"/>
      <c r="BH135" s="52"/>
      <c r="BI135" s="52"/>
      <c r="BJ135" s="52"/>
      <c r="BK135" s="78">
        <v>0.3</v>
      </c>
      <c r="BL135" s="41" t="s">
        <v>109</v>
      </c>
      <c r="BM135" s="45"/>
    </row>
    <row r="136" spans="1:65" x14ac:dyDescent="0.35">
      <c r="A136" s="41" t="str">
        <f>Database_Productkaarten[[#This Row],[Product]]&amp;", "&amp;Database_Productkaarten[[#This Row],[Levensfase]]</f>
        <v>DZOAB 30% PR - PCR 1.0, A1</v>
      </c>
      <c r="B136" s="41" t="s">
        <v>1346</v>
      </c>
      <c r="C136" s="41" t="s">
        <v>443</v>
      </c>
      <c r="D136" s="41" t="s">
        <v>469</v>
      </c>
      <c r="E136" s="41" t="s">
        <v>91</v>
      </c>
      <c r="F136" s="41" t="s">
        <v>19</v>
      </c>
      <c r="L136" s="41">
        <v>2</v>
      </c>
      <c r="M136" s="53">
        <v>5.9953003010000003</v>
      </c>
      <c r="N136" s="41">
        <v>14</v>
      </c>
      <c r="O136" s="52">
        <v>7.0741927360000009E-5</v>
      </c>
      <c r="P136" s="52">
        <v>1.0024814426299999</v>
      </c>
      <c r="Q136" s="52">
        <v>47.346139863999994</v>
      </c>
      <c r="R136" s="52">
        <v>3.5713130030000007E-6</v>
      </c>
      <c r="S136" s="52">
        <v>0.10711274079200001</v>
      </c>
      <c r="T136" s="52">
        <v>0.30000997935000001</v>
      </c>
      <c r="U136" s="52">
        <v>2.8988588860000004E-2</v>
      </c>
      <c r="V136" s="52">
        <v>11.720521698900001</v>
      </c>
      <c r="W136" s="52">
        <v>1.5558324031099999</v>
      </c>
      <c r="X136" s="52">
        <v>6781.6374115874005</v>
      </c>
      <c r="Y136" s="52">
        <v>0.21044165359</v>
      </c>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v>23.422585168900003</v>
      </c>
      <c r="AV136" s="52"/>
      <c r="AW136" s="52"/>
      <c r="AX136" s="52">
        <v>2263.6780057497999</v>
      </c>
      <c r="AY136" s="52"/>
      <c r="AZ136" s="52"/>
      <c r="BA136" s="52"/>
      <c r="BB136" s="52">
        <v>23.57511491627</v>
      </c>
      <c r="BC136" s="52">
        <v>7.6034534609999995E-4</v>
      </c>
      <c r="BD136" s="52">
        <v>2.1929203620000002</v>
      </c>
      <c r="BE136" s="52">
        <v>1.0922466525999999E-3</v>
      </c>
      <c r="BF136" s="52"/>
      <c r="BG136" s="52"/>
      <c r="BH136" s="52"/>
      <c r="BI136" s="52"/>
      <c r="BJ136" s="52"/>
      <c r="BK136" s="78">
        <v>0.3</v>
      </c>
      <c r="BL136" s="41" t="s">
        <v>109</v>
      </c>
      <c r="BM136" s="45"/>
    </row>
    <row r="137" spans="1:65" x14ac:dyDescent="0.35">
      <c r="A137" s="41" t="str">
        <f>Database_Productkaarten[[#This Row],[Product]]&amp;", "&amp;Database_Productkaarten[[#This Row],[Levensfase]]</f>
        <v>DZOAB 30% PR - PCR 1.0, A2</v>
      </c>
      <c r="B137" s="41" t="s">
        <v>1346</v>
      </c>
      <c r="C137" s="41" t="s">
        <v>443</v>
      </c>
      <c r="D137" s="41" t="s">
        <v>469</v>
      </c>
      <c r="E137" s="41" t="s">
        <v>91</v>
      </c>
      <c r="F137" s="41" t="s">
        <v>20</v>
      </c>
      <c r="L137" s="41">
        <v>2</v>
      </c>
      <c r="M137" s="53">
        <v>1.8643823272994999</v>
      </c>
      <c r="N137" s="41">
        <v>14</v>
      </c>
      <c r="O137" s="52">
        <v>1.1069322570879E-5</v>
      </c>
      <c r="P137" s="52">
        <v>7.8325056108080007E-2</v>
      </c>
      <c r="Q137" s="52">
        <v>11.191233249244799</v>
      </c>
      <c r="R137" s="52">
        <v>1.8567829828419999E-6</v>
      </c>
      <c r="S137" s="52">
        <v>9.8737769836299994E-3</v>
      </c>
      <c r="T137" s="52">
        <v>0.16216581843849998</v>
      </c>
      <c r="U137" s="52">
        <v>1.7653607169539998E-2</v>
      </c>
      <c r="V137" s="52">
        <v>4.662810038396799</v>
      </c>
      <c r="W137" s="52">
        <v>9.9059031778679987E-2</v>
      </c>
      <c r="X137" s="52">
        <v>413.66316711027264</v>
      </c>
      <c r="Y137" s="52">
        <v>1.5710775122479998E-2</v>
      </c>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v>3.1390912798622992</v>
      </c>
      <c r="AV137" s="52"/>
      <c r="AW137" s="52"/>
      <c r="AX137" s="52">
        <v>173.55307428705967</v>
      </c>
      <c r="AY137" s="52"/>
      <c r="AZ137" s="52"/>
      <c r="BA137" s="52"/>
      <c r="BB137" s="52">
        <v>3.1421973716309996E-2</v>
      </c>
      <c r="BC137" s="52">
        <v>1.0252063228313999E-4</v>
      </c>
      <c r="BD137" s="52">
        <v>3.1192443811762001</v>
      </c>
      <c r="BE137" s="52">
        <v>1.0782903993859997E-3</v>
      </c>
      <c r="BF137" s="52"/>
      <c r="BG137" s="52"/>
      <c r="BH137" s="52"/>
      <c r="BI137" s="52"/>
      <c r="BJ137" s="52"/>
      <c r="BK137" s="78">
        <v>0.3</v>
      </c>
      <c r="BL137" s="41" t="s">
        <v>109</v>
      </c>
      <c r="BM137" s="45"/>
    </row>
    <row r="138" spans="1:65" x14ac:dyDescent="0.35">
      <c r="A138" s="41" t="str">
        <f>Database_Productkaarten[[#This Row],[Product]]&amp;", "&amp;Database_Productkaarten[[#This Row],[Levensfase]]</f>
        <v>DZOAB 30% PR - PCR 1.0, A3</v>
      </c>
      <c r="B138" s="41" t="s">
        <v>1346</v>
      </c>
      <c r="C138" s="41" t="s">
        <v>443</v>
      </c>
      <c r="D138" s="41" t="s">
        <v>469</v>
      </c>
      <c r="E138" s="41" t="s">
        <v>91</v>
      </c>
      <c r="F138" s="41" t="s">
        <v>21</v>
      </c>
      <c r="L138" s="41">
        <v>2</v>
      </c>
      <c r="M138" s="53">
        <v>1.5765184628671296</v>
      </c>
      <c r="N138" s="41">
        <v>14</v>
      </c>
      <c r="O138" s="52">
        <v>4.4114496640661393E-6</v>
      </c>
      <c r="P138" s="52">
        <v>0.18445811048110788</v>
      </c>
      <c r="Q138" s="52">
        <v>21.657101267893243</v>
      </c>
      <c r="R138" s="52">
        <v>2.4897586380851077E-6</v>
      </c>
      <c r="S138" s="52">
        <v>3.5396195390986042E-3</v>
      </c>
      <c r="T138" s="52">
        <v>2.3820552904351221E-2</v>
      </c>
      <c r="U138" s="52">
        <v>4.3255964482209752E-3</v>
      </c>
      <c r="V138" s="52">
        <v>3.461420366489242</v>
      </c>
      <c r="W138" s="52">
        <v>2.2824726526369035E-2</v>
      </c>
      <c r="X138" s="52">
        <v>92.549776992235834</v>
      </c>
      <c r="Y138" s="52">
        <v>2.1920650788971104E-2</v>
      </c>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v>6.2870742483275119</v>
      </c>
      <c r="AV138" s="52"/>
      <c r="AW138" s="52"/>
      <c r="AX138" s="52">
        <v>376.98062031762532</v>
      </c>
      <c r="AY138" s="52"/>
      <c r="AZ138" s="52"/>
      <c r="BA138" s="52"/>
      <c r="BB138" s="52">
        <v>4.172874276078168E-2</v>
      </c>
      <c r="BC138" s="52">
        <v>5.0633169018404333E-4</v>
      </c>
      <c r="BD138" s="52">
        <v>0.24225122586763881</v>
      </c>
      <c r="BE138" s="52">
        <v>3.5090258876519268E-4</v>
      </c>
      <c r="BF138" s="52"/>
      <c r="BG138" s="52"/>
      <c r="BH138" s="52"/>
      <c r="BI138" s="52"/>
      <c r="BJ138" s="52"/>
      <c r="BK138" s="78">
        <v>0.3</v>
      </c>
      <c r="BL138" s="41" t="s">
        <v>109</v>
      </c>
      <c r="BM138" s="45"/>
    </row>
    <row r="139" spans="1:65" x14ac:dyDescent="0.35">
      <c r="A139" s="41" t="str">
        <f>Database_Productkaarten[[#This Row],[Product]]&amp;", "&amp;Database_Productkaarten[[#This Row],[Levensfase]]</f>
        <v>DZOAB 30% PR - PCR 1.0, A4</v>
      </c>
      <c r="B139" s="41" t="s">
        <v>1346</v>
      </c>
      <c r="C139" s="41" t="s">
        <v>443</v>
      </c>
      <c r="D139" s="41" t="s">
        <v>469</v>
      </c>
      <c r="E139" s="41" t="s">
        <v>91</v>
      </c>
      <c r="F139" s="41" t="s">
        <v>22</v>
      </c>
      <c r="L139" s="41">
        <v>2</v>
      </c>
      <c r="M139" s="53">
        <v>0.62892669999999995</v>
      </c>
      <c r="N139" s="41">
        <v>14</v>
      </c>
      <c r="O139" s="52">
        <v>1.0978337000000001E-5</v>
      </c>
      <c r="P139" s="52">
        <v>4.3183727999999998E-2</v>
      </c>
      <c r="Q139" s="52">
        <v>5.7021305</v>
      </c>
      <c r="R139" s="52">
        <v>1.1335356E-6</v>
      </c>
      <c r="S139" s="52">
        <v>3.5752850000000001E-3</v>
      </c>
      <c r="T139" s="52">
        <v>1.9151161E-2</v>
      </c>
      <c r="U139" s="52">
        <v>3.8023555000000001E-3</v>
      </c>
      <c r="V139" s="52">
        <v>2.0049337999999999</v>
      </c>
      <c r="W139" s="52">
        <v>0.12926487</v>
      </c>
      <c r="X139" s="52">
        <v>338.63108999999997</v>
      </c>
      <c r="Y139" s="52">
        <v>1.1891815999999999E-2</v>
      </c>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v>0</v>
      </c>
      <c r="AV139" s="52"/>
      <c r="AW139" s="52"/>
      <c r="AX139" s="52">
        <v>0</v>
      </c>
      <c r="AY139" s="52"/>
      <c r="AZ139" s="52"/>
      <c r="BA139" s="52"/>
      <c r="BB139" s="52">
        <v>0</v>
      </c>
      <c r="BC139" s="52">
        <v>0</v>
      </c>
      <c r="BD139" s="52">
        <v>0</v>
      </c>
      <c r="BE139" s="52">
        <v>0</v>
      </c>
      <c r="BF139" s="52"/>
      <c r="BG139" s="52"/>
      <c r="BH139" s="52"/>
      <c r="BI139" s="52"/>
      <c r="BJ139" s="52"/>
      <c r="BK139" s="78">
        <v>0.3</v>
      </c>
      <c r="BL139" s="41" t="s">
        <v>109</v>
      </c>
      <c r="BM139" s="45"/>
    </row>
    <row r="140" spans="1:65" x14ac:dyDescent="0.35">
      <c r="A140" s="41" t="str">
        <f>Database_Productkaarten[[#This Row],[Product]]&amp;", "&amp;Database_Productkaarten[[#This Row],[Levensfase]]</f>
        <v>DZOAB 30% PR - PCR 1.0, A5</v>
      </c>
      <c r="B140" s="41" t="s">
        <v>1346</v>
      </c>
      <c r="C140" s="41" t="s">
        <v>443</v>
      </c>
      <c r="D140" s="41" t="s">
        <v>469</v>
      </c>
      <c r="E140" s="41" t="s">
        <v>91</v>
      </c>
      <c r="F140" s="41" t="s">
        <v>23</v>
      </c>
      <c r="L140" s="41">
        <v>2</v>
      </c>
      <c r="M140" s="53">
        <v>0.11589273999999999</v>
      </c>
      <c r="N140" s="41">
        <v>14</v>
      </c>
      <c r="O140" s="52">
        <v>2.9981767000000001E-7</v>
      </c>
      <c r="P140" s="52">
        <v>6.1549237000000003E-3</v>
      </c>
      <c r="Q140" s="52">
        <v>1.1890320000000001</v>
      </c>
      <c r="R140" s="52">
        <v>1.6118031999999999E-7</v>
      </c>
      <c r="S140" s="52">
        <v>4.0441559000000001E-4</v>
      </c>
      <c r="T140" s="52">
        <v>4.1422853000000004E-3</v>
      </c>
      <c r="U140" s="52">
        <v>9.0534960000000005E-4</v>
      </c>
      <c r="V140" s="52">
        <v>0.31393536</v>
      </c>
      <c r="W140" s="52">
        <v>4.4639175000000001E-3</v>
      </c>
      <c r="X140" s="52">
        <v>15.054501</v>
      </c>
      <c r="Y140" s="52">
        <v>5.2994459999999995E-4</v>
      </c>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v>7.5275787999999996E-2</v>
      </c>
      <c r="AV140" s="52"/>
      <c r="AW140" s="52"/>
      <c r="AX140" s="52">
        <v>13.79832</v>
      </c>
      <c r="AY140" s="52"/>
      <c r="AZ140" s="52"/>
      <c r="BA140" s="52"/>
      <c r="BB140" s="52">
        <v>1.7004556E-3</v>
      </c>
      <c r="BC140" s="52">
        <v>5.7951239999999996E-6</v>
      </c>
      <c r="BD140" s="52">
        <v>1.3837334999999999E-2</v>
      </c>
      <c r="BE140" s="52">
        <v>9.0259541999999994E-5</v>
      </c>
      <c r="BF140" s="52"/>
      <c r="BG140" s="52"/>
      <c r="BH140" s="52"/>
      <c r="BI140" s="52"/>
      <c r="BJ140" s="52"/>
      <c r="BK140" s="78">
        <v>0.3</v>
      </c>
      <c r="BL140" s="41" t="s">
        <v>109</v>
      </c>
      <c r="BM140" s="45"/>
    </row>
    <row r="141" spans="1:65" x14ac:dyDescent="0.35">
      <c r="A141" s="41" t="str">
        <f>Database_Productkaarten[[#This Row],[Product]]&amp;", "&amp;Database_Productkaarten[[#This Row],[Levensfase]]</f>
        <v>DZOAB 30% PR - PCR 1.0, B1</v>
      </c>
      <c r="B141" s="41" t="s">
        <v>1346</v>
      </c>
      <c r="C141" s="41" t="s">
        <v>443</v>
      </c>
      <c r="D141" s="41" t="s">
        <v>469</v>
      </c>
      <c r="E141" s="41" t="s">
        <v>91</v>
      </c>
      <c r="F141" s="41" t="s">
        <v>24</v>
      </c>
      <c r="L141" s="41">
        <v>2</v>
      </c>
      <c r="M141" s="53">
        <v>0.63803195999999995</v>
      </c>
      <c r="N141" s="41">
        <v>14</v>
      </c>
      <c r="O141" s="52">
        <v>0</v>
      </c>
      <c r="P141" s="52">
        <v>0</v>
      </c>
      <c r="Q141" s="52">
        <v>0</v>
      </c>
      <c r="R141" s="52">
        <v>0</v>
      </c>
      <c r="S141" s="52">
        <v>0</v>
      </c>
      <c r="T141" s="52">
        <v>0</v>
      </c>
      <c r="U141" s="52">
        <v>0</v>
      </c>
      <c r="V141" s="52">
        <v>2.2159960000000001</v>
      </c>
      <c r="W141" s="52">
        <v>3.1435906</v>
      </c>
      <c r="X141" s="52">
        <v>3441.1720999999998</v>
      </c>
      <c r="Y141" s="52">
        <v>2.7899999999999999E-3</v>
      </c>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v>0</v>
      </c>
      <c r="AV141" s="52"/>
      <c r="AW141" s="52"/>
      <c r="AX141" s="52">
        <v>0</v>
      </c>
      <c r="AY141" s="52"/>
      <c r="AZ141" s="52"/>
      <c r="BA141" s="52"/>
      <c r="BB141" s="52">
        <v>0</v>
      </c>
      <c r="BC141" s="52">
        <v>0</v>
      </c>
      <c r="BD141" s="52">
        <v>0</v>
      </c>
      <c r="BE141" s="52">
        <v>0</v>
      </c>
      <c r="BF141" s="52"/>
      <c r="BG141" s="52"/>
      <c r="BH141" s="52"/>
      <c r="BI141" s="52"/>
      <c r="BJ141" s="52"/>
      <c r="BK141" s="78">
        <v>0.3</v>
      </c>
      <c r="BL141" s="41" t="s">
        <v>109</v>
      </c>
      <c r="BM141" s="45"/>
    </row>
    <row r="142" spans="1:65" x14ac:dyDescent="0.35">
      <c r="A142" s="41" t="str">
        <f>Database_Productkaarten[[#This Row],[Product]]&amp;", "&amp;Database_Productkaarten[[#This Row],[Levensfase]]</f>
        <v>DZOAB 30% PR - PCR 1.0, C1</v>
      </c>
      <c r="B142" s="41" t="s">
        <v>1346</v>
      </c>
      <c r="C142" s="41" t="s">
        <v>443</v>
      </c>
      <c r="D142" s="41" t="s">
        <v>469</v>
      </c>
      <c r="E142" s="41" t="s">
        <v>91</v>
      </c>
      <c r="F142" s="41" t="s">
        <v>25</v>
      </c>
      <c r="L142" s="41">
        <v>2</v>
      </c>
      <c r="M142" s="53">
        <v>0.17755156</v>
      </c>
      <c r="N142" s="41">
        <v>14</v>
      </c>
      <c r="O142" s="52">
        <v>4.7748738999999998E-7</v>
      </c>
      <c r="P142" s="52">
        <v>9.8022859000000007E-3</v>
      </c>
      <c r="Q142" s="52">
        <v>1.8936436000000001</v>
      </c>
      <c r="R142" s="52">
        <v>2.5669458999999998E-7</v>
      </c>
      <c r="S142" s="52">
        <v>6.2586746000000001E-4</v>
      </c>
      <c r="T142" s="52">
        <v>5.5323285000000002E-3</v>
      </c>
      <c r="U142" s="52">
        <v>1.1650454999999999E-3</v>
      </c>
      <c r="V142" s="52">
        <v>0.49739214999999998</v>
      </c>
      <c r="W142" s="52">
        <v>7.1092020000000002E-3</v>
      </c>
      <c r="X142" s="52">
        <v>23.975687000000001</v>
      </c>
      <c r="Y142" s="52">
        <v>8.4398584999999997E-4</v>
      </c>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v>0.11988366</v>
      </c>
      <c r="AV142" s="52"/>
      <c r="AW142" s="52"/>
      <c r="AX142" s="52">
        <v>21.975102</v>
      </c>
      <c r="AY142" s="52"/>
      <c r="AZ142" s="52"/>
      <c r="BA142" s="52"/>
      <c r="BB142" s="52">
        <v>2.7081330000000002E-3</v>
      </c>
      <c r="BC142" s="52">
        <v>9.2292716000000002E-6</v>
      </c>
      <c r="BD142" s="52">
        <v>2.2037237000000001E-2</v>
      </c>
      <c r="BE142" s="52">
        <v>1.4374668000000001E-4</v>
      </c>
      <c r="BF142" s="52"/>
      <c r="BG142" s="52"/>
      <c r="BH142" s="52"/>
      <c r="BI142" s="52"/>
      <c r="BJ142" s="52"/>
      <c r="BK142" s="78">
        <v>0.3</v>
      </c>
      <c r="BL142" s="41" t="s">
        <v>109</v>
      </c>
      <c r="BM142" s="45"/>
    </row>
    <row r="143" spans="1:65" x14ac:dyDescent="0.35">
      <c r="A143" s="41" t="str">
        <f>Database_Productkaarten[[#This Row],[Product]]&amp;", "&amp;Database_Productkaarten[[#This Row],[Levensfase]]</f>
        <v>DZOAB 30% PR - PCR 1.0, C2</v>
      </c>
      <c r="B143" s="41" t="s">
        <v>1346</v>
      </c>
      <c r="C143" s="41" t="s">
        <v>443</v>
      </c>
      <c r="D143" s="41" t="s">
        <v>469</v>
      </c>
      <c r="E143" s="41" t="s">
        <v>91</v>
      </c>
      <c r="F143" s="41" t="s">
        <v>26</v>
      </c>
      <c r="L143" s="41">
        <v>2</v>
      </c>
      <c r="M143" s="53">
        <v>0.62892669999999995</v>
      </c>
      <c r="N143" s="41">
        <v>14</v>
      </c>
      <c r="O143" s="52">
        <v>1.0978337000000001E-5</v>
      </c>
      <c r="P143" s="52">
        <v>4.3183727999999998E-2</v>
      </c>
      <c r="Q143" s="52">
        <v>5.7021305</v>
      </c>
      <c r="R143" s="52">
        <v>1.1335356E-6</v>
      </c>
      <c r="S143" s="52">
        <v>3.5752850000000001E-3</v>
      </c>
      <c r="T143" s="52">
        <v>1.9151161E-2</v>
      </c>
      <c r="U143" s="52">
        <v>3.8023555000000001E-3</v>
      </c>
      <c r="V143" s="52">
        <v>2.0049337999999999</v>
      </c>
      <c r="W143" s="52">
        <v>0.12926487</v>
      </c>
      <c r="X143" s="52">
        <v>338.63108999999997</v>
      </c>
      <c r="Y143" s="52">
        <v>1.1891815999999999E-2</v>
      </c>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v>0</v>
      </c>
      <c r="AV143" s="52"/>
      <c r="AW143" s="52"/>
      <c r="AX143" s="52">
        <v>0</v>
      </c>
      <c r="AY143" s="52"/>
      <c r="AZ143" s="52"/>
      <c r="BA143" s="52"/>
      <c r="BB143" s="52">
        <v>0</v>
      </c>
      <c r="BC143" s="52">
        <v>0</v>
      </c>
      <c r="BD143" s="52">
        <v>0</v>
      </c>
      <c r="BE143" s="52">
        <v>0</v>
      </c>
      <c r="BF143" s="52"/>
      <c r="BG143" s="52"/>
      <c r="BH143" s="52"/>
      <c r="BI143" s="52"/>
      <c r="BJ143" s="52"/>
      <c r="BK143" s="78">
        <v>0.3</v>
      </c>
      <c r="BL143" s="41" t="s">
        <v>109</v>
      </c>
      <c r="BM143" s="45"/>
    </row>
    <row r="144" spans="1:65" x14ac:dyDescent="0.35">
      <c r="A144" s="41" t="str">
        <f>Database_Productkaarten[[#This Row],[Product]]&amp;", "&amp;Database_Productkaarten[[#This Row],[Levensfase]]</f>
        <v>DZOAB 30% PR - PCR 1.0, C3</v>
      </c>
      <c r="B144" s="41" t="s">
        <v>1346</v>
      </c>
      <c r="C144" s="41" t="s">
        <v>443</v>
      </c>
      <c r="D144" s="41" t="s">
        <v>469</v>
      </c>
      <c r="E144" s="41" t="s">
        <v>91</v>
      </c>
      <c r="F144" s="41" t="s">
        <v>27</v>
      </c>
      <c r="L144" s="41">
        <v>2</v>
      </c>
      <c r="M144" s="53">
        <v>0.16120214999999999</v>
      </c>
      <c r="N144" s="41">
        <v>14</v>
      </c>
      <c r="O144" s="52">
        <v>4.1291555000000003E-7</v>
      </c>
      <c r="P144" s="52">
        <v>8.4766977000000007E-3</v>
      </c>
      <c r="Q144" s="52">
        <v>1.6375614000000001</v>
      </c>
      <c r="R144" s="52">
        <v>2.2198111999999999E-7</v>
      </c>
      <c r="S144" s="52">
        <v>5.9777666000000002E-4</v>
      </c>
      <c r="T144" s="52">
        <v>5.9352911000000001E-3</v>
      </c>
      <c r="U144" s="52">
        <v>1.3067828999999999E-3</v>
      </c>
      <c r="V144" s="52">
        <v>0.43290835999999999</v>
      </c>
      <c r="W144" s="52">
        <v>6.1478063999999997E-3</v>
      </c>
      <c r="X144" s="52">
        <v>20.733394000000001</v>
      </c>
      <c r="Y144" s="52">
        <v>7.2985148000000004E-4</v>
      </c>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v>0.10367149000000001</v>
      </c>
      <c r="AV144" s="52"/>
      <c r="AW144" s="52"/>
      <c r="AX144" s="52">
        <v>19.003353000000001</v>
      </c>
      <c r="AY144" s="52"/>
      <c r="AZ144" s="52"/>
      <c r="BA144" s="52"/>
      <c r="BB144" s="52">
        <v>2.3419052000000001E-3</v>
      </c>
      <c r="BC144" s="52">
        <v>7.9811735999999999E-6</v>
      </c>
      <c r="BD144" s="52">
        <v>1.9057085000000001E-2</v>
      </c>
      <c r="BE144" s="52">
        <v>1.2430745000000001E-4</v>
      </c>
      <c r="BF144" s="52"/>
      <c r="BG144" s="52"/>
      <c r="BH144" s="52"/>
      <c r="BI144" s="52"/>
      <c r="BJ144" s="52"/>
      <c r="BK144" s="78">
        <v>0.3</v>
      </c>
      <c r="BL144" s="41" t="s">
        <v>109</v>
      </c>
      <c r="BM144" s="45"/>
    </row>
    <row r="145" spans="1:65" x14ac:dyDescent="0.35">
      <c r="A145" s="41" t="str">
        <f>Database_Productkaarten[[#This Row],[Product]]&amp;", "&amp;Database_Productkaarten[[#This Row],[Levensfase]]</f>
        <v>DZOAB 30% PR - PCR 1.0, D1</v>
      </c>
      <c r="B145" s="41" t="s">
        <v>1346</v>
      </c>
      <c r="C145" s="41" t="s">
        <v>443</v>
      </c>
      <c r="D145" s="41" t="s">
        <v>469</v>
      </c>
      <c r="E145" s="41" t="s">
        <v>91</v>
      </c>
      <c r="F145" s="41" t="s">
        <v>51</v>
      </c>
      <c r="L145" s="41">
        <v>2</v>
      </c>
      <c r="M145" s="53">
        <v>-3.0477227163775296</v>
      </c>
      <c r="N145" s="41">
        <v>14</v>
      </c>
      <c r="O145" s="52">
        <v>-3.9032028057847808E-5</v>
      </c>
      <c r="P145" s="52">
        <v>-0.4917642331230323</v>
      </c>
      <c r="Q145" s="52">
        <v>-25.085993741587444</v>
      </c>
      <c r="R145" s="52">
        <v>-1.867329889328231E-6</v>
      </c>
      <c r="S145" s="52">
        <v>-5.251099344697828E-2</v>
      </c>
      <c r="T145" s="52">
        <v>-0.15302619231550157</v>
      </c>
      <c r="U145" s="52">
        <v>-1.5615416841104526E-2</v>
      </c>
      <c r="V145" s="52">
        <v>-5.5477032218177218</v>
      </c>
      <c r="W145" s="52">
        <v>-0.75251783406084571</v>
      </c>
      <c r="X145" s="52">
        <v>-3289.2889704121694</v>
      </c>
      <c r="Y145" s="52">
        <v>-0.10355369106990492</v>
      </c>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v>-9.5742550522363743</v>
      </c>
      <c r="AV145" s="52"/>
      <c r="AW145" s="52"/>
      <c r="AX145" s="52">
        <v>-1110.705533999421</v>
      </c>
      <c r="AY145" s="52"/>
      <c r="AZ145" s="52"/>
      <c r="BA145" s="52"/>
      <c r="BB145" s="52">
        <v>-11.388508536855056</v>
      </c>
      <c r="BC145" s="52">
        <v>-3.7941911775567477E-4</v>
      </c>
      <c r="BD145" s="52">
        <v>-1.1484281178722953</v>
      </c>
      <c r="BE145" s="52">
        <v>-6.3530896525078177E-4</v>
      </c>
      <c r="BF145" s="52"/>
      <c r="BG145" s="52"/>
      <c r="BH145" s="52"/>
      <c r="BI145" s="52"/>
      <c r="BJ145" s="52"/>
      <c r="BK145" s="78">
        <v>0.3</v>
      </c>
      <c r="BL145" s="41" t="s">
        <v>109</v>
      </c>
      <c r="BM145" s="45"/>
    </row>
    <row r="146" spans="1:65" x14ac:dyDescent="0.35">
      <c r="A146" s="41" t="str">
        <f>Database_Productkaarten[[#This Row],[Product]]&amp;", "&amp;Database_Productkaarten[[#This Row],[Levensfase]]</f>
        <v>DZOAB 30% PR - PCR 1.0, D2</v>
      </c>
      <c r="B146" s="41" t="s">
        <v>1346</v>
      </c>
      <c r="C146" s="41" t="s">
        <v>443</v>
      </c>
      <c r="D146" s="41" t="s">
        <v>469</v>
      </c>
      <c r="E146" s="41" t="s">
        <v>91</v>
      </c>
      <c r="F146" s="41" t="s">
        <v>52</v>
      </c>
      <c r="L146" s="41">
        <v>2</v>
      </c>
      <c r="M146" s="53">
        <v>-1.1273211319283347</v>
      </c>
      <c r="N146" s="41">
        <v>14</v>
      </c>
      <c r="O146" s="52">
        <v>-6.5653203122394838E-6</v>
      </c>
      <c r="P146" s="52">
        <v>-4.7149046084430095E-2</v>
      </c>
      <c r="Q146" s="52">
        <v>-6.7377197429964983</v>
      </c>
      <c r="R146" s="52">
        <v>-1.1171452442403196E-6</v>
      </c>
      <c r="S146" s="52">
        <v>-5.9742788564981766E-3</v>
      </c>
      <c r="T146" s="52">
        <v>-9.8555974628695101E-2</v>
      </c>
      <c r="U146" s="52">
        <v>-1.0669964838824708E-2</v>
      </c>
      <c r="V146" s="52">
        <v>-2.8149985534497599</v>
      </c>
      <c r="W146" s="52">
        <v>-5.9564841227928517E-2</v>
      </c>
      <c r="X146" s="52">
        <v>-249.47164354295705</v>
      </c>
      <c r="Y146" s="52">
        <v>-9.4679714218865781E-3</v>
      </c>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v>-1.8964851106476801</v>
      </c>
      <c r="AV146" s="52"/>
      <c r="AW146" s="52"/>
      <c r="AX146" s="52">
        <v>-104.47079029086338</v>
      </c>
      <c r="AY146" s="52"/>
      <c r="AZ146" s="52"/>
      <c r="BA146" s="52"/>
      <c r="BB146" s="52">
        <v>-1.8896308038694975E-2</v>
      </c>
      <c r="BC146" s="52">
        <v>-6.1627006728730201E-5</v>
      </c>
      <c r="BD146" s="52">
        <v>-1.8456172861317828</v>
      </c>
      <c r="BE146" s="52">
        <v>-6.4895072327619862E-4</v>
      </c>
      <c r="BF146" s="52"/>
      <c r="BG146" s="52"/>
      <c r="BH146" s="52"/>
      <c r="BI146" s="52"/>
      <c r="BJ146" s="52"/>
      <c r="BK146" s="78">
        <v>0.3</v>
      </c>
      <c r="BL146" s="41" t="s">
        <v>109</v>
      </c>
      <c r="BM146" s="45"/>
    </row>
    <row r="147" spans="1:65" x14ac:dyDescent="0.35">
      <c r="A147" s="41" t="str">
        <f>Database_Productkaarten[[#This Row],[Product]]&amp;", "&amp;Database_Productkaarten[[#This Row],[Levensfase]]</f>
        <v>Open steenasfalt - PCR 1.0, Totaal</v>
      </c>
      <c r="B147" s="41" t="s">
        <v>1347</v>
      </c>
      <c r="C147" s="41" t="s">
        <v>443</v>
      </c>
      <c r="E147" s="41" t="s">
        <v>91</v>
      </c>
      <c r="F147" s="41" t="s">
        <v>16</v>
      </c>
      <c r="L147" s="41">
        <v>2</v>
      </c>
      <c r="M147" s="53">
        <v>12.927222793551591</v>
      </c>
      <c r="N147" s="41">
        <v>30</v>
      </c>
      <c r="O147" s="52">
        <v>1.4479926618313335E-4</v>
      </c>
      <c r="P147" s="52">
        <v>1.2638482518042904</v>
      </c>
      <c r="Q147" s="52">
        <v>98.129961967400988</v>
      </c>
      <c r="R147" s="52">
        <v>1.4248574524952328E-5</v>
      </c>
      <c r="S147" s="52">
        <v>0.11575549490693376</v>
      </c>
      <c r="T147" s="52">
        <v>0.62239271662924578</v>
      </c>
      <c r="U147" s="52">
        <v>7.9364068659348294E-2</v>
      </c>
      <c r="V147" s="52">
        <v>32.741969091839316</v>
      </c>
      <c r="W147" s="52">
        <v>1.7459756609233266</v>
      </c>
      <c r="X147" s="52">
        <v>13679.200376639763</v>
      </c>
      <c r="Y147" s="52">
        <v>0.2600859645744622</v>
      </c>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v>27.410487721509352</v>
      </c>
      <c r="AV147" s="52"/>
      <c r="AW147" s="52"/>
      <c r="AX147" s="52">
        <v>2512.7116252704241</v>
      </c>
      <c r="AY147" s="52"/>
      <c r="AZ147" s="52"/>
      <c r="BA147" s="52"/>
      <c r="BB147" s="52">
        <v>17.040351840925783</v>
      </c>
      <c r="BC147" s="52">
        <v>1.4757204371250404E-3</v>
      </c>
      <c r="BD147" s="52">
        <v>1011.7512223351105</v>
      </c>
      <c r="BE147" s="52">
        <v>4.3762444675863599E-3</v>
      </c>
      <c r="BF147" s="52"/>
      <c r="BG147" s="52"/>
      <c r="BH147" s="52"/>
      <c r="BI147" s="52"/>
      <c r="BJ147" s="52"/>
      <c r="BK147" s="78">
        <v>0</v>
      </c>
      <c r="BL147" s="41" t="s">
        <v>109</v>
      </c>
      <c r="BM147" s="45"/>
    </row>
    <row r="148" spans="1:65" x14ac:dyDescent="0.35">
      <c r="A148" s="41" t="str">
        <f>Database_Productkaarten[[#This Row],[Product]]&amp;", "&amp;Database_Productkaarten[[#This Row],[Levensfase]]</f>
        <v>Open steenasfalt - PCR 1.0, A1</v>
      </c>
      <c r="B148" s="41" t="s">
        <v>1347</v>
      </c>
      <c r="C148" s="41" t="s">
        <v>443</v>
      </c>
      <c r="E148" s="41" t="s">
        <v>91</v>
      </c>
      <c r="F148" s="41" t="s">
        <v>19</v>
      </c>
      <c r="L148" s="41">
        <v>2</v>
      </c>
      <c r="M148" s="53">
        <v>4.4713205160000005</v>
      </c>
      <c r="N148" s="41">
        <v>30</v>
      </c>
      <c r="O148" s="52">
        <v>8.5429249599999996E-5</v>
      </c>
      <c r="P148" s="52">
        <v>0.7237649223</v>
      </c>
      <c r="Q148" s="52">
        <v>32.400340405999998</v>
      </c>
      <c r="R148" s="52">
        <v>2.97844683E-6</v>
      </c>
      <c r="S148" s="52">
        <v>7.9223250119999991E-2</v>
      </c>
      <c r="T148" s="52">
        <v>0.24023618250000001</v>
      </c>
      <c r="U148" s="52">
        <v>2.6557395599999999E-2</v>
      </c>
      <c r="V148" s="52">
        <v>9.4356036349999997</v>
      </c>
      <c r="W148" s="52">
        <v>1.1149881050999999</v>
      </c>
      <c r="X148" s="52">
        <v>4853.161255344</v>
      </c>
      <c r="Y148" s="52">
        <v>0.15013166089999999</v>
      </c>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v>15.341194106</v>
      </c>
      <c r="AV148" s="52"/>
      <c r="AW148" s="52"/>
      <c r="AX148" s="52">
        <v>1640.380829537</v>
      </c>
      <c r="AY148" s="52"/>
      <c r="AZ148" s="52"/>
      <c r="BA148" s="52"/>
      <c r="BB148" s="52">
        <v>16.7820123417</v>
      </c>
      <c r="BC148" s="52">
        <v>6.710192209999999E-4</v>
      </c>
      <c r="BD148" s="52">
        <v>2.7889772379999997</v>
      </c>
      <c r="BE148" s="52">
        <v>1.093352686E-3</v>
      </c>
      <c r="BF148" s="52"/>
      <c r="BG148" s="52"/>
      <c r="BH148" s="52"/>
      <c r="BI148" s="52"/>
      <c r="BJ148" s="52"/>
      <c r="BK148" s="78">
        <v>0</v>
      </c>
      <c r="BL148" s="41" t="s">
        <v>109</v>
      </c>
      <c r="BM148" s="45"/>
    </row>
    <row r="149" spans="1:65" x14ac:dyDescent="0.35">
      <c r="A149" s="41" t="str">
        <f>Database_Productkaarten[[#This Row],[Product]]&amp;", "&amp;Database_Productkaarten[[#This Row],[Levensfase]]</f>
        <v>Open steenasfalt - PCR 1.0, A2</v>
      </c>
      <c r="B149" s="41" t="s">
        <v>1347</v>
      </c>
      <c r="C149" s="41" t="s">
        <v>443</v>
      </c>
      <c r="E149" s="41" t="s">
        <v>91</v>
      </c>
      <c r="F149" s="41" t="s">
        <v>20</v>
      </c>
      <c r="L149" s="41">
        <v>2</v>
      </c>
      <c r="M149" s="53">
        <v>2.8312393572499994</v>
      </c>
      <c r="N149" s="41">
        <v>30</v>
      </c>
      <c r="O149" s="52">
        <v>1.4950238281849997E-5</v>
      </c>
      <c r="P149" s="52">
        <v>0.11754691999520002</v>
      </c>
      <c r="Q149" s="52">
        <v>16.893616539554998</v>
      </c>
      <c r="R149" s="52">
        <v>2.7786980433799997E-6</v>
      </c>
      <c r="S149" s="52">
        <v>1.50065358109E-2</v>
      </c>
      <c r="T149" s="52">
        <v>0.24982965177820002</v>
      </c>
      <c r="U149" s="52">
        <v>2.72666363434E-2</v>
      </c>
      <c r="V149" s="52">
        <v>6.9564815897699992</v>
      </c>
      <c r="W149" s="52">
        <v>0.14556853981600001</v>
      </c>
      <c r="X149" s="52">
        <v>610.62356934666502</v>
      </c>
      <c r="Y149" s="52">
        <v>2.35894790639E-2</v>
      </c>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v>4.8449217574450003</v>
      </c>
      <c r="AV149" s="52"/>
      <c r="AW149" s="52"/>
      <c r="AX149" s="52">
        <v>260.45039614558999</v>
      </c>
      <c r="AY149" s="52"/>
      <c r="AZ149" s="52"/>
      <c r="BA149" s="52"/>
      <c r="BB149" s="52">
        <v>4.7941078826100006E-2</v>
      </c>
      <c r="BC149" s="52">
        <v>1.5468436540100002E-4</v>
      </c>
      <c r="BD149" s="52">
        <v>4.0315851206399991</v>
      </c>
      <c r="BE149" s="52">
        <v>1.6166214729599999E-3</v>
      </c>
      <c r="BF149" s="52"/>
      <c r="BG149" s="52"/>
      <c r="BH149" s="52"/>
      <c r="BI149" s="52"/>
      <c r="BJ149" s="52"/>
      <c r="BK149" s="78">
        <v>0</v>
      </c>
      <c r="BL149" s="41" t="s">
        <v>109</v>
      </c>
      <c r="BM149" s="45"/>
    </row>
    <row r="150" spans="1:65" x14ac:dyDescent="0.35">
      <c r="A150" s="41" t="str">
        <f>Database_Productkaarten[[#This Row],[Product]]&amp;", "&amp;Database_Productkaarten[[#This Row],[Levensfase]]</f>
        <v>Open steenasfalt - PCR 1.0, A3</v>
      </c>
      <c r="B150" s="41" t="s">
        <v>1347</v>
      </c>
      <c r="C150" s="41" t="s">
        <v>443</v>
      </c>
      <c r="E150" s="41" t="s">
        <v>91</v>
      </c>
      <c r="F150" s="41" t="s">
        <v>21</v>
      </c>
      <c r="L150" s="41">
        <v>2</v>
      </c>
      <c r="M150" s="53">
        <v>1.6504395543015913</v>
      </c>
      <c r="N150" s="41">
        <v>30</v>
      </c>
      <c r="O150" s="52">
        <v>4.0862131412833461E-6</v>
      </c>
      <c r="P150" s="52">
        <v>0.19689968880909026</v>
      </c>
      <c r="Q150" s="52">
        <v>23.003147541845994</v>
      </c>
      <c r="R150" s="52">
        <v>2.6921472415723281E-6</v>
      </c>
      <c r="S150" s="52">
        <v>3.7351260660337549E-3</v>
      </c>
      <c r="T150" s="52">
        <v>2.38921934510458E-2</v>
      </c>
      <c r="U150" s="52">
        <v>4.2285267259482779E-3</v>
      </c>
      <c r="V150" s="52">
        <v>3.5177752070693145</v>
      </c>
      <c r="W150" s="52">
        <v>2.2523021507326293E-2</v>
      </c>
      <c r="X150" s="52">
        <v>91.295113949095096</v>
      </c>
      <c r="Y150" s="52">
        <v>1.9932928480562228E-2</v>
      </c>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v>5.6947174060643508</v>
      </c>
      <c r="AV150" s="52"/>
      <c r="AW150" s="52"/>
      <c r="AX150" s="52">
        <v>402.82439758783477</v>
      </c>
      <c r="AY150" s="52"/>
      <c r="AZ150" s="52"/>
      <c r="BA150" s="52"/>
      <c r="BB150" s="52">
        <v>3.7388881899700459E-2</v>
      </c>
      <c r="BC150" s="52">
        <v>5.258676653240405E-4</v>
      </c>
      <c r="BD150" s="52">
        <v>0.23518540447052744</v>
      </c>
      <c r="BE150" s="52">
        <v>3.5333288962635889E-4</v>
      </c>
      <c r="BF150" s="52"/>
      <c r="BG150" s="52"/>
      <c r="BH150" s="52"/>
      <c r="BI150" s="52"/>
      <c r="BJ150" s="52"/>
      <c r="BK150" s="78">
        <v>0</v>
      </c>
      <c r="BL150" s="41" t="s">
        <v>109</v>
      </c>
      <c r="BM150" s="45"/>
    </row>
    <row r="151" spans="1:65" x14ac:dyDescent="0.35">
      <c r="A151" s="41" t="str">
        <f>Database_Productkaarten[[#This Row],[Product]]&amp;", "&amp;Database_Productkaarten[[#This Row],[Levensfase]]</f>
        <v>Open steenasfalt - PCR 1.0, A4</v>
      </c>
      <c r="B151" s="41" t="s">
        <v>1347</v>
      </c>
      <c r="C151" s="41" t="s">
        <v>443</v>
      </c>
      <c r="E151" s="41" t="s">
        <v>91</v>
      </c>
      <c r="F151" s="41" t="s">
        <v>22</v>
      </c>
      <c r="L151" s="41">
        <v>2</v>
      </c>
      <c r="M151" s="53">
        <v>0.96188790000000002</v>
      </c>
      <c r="N151" s="41">
        <v>30</v>
      </c>
      <c r="O151" s="52">
        <v>1.6790396999999999E-5</v>
      </c>
      <c r="P151" s="52">
        <v>6.6045701999999998E-2</v>
      </c>
      <c r="Q151" s="52">
        <v>8.7209053999999995</v>
      </c>
      <c r="R151" s="52">
        <v>1.7336426999999999E-6</v>
      </c>
      <c r="S151" s="52">
        <v>5.4680828999999999E-3</v>
      </c>
      <c r="T151" s="52">
        <v>2.9290009999999998E-2</v>
      </c>
      <c r="U151" s="52">
        <v>5.8153672000000002E-3</v>
      </c>
      <c r="V151" s="52">
        <v>3.0663694000000001</v>
      </c>
      <c r="W151" s="52">
        <v>0.19769922000000001</v>
      </c>
      <c r="X151" s="52">
        <v>517.90637000000004</v>
      </c>
      <c r="Y151" s="52">
        <v>1.8187483000000001E-2</v>
      </c>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v>0</v>
      </c>
      <c r="AV151" s="52"/>
      <c r="AW151" s="52"/>
      <c r="AX151" s="52">
        <v>0</v>
      </c>
      <c r="AY151" s="52"/>
      <c r="AZ151" s="52"/>
      <c r="BA151" s="52"/>
      <c r="BB151" s="52">
        <v>0</v>
      </c>
      <c r="BC151" s="52">
        <v>0</v>
      </c>
      <c r="BD151" s="52">
        <v>0</v>
      </c>
      <c r="BE151" s="52">
        <v>0</v>
      </c>
      <c r="BF151" s="52"/>
      <c r="BG151" s="52"/>
      <c r="BH151" s="52"/>
      <c r="BI151" s="52"/>
      <c r="BJ151" s="52"/>
      <c r="BK151" s="78">
        <v>0</v>
      </c>
      <c r="BL151" s="41" t="s">
        <v>109</v>
      </c>
      <c r="BM151" s="45"/>
    </row>
    <row r="152" spans="1:65" x14ac:dyDescent="0.35">
      <c r="A152" s="41" t="str">
        <f>Database_Productkaarten[[#This Row],[Product]]&amp;", "&amp;Database_Productkaarten[[#This Row],[Levensfase]]</f>
        <v>Open steenasfalt - PCR 1.0, A5</v>
      </c>
      <c r="B152" s="41" t="s">
        <v>1347</v>
      </c>
      <c r="C152" s="41" t="s">
        <v>443</v>
      </c>
      <c r="E152" s="41" t="s">
        <v>91</v>
      </c>
      <c r="F152" s="41" t="s">
        <v>23</v>
      </c>
      <c r="L152" s="41">
        <v>2</v>
      </c>
      <c r="M152" s="53">
        <v>0.21041449000000001</v>
      </c>
      <c r="N152" s="41">
        <v>30</v>
      </c>
      <c r="O152" s="52">
        <v>5.5521790000000002E-7</v>
      </c>
      <c r="P152" s="52">
        <v>1.1398007E-2</v>
      </c>
      <c r="Q152" s="52">
        <v>2.2019112000000001</v>
      </c>
      <c r="R152" s="52">
        <v>2.9848207999999998E-7</v>
      </c>
      <c r="S152" s="52">
        <v>7.6816657999999999E-4</v>
      </c>
      <c r="T152" s="52">
        <v>7.0245098999999998E-3</v>
      </c>
      <c r="U152" s="52">
        <v>1.5085121999999999E-3</v>
      </c>
      <c r="V152" s="52">
        <v>0.57978304000000003</v>
      </c>
      <c r="W152" s="52">
        <v>8.2665138999999995E-3</v>
      </c>
      <c r="X152" s="52">
        <v>27.878706000000001</v>
      </c>
      <c r="Y152" s="52">
        <v>9.8137887999999993E-4</v>
      </c>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v>0.13939961000000001</v>
      </c>
      <c r="AV152" s="52"/>
      <c r="AW152" s="52"/>
      <c r="AX152" s="52">
        <v>25.552444000000001</v>
      </c>
      <c r="AY152" s="52"/>
      <c r="AZ152" s="52"/>
      <c r="BA152" s="52"/>
      <c r="BB152" s="52">
        <v>3.1489918000000001E-3</v>
      </c>
      <c r="BC152" s="52">
        <v>1.0731710999999999E-5</v>
      </c>
      <c r="BD152" s="52">
        <v>2.5624694E-2</v>
      </c>
      <c r="BE152" s="52">
        <v>1.671473E-4</v>
      </c>
      <c r="BF152" s="52"/>
      <c r="BG152" s="52"/>
      <c r="BH152" s="52"/>
      <c r="BI152" s="52"/>
      <c r="BJ152" s="52"/>
      <c r="BK152" s="78">
        <v>0</v>
      </c>
      <c r="BL152" s="41" t="s">
        <v>109</v>
      </c>
      <c r="BM152" s="45"/>
    </row>
    <row r="153" spans="1:65" x14ac:dyDescent="0.35">
      <c r="A153" s="41" t="str">
        <f>Database_Productkaarten[[#This Row],[Product]]&amp;", "&amp;Database_Productkaarten[[#This Row],[Levensfase]]</f>
        <v>Open steenasfalt - PCR 1.0, B1</v>
      </c>
      <c r="B153" s="41" t="s">
        <v>1347</v>
      </c>
      <c r="C153" s="41" t="s">
        <v>443</v>
      </c>
      <c r="E153" s="41" t="s">
        <v>91</v>
      </c>
      <c r="F153" s="41" t="s">
        <v>24</v>
      </c>
      <c r="L153" s="41">
        <v>2</v>
      </c>
      <c r="M153" s="53">
        <v>1.0088637</v>
      </c>
      <c r="N153" s="41">
        <v>30</v>
      </c>
      <c r="O153" s="52">
        <v>0</v>
      </c>
      <c r="P153" s="52">
        <v>0</v>
      </c>
      <c r="Q153" s="52">
        <v>0</v>
      </c>
      <c r="R153" s="52">
        <v>0</v>
      </c>
      <c r="S153" s="52">
        <v>0</v>
      </c>
      <c r="T153" s="52">
        <v>0</v>
      </c>
      <c r="U153" s="52">
        <v>0</v>
      </c>
      <c r="V153" s="52">
        <v>3.5794545000000002</v>
      </c>
      <c r="W153" s="52">
        <v>2.031E-5</v>
      </c>
      <c r="X153" s="52">
        <v>6853.3693999999996</v>
      </c>
      <c r="Y153" s="52">
        <v>2.2919999999999999E-2</v>
      </c>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v>0</v>
      </c>
      <c r="AV153" s="52"/>
      <c r="AW153" s="52"/>
      <c r="AX153" s="52">
        <v>0</v>
      </c>
      <c r="AY153" s="52"/>
      <c r="AZ153" s="52"/>
      <c r="BA153" s="52"/>
      <c r="BB153" s="52">
        <v>0</v>
      </c>
      <c r="BC153" s="52">
        <v>0</v>
      </c>
      <c r="BD153" s="52">
        <v>0</v>
      </c>
      <c r="BE153" s="52">
        <v>0</v>
      </c>
      <c r="BF153" s="52"/>
      <c r="BG153" s="52"/>
      <c r="BH153" s="52"/>
      <c r="BI153" s="52"/>
      <c r="BJ153" s="52"/>
      <c r="BK153" s="78">
        <v>0</v>
      </c>
      <c r="BL153" s="41" t="s">
        <v>109</v>
      </c>
      <c r="BM153" s="45"/>
    </row>
    <row r="154" spans="1:65" x14ac:dyDescent="0.35">
      <c r="A154" s="41" t="str">
        <f>Database_Productkaarten[[#This Row],[Product]]&amp;", "&amp;Database_Productkaarten[[#This Row],[Levensfase]]</f>
        <v>Open steenasfalt - PCR 1.0, C1</v>
      </c>
      <c r="B154" s="41" t="s">
        <v>1347</v>
      </c>
      <c r="C154" s="41" t="s">
        <v>443</v>
      </c>
      <c r="E154" s="41" t="s">
        <v>91</v>
      </c>
      <c r="F154" s="41" t="s">
        <v>25</v>
      </c>
      <c r="L154" s="41">
        <v>2</v>
      </c>
      <c r="M154" s="53">
        <v>8.4165796000000001E-2</v>
      </c>
      <c r="N154" s="41">
        <v>30</v>
      </c>
      <c r="O154" s="52">
        <v>2.2208715999999999E-7</v>
      </c>
      <c r="P154" s="52">
        <v>4.5592026999999999E-3</v>
      </c>
      <c r="Q154" s="52">
        <v>0.88076447999999996</v>
      </c>
      <c r="R154" s="52">
        <v>1.1939283000000001E-7</v>
      </c>
      <c r="S154" s="52">
        <v>3.0726663000000003E-4</v>
      </c>
      <c r="T154" s="52">
        <v>2.8098039999999999E-3</v>
      </c>
      <c r="U154" s="52">
        <v>6.0340489000000001E-4</v>
      </c>
      <c r="V154" s="52">
        <v>0.23191322</v>
      </c>
      <c r="W154" s="52">
        <v>3.3066056E-3</v>
      </c>
      <c r="X154" s="52">
        <v>11.151482</v>
      </c>
      <c r="Y154" s="52">
        <v>3.9255155000000001E-4</v>
      </c>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v>5.5759841999999997E-2</v>
      </c>
      <c r="AV154" s="52"/>
      <c r="AW154" s="52"/>
      <c r="AX154" s="52">
        <v>10.220978000000001</v>
      </c>
      <c r="AY154" s="52"/>
      <c r="AZ154" s="52"/>
      <c r="BA154" s="52"/>
      <c r="BB154" s="52">
        <v>1.2595967E-3</v>
      </c>
      <c r="BC154" s="52">
        <v>4.2926843999999997E-6</v>
      </c>
      <c r="BD154" s="52">
        <v>1.0249878E-2</v>
      </c>
      <c r="BE154" s="52">
        <v>6.6858919000000003E-5</v>
      </c>
      <c r="BF154" s="52"/>
      <c r="BG154" s="52"/>
      <c r="BH154" s="52"/>
      <c r="BI154" s="52"/>
      <c r="BJ154" s="52"/>
      <c r="BK154" s="78">
        <v>0</v>
      </c>
      <c r="BL154" s="41" t="s">
        <v>109</v>
      </c>
      <c r="BM154" s="45"/>
    </row>
    <row r="155" spans="1:65" x14ac:dyDescent="0.35">
      <c r="A155" s="41" t="str">
        <f>Database_Productkaarten[[#This Row],[Product]]&amp;", "&amp;Database_Productkaarten[[#This Row],[Levensfase]]</f>
        <v>Open steenasfalt - PCR 1.0, C2</v>
      </c>
      <c r="B155" s="41" t="s">
        <v>1347</v>
      </c>
      <c r="C155" s="41" t="s">
        <v>443</v>
      </c>
      <c r="E155" s="41" t="s">
        <v>91</v>
      </c>
      <c r="F155" s="41" t="s">
        <v>26</v>
      </c>
      <c r="L155" s="41">
        <v>2</v>
      </c>
      <c r="M155" s="53">
        <v>0.96188790000000002</v>
      </c>
      <c r="N155" s="41">
        <v>30</v>
      </c>
      <c r="O155" s="52">
        <v>1.6790396999999999E-5</v>
      </c>
      <c r="P155" s="52">
        <v>6.6045701999999998E-2</v>
      </c>
      <c r="Q155" s="52">
        <v>8.7209053999999995</v>
      </c>
      <c r="R155" s="52">
        <v>1.7336426999999999E-6</v>
      </c>
      <c r="S155" s="52">
        <v>5.4680828999999999E-3</v>
      </c>
      <c r="T155" s="52">
        <v>2.9290009999999998E-2</v>
      </c>
      <c r="U155" s="52">
        <v>5.8153672000000002E-3</v>
      </c>
      <c r="V155" s="52">
        <v>3.0663694000000001</v>
      </c>
      <c r="W155" s="52">
        <v>0.19769922000000001</v>
      </c>
      <c r="X155" s="52">
        <v>517.90637000000004</v>
      </c>
      <c r="Y155" s="52">
        <v>1.8187483000000001E-2</v>
      </c>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v>0</v>
      </c>
      <c r="AV155" s="52"/>
      <c r="AW155" s="52"/>
      <c r="AX155" s="52">
        <v>0</v>
      </c>
      <c r="AY155" s="52"/>
      <c r="AZ155" s="52"/>
      <c r="BA155" s="52"/>
      <c r="BB155" s="52">
        <v>0</v>
      </c>
      <c r="BC155" s="52">
        <v>0</v>
      </c>
      <c r="BD155" s="52">
        <v>0</v>
      </c>
      <c r="BE155" s="52">
        <v>0</v>
      </c>
      <c r="BF155" s="52"/>
      <c r="BG155" s="52"/>
      <c r="BH155" s="52"/>
      <c r="BI155" s="52"/>
      <c r="BJ155" s="52"/>
      <c r="BK155" s="78">
        <v>0</v>
      </c>
      <c r="BL155" s="41" t="s">
        <v>109</v>
      </c>
      <c r="BM155" s="45"/>
    </row>
    <row r="156" spans="1:65" x14ac:dyDescent="0.35">
      <c r="A156" s="41" t="str">
        <f>Database_Productkaarten[[#This Row],[Product]]&amp;", "&amp;Database_Productkaarten[[#This Row],[Levensfase]]</f>
        <v>Open steenasfalt - PCR 1.0, C4</v>
      </c>
      <c r="B156" s="41" t="s">
        <v>1347</v>
      </c>
      <c r="C156" s="41" t="s">
        <v>443</v>
      </c>
      <c r="E156" s="41" t="s">
        <v>91</v>
      </c>
      <c r="F156" s="41" t="s">
        <v>28</v>
      </c>
      <c r="L156" s="41">
        <v>2</v>
      </c>
      <c r="M156" s="53">
        <v>0.74700358</v>
      </c>
      <c r="N156" s="41">
        <v>30</v>
      </c>
      <c r="O156" s="52">
        <v>5.9754661000000001E-6</v>
      </c>
      <c r="P156" s="52">
        <v>7.7588107000000003E-2</v>
      </c>
      <c r="Q156" s="52">
        <v>5.3083710000000002</v>
      </c>
      <c r="R156" s="52">
        <v>1.9141221000000001E-6</v>
      </c>
      <c r="S156" s="52">
        <v>5.7789839000000004E-3</v>
      </c>
      <c r="T156" s="52">
        <v>4.0020355000000001E-2</v>
      </c>
      <c r="U156" s="52">
        <v>7.5688585000000001E-3</v>
      </c>
      <c r="V156" s="52">
        <v>2.3082191000000001</v>
      </c>
      <c r="W156" s="52">
        <v>5.5904124999999999E-2</v>
      </c>
      <c r="X156" s="52">
        <v>195.90810999999999</v>
      </c>
      <c r="Y156" s="52">
        <v>5.7629997000000002E-3</v>
      </c>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v>1.334495</v>
      </c>
      <c r="AV156" s="52"/>
      <c r="AW156" s="52"/>
      <c r="AX156" s="52">
        <v>173.28258</v>
      </c>
      <c r="AY156" s="52"/>
      <c r="AZ156" s="52"/>
      <c r="BA156" s="52"/>
      <c r="BB156" s="52">
        <v>0.16860095</v>
      </c>
      <c r="BC156" s="52">
        <v>1.0912479E-4</v>
      </c>
      <c r="BD156" s="52">
        <v>1004.6596</v>
      </c>
      <c r="BE156" s="52">
        <v>1.0789312000000001E-3</v>
      </c>
      <c r="BF156" s="52"/>
      <c r="BG156" s="52"/>
      <c r="BH156" s="52"/>
      <c r="BI156" s="52"/>
      <c r="BJ156" s="52"/>
      <c r="BK156" s="78">
        <v>0</v>
      </c>
      <c r="BL156" s="41" t="s">
        <v>109</v>
      </c>
      <c r="BM156" s="45"/>
    </row>
    <row r="157" spans="1:65" x14ac:dyDescent="0.35">
      <c r="A157" s="41" t="str">
        <f>Database_Productkaarten[[#This Row],[Product]]&amp;", "&amp;Database_Productkaarten[[#This Row],[Levensfase]]</f>
        <v>Open steenasfalt - PCR 1.0, D1</v>
      </c>
      <c r="B157" s="41" t="s">
        <v>1347</v>
      </c>
      <c r="C157" s="41" t="s">
        <v>443</v>
      </c>
      <c r="E157" s="41" t="s">
        <v>91</v>
      </c>
      <c r="F157" s="41" t="s">
        <v>51</v>
      </c>
      <c r="L157" s="41">
        <v>2</v>
      </c>
      <c r="M157" s="53">
        <v>0</v>
      </c>
      <c r="N157" s="41">
        <v>30</v>
      </c>
      <c r="O157" s="52">
        <v>0</v>
      </c>
      <c r="P157" s="52">
        <v>0</v>
      </c>
      <c r="Q157" s="52">
        <v>0</v>
      </c>
      <c r="R157" s="52">
        <v>0</v>
      </c>
      <c r="S157" s="52">
        <v>0</v>
      </c>
      <c r="T157" s="52">
        <v>0</v>
      </c>
      <c r="U157" s="52">
        <v>0</v>
      </c>
      <c r="V157" s="52">
        <v>0</v>
      </c>
      <c r="W157" s="52">
        <v>0</v>
      </c>
      <c r="X157" s="52">
        <v>0</v>
      </c>
      <c r="Y157" s="52">
        <v>0</v>
      </c>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v>0</v>
      </c>
      <c r="AV157" s="52"/>
      <c r="AW157" s="52"/>
      <c r="AX157" s="52">
        <v>0</v>
      </c>
      <c r="AY157" s="52"/>
      <c r="AZ157" s="52"/>
      <c r="BA157" s="52"/>
      <c r="BB157" s="52">
        <v>0</v>
      </c>
      <c r="BC157" s="52">
        <v>0</v>
      </c>
      <c r="BD157" s="52">
        <v>0</v>
      </c>
      <c r="BE157" s="52">
        <v>0</v>
      </c>
      <c r="BF157" s="52"/>
      <c r="BG157" s="52"/>
      <c r="BH157" s="52"/>
      <c r="BI157" s="52"/>
      <c r="BJ157" s="52"/>
      <c r="BK157" s="78">
        <v>0</v>
      </c>
      <c r="BL157" s="41" t="s">
        <v>109</v>
      </c>
      <c r="BM157" s="45"/>
    </row>
    <row r="158" spans="1:65" x14ac:dyDescent="0.35">
      <c r="A158" s="41" t="str">
        <f>Database_Productkaarten[[#This Row],[Product]]&amp;", "&amp;Database_Productkaarten[[#This Row],[Levensfase]]</f>
        <v>Open steenasfalt - PCR 1.0, D2</v>
      </c>
      <c r="B158" s="41" t="s">
        <v>1347</v>
      </c>
      <c r="C158" s="41" t="s">
        <v>443</v>
      </c>
      <c r="E158" s="41" t="s">
        <v>91</v>
      </c>
      <c r="F158" s="41" t="s">
        <v>52</v>
      </c>
      <c r="L158" s="41">
        <v>2</v>
      </c>
      <c r="M158" s="53">
        <v>0</v>
      </c>
      <c r="N158" s="41">
        <v>30</v>
      </c>
      <c r="O158" s="52">
        <v>0</v>
      </c>
      <c r="P158" s="52">
        <v>0</v>
      </c>
      <c r="Q158" s="52">
        <v>0</v>
      </c>
      <c r="R158" s="52">
        <v>0</v>
      </c>
      <c r="S158" s="52">
        <v>0</v>
      </c>
      <c r="T158" s="52">
        <v>0</v>
      </c>
      <c r="U158" s="52">
        <v>0</v>
      </c>
      <c r="V158" s="52">
        <v>0</v>
      </c>
      <c r="W158" s="52">
        <v>0</v>
      </c>
      <c r="X158" s="52">
        <v>0</v>
      </c>
      <c r="Y158" s="52">
        <v>0</v>
      </c>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v>0</v>
      </c>
      <c r="AV158" s="52"/>
      <c r="AW158" s="52"/>
      <c r="AX158" s="52">
        <v>0</v>
      </c>
      <c r="AY158" s="52"/>
      <c r="AZ158" s="52"/>
      <c r="BA158" s="52"/>
      <c r="BB158" s="52">
        <v>0</v>
      </c>
      <c r="BC158" s="52">
        <v>0</v>
      </c>
      <c r="BD158" s="52">
        <v>0</v>
      </c>
      <c r="BE158" s="52">
        <v>0</v>
      </c>
      <c r="BF158" s="52"/>
      <c r="BG158" s="52"/>
      <c r="BH158" s="52"/>
      <c r="BI158" s="52"/>
      <c r="BJ158" s="52"/>
      <c r="BK158" s="78">
        <v>0</v>
      </c>
      <c r="BL158" s="41" t="s">
        <v>109</v>
      </c>
      <c r="BM158" s="45"/>
    </row>
    <row r="159" spans="1:65" x14ac:dyDescent="0.35">
      <c r="A159" s="41" t="str">
        <f>Database_Productkaarten[[#This Row],[Product]]&amp;", "&amp;Database_Productkaarten[[#This Row],[Levensfase]]</f>
        <v>SMA 5 - PCR 1.0, Totaal</v>
      </c>
      <c r="B159" s="41" t="s">
        <v>1348</v>
      </c>
      <c r="C159" s="41" t="s">
        <v>443</v>
      </c>
      <c r="D159" s="41" t="s">
        <v>472</v>
      </c>
      <c r="E159" s="41" t="s">
        <v>91</v>
      </c>
      <c r="F159" s="41" t="s">
        <v>16</v>
      </c>
      <c r="L159" s="41">
        <v>2.2999999999999998</v>
      </c>
      <c r="M159" s="53">
        <v>8.8254268872993649</v>
      </c>
      <c r="N159" s="41">
        <v>13</v>
      </c>
      <c r="O159" s="52">
        <v>7.3529908953228989E-5</v>
      </c>
      <c r="P159" s="52">
        <v>1.1561890028643076</v>
      </c>
      <c r="Q159" s="52">
        <v>75.711389089150828</v>
      </c>
      <c r="R159" s="52">
        <v>8.884117714389641E-6</v>
      </c>
      <c r="S159" s="52">
        <v>0.10536679350187085</v>
      </c>
      <c r="T159" s="52">
        <v>0.38473316197105845</v>
      </c>
      <c r="U159" s="52">
        <v>4.4335788888073567E-2</v>
      </c>
      <c r="V159" s="52">
        <v>20.882832474836746</v>
      </c>
      <c r="W159" s="52">
        <v>2.2656664250685781</v>
      </c>
      <c r="X159" s="52">
        <v>7447.838463784261</v>
      </c>
      <c r="Y159" s="52">
        <v>0.22817515716329884</v>
      </c>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v>27.469452726646644</v>
      </c>
      <c r="AV159" s="52"/>
      <c r="AW159" s="52"/>
      <c r="AX159" s="52">
        <v>2374.469135771104</v>
      </c>
      <c r="AY159" s="52"/>
      <c r="AZ159" s="52"/>
      <c r="BA159" s="52"/>
      <c r="BB159" s="52">
        <v>20.057277112599515</v>
      </c>
      <c r="BC159" s="52">
        <v>1.1968172945462799E-3</v>
      </c>
      <c r="BD159" s="52">
        <v>3.8079283933318244</v>
      </c>
      <c r="BE159" s="52">
        <v>1.899414308640972E-3</v>
      </c>
      <c r="BF159" s="52"/>
      <c r="BG159" s="52"/>
      <c r="BH159" s="52"/>
      <c r="BI159" s="52"/>
      <c r="BJ159" s="52"/>
      <c r="BK159" s="78">
        <v>0</v>
      </c>
      <c r="BL159" s="41" t="s">
        <v>109</v>
      </c>
      <c r="BM159" s="45"/>
    </row>
    <row r="160" spans="1:65" x14ac:dyDescent="0.35">
      <c r="A160" s="41" t="str">
        <f>Database_Productkaarten[[#This Row],[Product]]&amp;", "&amp;Database_Productkaarten[[#This Row],[Levensfase]]</f>
        <v>SMA 5 - PCR 1.0, A1</v>
      </c>
      <c r="B160" s="41" t="s">
        <v>1348</v>
      </c>
      <c r="C160" s="41" t="s">
        <v>443</v>
      </c>
      <c r="D160" s="41" t="s">
        <v>472</v>
      </c>
      <c r="E160" s="41" t="s">
        <v>91</v>
      </c>
      <c r="F160" s="41" t="s">
        <v>19</v>
      </c>
      <c r="L160" s="41">
        <v>2.2999999999999998</v>
      </c>
      <c r="M160" s="53">
        <v>9.1118355394000012</v>
      </c>
      <c r="N160" s="41">
        <v>13</v>
      </c>
      <c r="O160" s="52">
        <v>9.017926056E-5</v>
      </c>
      <c r="P160" s="52">
        <v>1.69541595673</v>
      </c>
      <c r="Q160" s="52">
        <v>66.294058094500002</v>
      </c>
      <c r="R160" s="52">
        <v>5.4328169129999997E-6</v>
      </c>
      <c r="S160" s="52">
        <v>0.18231207723199999</v>
      </c>
      <c r="T160" s="52">
        <v>0.47612885264999999</v>
      </c>
      <c r="U160" s="52">
        <v>4.1554912360000001E-2</v>
      </c>
      <c r="V160" s="52">
        <v>17.9441063087</v>
      </c>
      <c r="W160" s="52">
        <v>2.6704918843099996</v>
      </c>
      <c r="X160" s="52">
        <v>11670.2473176975</v>
      </c>
      <c r="Y160" s="52">
        <v>0.34084131738999995</v>
      </c>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v>30.180899665200002</v>
      </c>
      <c r="AV160" s="52"/>
      <c r="AW160" s="52"/>
      <c r="AX160" s="52">
        <v>3831.8994380220001</v>
      </c>
      <c r="AY160" s="52"/>
      <c r="AZ160" s="52"/>
      <c r="BA160" s="52"/>
      <c r="BB160" s="52">
        <v>41.096716849469999</v>
      </c>
      <c r="BC160" s="52">
        <v>1.2584137030999998E-3</v>
      </c>
      <c r="BD160" s="52">
        <v>3.4601110922</v>
      </c>
      <c r="BE160" s="52">
        <v>1.2949327146E-3</v>
      </c>
      <c r="BF160" s="52"/>
      <c r="BG160" s="52"/>
      <c r="BH160" s="52"/>
      <c r="BI160" s="52"/>
      <c r="BJ160" s="52"/>
      <c r="BK160" s="78">
        <v>0</v>
      </c>
      <c r="BL160" s="41" t="s">
        <v>109</v>
      </c>
      <c r="BM160" s="45"/>
    </row>
    <row r="161" spans="1:65" x14ac:dyDescent="0.35">
      <c r="A161" s="41" t="str">
        <f>Database_Productkaarten[[#This Row],[Product]]&amp;", "&amp;Database_Productkaarten[[#This Row],[Levensfase]]</f>
        <v>SMA 5 - PCR 1.0, A2</v>
      </c>
      <c r="B161" s="41" t="s">
        <v>1348</v>
      </c>
      <c r="C161" s="41" t="s">
        <v>443</v>
      </c>
      <c r="D161" s="41" t="s">
        <v>472</v>
      </c>
      <c r="E161" s="41" t="s">
        <v>91</v>
      </c>
      <c r="F161" s="41" t="s">
        <v>20</v>
      </c>
      <c r="L161" s="41">
        <v>2.2999999999999998</v>
      </c>
      <c r="M161" s="53">
        <v>2.5204977859920006</v>
      </c>
      <c r="N161" s="41">
        <v>13</v>
      </c>
      <c r="O161" s="52">
        <v>1.8326896496504003E-5</v>
      </c>
      <c r="P161" s="52">
        <v>0.11039061555971003</v>
      </c>
      <c r="Q161" s="52">
        <v>15.694435828801803</v>
      </c>
      <c r="R161" s="52">
        <v>2.6317600789590003E-6</v>
      </c>
      <c r="S161" s="52">
        <v>1.327251282104E-2</v>
      </c>
      <c r="T161" s="52">
        <v>0.20840626991338002</v>
      </c>
      <c r="U161" s="52">
        <v>2.3656242609100001E-2</v>
      </c>
      <c r="V161" s="52">
        <v>6.4577904962588004</v>
      </c>
      <c r="W161" s="52">
        <v>0.14267665816628</v>
      </c>
      <c r="X161" s="52">
        <v>581.49876242362825</v>
      </c>
      <c r="Y161" s="52">
        <v>2.1953237757090006E-2</v>
      </c>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v>4.2224628022817994</v>
      </c>
      <c r="AV161" s="52"/>
      <c r="AW161" s="52"/>
      <c r="AX161" s="52">
        <v>244.65057722359521</v>
      </c>
      <c r="AY161" s="52"/>
      <c r="AZ161" s="52"/>
      <c r="BA161" s="52"/>
      <c r="BB161" s="52">
        <v>4.4114209566449999E-2</v>
      </c>
      <c r="BC161" s="52">
        <v>1.4546660688663997E-4</v>
      </c>
      <c r="BD161" s="52">
        <v>5.3542483801592002</v>
      </c>
      <c r="BE161" s="52">
        <v>1.5232243344850003E-3</v>
      </c>
      <c r="BF161" s="52"/>
      <c r="BG161" s="52"/>
      <c r="BH161" s="52"/>
      <c r="BI161" s="52"/>
      <c r="BJ161" s="52"/>
      <c r="BK161" s="78">
        <v>0</v>
      </c>
      <c r="BL161" s="41" t="s">
        <v>109</v>
      </c>
      <c r="BM161" s="45"/>
    </row>
    <row r="162" spans="1:65" x14ac:dyDescent="0.35">
      <c r="A162" s="41" t="str">
        <f>Database_Productkaarten[[#This Row],[Product]]&amp;", "&amp;Database_Productkaarten[[#This Row],[Levensfase]]</f>
        <v>SMA 5 - PCR 1.0, A3</v>
      </c>
      <c r="B162" s="41" t="s">
        <v>1348</v>
      </c>
      <c r="C162" s="41" t="s">
        <v>443</v>
      </c>
      <c r="D162" s="41" t="s">
        <v>472</v>
      </c>
      <c r="E162" s="41" t="s">
        <v>91</v>
      </c>
      <c r="F162" s="41" t="s">
        <v>21</v>
      </c>
      <c r="L162" s="41">
        <v>2.2999999999999998</v>
      </c>
      <c r="M162" s="53">
        <v>1.5801118975859489</v>
      </c>
      <c r="N162" s="41">
        <v>13</v>
      </c>
      <c r="O162" s="52">
        <v>5.3924825815771156E-6</v>
      </c>
      <c r="P162" s="52">
        <v>0.18061837018614491</v>
      </c>
      <c r="Q162" s="52">
        <v>21.397916080728081</v>
      </c>
      <c r="R162" s="52">
        <v>2.3748346593942148E-6</v>
      </c>
      <c r="S162" s="52">
        <v>3.5070461379175522E-3</v>
      </c>
      <c r="T162" s="52">
        <v>2.5728189524989741E-2</v>
      </c>
      <c r="U162" s="52">
        <v>4.850146757409985E-3</v>
      </c>
      <c r="V162" s="52">
        <v>3.4994261152389479</v>
      </c>
      <c r="W162" s="52">
        <v>2.5321227933863908E-2</v>
      </c>
      <c r="X162" s="52">
        <v>103.09938988972984</v>
      </c>
      <c r="Y162" s="52">
        <v>2.7480872139015795E-2</v>
      </c>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v>7.9237964765710673</v>
      </c>
      <c r="AV162" s="52"/>
      <c r="AW162" s="52"/>
      <c r="AX162" s="52">
        <v>368.35830824279725</v>
      </c>
      <c r="AY162" s="52"/>
      <c r="AZ162" s="52"/>
      <c r="BA162" s="52"/>
      <c r="BB162" s="52">
        <v>5.3247766093770223E-2</v>
      </c>
      <c r="BC162" s="52">
        <v>5.2160551927444686E-4</v>
      </c>
      <c r="BD162" s="52">
        <v>0.27752863354296153</v>
      </c>
      <c r="BE162" s="52">
        <v>3.7701449571251439E-4</v>
      </c>
      <c r="BF162" s="52"/>
      <c r="BG162" s="52"/>
      <c r="BH162" s="52"/>
      <c r="BI162" s="52"/>
      <c r="BJ162" s="52"/>
      <c r="BK162" s="78">
        <v>0</v>
      </c>
      <c r="BL162" s="41" t="s">
        <v>109</v>
      </c>
      <c r="BM162" s="45"/>
    </row>
    <row r="163" spans="1:65" x14ac:dyDescent="0.35">
      <c r="A163" s="41" t="str">
        <f>Database_Productkaarten[[#This Row],[Product]]&amp;", "&amp;Database_Productkaarten[[#This Row],[Levensfase]]</f>
        <v>SMA 5 - PCR 1.0, A4</v>
      </c>
      <c r="B163" s="41" t="s">
        <v>1348</v>
      </c>
      <c r="C163" s="41" t="s">
        <v>443</v>
      </c>
      <c r="D163" s="41" t="s">
        <v>472</v>
      </c>
      <c r="E163" s="41" t="s">
        <v>91</v>
      </c>
      <c r="F163" s="41" t="s">
        <v>22</v>
      </c>
      <c r="L163" s="41">
        <v>2.2999999999999998</v>
      </c>
      <c r="M163" s="53">
        <v>0.62892669999999995</v>
      </c>
      <c r="N163" s="41">
        <v>13</v>
      </c>
      <c r="O163" s="52">
        <v>1.0978337000000001E-5</v>
      </c>
      <c r="P163" s="52">
        <v>4.3183727999999998E-2</v>
      </c>
      <c r="Q163" s="52">
        <v>5.7021305</v>
      </c>
      <c r="R163" s="52">
        <v>1.1335356E-6</v>
      </c>
      <c r="S163" s="52">
        <v>3.5752850000000001E-3</v>
      </c>
      <c r="T163" s="52">
        <v>1.9151161E-2</v>
      </c>
      <c r="U163" s="52">
        <v>3.8023555000000001E-3</v>
      </c>
      <c r="V163" s="52">
        <v>2.0049337999999999</v>
      </c>
      <c r="W163" s="52">
        <v>0.12926487</v>
      </c>
      <c r="X163" s="52">
        <v>338.63108999999997</v>
      </c>
      <c r="Y163" s="52">
        <v>1.1891815999999999E-2</v>
      </c>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v>0</v>
      </c>
      <c r="AV163" s="52"/>
      <c r="AW163" s="52"/>
      <c r="AX163" s="52">
        <v>0</v>
      </c>
      <c r="AY163" s="52"/>
      <c r="AZ163" s="52"/>
      <c r="BA163" s="52"/>
      <c r="BB163" s="52">
        <v>0</v>
      </c>
      <c r="BC163" s="52">
        <v>0</v>
      </c>
      <c r="BD163" s="52">
        <v>0</v>
      </c>
      <c r="BE163" s="52">
        <v>0</v>
      </c>
      <c r="BF163" s="52"/>
      <c r="BG163" s="52"/>
      <c r="BH163" s="52"/>
      <c r="BI163" s="52"/>
      <c r="BJ163" s="52"/>
      <c r="BK163" s="78">
        <v>0</v>
      </c>
      <c r="BL163" s="41" t="s">
        <v>109</v>
      </c>
      <c r="BM163" s="45"/>
    </row>
    <row r="164" spans="1:65" x14ac:dyDescent="0.35">
      <c r="A164" s="41" t="str">
        <f>Database_Productkaarten[[#This Row],[Product]]&amp;", "&amp;Database_Productkaarten[[#This Row],[Levensfase]]</f>
        <v>SMA 5 - PCR 1.0, A5</v>
      </c>
      <c r="B164" s="41" t="s">
        <v>1348</v>
      </c>
      <c r="C164" s="41" t="s">
        <v>443</v>
      </c>
      <c r="D164" s="41" t="s">
        <v>472</v>
      </c>
      <c r="E164" s="41" t="s">
        <v>91</v>
      </c>
      <c r="F164" s="41" t="s">
        <v>23</v>
      </c>
      <c r="L164" s="41">
        <v>2.2999999999999998</v>
      </c>
      <c r="M164" s="53">
        <v>0.26142994000000003</v>
      </c>
      <c r="N164" s="41">
        <v>13</v>
      </c>
      <c r="O164" s="52">
        <v>6.4405276999999999E-7</v>
      </c>
      <c r="P164" s="52">
        <v>1.3221688000000001E-2</v>
      </c>
      <c r="Q164" s="52">
        <v>2.554217</v>
      </c>
      <c r="R164" s="52">
        <v>3.4623921999999999E-7</v>
      </c>
      <c r="S164" s="52">
        <v>9.5560771999999997E-4</v>
      </c>
      <c r="T164" s="52">
        <v>1.0774331999999999E-2</v>
      </c>
      <c r="U164" s="52">
        <v>2.4326081999999998E-3</v>
      </c>
      <c r="V164" s="52">
        <v>0.67890231999999995</v>
      </c>
      <c r="W164" s="52">
        <v>9.5891563000000003E-3</v>
      </c>
      <c r="X164" s="52">
        <v>32.339298999999997</v>
      </c>
      <c r="Y164" s="52">
        <v>1.1383995E-3</v>
      </c>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v>0.16170355</v>
      </c>
      <c r="AV164" s="52"/>
      <c r="AW164" s="52"/>
      <c r="AX164" s="52">
        <v>29.640834999999999</v>
      </c>
      <c r="AY164" s="52"/>
      <c r="AZ164" s="52"/>
      <c r="BA164" s="52"/>
      <c r="BB164" s="52">
        <v>3.6528305999999999E-3</v>
      </c>
      <c r="BC164" s="52">
        <v>1.2448785000000001E-5</v>
      </c>
      <c r="BD164" s="52">
        <v>2.9724645000000001E-2</v>
      </c>
      <c r="BE164" s="52">
        <v>1.9389087E-4</v>
      </c>
      <c r="BF164" s="52"/>
      <c r="BG164" s="52"/>
      <c r="BH164" s="52"/>
      <c r="BI164" s="52"/>
      <c r="BJ164" s="52"/>
      <c r="BK164" s="78">
        <v>0</v>
      </c>
      <c r="BL164" s="41" t="s">
        <v>109</v>
      </c>
      <c r="BM164" s="45"/>
    </row>
    <row r="165" spans="1:65" x14ac:dyDescent="0.35">
      <c r="A165" s="41" t="str">
        <f>Database_Productkaarten[[#This Row],[Product]]&amp;", "&amp;Database_Productkaarten[[#This Row],[Levensfase]]</f>
        <v>SMA 5 - PCR 1.0, B1</v>
      </c>
      <c r="B165" s="41" t="s">
        <v>1348</v>
      </c>
      <c r="C165" s="41" t="s">
        <v>443</v>
      </c>
      <c r="D165" s="41" t="s">
        <v>472</v>
      </c>
      <c r="E165" s="41" t="s">
        <v>91</v>
      </c>
      <c r="F165" s="41" t="s">
        <v>24</v>
      </c>
      <c r="L165" s="41">
        <v>2.2999999999999998</v>
      </c>
      <c r="M165" s="53">
        <v>0.14096322999999999</v>
      </c>
      <c r="N165" s="41">
        <v>13</v>
      </c>
      <c r="O165" s="52">
        <v>0</v>
      </c>
      <c r="P165" s="52">
        <v>0</v>
      </c>
      <c r="Q165" s="52">
        <v>0</v>
      </c>
      <c r="R165" s="52">
        <v>0</v>
      </c>
      <c r="S165" s="52">
        <v>0</v>
      </c>
      <c r="T165" s="52">
        <v>0</v>
      </c>
      <c r="U165" s="52">
        <v>0</v>
      </c>
      <c r="V165" s="52">
        <v>0.56785655999999995</v>
      </c>
      <c r="W165" s="52">
        <v>0.60877917999999998</v>
      </c>
      <c r="X165" s="52">
        <v>715.71979999999996</v>
      </c>
      <c r="Y165" s="52">
        <v>3.4639129999999998E-4</v>
      </c>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v>0</v>
      </c>
      <c r="AV165" s="52"/>
      <c r="AW165" s="52"/>
      <c r="AX165" s="52">
        <v>0</v>
      </c>
      <c r="AY165" s="52"/>
      <c r="AZ165" s="52"/>
      <c r="BA165" s="52"/>
      <c r="BB165" s="52">
        <v>0</v>
      </c>
      <c r="BC165" s="52">
        <v>0</v>
      </c>
      <c r="BD165" s="52">
        <v>0</v>
      </c>
      <c r="BE165" s="52">
        <v>0</v>
      </c>
      <c r="BF165" s="52"/>
      <c r="BG165" s="52"/>
      <c r="BH165" s="52"/>
      <c r="BI165" s="52"/>
      <c r="BJ165" s="52"/>
      <c r="BK165" s="78">
        <v>0</v>
      </c>
      <c r="BL165" s="41" t="s">
        <v>109</v>
      </c>
      <c r="BM165" s="45"/>
    </row>
    <row r="166" spans="1:65" x14ac:dyDescent="0.35">
      <c r="A166" s="41" t="str">
        <f>Database_Productkaarten[[#This Row],[Product]]&amp;", "&amp;Database_Productkaarten[[#This Row],[Levensfase]]</f>
        <v>SMA 5 - PCR 1.0, C1</v>
      </c>
      <c r="B166" s="41" t="s">
        <v>1348</v>
      </c>
      <c r="C166" s="41" t="s">
        <v>443</v>
      </c>
      <c r="D166" s="41" t="s">
        <v>472</v>
      </c>
      <c r="E166" s="41" t="s">
        <v>91</v>
      </c>
      <c r="F166" s="41" t="s">
        <v>25</v>
      </c>
      <c r="L166" s="41">
        <v>2.2999999999999998</v>
      </c>
      <c r="M166" s="53">
        <v>0.13639726999999999</v>
      </c>
      <c r="N166" s="41">
        <v>13</v>
      </c>
      <c r="O166" s="52">
        <v>3.6644380999999999E-7</v>
      </c>
      <c r="P166" s="52">
        <v>7.5226846000000002E-3</v>
      </c>
      <c r="Q166" s="52">
        <v>1.4532613999999999</v>
      </c>
      <c r="R166" s="52">
        <v>1.9699817000000001E-7</v>
      </c>
      <c r="S166" s="52">
        <v>4.8171299999999999E-4</v>
      </c>
      <c r="T166" s="52">
        <v>4.2661764999999997E-3</v>
      </c>
      <c r="U166" s="52">
        <v>8.9941806E-4</v>
      </c>
      <c r="V166" s="52">
        <v>0.38176861000000001</v>
      </c>
      <c r="W166" s="52">
        <v>5.4558992000000002E-3</v>
      </c>
      <c r="X166" s="52">
        <v>18.399946</v>
      </c>
      <c r="Y166" s="52">
        <v>6.4771006999999995E-4</v>
      </c>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v>9.2003741E-2</v>
      </c>
      <c r="AV166" s="52"/>
      <c r="AW166" s="52"/>
      <c r="AX166" s="52">
        <v>16.864612999999999</v>
      </c>
      <c r="AY166" s="52"/>
      <c r="AZ166" s="52"/>
      <c r="BA166" s="52"/>
      <c r="BB166" s="52">
        <v>2.0783346E-3</v>
      </c>
      <c r="BC166" s="52">
        <v>7.0829294000000003E-6</v>
      </c>
      <c r="BD166" s="52">
        <v>1.6912297999999999E-2</v>
      </c>
      <c r="BE166" s="52">
        <v>1.1031722E-4</v>
      </c>
      <c r="BF166" s="52"/>
      <c r="BG166" s="52"/>
      <c r="BH166" s="52"/>
      <c r="BI166" s="52"/>
      <c r="BJ166" s="52"/>
      <c r="BK166" s="78">
        <v>0</v>
      </c>
      <c r="BL166" s="41" t="s">
        <v>109</v>
      </c>
      <c r="BM166" s="45"/>
    </row>
    <row r="167" spans="1:65" x14ac:dyDescent="0.35">
      <c r="A167" s="41" t="str">
        <f>Database_Productkaarten[[#This Row],[Product]]&amp;", "&amp;Database_Productkaarten[[#This Row],[Levensfase]]</f>
        <v>SMA 5 - PCR 1.0, C2</v>
      </c>
      <c r="B167" s="41" t="s">
        <v>1348</v>
      </c>
      <c r="C167" s="41" t="s">
        <v>443</v>
      </c>
      <c r="D167" s="41" t="s">
        <v>472</v>
      </c>
      <c r="E167" s="41" t="s">
        <v>91</v>
      </c>
      <c r="F167" s="41" t="s">
        <v>26</v>
      </c>
      <c r="L167" s="41">
        <v>2.2999999999999998</v>
      </c>
      <c r="M167" s="53">
        <v>0.62892669999999995</v>
      </c>
      <c r="N167" s="41">
        <v>13</v>
      </c>
      <c r="O167" s="52">
        <v>1.0978337000000001E-5</v>
      </c>
      <c r="P167" s="52">
        <v>4.3183727999999998E-2</v>
      </c>
      <c r="Q167" s="52">
        <v>5.7021305</v>
      </c>
      <c r="R167" s="52">
        <v>1.1335356E-6</v>
      </c>
      <c r="S167" s="52">
        <v>3.5752850000000001E-3</v>
      </c>
      <c r="T167" s="52">
        <v>1.9151161E-2</v>
      </c>
      <c r="U167" s="52">
        <v>3.8023555000000001E-3</v>
      </c>
      <c r="V167" s="52">
        <v>2.0049337999999999</v>
      </c>
      <c r="W167" s="52">
        <v>0.12926487</v>
      </c>
      <c r="X167" s="52">
        <v>338.63108999999997</v>
      </c>
      <c r="Y167" s="52">
        <v>1.1891815999999999E-2</v>
      </c>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v>0</v>
      </c>
      <c r="AV167" s="52"/>
      <c r="AW167" s="52"/>
      <c r="AX167" s="52">
        <v>0</v>
      </c>
      <c r="AY167" s="52"/>
      <c r="AZ167" s="52"/>
      <c r="BA167" s="52"/>
      <c r="BB167" s="52">
        <v>0</v>
      </c>
      <c r="BC167" s="52">
        <v>0</v>
      </c>
      <c r="BD167" s="52">
        <v>0</v>
      </c>
      <c r="BE167" s="52">
        <v>0</v>
      </c>
      <c r="BF167" s="52"/>
      <c r="BG167" s="52"/>
      <c r="BH167" s="52"/>
      <c r="BI167" s="52"/>
      <c r="BJ167" s="52"/>
      <c r="BK167" s="78">
        <v>0</v>
      </c>
      <c r="BL167" s="41" t="s">
        <v>109</v>
      </c>
      <c r="BM167" s="45"/>
    </row>
    <row r="168" spans="1:65" x14ac:dyDescent="0.35">
      <c r="A168" s="41" t="str">
        <f>Database_Productkaarten[[#This Row],[Product]]&amp;", "&amp;Database_Productkaarten[[#This Row],[Levensfase]]</f>
        <v>SMA 5 - PCR 1.0, C3</v>
      </c>
      <c r="B168" s="41" t="s">
        <v>1348</v>
      </c>
      <c r="C168" s="41" t="s">
        <v>443</v>
      </c>
      <c r="D168" s="41" t="s">
        <v>472</v>
      </c>
      <c r="E168" s="41" t="s">
        <v>91</v>
      </c>
      <c r="F168" s="41" t="s">
        <v>27</v>
      </c>
      <c r="L168" s="41">
        <v>2.2999999999999998</v>
      </c>
      <c r="M168" s="53">
        <v>0.16120214999999999</v>
      </c>
      <c r="N168" s="41">
        <v>13</v>
      </c>
      <c r="O168" s="52">
        <v>4.1291555000000003E-7</v>
      </c>
      <c r="P168" s="52">
        <v>8.4766977000000007E-3</v>
      </c>
      <c r="Q168" s="52">
        <v>1.6375614000000001</v>
      </c>
      <c r="R168" s="52">
        <v>2.2198113E-7</v>
      </c>
      <c r="S168" s="52">
        <v>5.9777666999999998E-4</v>
      </c>
      <c r="T168" s="52">
        <v>5.9352911999999997E-3</v>
      </c>
      <c r="U168" s="52">
        <v>1.3067828999999999E-3</v>
      </c>
      <c r="V168" s="52">
        <v>0.43290835999999999</v>
      </c>
      <c r="W168" s="52">
        <v>6.1478065000000002E-3</v>
      </c>
      <c r="X168" s="52">
        <v>20.733394000000001</v>
      </c>
      <c r="Y168" s="52">
        <v>7.2985148000000004E-4</v>
      </c>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v>0.10367149000000001</v>
      </c>
      <c r="AV168" s="52"/>
      <c r="AW168" s="52"/>
      <c r="AX168" s="52">
        <v>19.003353000000001</v>
      </c>
      <c r="AY168" s="52"/>
      <c r="AZ168" s="52"/>
      <c r="BA168" s="52"/>
      <c r="BB168" s="52">
        <v>2.3419052000000001E-3</v>
      </c>
      <c r="BC168" s="52">
        <v>7.9811735999999999E-6</v>
      </c>
      <c r="BD168" s="52">
        <v>1.9057085000000001E-2</v>
      </c>
      <c r="BE168" s="52">
        <v>1.2430745000000001E-4</v>
      </c>
      <c r="BF168" s="52"/>
      <c r="BG168" s="52"/>
      <c r="BH168" s="52"/>
      <c r="BI168" s="52"/>
      <c r="BJ168" s="52"/>
      <c r="BK168" s="78">
        <v>0</v>
      </c>
      <c r="BL168" s="41" t="s">
        <v>109</v>
      </c>
      <c r="BM168" s="45"/>
    </row>
    <row r="169" spans="1:65" x14ac:dyDescent="0.35">
      <c r="A169" s="41" t="str">
        <f>Database_Productkaarten[[#This Row],[Product]]&amp;", "&amp;Database_Productkaarten[[#This Row],[Levensfase]]</f>
        <v>SMA 5 - PCR 1.0, D1</v>
      </c>
      <c r="B169" s="41" t="s">
        <v>1348</v>
      </c>
      <c r="C169" s="41" t="s">
        <v>443</v>
      </c>
      <c r="D169" s="41" t="s">
        <v>472</v>
      </c>
      <c r="E169" s="41" t="s">
        <v>91</v>
      </c>
      <c r="F169" s="41" t="s">
        <v>51</v>
      </c>
      <c r="L169" s="41">
        <v>2.2999999999999998</v>
      </c>
      <c r="M169" s="53">
        <v>-4.7383907952347037</v>
      </c>
      <c r="N169" s="41">
        <v>13</v>
      </c>
      <c r="O169" s="52">
        <v>-5.2111260747359993E-5</v>
      </c>
      <c r="P169" s="52">
        <v>-0.87553192118797996</v>
      </c>
      <c r="Q169" s="52">
        <v>-34.730160359508183</v>
      </c>
      <c r="R169" s="52">
        <v>-2.911963610078E-6</v>
      </c>
      <c r="S169" s="52">
        <v>-9.4449884512720003E-2</v>
      </c>
      <c r="T169" s="52">
        <v>-0.25181949547791604</v>
      </c>
      <c r="U169" s="52">
        <v>-2.2891321282496001E-2</v>
      </c>
      <c r="V169" s="52">
        <v>-8.9755179065355932</v>
      </c>
      <c r="W169" s="52">
        <v>-1.37050096061474</v>
      </c>
      <c r="X169" s="52">
        <v>-6001.0821142426012</v>
      </c>
      <c r="Y169" s="52">
        <v>-0.1747642238621</v>
      </c>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v>-12.524073325945423</v>
      </c>
      <c r="AV169" s="52"/>
      <c r="AW169" s="52"/>
      <c r="AX169" s="52">
        <v>-1980.1644939238731</v>
      </c>
      <c r="AY169" s="52"/>
      <c r="AZ169" s="52"/>
      <c r="BA169" s="52"/>
      <c r="BB169" s="52">
        <v>-21.116787715034196</v>
      </c>
      <c r="BC169" s="52">
        <v>-6.635762811186E-4</v>
      </c>
      <c r="BD169" s="52">
        <v>-1.9511262284901281</v>
      </c>
      <c r="BE169" s="52">
        <v>-7.5438668040759996E-4</v>
      </c>
      <c r="BF169" s="52"/>
      <c r="BG169" s="52"/>
      <c r="BH169" s="52"/>
      <c r="BI169" s="52"/>
      <c r="BJ169" s="52"/>
      <c r="BK169" s="78">
        <v>0</v>
      </c>
      <c r="BL169" s="41" t="s">
        <v>109</v>
      </c>
      <c r="BM169" s="45"/>
    </row>
    <row r="170" spans="1:65" x14ac:dyDescent="0.35">
      <c r="A170" s="41" t="str">
        <f>Database_Productkaarten[[#This Row],[Product]]&amp;", "&amp;Database_Productkaarten[[#This Row],[Levensfase]]</f>
        <v>SMA 5 - PCR 1.0, D2</v>
      </c>
      <c r="B170" s="41" t="s">
        <v>1348</v>
      </c>
      <c r="C170" s="41" t="s">
        <v>443</v>
      </c>
      <c r="D170" s="41" t="s">
        <v>472</v>
      </c>
      <c r="E170" s="41" t="s">
        <v>91</v>
      </c>
      <c r="F170" s="41" t="s">
        <v>52</v>
      </c>
      <c r="L170" s="41">
        <v>2.2999999999999998</v>
      </c>
      <c r="M170" s="53">
        <v>-1.6064735304438809</v>
      </c>
      <c r="N170" s="41">
        <v>13</v>
      </c>
      <c r="O170" s="52">
        <v>-1.1637556067492141E-5</v>
      </c>
      <c r="P170" s="52">
        <v>-7.0292544723567357E-2</v>
      </c>
      <c r="Q170" s="52">
        <v>-9.9941613553708617</v>
      </c>
      <c r="R170" s="52">
        <v>-1.6756200468855731E-6</v>
      </c>
      <c r="S170" s="52">
        <v>-8.4606255663666613E-3</v>
      </c>
      <c r="T170" s="52">
        <v>-0.13298877633939518</v>
      </c>
      <c r="U170" s="52">
        <v>-1.5077711715940443E-2</v>
      </c>
      <c r="V170" s="52">
        <v>-4.1142759888254021</v>
      </c>
      <c r="W170" s="52">
        <v>-9.0824166726824862E-2</v>
      </c>
      <c r="X170" s="52">
        <v>-370.37951098399714</v>
      </c>
      <c r="Y170" s="52">
        <v>-1.3982030610706936E-2</v>
      </c>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v>-2.691011672460796</v>
      </c>
      <c r="AV170" s="52"/>
      <c r="AW170" s="52"/>
      <c r="AX170" s="52">
        <v>-155.78349479341671</v>
      </c>
      <c r="AY170" s="52"/>
      <c r="AZ170" s="52"/>
      <c r="BA170" s="52"/>
      <c r="BB170" s="52">
        <v>-2.8087067896511029E-2</v>
      </c>
      <c r="BC170" s="52">
        <v>-9.2605141596206818E-5</v>
      </c>
      <c r="BD170" s="52">
        <v>-3.3985275120802099</v>
      </c>
      <c r="BE170" s="52">
        <v>-9.6988609574894273E-4</v>
      </c>
      <c r="BF170" s="52"/>
      <c r="BG170" s="52"/>
      <c r="BH170" s="52"/>
      <c r="BI170" s="52"/>
      <c r="BJ170" s="52"/>
      <c r="BK170" s="78">
        <v>0</v>
      </c>
      <c r="BL170" s="41" t="s">
        <v>109</v>
      </c>
      <c r="BM170" s="45"/>
    </row>
    <row r="171" spans="1:65" x14ac:dyDescent="0.35">
      <c r="A171" s="41" t="str">
        <f>Database_Productkaarten[[#This Row],[Product]]&amp;", "&amp;Database_Productkaarten[[#This Row],[Levensfase]]</f>
        <v>SMA 8-11 - PCR 1.0, Totaal</v>
      </c>
      <c r="B171" s="41" t="s">
        <v>1349</v>
      </c>
      <c r="C171" s="41" t="s">
        <v>443</v>
      </c>
      <c r="D171" s="41" t="s">
        <v>472</v>
      </c>
      <c r="E171" s="41" t="s">
        <v>91</v>
      </c>
      <c r="F171" s="41" t="s">
        <v>16</v>
      </c>
      <c r="L171" s="41">
        <v>2.35</v>
      </c>
      <c r="M171" s="53">
        <v>8.7503391107382686</v>
      </c>
      <c r="N171" s="41">
        <v>16</v>
      </c>
      <c r="O171" s="52">
        <v>8.1197543759434237E-5</v>
      </c>
      <c r="P171" s="52">
        <v>1.1110652129368344</v>
      </c>
      <c r="Q171" s="52">
        <v>75.9159122858904</v>
      </c>
      <c r="R171" s="52">
        <v>9.040782327163844E-6</v>
      </c>
      <c r="S171" s="52">
        <v>9.9703348157549151E-2</v>
      </c>
      <c r="T171" s="52">
        <v>0.37885456285647356</v>
      </c>
      <c r="U171" s="52">
        <v>4.5420778349347858E-2</v>
      </c>
      <c r="V171" s="52">
        <v>20.964118403725799</v>
      </c>
      <c r="W171" s="52">
        <v>2.0740780349551886</v>
      </c>
      <c r="X171" s="52">
        <v>6907.9430901023243</v>
      </c>
      <c r="Y171" s="52">
        <v>0.21808102001041407</v>
      </c>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v>28.972705215499644</v>
      </c>
      <c r="AV171" s="52"/>
      <c r="AW171" s="52"/>
      <c r="AX171" s="52">
        <v>2271.0212998335792</v>
      </c>
      <c r="AY171" s="52"/>
      <c r="AZ171" s="52"/>
      <c r="BA171" s="52"/>
      <c r="BB171" s="52">
        <v>18.463503302160493</v>
      </c>
      <c r="BC171" s="52">
        <v>1.2038570534975809E-3</v>
      </c>
      <c r="BD171" s="52">
        <v>3.7449664617309528</v>
      </c>
      <c r="BE171" s="52">
        <v>1.9957885255421884E-3</v>
      </c>
      <c r="BF171" s="52"/>
      <c r="BG171" s="52"/>
      <c r="BH171" s="52"/>
      <c r="BI171" s="52"/>
      <c r="BJ171" s="52"/>
      <c r="BK171" s="78">
        <v>0</v>
      </c>
      <c r="BL171" s="41" t="s">
        <v>109</v>
      </c>
      <c r="BM171" s="45"/>
    </row>
    <row r="172" spans="1:65" x14ac:dyDescent="0.35">
      <c r="A172" s="41" t="str">
        <f>Database_Productkaarten[[#This Row],[Product]]&amp;", "&amp;Database_Productkaarten[[#This Row],[Levensfase]]</f>
        <v>SMA 8-11 - PCR 1.0, A1</v>
      </c>
      <c r="B172" s="41" t="s">
        <v>1349</v>
      </c>
      <c r="C172" s="41" t="s">
        <v>443</v>
      </c>
      <c r="D172" s="41" t="s">
        <v>472</v>
      </c>
      <c r="E172" s="41" t="s">
        <v>91</v>
      </c>
      <c r="F172" s="41" t="s">
        <v>19</v>
      </c>
      <c r="L172" s="41">
        <v>2.35</v>
      </c>
      <c r="M172" s="53">
        <v>8.586432293999998</v>
      </c>
      <c r="N172" s="41">
        <v>16</v>
      </c>
      <c r="O172" s="52">
        <v>9.7107269600000003E-5</v>
      </c>
      <c r="P172" s="52">
        <v>1.5672421957999998</v>
      </c>
      <c r="Q172" s="52">
        <v>62.237935915999998</v>
      </c>
      <c r="R172" s="52">
        <v>5.1475575800000003E-6</v>
      </c>
      <c r="S172" s="52">
        <v>0.16872885112</v>
      </c>
      <c r="T172" s="52">
        <v>0.44769149699999999</v>
      </c>
      <c r="U172" s="52">
        <v>4.0180046599999998E-2</v>
      </c>
      <c r="V172" s="52">
        <v>17.382369546</v>
      </c>
      <c r="W172" s="52">
        <v>2.4661645526</v>
      </c>
      <c r="X172" s="52">
        <v>10762.819724555</v>
      </c>
      <c r="Y172" s="52">
        <v>0.31791365040000003</v>
      </c>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v>31.111372383000003</v>
      </c>
      <c r="AV172" s="52"/>
      <c r="AW172" s="52"/>
      <c r="AX172" s="52">
        <v>3543.3189104490002</v>
      </c>
      <c r="AY172" s="52"/>
      <c r="AZ172" s="52"/>
      <c r="BA172" s="52"/>
      <c r="BB172" s="52">
        <v>37.827103111200003</v>
      </c>
      <c r="BC172" s="52">
        <v>1.1986245459999999E-3</v>
      </c>
      <c r="BD172" s="52">
        <v>3.3987437279999999</v>
      </c>
      <c r="BE172" s="52">
        <v>1.3125846360000002E-3</v>
      </c>
      <c r="BF172" s="52"/>
      <c r="BG172" s="52"/>
      <c r="BH172" s="52"/>
      <c r="BI172" s="52"/>
      <c r="BJ172" s="52"/>
      <c r="BK172" s="78">
        <v>0</v>
      </c>
      <c r="BL172" s="41" t="s">
        <v>109</v>
      </c>
      <c r="BM172" s="45"/>
    </row>
    <row r="173" spans="1:65" x14ac:dyDescent="0.35">
      <c r="A173" s="41" t="str">
        <f>Database_Productkaarten[[#This Row],[Product]]&amp;", "&amp;Database_Productkaarten[[#This Row],[Levensfase]]</f>
        <v>SMA 8-11 - PCR 1.0, A2</v>
      </c>
      <c r="B173" s="41" t="s">
        <v>1349</v>
      </c>
      <c r="C173" s="41" t="s">
        <v>443</v>
      </c>
      <c r="D173" s="41" t="s">
        <v>472</v>
      </c>
      <c r="E173" s="41" t="s">
        <v>91</v>
      </c>
      <c r="F173" s="41" t="s">
        <v>20</v>
      </c>
      <c r="L173" s="41">
        <v>2.35</v>
      </c>
      <c r="M173" s="53">
        <v>2.4307964394150003</v>
      </c>
      <c r="N173" s="41">
        <v>16</v>
      </c>
      <c r="O173" s="52">
        <v>1.5064990869629999E-5</v>
      </c>
      <c r="P173" s="52">
        <v>0.10455005876800001</v>
      </c>
      <c r="Q173" s="52">
        <v>15.003097835616002</v>
      </c>
      <c r="R173" s="52">
        <v>2.4817267241000006E-6</v>
      </c>
      <c r="S173" s="52">
        <v>1.2816067583900002E-2</v>
      </c>
      <c r="T173" s="52">
        <v>0.20588537639540005</v>
      </c>
      <c r="U173" s="52">
        <v>2.3472284118600004E-2</v>
      </c>
      <c r="V173" s="52">
        <v>6.0515928570560007</v>
      </c>
      <c r="W173" s="52">
        <v>0.1307750831676</v>
      </c>
      <c r="X173" s="52">
        <v>535.92296399565896</v>
      </c>
      <c r="Y173" s="52">
        <v>2.0800316694400009E-2</v>
      </c>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v>4.1844821066910001</v>
      </c>
      <c r="AV173" s="52"/>
      <c r="AW173" s="52"/>
      <c r="AX173" s="52">
        <v>231.69305034644901</v>
      </c>
      <c r="AY173" s="52"/>
      <c r="AZ173" s="52"/>
      <c r="BA173" s="52"/>
      <c r="BB173" s="52">
        <v>4.2908625141899998E-2</v>
      </c>
      <c r="BC173" s="52">
        <v>1.3900675574579998E-4</v>
      </c>
      <c r="BD173" s="52">
        <v>4.1705277317539995</v>
      </c>
      <c r="BE173" s="52">
        <v>1.4404183863400003E-3</v>
      </c>
      <c r="BF173" s="52"/>
      <c r="BG173" s="52"/>
      <c r="BH173" s="52"/>
      <c r="BI173" s="52"/>
      <c r="BJ173" s="52"/>
      <c r="BK173" s="78">
        <v>0</v>
      </c>
      <c r="BL173" s="41" t="s">
        <v>109</v>
      </c>
      <c r="BM173" s="45"/>
    </row>
    <row r="174" spans="1:65" x14ac:dyDescent="0.35">
      <c r="A174" s="41" t="str">
        <f>Database_Productkaarten[[#This Row],[Product]]&amp;", "&amp;Database_Productkaarten[[#This Row],[Levensfase]]</f>
        <v>SMA 8-11 - PCR 1.0, A3</v>
      </c>
      <c r="B174" s="41" t="s">
        <v>1349</v>
      </c>
      <c r="C174" s="41" t="s">
        <v>443</v>
      </c>
      <c r="D174" s="41" t="s">
        <v>472</v>
      </c>
      <c r="E174" s="41" t="s">
        <v>91</v>
      </c>
      <c r="F174" s="41" t="s">
        <v>21</v>
      </c>
      <c r="L174" s="41">
        <v>2.35</v>
      </c>
      <c r="M174" s="53">
        <v>1.6535537506540927</v>
      </c>
      <c r="N174" s="41">
        <v>16</v>
      </c>
      <c r="O174" s="52">
        <v>5.2713531167084548E-6</v>
      </c>
      <c r="P174" s="52">
        <v>0.19207865336915458</v>
      </c>
      <c r="Q174" s="52">
        <v>22.669455609947878</v>
      </c>
      <c r="R174" s="52">
        <v>2.5506295190080962E-6</v>
      </c>
      <c r="S174" s="52">
        <v>3.6927587031904642E-3</v>
      </c>
      <c r="T174" s="52">
        <v>2.6185219957496675E-2</v>
      </c>
      <c r="U174" s="52">
        <v>4.8609564714452522E-3</v>
      </c>
      <c r="V174" s="52">
        <v>3.5625618886590238</v>
      </c>
      <c r="W174" s="52">
        <v>2.5530337415448572E-2</v>
      </c>
      <c r="X174" s="52">
        <v>104.00297466151824</v>
      </c>
      <c r="Y174" s="52">
        <v>2.6652329923810936E-2</v>
      </c>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v>7.6727774558279922</v>
      </c>
      <c r="AV174" s="52"/>
      <c r="AW174" s="52"/>
      <c r="AX174" s="52">
        <v>392.03275105654564</v>
      </c>
      <c r="AY174" s="52"/>
      <c r="AZ174" s="52"/>
      <c r="BA174" s="52"/>
      <c r="BB174" s="52">
        <v>5.1312985347488176E-2</v>
      </c>
      <c r="BC174" s="52">
        <v>5.4391746066704031E-4</v>
      </c>
      <c r="BD174" s="52">
        <v>0.27772677342255825</v>
      </c>
      <c r="BE174" s="52">
        <v>3.8469637044231497E-4</v>
      </c>
      <c r="BF174" s="52"/>
      <c r="BG174" s="52"/>
      <c r="BH174" s="52"/>
      <c r="BI174" s="52"/>
      <c r="BJ174" s="52"/>
      <c r="BK174" s="78">
        <v>0</v>
      </c>
      <c r="BL174" s="41" t="s">
        <v>109</v>
      </c>
      <c r="BM174" s="45"/>
    </row>
    <row r="175" spans="1:65" x14ac:dyDescent="0.35">
      <c r="A175" s="41" t="str">
        <f>Database_Productkaarten[[#This Row],[Product]]&amp;", "&amp;Database_Productkaarten[[#This Row],[Levensfase]]</f>
        <v>SMA 8-11 - PCR 1.0, A4</v>
      </c>
      <c r="B175" s="41" t="s">
        <v>1349</v>
      </c>
      <c r="C175" s="41" t="s">
        <v>443</v>
      </c>
      <c r="D175" s="41" t="s">
        <v>472</v>
      </c>
      <c r="E175" s="41" t="s">
        <v>91</v>
      </c>
      <c r="F175" s="41" t="s">
        <v>22</v>
      </c>
      <c r="L175" s="41">
        <v>2.35</v>
      </c>
      <c r="M175" s="53">
        <v>0.62892669999999995</v>
      </c>
      <c r="N175" s="41">
        <v>16</v>
      </c>
      <c r="O175" s="52">
        <v>1.0978337000000001E-5</v>
      </c>
      <c r="P175" s="52">
        <v>4.3183727999999998E-2</v>
      </c>
      <c r="Q175" s="52">
        <v>5.7021305</v>
      </c>
      <c r="R175" s="52">
        <v>1.1335356E-6</v>
      </c>
      <c r="S175" s="52">
        <v>3.5752850000000001E-3</v>
      </c>
      <c r="T175" s="52">
        <v>1.9151161E-2</v>
      </c>
      <c r="U175" s="52">
        <v>3.8023555000000001E-3</v>
      </c>
      <c r="V175" s="52">
        <v>2.0049337999999999</v>
      </c>
      <c r="W175" s="52">
        <v>0.12926487</v>
      </c>
      <c r="X175" s="52">
        <v>338.63108999999997</v>
      </c>
      <c r="Y175" s="52">
        <v>1.1891815999999999E-2</v>
      </c>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v>0</v>
      </c>
      <c r="AV175" s="52"/>
      <c r="AW175" s="52"/>
      <c r="AX175" s="52">
        <v>0</v>
      </c>
      <c r="AY175" s="52"/>
      <c r="AZ175" s="52"/>
      <c r="BA175" s="52"/>
      <c r="BB175" s="52">
        <v>0</v>
      </c>
      <c r="BC175" s="52">
        <v>0</v>
      </c>
      <c r="BD175" s="52">
        <v>0</v>
      </c>
      <c r="BE175" s="52">
        <v>0</v>
      </c>
      <c r="BF175" s="52"/>
      <c r="BG175" s="52"/>
      <c r="BH175" s="52"/>
      <c r="BI175" s="52"/>
      <c r="BJ175" s="52"/>
      <c r="BK175" s="78">
        <v>0</v>
      </c>
      <c r="BL175" s="41" t="s">
        <v>109</v>
      </c>
      <c r="BM175" s="45"/>
    </row>
    <row r="176" spans="1:65" x14ac:dyDescent="0.35">
      <c r="A176" s="41" t="str">
        <f>Database_Productkaarten[[#This Row],[Product]]&amp;", "&amp;Database_Productkaarten[[#This Row],[Levensfase]]</f>
        <v>SMA 8-11 - PCR 1.0, A5</v>
      </c>
      <c r="B176" s="41" t="s">
        <v>1349</v>
      </c>
      <c r="C176" s="41" t="s">
        <v>443</v>
      </c>
      <c r="D176" s="41" t="s">
        <v>472</v>
      </c>
      <c r="E176" s="41" t="s">
        <v>91</v>
      </c>
      <c r="F176" s="41" t="s">
        <v>23</v>
      </c>
      <c r="L176" s="41">
        <v>2.35</v>
      </c>
      <c r="M176" s="53">
        <v>0.26142994000000003</v>
      </c>
      <c r="N176" s="41">
        <v>16</v>
      </c>
      <c r="O176" s="52">
        <v>6.4405276999999999E-7</v>
      </c>
      <c r="P176" s="52">
        <v>1.3221688000000001E-2</v>
      </c>
      <c r="Q176" s="52">
        <v>2.554217</v>
      </c>
      <c r="R176" s="52">
        <v>3.4623921999999999E-7</v>
      </c>
      <c r="S176" s="52">
        <v>9.5560771999999997E-4</v>
      </c>
      <c r="T176" s="52">
        <v>1.0774331999999999E-2</v>
      </c>
      <c r="U176" s="52">
        <v>2.4326081999999998E-3</v>
      </c>
      <c r="V176" s="52">
        <v>0.67890231999999995</v>
      </c>
      <c r="W176" s="52">
        <v>9.5891563000000003E-3</v>
      </c>
      <c r="X176" s="52">
        <v>32.339298999999997</v>
      </c>
      <c r="Y176" s="52">
        <v>1.1383995E-3</v>
      </c>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v>0.16170355</v>
      </c>
      <c r="AV176" s="52"/>
      <c r="AW176" s="52"/>
      <c r="AX176" s="52">
        <v>29.640834999999999</v>
      </c>
      <c r="AY176" s="52"/>
      <c r="AZ176" s="52"/>
      <c r="BA176" s="52"/>
      <c r="BB176" s="52">
        <v>3.6528305999999999E-3</v>
      </c>
      <c r="BC176" s="52">
        <v>1.2448785000000001E-5</v>
      </c>
      <c r="BD176" s="52">
        <v>2.9724645000000001E-2</v>
      </c>
      <c r="BE176" s="52">
        <v>1.9389087E-4</v>
      </c>
      <c r="BF176" s="52"/>
      <c r="BG176" s="52"/>
      <c r="BH176" s="52"/>
      <c r="BI176" s="52"/>
      <c r="BJ176" s="52"/>
      <c r="BK176" s="78">
        <v>0</v>
      </c>
      <c r="BL176" s="41" t="s">
        <v>109</v>
      </c>
      <c r="BM176" s="45"/>
    </row>
    <row r="177" spans="1:65" x14ac:dyDescent="0.35">
      <c r="A177" s="41" t="str">
        <f>Database_Productkaarten[[#This Row],[Product]]&amp;", "&amp;Database_Productkaarten[[#This Row],[Levensfase]]</f>
        <v>SMA 8-11 - PCR 1.0, B1</v>
      </c>
      <c r="B177" s="41" t="s">
        <v>1349</v>
      </c>
      <c r="C177" s="41" t="s">
        <v>443</v>
      </c>
      <c r="D177" s="41" t="s">
        <v>472</v>
      </c>
      <c r="E177" s="41" t="s">
        <v>91</v>
      </c>
      <c r="F177" s="41" t="s">
        <v>24</v>
      </c>
      <c r="L177" s="41">
        <v>2.35</v>
      </c>
      <c r="M177" s="53">
        <v>0.11825487</v>
      </c>
      <c r="N177" s="41">
        <v>16</v>
      </c>
      <c r="O177" s="52">
        <v>0</v>
      </c>
      <c r="P177" s="52">
        <v>0</v>
      </c>
      <c r="Q177" s="52">
        <v>0</v>
      </c>
      <c r="R177" s="52">
        <v>0</v>
      </c>
      <c r="S177" s="52">
        <v>0</v>
      </c>
      <c r="T177" s="52">
        <v>0</v>
      </c>
      <c r="U177" s="52">
        <v>0</v>
      </c>
      <c r="V177" s="52">
        <v>0.47637814000000001</v>
      </c>
      <c r="W177" s="52">
        <v>0.51070837000000002</v>
      </c>
      <c r="X177" s="52">
        <v>600.42147</v>
      </c>
      <c r="Y177" s="52">
        <v>2.9058966999999998E-4</v>
      </c>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v>0</v>
      </c>
      <c r="AV177" s="52"/>
      <c r="AW177" s="52"/>
      <c r="AX177" s="52">
        <v>0</v>
      </c>
      <c r="AY177" s="52"/>
      <c r="AZ177" s="52"/>
      <c r="BA177" s="52"/>
      <c r="BB177" s="52">
        <v>0</v>
      </c>
      <c r="BC177" s="52">
        <v>0</v>
      </c>
      <c r="BD177" s="52">
        <v>0</v>
      </c>
      <c r="BE177" s="52">
        <v>0</v>
      </c>
      <c r="BF177" s="52"/>
      <c r="BG177" s="52"/>
      <c r="BH177" s="52"/>
      <c r="BI177" s="52"/>
      <c r="BJ177" s="52"/>
      <c r="BK177" s="78">
        <v>0</v>
      </c>
      <c r="BL177" s="41" t="s">
        <v>109</v>
      </c>
      <c r="BM177" s="45"/>
    </row>
    <row r="178" spans="1:65" x14ac:dyDescent="0.35">
      <c r="A178" s="41" t="str">
        <f>Database_Productkaarten[[#This Row],[Product]]&amp;", "&amp;Database_Productkaarten[[#This Row],[Levensfase]]</f>
        <v>SMA 8-11 - PCR 1.0, C1</v>
      </c>
      <c r="B178" s="41" t="s">
        <v>1349</v>
      </c>
      <c r="C178" s="41" t="s">
        <v>443</v>
      </c>
      <c r="D178" s="41" t="s">
        <v>472</v>
      </c>
      <c r="E178" s="41" t="s">
        <v>91</v>
      </c>
      <c r="F178" s="41" t="s">
        <v>25</v>
      </c>
      <c r="L178" s="41">
        <v>2.35</v>
      </c>
      <c r="M178" s="53">
        <v>0.13639726999999999</v>
      </c>
      <c r="N178" s="41">
        <v>16</v>
      </c>
      <c r="O178" s="52">
        <v>3.6644380999999999E-7</v>
      </c>
      <c r="P178" s="52">
        <v>7.5226846000000002E-3</v>
      </c>
      <c r="Q178" s="52">
        <v>1.4532613999999999</v>
      </c>
      <c r="R178" s="52">
        <v>1.9699817000000001E-7</v>
      </c>
      <c r="S178" s="52">
        <v>4.8171299999999999E-4</v>
      </c>
      <c r="T178" s="52">
        <v>4.2661764999999997E-3</v>
      </c>
      <c r="U178" s="52">
        <v>8.9941806E-4</v>
      </c>
      <c r="V178" s="52">
        <v>0.38176861000000001</v>
      </c>
      <c r="W178" s="52">
        <v>5.4558992000000002E-3</v>
      </c>
      <c r="X178" s="52">
        <v>18.399946</v>
      </c>
      <c r="Y178" s="52">
        <v>6.4771006999999995E-4</v>
      </c>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v>9.2003741E-2</v>
      </c>
      <c r="AV178" s="52"/>
      <c r="AW178" s="52"/>
      <c r="AX178" s="52">
        <v>16.864612999999999</v>
      </c>
      <c r="AY178" s="52"/>
      <c r="AZ178" s="52"/>
      <c r="BA178" s="52"/>
      <c r="BB178" s="52">
        <v>2.0783346E-3</v>
      </c>
      <c r="BC178" s="52">
        <v>7.0829294000000003E-6</v>
      </c>
      <c r="BD178" s="52">
        <v>1.6912297999999999E-2</v>
      </c>
      <c r="BE178" s="52">
        <v>1.1031722E-4</v>
      </c>
      <c r="BF178" s="52"/>
      <c r="BG178" s="52"/>
      <c r="BH178" s="52"/>
      <c r="BI178" s="52"/>
      <c r="BJ178" s="52"/>
      <c r="BK178" s="78">
        <v>0</v>
      </c>
      <c r="BL178" s="41" t="s">
        <v>109</v>
      </c>
      <c r="BM178" s="45"/>
    </row>
    <row r="179" spans="1:65" x14ac:dyDescent="0.35">
      <c r="A179" s="41" t="str">
        <f>Database_Productkaarten[[#This Row],[Product]]&amp;", "&amp;Database_Productkaarten[[#This Row],[Levensfase]]</f>
        <v>SMA 8-11 - PCR 1.0, C2</v>
      </c>
      <c r="B179" s="41" t="s">
        <v>1349</v>
      </c>
      <c r="C179" s="41" t="s">
        <v>443</v>
      </c>
      <c r="D179" s="41" t="s">
        <v>472</v>
      </c>
      <c r="E179" s="41" t="s">
        <v>91</v>
      </c>
      <c r="F179" s="41" t="s">
        <v>26</v>
      </c>
      <c r="L179" s="41">
        <v>2.35</v>
      </c>
      <c r="M179" s="53">
        <v>0.62892669999999995</v>
      </c>
      <c r="N179" s="41">
        <v>16</v>
      </c>
      <c r="O179" s="52">
        <v>1.0978337000000001E-5</v>
      </c>
      <c r="P179" s="52">
        <v>4.3183727999999998E-2</v>
      </c>
      <c r="Q179" s="52">
        <v>5.7021305</v>
      </c>
      <c r="R179" s="52">
        <v>1.1335356E-6</v>
      </c>
      <c r="S179" s="52">
        <v>3.5752850000000001E-3</v>
      </c>
      <c r="T179" s="52">
        <v>1.9151161E-2</v>
      </c>
      <c r="U179" s="52">
        <v>3.8023555000000001E-3</v>
      </c>
      <c r="V179" s="52">
        <v>2.0049337999999999</v>
      </c>
      <c r="W179" s="52">
        <v>0.12926487</v>
      </c>
      <c r="X179" s="52">
        <v>338.63108999999997</v>
      </c>
      <c r="Y179" s="52">
        <v>1.1891815999999999E-2</v>
      </c>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v>0</v>
      </c>
      <c r="AV179" s="52"/>
      <c r="AW179" s="52"/>
      <c r="AX179" s="52">
        <v>0</v>
      </c>
      <c r="AY179" s="52"/>
      <c r="AZ179" s="52"/>
      <c r="BA179" s="52"/>
      <c r="BB179" s="52">
        <v>0</v>
      </c>
      <c r="BC179" s="52">
        <v>0</v>
      </c>
      <c r="BD179" s="52">
        <v>0</v>
      </c>
      <c r="BE179" s="52">
        <v>0</v>
      </c>
      <c r="BF179" s="52"/>
      <c r="BG179" s="52"/>
      <c r="BH179" s="52"/>
      <c r="BI179" s="52"/>
      <c r="BJ179" s="52"/>
      <c r="BK179" s="78">
        <v>0</v>
      </c>
      <c r="BL179" s="41" t="s">
        <v>109</v>
      </c>
      <c r="BM179" s="45"/>
    </row>
    <row r="180" spans="1:65" x14ac:dyDescent="0.35">
      <c r="A180" s="41" t="str">
        <f>Database_Productkaarten[[#This Row],[Product]]&amp;", "&amp;Database_Productkaarten[[#This Row],[Levensfase]]</f>
        <v>SMA 8-11 - PCR 1.0, C3</v>
      </c>
      <c r="B180" s="41" t="s">
        <v>1349</v>
      </c>
      <c r="C180" s="41" t="s">
        <v>443</v>
      </c>
      <c r="D180" s="41" t="s">
        <v>472</v>
      </c>
      <c r="E180" s="41" t="s">
        <v>91</v>
      </c>
      <c r="F180" s="41" t="s">
        <v>27</v>
      </c>
      <c r="L180" s="41">
        <v>2.35</v>
      </c>
      <c r="M180" s="53">
        <v>0.16120214999999999</v>
      </c>
      <c r="N180" s="41">
        <v>16</v>
      </c>
      <c r="O180" s="52">
        <v>4.1291555000000003E-7</v>
      </c>
      <c r="P180" s="52">
        <v>8.4766977000000007E-3</v>
      </c>
      <c r="Q180" s="52">
        <v>1.6375614000000001</v>
      </c>
      <c r="R180" s="52">
        <v>2.2198113E-7</v>
      </c>
      <c r="S180" s="52">
        <v>5.9777666999999998E-4</v>
      </c>
      <c r="T180" s="52">
        <v>5.9352911999999997E-3</v>
      </c>
      <c r="U180" s="52">
        <v>1.3067828999999999E-3</v>
      </c>
      <c r="V180" s="52">
        <v>0.43290835999999999</v>
      </c>
      <c r="W180" s="52">
        <v>6.1478065000000002E-3</v>
      </c>
      <c r="X180" s="52">
        <v>20.733394000000001</v>
      </c>
      <c r="Y180" s="52">
        <v>7.2985148000000004E-4</v>
      </c>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v>0.10367149000000001</v>
      </c>
      <c r="AV180" s="52"/>
      <c r="AW180" s="52"/>
      <c r="AX180" s="52">
        <v>19.003353000000001</v>
      </c>
      <c r="AY180" s="52"/>
      <c r="AZ180" s="52"/>
      <c r="BA180" s="52"/>
      <c r="BB180" s="52">
        <v>2.3419052000000001E-3</v>
      </c>
      <c r="BC180" s="52">
        <v>7.9811735999999999E-6</v>
      </c>
      <c r="BD180" s="52">
        <v>1.9057085000000001E-2</v>
      </c>
      <c r="BE180" s="52">
        <v>1.2430745000000001E-4</v>
      </c>
      <c r="BF180" s="52"/>
      <c r="BG180" s="52"/>
      <c r="BH180" s="52"/>
      <c r="BI180" s="52"/>
      <c r="BJ180" s="52"/>
      <c r="BK180" s="78">
        <v>0</v>
      </c>
      <c r="BL180" s="41" t="s">
        <v>109</v>
      </c>
      <c r="BM180" s="45"/>
    </row>
    <row r="181" spans="1:65" x14ac:dyDescent="0.35">
      <c r="A181" s="41" t="str">
        <f>Database_Productkaarten[[#This Row],[Product]]&amp;", "&amp;Database_Productkaarten[[#This Row],[Levensfase]]</f>
        <v>SMA 8-11 - PCR 1.0, D1</v>
      </c>
      <c r="B181" s="41" t="s">
        <v>1349</v>
      </c>
      <c r="C181" s="41" t="s">
        <v>443</v>
      </c>
      <c r="D181" s="41" t="s">
        <v>472</v>
      </c>
      <c r="E181" s="41" t="s">
        <v>91</v>
      </c>
      <c r="F181" s="41" t="s">
        <v>51</v>
      </c>
      <c r="L181" s="41">
        <v>2.35</v>
      </c>
      <c r="M181" s="53">
        <v>-4.3817123265254798</v>
      </c>
      <c r="N181" s="41">
        <v>16</v>
      </c>
      <c r="O181" s="52">
        <v>-5.1048255323199997E-5</v>
      </c>
      <c r="P181" s="52">
        <v>-0.80617084251509985</v>
      </c>
      <c r="Q181" s="52">
        <v>-32.122321411378074</v>
      </c>
      <c r="R181" s="52">
        <v>-2.69695287011E-6</v>
      </c>
      <c r="S181" s="52">
        <v>-8.692507497639998E-2</v>
      </c>
      <c r="T181" s="52">
        <v>-0.23261877696141997</v>
      </c>
      <c r="U181" s="52">
        <v>-2.1201775043519999E-2</v>
      </c>
      <c r="V181" s="52">
        <v>-8.353246859814039</v>
      </c>
      <c r="W181" s="52">
        <v>-1.2609720491412999</v>
      </c>
      <c r="X181" s="52">
        <v>-5520.6604356928601</v>
      </c>
      <c r="Y181" s="52">
        <v>-0.16143045076449999</v>
      </c>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v>-11.83821820720188</v>
      </c>
      <c r="AV181" s="52"/>
      <c r="AW181" s="52"/>
      <c r="AX181" s="52">
        <v>-1823.6523511269206</v>
      </c>
      <c r="AY181" s="52"/>
      <c r="AZ181" s="52"/>
      <c r="BA181" s="52"/>
      <c r="BB181" s="52">
        <v>-19.440585285810016</v>
      </c>
      <c r="BC181" s="52">
        <v>-6.2314055375699989E-4</v>
      </c>
      <c r="BD181" s="52">
        <v>-1.79768618192736</v>
      </c>
      <c r="BE181" s="52">
        <v>-7.1383789006200006E-4</v>
      </c>
      <c r="BF181" s="52"/>
      <c r="BG181" s="52"/>
      <c r="BH181" s="52"/>
      <c r="BI181" s="52"/>
      <c r="BJ181" s="52"/>
      <c r="BK181" s="78">
        <v>0</v>
      </c>
      <c r="BL181" s="41" t="s">
        <v>109</v>
      </c>
      <c r="BM181" s="45"/>
    </row>
    <row r="182" spans="1:65" x14ac:dyDescent="0.35">
      <c r="A182" s="41" t="str">
        <f>Database_Productkaarten[[#This Row],[Product]]&amp;", "&amp;Database_Productkaarten[[#This Row],[Levensfase]]</f>
        <v>SMA 8-11 - PCR 1.0, D2</v>
      </c>
      <c r="B182" s="41" t="s">
        <v>1349</v>
      </c>
      <c r="C182" s="41" t="s">
        <v>443</v>
      </c>
      <c r="D182" s="41" t="s">
        <v>472</v>
      </c>
      <c r="E182" s="41" t="s">
        <v>91</v>
      </c>
      <c r="F182" s="41" t="s">
        <v>52</v>
      </c>
      <c r="L182" s="41">
        <v>2.35</v>
      </c>
      <c r="M182" s="53">
        <v>-1.4738686768053453</v>
      </c>
      <c r="N182" s="41">
        <v>16</v>
      </c>
      <c r="O182" s="52">
        <v>-8.5779006337041975E-6</v>
      </c>
      <c r="P182" s="52">
        <v>-6.2223378785220052E-2</v>
      </c>
      <c r="Q182" s="52">
        <v>-8.9215564642953851</v>
      </c>
      <c r="R182" s="52">
        <v>-1.4744683458342524E-6</v>
      </c>
      <c r="S182" s="52">
        <v>-7.7949216631412925E-3</v>
      </c>
      <c r="T182" s="52">
        <v>-0.12756687523500299</v>
      </c>
      <c r="U182" s="52">
        <v>-1.4134253957177394E-2</v>
      </c>
      <c r="V182" s="52">
        <v>-3.6589840581751845</v>
      </c>
      <c r="W182" s="52">
        <v>-7.7850861086559683E-2</v>
      </c>
      <c r="X182" s="52">
        <v>-323.29842641699315</v>
      </c>
      <c r="Y182" s="52">
        <v>-1.2445008963296932E-2</v>
      </c>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v>-2.5150873038174693</v>
      </c>
      <c r="AV182" s="52"/>
      <c r="AW182" s="52"/>
      <c r="AX182" s="52">
        <v>-137.8798618914945</v>
      </c>
      <c r="AY182" s="52"/>
      <c r="AZ182" s="52"/>
      <c r="BA182" s="52"/>
      <c r="BB182" s="52">
        <v>-2.5309204118872251E-2</v>
      </c>
      <c r="BC182" s="52">
        <v>-8.206404315825989E-5</v>
      </c>
      <c r="BD182" s="52">
        <v>-2.3700396175182457</v>
      </c>
      <c r="BE182" s="52">
        <v>-8.5658851717812685E-4</v>
      </c>
      <c r="BF182" s="52"/>
      <c r="BG182" s="52"/>
      <c r="BH182" s="52"/>
      <c r="BI182" s="52"/>
      <c r="BJ182" s="52"/>
      <c r="BK182" s="78">
        <v>0</v>
      </c>
      <c r="BL182" s="41" t="s">
        <v>109</v>
      </c>
      <c r="BM182" s="45"/>
    </row>
    <row r="183" spans="1:65" x14ac:dyDescent="0.35">
      <c r="A183" s="41" t="str">
        <f>Database_Productkaarten[[#This Row],[Product]]&amp;", "&amp;Database_Productkaarten[[#This Row],[Levensfase]]</f>
        <v>SMA G.R. (obv 8G+) - PCR 1.0, Totaal</v>
      </c>
      <c r="B183" s="41" t="s">
        <v>1350</v>
      </c>
      <c r="C183" s="41" t="s">
        <v>443</v>
      </c>
      <c r="D183" s="41" t="s">
        <v>472</v>
      </c>
      <c r="E183" s="41" t="s">
        <v>91</v>
      </c>
      <c r="F183" s="41" t="s">
        <v>16</v>
      </c>
      <c r="L183" s="41">
        <v>2.2000000000000002</v>
      </c>
      <c r="M183" s="53">
        <v>10.432793680931818</v>
      </c>
      <c r="N183" s="41">
        <v>16</v>
      </c>
      <c r="O183" s="52">
        <v>6.4427003936488251E-4</v>
      </c>
      <c r="P183" s="52">
        <v>1.232903403859978</v>
      </c>
      <c r="Q183" s="52">
        <v>91.889782795742818</v>
      </c>
      <c r="R183" s="52">
        <v>1.2499897338092048E-5</v>
      </c>
      <c r="S183" s="52">
        <v>0.10661384097932003</v>
      </c>
      <c r="T183" s="52">
        <v>0.43643412209392551</v>
      </c>
      <c r="U183" s="52">
        <v>5.5596492104092565E-2</v>
      </c>
      <c r="V183" s="52">
        <v>27.198867739573537</v>
      </c>
      <c r="W183" s="52">
        <v>2.0906013747325036</v>
      </c>
      <c r="X183" s="52">
        <v>6571.1697177128972</v>
      </c>
      <c r="Y183" s="52">
        <v>0.22490725424711425</v>
      </c>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v>49.270460155112623</v>
      </c>
      <c r="AV183" s="52"/>
      <c r="AW183" s="52"/>
      <c r="AX183" s="52">
        <v>2532.3240436066981</v>
      </c>
      <c r="AY183" s="52"/>
      <c r="AZ183" s="52"/>
      <c r="BA183" s="52"/>
      <c r="BB183" s="52">
        <v>14.896166299077763</v>
      </c>
      <c r="BC183" s="52">
        <v>1.4451559956522135E-3</v>
      </c>
      <c r="BD183" s="52">
        <v>6.3637507358091039</v>
      </c>
      <c r="BE183" s="52">
        <v>4.2422412525610249E-3</v>
      </c>
      <c r="BF183" s="52"/>
      <c r="BG183" s="52"/>
      <c r="BH183" s="52"/>
      <c r="BI183" s="52"/>
      <c r="BJ183" s="52"/>
      <c r="BK183" s="78">
        <v>0</v>
      </c>
      <c r="BL183" s="41" t="s">
        <v>109</v>
      </c>
      <c r="BM183" s="45"/>
    </row>
    <row r="184" spans="1:65" x14ac:dyDescent="0.35">
      <c r="A184" s="41" t="str">
        <f>Database_Productkaarten[[#This Row],[Product]]&amp;", "&amp;Database_Productkaarten[[#This Row],[Levensfase]]</f>
        <v>SMA G.R. (obv 8G+) - PCR 1.0, A1</v>
      </c>
      <c r="B184" s="41" t="s">
        <v>1350</v>
      </c>
      <c r="C184" s="41" t="s">
        <v>443</v>
      </c>
      <c r="D184" s="41" t="s">
        <v>472</v>
      </c>
      <c r="E184" s="41" t="s">
        <v>91</v>
      </c>
      <c r="F184" s="41" t="s">
        <v>19</v>
      </c>
      <c r="L184" s="41">
        <v>2.2000000000000002</v>
      </c>
      <c r="M184" s="53">
        <v>10.3700343758</v>
      </c>
      <c r="N184" s="41">
        <v>16</v>
      </c>
      <c r="O184" s="52">
        <v>6.6315108991999989E-4</v>
      </c>
      <c r="P184" s="52">
        <v>1.6985286338599999</v>
      </c>
      <c r="Q184" s="52">
        <v>79.838342039299988</v>
      </c>
      <c r="R184" s="52">
        <v>8.8305399659999999E-6</v>
      </c>
      <c r="S184" s="52">
        <v>0.17583850622399999</v>
      </c>
      <c r="T184" s="52">
        <v>0.50827263689999991</v>
      </c>
      <c r="U184" s="52">
        <v>5.1742649919999995E-2</v>
      </c>
      <c r="V184" s="52">
        <v>23.730408154599999</v>
      </c>
      <c r="W184" s="52">
        <v>2.38124639772</v>
      </c>
      <c r="X184" s="52">
        <v>10288.5379077284</v>
      </c>
      <c r="Y184" s="52">
        <v>0.32508025977999994</v>
      </c>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v>51.936655621399993</v>
      </c>
      <c r="AV184" s="52"/>
      <c r="AW184" s="52"/>
      <c r="AX184" s="52">
        <v>3824.2176724804999</v>
      </c>
      <c r="AY184" s="52"/>
      <c r="AZ184" s="52"/>
      <c r="BA184" s="52"/>
      <c r="BB184" s="52">
        <v>34.115436209740004</v>
      </c>
      <c r="BC184" s="52">
        <v>1.4625654041999999E-3</v>
      </c>
      <c r="BD184" s="52">
        <v>6.0551902441999994</v>
      </c>
      <c r="BE184" s="52">
        <v>3.6305201772000003E-3</v>
      </c>
      <c r="BF184" s="52"/>
      <c r="BG184" s="52"/>
      <c r="BH184" s="52"/>
      <c r="BI184" s="52"/>
      <c r="BJ184" s="52"/>
      <c r="BK184" s="78">
        <v>0</v>
      </c>
      <c r="BL184" s="41" t="s">
        <v>109</v>
      </c>
      <c r="BM184" s="45"/>
    </row>
    <row r="185" spans="1:65" x14ac:dyDescent="0.35">
      <c r="A185" s="41" t="str">
        <f>Database_Productkaarten[[#This Row],[Product]]&amp;", "&amp;Database_Productkaarten[[#This Row],[Levensfase]]</f>
        <v>SMA G.R. (obv 8G+) - PCR 1.0, A2</v>
      </c>
      <c r="B185" s="41" t="s">
        <v>1350</v>
      </c>
      <c r="C185" s="41" t="s">
        <v>443</v>
      </c>
      <c r="D185" s="41" t="s">
        <v>472</v>
      </c>
      <c r="E185" s="41" t="s">
        <v>91</v>
      </c>
      <c r="F185" s="41" t="s">
        <v>20</v>
      </c>
      <c r="L185" s="41">
        <v>2.2000000000000002</v>
      </c>
      <c r="M185" s="53">
        <v>2.5624490679359999</v>
      </c>
      <c r="N185" s="41">
        <v>16</v>
      </c>
      <c r="O185" s="52">
        <v>1.7131727248631998E-5</v>
      </c>
      <c r="P185" s="52">
        <v>0.11037444608012999</v>
      </c>
      <c r="Q185" s="52">
        <v>15.733592845169401</v>
      </c>
      <c r="R185" s="52">
        <v>2.6250525205770003E-6</v>
      </c>
      <c r="S185" s="52">
        <v>1.3523131308720002E-2</v>
      </c>
      <c r="T185" s="52">
        <v>0.21636317140373998</v>
      </c>
      <c r="U185" s="52">
        <v>2.4192203915700004E-2</v>
      </c>
      <c r="V185" s="52">
        <v>6.4909721938404008</v>
      </c>
      <c r="W185" s="52">
        <v>0.14114137106124</v>
      </c>
      <c r="X185" s="52">
        <v>580.49984155764048</v>
      </c>
      <c r="Y185" s="52">
        <v>2.2018104783870004E-2</v>
      </c>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v>4.3116458104494004</v>
      </c>
      <c r="AV185" s="52"/>
      <c r="AW185" s="52"/>
      <c r="AX185" s="52">
        <v>244.59691782380165</v>
      </c>
      <c r="AY185" s="52"/>
      <c r="AZ185" s="52"/>
      <c r="BA185" s="52"/>
      <c r="BB185" s="52">
        <v>4.4279274271950005E-2</v>
      </c>
      <c r="BC185" s="52">
        <v>1.4522031627912E-4</v>
      </c>
      <c r="BD185" s="52">
        <v>4.9250731916136008</v>
      </c>
      <c r="BE185" s="52">
        <v>1.521544387515E-3</v>
      </c>
      <c r="BF185" s="52"/>
      <c r="BG185" s="52"/>
      <c r="BH185" s="52"/>
      <c r="BI185" s="52"/>
      <c r="BJ185" s="52"/>
      <c r="BK185" s="78">
        <v>0</v>
      </c>
      <c r="BL185" s="41" t="s">
        <v>109</v>
      </c>
      <c r="BM185" s="45"/>
    </row>
    <row r="186" spans="1:65" x14ac:dyDescent="0.35">
      <c r="A186" s="41" t="str">
        <f>Database_Productkaarten[[#This Row],[Product]]&amp;", "&amp;Database_Productkaarten[[#This Row],[Levensfase]]</f>
        <v>SMA G.R. (obv 8G+) - PCR 1.0, A3</v>
      </c>
      <c r="B186" s="41" t="s">
        <v>1350</v>
      </c>
      <c r="C186" s="41" t="s">
        <v>443</v>
      </c>
      <c r="D186" s="41" t="s">
        <v>472</v>
      </c>
      <c r="E186" s="41" t="s">
        <v>91</v>
      </c>
      <c r="F186" s="41" t="s">
        <v>21</v>
      </c>
      <c r="L186" s="41">
        <v>2.2000000000000002</v>
      </c>
      <c r="M186" s="53">
        <v>1.5837309869537761</v>
      </c>
      <c r="N186" s="41">
        <v>16</v>
      </c>
      <c r="O186" s="52">
        <v>5.1975126558394948E-6</v>
      </c>
      <c r="P186" s="52">
        <v>0.18202579689272577</v>
      </c>
      <c r="Q186" s="52">
        <v>21.522122922748579</v>
      </c>
      <c r="R186" s="52">
        <v>2.4071524144077642E-6</v>
      </c>
      <c r="S186" s="52">
        <v>3.5241755706742497E-3</v>
      </c>
      <c r="T186" s="52">
        <v>2.5389684756045579E-2</v>
      </c>
      <c r="U186" s="52">
        <v>4.7503303535054832E-3</v>
      </c>
      <c r="V186" s="52">
        <v>3.4958508808056821</v>
      </c>
      <c r="W186" s="52">
        <v>2.4855416600435845E-2</v>
      </c>
      <c r="X186" s="52">
        <v>101.13215288563174</v>
      </c>
      <c r="Y186" s="52">
        <v>2.6367508040988842E-2</v>
      </c>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v>7.5956455359717001</v>
      </c>
      <c r="AV186" s="52"/>
      <c r="AW186" s="52"/>
      <c r="AX186" s="52">
        <v>371.39792548971803</v>
      </c>
      <c r="AY186" s="52"/>
      <c r="AZ186" s="52"/>
      <c r="BA186" s="52"/>
      <c r="BB186" s="52">
        <v>5.092842411332861E-2</v>
      </c>
      <c r="BC186" s="52">
        <v>5.199891634292931E-4</v>
      </c>
      <c r="BD186" s="52">
        <v>0.27078469850048514</v>
      </c>
      <c r="BE186" s="52">
        <v>3.7246464322693887E-4</v>
      </c>
      <c r="BF186" s="52"/>
      <c r="BG186" s="52"/>
      <c r="BH186" s="52"/>
      <c r="BI186" s="52"/>
      <c r="BJ186" s="52"/>
      <c r="BK186" s="78">
        <v>0</v>
      </c>
      <c r="BL186" s="41" t="s">
        <v>109</v>
      </c>
      <c r="BM186" s="45"/>
    </row>
    <row r="187" spans="1:65" x14ac:dyDescent="0.35">
      <c r="A187" s="41" t="str">
        <f>Database_Productkaarten[[#This Row],[Product]]&amp;", "&amp;Database_Productkaarten[[#This Row],[Levensfase]]</f>
        <v>SMA G.R. (obv 8G+) - PCR 1.0, A4</v>
      </c>
      <c r="B187" s="41" t="s">
        <v>1350</v>
      </c>
      <c r="C187" s="41" t="s">
        <v>443</v>
      </c>
      <c r="D187" s="41" t="s">
        <v>472</v>
      </c>
      <c r="E187" s="41" t="s">
        <v>91</v>
      </c>
      <c r="F187" s="41" t="s">
        <v>22</v>
      </c>
      <c r="L187" s="41">
        <v>2.2000000000000002</v>
      </c>
      <c r="M187" s="53">
        <v>0.62892669999999995</v>
      </c>
      <c r="N187" s="41">
        <v>16</v>
      </c>
      <c r="O187" s="52">
        <v>1.0978337000000001E-5</v>
      </c>
      <c r="P187" s="52">
        <v>4.3183727999999998E-2</v>
      </c>
      <c r="Q187" s="52">
        <v>5.7021305</v>
      </c>
      <c r="R187" s="52">
        <v>1.1335356E-6</v>
      </c>
      <c r="S187" s="52">
        <v>3.5752850000000001E-3</v>
      </c>
      <c r="T187" s="52">
        <v>1.9151161E-2</v>
      </c>
      <c r="U187" s="52">
        <v>3.8023555000000001E-3</v>
      </c>
      <c r="V187" s="52">
        <v>2.0049337999999999</v>
      </c>
      <c r="W187" s="52">
        <v>0.12926487</v>
      </c>
      <c r="X187" s="52">
        <v>338.63108999999997</v>
      </c>
      <c r="Y187" s="52">
        <v>1.1891815999999999E-2</v>
      </c>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v>0</v>
      </c>
      <c r="AV187" s="52"/>
      <c r="AW187" s="52"/>
      <c r="AX187" s="52">
        <v>0</v>
      </c>
      <c r="AY187" s="52"/>
      <c r="AZ187" s="52"/>
      <c r="BA187" s="52"/>
      <c r="BB187" s="52">
        <v>0</v>
      </c>
      <c r="BC187" s="52">
        <v>0</v>
      </c>
      <c r="BD187" s="52">
        <v>0</v>
      </c>
      <c r="BE187" s="52">
        <v>0</v>
      </c>
      <c r="BF187" s="52"/>
      <c r="BG187" s="52"/>
      <c r="BH187" s="52"/>
      <c r="BI187" s="52"/>
      <c r="BJ187" s="52"/>
      <c r="BK187" s="78">
        <v>0</v>
      </c>
      <c r="BL187" s="41" t="s">
        <v>109</v>
      </c>
      <c r="BM187" s="45"/>
    </row>
    <row r="188" spans="1:65" x14ac:dyDescent="0.35">
      <c r="A188" s="41" t="str">
        <f>Database_Productkaarten[[#This Row],[Product]]&amp;", "&amp;Database_Productkaarten[[#This Row],[Levensfase]]</f>
        <v>SMA G.R. (obv 8G+) - PCR 1.0, A5</v>
      </c>
      <c r="B188" s="41" t="s">
        <v>1350</v>
      </c>
      <c r="C188" s="41" t="s">
        <v>443</v>
      </c>
      <c r="D188" s="41" t="s">
        <v>472</v>
      </c>
      <c r="E188" s="41" t="s">
        <v>91</v>
      </c>
      <c r="F188" s="41" t="s">
        <v>23</v>
      </c>
      <c r="L188" s="41">
        <v>2.2000000000000002</v>
      </c>
      <c r="M188" s="53">
        <v>0.26142994000000003</v>
      </c>
      <c r="N188" s="41">
        <v>16</v>
      </c>
      <c r="O188" s="52">
        <v>6.4405276999999999E-7</v>
      </c>
      <c r="P188" s="52">
        <v>1.3221688000000001E-2</v>
      </c>
      <c r="Q188" s="52">
        <v>2.554217</v>
      </c>
      <c r="R188" s="52">
        <v>3.4623921999999999E-7</v>
      </c>
      <c r="S188" s="52">
        <v>9.5560771999999997E-4</v>
      </c>
      <c r="T188" s="52">
        <v>1.0774331999999999E-2</v>
      </c>
      <c r="U188" s="52">
        <v>2.4326081999999998E-3</v>
      </c>
      <c r="V188" s="52">
        <v>0.67890231999999995</v>
      </c>
      <c r="W188" s="52">
        <v>9.5891563000000003E-3</v>
      </c>
      <c r="X188" s="52">
        <v>32.339298999999997</v>
      </c>
      <c r="Y188" s="52">
        <v>1.1383995E-3</v>
      </c>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v>0.16170355</v>
      </c>
      <c r="AV188" s="52"/>
      <c r="AW188" s="52"/>
      <c r="AX188" s="52">
        <v>29.640834999999999</v>
      </c>
      <c r="AY188" s="52"/>
      <c r="AZ188" s="52"/>
      <c r="BA188" s="52"/>
      <c r="BB188" s="52">
        <v>3.6528305999999999E-3</v>
      </c>
      <c r="BC188" s="52">
        <v>1.2448785000000001E-5</v>
      </c>
      <c r="BD188" s="52">
        <v>2.9724645000000001E-2</v>
      </c>
      <c r="BE188" s="52">
        <v>1.9389087E-4</v>
      </c>
      <c r="BF188" s="52"/>
      <c r="BG188" s="52"/>
      <c r="BH188" s="52"/>
      <c r="BI188" s="52"/>
      <c r="BJ188" s="52"/>
      <c r="BK188" s="78">
        <v>0</v>
      </c>
      <c r="BL188" s="41" t="s">
        <v>109</v>
      </c>
      <c r="BM188" s="45"/>
    </row>
    <row r="189" spans="1:65" x14ac:dyDescent="0.35">
      <c r="A189" s="41" t="str">
        <f>Database_Productkaarten[[#This Row],[Product]]&amp;", "&amp;Database_Productkaarten[[#This Row],[Levensfase]]</f>
        <v>SMA G.R. (obv 8G+) - PCR 1.0, B1</v>
      </c>
      <c r="B189" s="41" t="s">
        <v>1350</v>
      </c>
      <c r="C189" s="41" t="s">
        <v>443</v>
      </c>
      <c r="D189" s="41" t="s">
        <v>472</v>
      </c>
      <c r="E189" s="41" t="s">
        <v>91</v>
      </c>
      <c r="F189" s="41" t="s">
        <v>24</v>
      </c>
      <c r="L189" s="41">
        <v>2.2000000000000002</v>
      </c>
      <c r="M189" s="53">
        <v>0.14096322999999999</v>
      </c>
      <c r="N189" s="41">
        <v>16</v>
      </c>
      <c r="O189" s="52">
        <v>0</v>
      </c>
      <c r="P189" s="52">
        <v>0</v>
      </c>
      <c r="Q189" s="52">
        <v>0</v>
      </c>
      <c r="R189" s="52">
        <v>0</v>
      </c>
      <c r="S189" s="52">
        <v>0</v>
      </c>
      <c r="T189" s="52">
        <v>0</v>
      </c>
      <c r="U189" s="52">
        <v>0</v>
      </c>
      <c r="V189" s="52">
        <v>0.56785655999999995</v>
      </c>
      <c r="W189" s="52">
        <v>0.60877917999999998</v>
      </c>
      <c r="X189" s="52">
        <v>715.71979999999996</v>
      </c>
      <c r="Y189" s="52">
        <v>3.4639129999999998E-4</v>
      </c>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v>0</v>
      </c>
      <c r="AV189" s="52"/>
      <c r="AW189" s="52"/>
      <c r="AX189" s="52">
        <v>0</v>
      </c>
      <c r="AY189" s="52"/>
      <c r="AZ189" s="52"/>
      <c r="BA189" s="52"/>
      <c r="BB189" s="52">
        <v>0</v>
      </c>
      <c r="BC189" s="52">
        <v>0</v>
      </c>
      <c r="BD189" s="52">
        <v>0</v>
      </c>
      <c r="BE189" s="52">
        <v>0</v>
      </c>
      <c r="BF189" s="52"/>
      <c r="BG189" s="52"/>
      <c r="BH189" s="52"/>
      <c r="BI189" s="52"/>
      <c r="BJ189" s="52"/>
      <c r="BK189" s="78">
        <v>0</v>
      </c>
      <c r="BL189" s="41" t="s">
        <v>109</v>
      </c>
      <c r="BM189" s="45"/>
    </row>
    <row r="190" spans="1:65" x14ac:dyDescent="0.35">
      <c r="A190" s="41" t="str">
        <f>Database_Productkaarten[[#This Row],[Product]]&amp;", "&amp;Database_Productkaarten[[#This Row],[Levensfase]]</f>
        <v>SMA G.R. (obv 8G+) - PCR 1.0, C1</v>
      </c>
      <c r="B190" s="41" t="s">
        <v>1350</v>
      </c>
      <c r="C190" s="41" t="s">
        <v>443</v>
      </c>
      <c r="D190" s="41" t="s">
        <v>472</v>
      </c>
      <c r="E190" s="41" t="s">
        <v>91</v>
      </c>
      <c r="F190" s="41" t="s">
        <v>25</v>
      </c>
      <c r="L190" s="41">
        <v>2.2000000000000002</v>
      </c>
      <c r="M190" s="53">
        <v>0.13639726999999999</v>
      </c>
      <c r="N190" s="41">
        <v>16</v>
      </c>
      <c r="O190" s="52">
        <v>3.6644380999999999E-7</v>
      </c>
      <c r="P190" s="52">
        <v>7.5226846000000002E-3</v>
      </c>
      <c r="Q190" s="52">
        <v>1.4532613999999999</v>
      </c>
      <c r="R190" s="52">
        <v>1.9699817000000001E-7</v>
      </c>
      <c r="S190" s="52">
        <v>4.8171299999999999E-4</v>
      </c>
      <c r="T190" s="52">
        <v>4.2661764999999997E-3</v>
      </c>
      <c r="U190" s="52">
        <v>8.9941806E-4</v>
      </c>
      <c r="V190" s="52">
        <v>0.38176861000000001</v>
      </c>
      <c r="W190" s="52">
        <v>5.4558992000000002E-3</v>
      </c>
      <c r="X190" s="52">
        <v>18.399946</v>
      </c>
      <c r="Y190" s="52">
        <v>6.4771006999999995E-4</v>
      </c>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v>9.2003741E-2</v>
      </c>
      <c r="AV190" s="52"/>
      <c r="AW190" s="52"/>
      <c r="AX190" s="52">
        <v>16.864612999999999</v>
      </c>
      <c r="AY190" s="52"/>
      <c r="AZ190" s="52"/>
      <c r="BA190" s="52"/>
      <c r="BB190" s="52">
        <v>2.0783346E-3</v>
      </c>
      <c r="BC190" s="52">
        <v>7.0829294000000003E-6</v>
      </c>
      <c r="BD190" s="52">
        <v>1.6912297999999999E-2</v>
      </c>
      <c r="BE190" s="52">
        <v>1.1031722E-4</v>
      </c>
      <c r="BF190" s="52"/>
      <c r="BG190" s="52"/>
      <c r="BH190" s="52"/>
      <c r="BI190" s="52"/>
      <c r="BJ190" s="52"/>
      <c r="BK190" s="78">
        <v>0</v>
      </c>
      <c r="BL190" s="41" t="s">
        <v>109</v>
      </c>
      <c r="BM190" s="45"/>
    </row>
    <row r="191" spans="1:65" x14ac:dyDescent="0.35">
      <c r="A191" s="41" t="str">
        <f>Database_Productkaarten[[#This Row],[Product]]&amp;", "&amp;Database_Productkaarten[[#This Row],[Levensfase]]</f>
        <v>SMA G.R. (obv 8G+) - PCR 1.0, C2</v>
      </c>
      <c r="B191" s="41" t="s">
        <v>1350</v>
      </c>
      <c r="C191" s="41" t="s">
        <v>443</v>
      </c>
      <c r="D191" s="41" t="s">
        <v>472</v>
      </c>
      <c r="E191" s="41" t="s">
        <v>91</v>
      </c>
      <c r="F191" s="41" t="s">
        <v>26</v>
      </c>
      <c r="L191" s="41">
        <v>2.2000000000000002</v>
      </c>
      <c r="M191" s="53">
        <v>0.62892669999999995</v>
      </c>
      <c r="N191" s="41">
        <v>16</v>
      </c>
      <c r="O191" s="52">
        <v>1.0978337000000001E-5</v>
      </c>
      <c r="P191" s="52">
        <v>4.3183727999999998E-2</v>
      </c>
      <c r="Q191" s="52">
        <v>5.7021305</v>
      </c>
      <c r="R191" s="52">
        <v>1.1335356E-6</v>
      </c>
      <c r="S191" s="52">
        <v>3.5752850000000001E-3</v>
      </c>
      <c r="T191" s="52">
        <v>1.9151161E-2</v>
      </c>
      <c r="U191" s="52">
        <v>3.8023555000000001E-3</v>
      </c>
      <c r="V191" s="52">
        <v>2.0049337999999999</v>
      </c>
      <c r="W191" s="52">
        <v>0.12926487</v>
      </c>
      <c r="X191" s="52">
        <v>338.63108999999997</v>
      </c>
      <c r="Y191" s="52">
        <v>1.1891815999999999E-2</v>
      </c>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v>0</v>
      </c>
      <c r="AV191" s="52"/>
      <c r="AW191" s="52"/>
      <c r="AX191" s="52">
        <v>0</v>
      </c>
      <c r="AY191" s="52"/>
      <c r="AZ191" s="52"/>
      <c r="BA191" s="52"/>
      <c r="BB191" s="52">
        <v>0</v>
      </c>
      <c r="BC191" s="52">
        <v>0</v>
      </c>
      <c r="BD191" s="52">
        <v>0</v>
      </c>
      <c r="BE191" s="52">
        <v>0</v>
      </c>
      <c r="BF191" s="52"/>
      <c r="BG191" s="52"/>
      <c r="BH191" s="52"/>
      <c r="BI191" s="52"/>
      <c r="BJ191" s="52"/>
      <c r="BK191" s="78">
        <v>0</v>
      </c>
      <c r="BL191" s="41" t="s">
        <v>109</v>
      </c>
      <c r="BM191" s="45"/>
    </row>
    <row r="192" spans="1:65" x14ac:dyDescent="0.35">
      <c r="A192" s="41" t="str">
        <f>Database_Productkaarten[[#This Row],[Product]]&amp;", "&amp;Database_Productkaarten[[#This Row],[Levensfase]]</f>
        <v>SMA G.R. (obv 8G+) - PCR 1.0, C4</v>
      </c>
      <c r="B192" s="41" t="s">
        <v>1350</v>
      </c>
      <c r="C192" s="41" t="s">
        <v>443</v>
      </c>
      <c r="D192" s="41" t="s">
        <v>472</v>
      </c>
      <c r="E192" s="41" t="s">
        <v>91</v>
      </c>
      <c r="F192" s="41" t="s">
        <v>28</v>
      </c>
      <c r="L192" s="41">
        <v>2.2000000000000002</v>
      </c>
      <c r="M192" s="53">
        <v>0.16120214999999999</v>
      </c>
      <c r="N192" s="41">
        <v>16</v>
      </c>
      <c r="O192" s="52">
        <v>4.1291555000000003E-7</v>
      </c>
      <c r="P192" s="52">
        <v>8.4766977000000007E-3</v>
      </c>
      <c r="Q192" s="52">
        <v>1.6375614000000001</v>
      </c>
      <c r="R192" s="52">
        <v>2.2198113E-7</v>
      </c>
      <c r="S192" s="52">
        <v>5.9777666999999998E-4</v>
      </c>
      <c r="T192" s="52">
        <v>5.9352911999999997E-3</v>
      </c>
      <c r="U192" s="52">
        <v>1.3067828999999999E-3</v>
      </c>
      <c r="V192" s="52">
        <v>0.43290835999999999</v>
      </c>
      <c r="W192" s="52">
        <v>6.1478065000000002E-3</v>
      </c>
      <c r="X192" s="52">
        <v>20.733394000000001</v>
      </c>
      <c r="Y192" s="52">
        <v>7.2985148000000004E-4</v>
      </c>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v>0.10367149000000001</v>
      </c>
      <c r="AV192" s="52"/>
      <c r="AW192" s="52"/>
      <c r="AX192" s="52">
        <v>19.003353000000001</v>
      </c>
      <c r="AY192" s="52"/>
      <c r="AZ192" s="52"/>
      <c r="BA192" s="52"/>
      <c r="BB192" s="52">
        <v>2.3419052000000001E-3</v>
      </c>
      <c r="BC192" s="52">
        <v>7.9811735999999999E-6</v>
      </c>
      <c r="BD192" s="52">
        <v>1.9057085000000001E-2</v>
      </c>
      <c r="BE192" s="52">
        <v>1.2430745000000001E-4</v>
      </c>
      <c r="BF192" s="52"/>
      <c r="BG192" s="52"/>
      <c r="BH192" s="52"/>
      <c r="BI192" s="52"/>
      <c r="BJ192" s="52"/>
      <c r="BK192" s="78">
        <v>0</v>
      </c>
      <c r="BL192" s="41" t="s">
        <v>109</v>
      </c>
      <c r="BM192" s="45"/>
    </row>
    <row r="193" spans="1:65" x14ac:dyDescent="0.35">
      <c r="A193" s="41" t="str">
        <f>Database_Productkaarten[[#This Row],[Product]]&amp;", "&amp;Database_Productkaarten[[#This Row],[Levensfase]]</f>
        <v>SMA G.R. (obv 8G+) - PCR 1.0, D1</v>
      </c>
      <c r="B193" s="41" t="s">
        <v>1350</v>
      </c>
      <c r="C193" s="41" t="s">
        <v>443</v>
      </c>
      <c r="D193" s="41" t="s">
        <v>472</v>
      </c>
      <c r="E193" s="41" t="s">
        <v>91</v>
      </c>
      <c r="F193" s="41" t="s">
        <v>51</v>
      </c>
      <c r="L193" s="41">
        <v>2.2000000000000002</v>
      </c>
      <c r="M193" s="53">
        <v>-4.4125342401729686</v>
      </c>
      <c r="N193" s="41">
        <v>16</v>
      </c>
      <c r="O193" s="52">
        <v>-5.3802372634880002E-5</v>
      </c>
      <c r="P193" s="52">
        <v>-0.80360656977153988</v>
      </c>
      <c r="Q193" s="52">
        <v>-32.272531475326325</v>
      </c>
      <c r="R193" s="52">
        <v>-2.7305783214739998E-6</v>
      </c>
      <c r="S193" s="52">
        <v>-8.6859488644911984E-2</v>
      </c>
      <c r="T193" s="52">
        <v>-0.23499135335277199</v>
      </c>
      <c r="U193" s="52">
        <v>-2.1952955924992003E-2</v>
      </c>
      <c r="V193" s="52">
        <v>-8.4680802954842633</v>
      </c>
      <c r="W193" s="52">
        <v>-1.25569527565794</v>
      </c>
      <c r="X193" s="52">
        <v>-5495.0884462102758</v>
      </c>
      <c r="Y193" s="52">
        <v>-0.16123250248973997</v>
      </c>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v>-12.19044910101081</v>
      </c>
      <c r="AV193" s="52"/>
      <c r="AW193" s="52"/>
      <c r="AX193" s="52">
        <v>-1818.2578133164566</v>
      </c>
      <c r="AY193" s="52"/>
      <c r="AZ193" s="52"/>
      <c r="BA193" s="52"/>
      <c r="BB193" s="52">
        <v>-19.29446848739585</v>
      </c>
      <c r="BC193" s="52">
        <v>-6.1806692122379995E-4</v>
      </c>
      <c r="BD193" s="52">
        <v>-1.8558734435953761</v>
      </c>
      <c r="BE193" s="52">
        <v>-7.458362505908E-4</v>
      </c>
      <c r="BF193" s="52"/>
      <c r="BG193" s="52"/>
      <c r="BH193" s="52"/>
      <c r="BI193" s="52"/>
      <c r="BJ193" s="52"/>
      <c r="BK193" s="78">
        <v>0</v>
      </c>
      <c r="BL193" s="41" t="s">
        <v>109</v>
      </c>
      <c r="BM193" s="45"/>
    </row>
    <row r="194" spans="1:65" x14ac:dyDescent="0.35">
      <c r="A194" s="41" t="str">
        <f>Database_Productkaarten[[#This Row],[Product]]&amp;", "&amp;Database_Productkaarten[[#This Row],[Levensfase]]</f>
        <v>SMA G.R. (obv 8G+) - PCR 1.0, D2</v>
      </c>
      <c r="B194" s="41" t="s">
        <v>1350</v>
      </c>
      <c r="C194" s="41" t="s">
        <v>443</v>
      </c>
      <c r="D194" s="41" t="s">
        <v>472</v>
      </c>
      <c r="E194" s="41" t="s">
        <v>91</v>
      </c>
      <c r="F194" s="41" t="s">
        <v>52</v>
      </c>
      <c r="L194" s="41">
        <v>2.2000000000000002</v>
      </c>
      <c r="M194" s="53">
        <v>-1.6287324995849852</v>
      </c>
      <c r="N194" s="41">
        <v>16</v>
      </c>
      <c r="O194" s="52">
        <v>-1.0788003954708884E-5</v>
      </c>
      <c r="P194" s="52">
        <v>-7.0007429501337537E-2</v>
      </c>
      <c r="Q194" s="52">
        <v>-9.9810443361488073</v>
      </c>
      <c r="R194" s="52">
        <v>-1.6645589614187157E-6</v>
      </c>
      <c r="S194" s="52">
        <v>-8.5981508691622081E-3</v>
      </c>
      <c r="T194" s="52">
        <v>-0.1378781393130879</v>
      </c>
      <c r="U194" s="52">
        <v>-1.5379256320120905E-2</v>
      </c>
      <c r="V194" s="52">
        <v>-4.1215866441882856</v>
      </c>
      <c r="W194" s="52">
        <v>-8.9448316991231389E-2</v>
      </c>
      <c r="X194" s="52">
        <v>-368.36635724850089</v>
      </c>
      <c r="Y194" s="52">
        <v>-1.3972100218004534E-2</v>
      </c>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v>-2.7404164926976682</v>
      </c>
      <c r="AV194" s="52"/>
      <c r="AW194" s="52"/>
      <c r="AX194" s="52">
        <v>-155.13945987086566</v>
      </c>
      <c r="AY194" s="52"/>
      <c r="AZ194" s="52"/>
      <c r="BA194" s="52"/>
      <c r="BB194" s="52">
        <v>-2.8082192051662819E-2</v>
      </c>
      <c r="BC194" s="52">
        <v>-9.2064855032399366E-5</v>
      </c>
      <c r="BD194" s="52">
        <v>-3.0971179829096052</v>
      </c>
      <c r="BE194" s="52">
        <v>-9.6496724479011489E-4</v>
      </c>
      <c r="BF194" s="52"/>
      <c r="BG194" s="52"/>
      <c r="BH194" s="52"/>
      <c r="BI194" s="52"/>
      <c r="BJ194" s="52"/>
      <c r="BK194" s="78">
        <v>0</v>
      </c>
      <c r="BL194" s="41" t="s">
        <v>109</v>
      </c>
      <c r="BM194" s="45"/>
    </row>
    <row r="195" spans="1:65" x14ac:dyDescent="0.35">
      <c r="A195" s="41" t="str">
        <f>Database_Productkaarten[[#This Row],[Product]]&amp;", "&amp;Database_Productkaarten[[#This Row],[Levensfase]]</f>
        <v>WB asfaltbeton - PCR 1.0, Totaal</v>
      </c>
      <c r="B195" s="41" t="s">
        <v>1351</v>
      </c>
      <c r="C195" s="41" t="s">
        <v>443</v>
      </c>
      <c r="D195" s="41" t="s">
        <v>473</v>
      </c>
      <c r="E195" s="41" t="s">
        <v>91</v>
      </c>
      <c r="F195" s="41" t="s">
        <v>16</v>
      </c>
      <c r="L195" s="41">
        <v>2.35</v>
      </c>
      <c r="M195" s="53">
        <v>14.639363015798558</v>
      </c>
      <c r="N195" s="41">
        <v>55</v>
      </c>
      <c r="O195" s="52">
        <v>1.3376134313338117E-4</v>
      </c>
      <c r="P195" s="52">
        <v>1.9786407036364011</v>
      </c>
      <c r="Q195" s="52">
        <v>121.56902995451256</v>
      </c>
      <c r="R195" s="52">
        <v>1.5729406125303954E-5</v>
      </c>
      <c r="S195" s="52">
        <v>0.18811073981049103</v>
      </c>
      <c r="T195" s="52">
        <v>0.70610415389003067</v>
      </c>
      <c r="U195" s="52">
        <v>8.2333925456598012E-2</v>
      </c>
      <c r="V195" s="52">
        <v>33.160181284350308</v>
      </c>
      <c r="W195" s="52">
        <v>2.8855758597168242</v>
      </c>
      <c r="X195" s="52">
        <v>12085.543109509708</v>
      </c>
      <c r="Y195" s="52">
        <v>0.37684652538533719</v>
      </c>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v>31.640016715751525</v>
      </c>
      <c r="AV195" s="52"/>
      <c r="AW195" s="52"/>
      <c r="AX195" s="52">
        <v>4119.2388512697153</v>
      </c>
      <c r="AY195" s="52"/>
      <c r="AZ195" s="52"/>
      <c r="BA195" s="52"/>
      <c r="BB195" s="52">
        <v>35.622321917619182</v>
      </c>
      <c r="BC195" s="52">
        <v>2.0409264627356768E-3</v>
      </c>
      <c r="BD195" s="52">
        <v>1013.6884721073507</v>
      </c>
      <c r="BE195" s="52">
        <v>4.271493158854776E-3</v>
      </c>
      <c r="BF195" s="52"/>
      <c r="BG195" s="52"/>
      <c r="BH195" s="52"/>
      <c r="BI195" s="52"/>
      <c r="BJ195" s="52"/>
      <c r="BK195" s="78">
        <v>0</v>
      </c>
      <c r="BL195" s="41" t="s">
        <v>109</v>
      </c>
      <c r="BM195" s="45"/>
    </row>
    <row r="196" spans="1:65" x14ac:dyDescent="0.35">
      <c r="A196" s="41" t="str">
        <f>Database_Productkaarten[[#This Row],[Product]]&amp;", "&amp;Database_Productkaarten[[#This Row],[Levensfase]]</f>
        <v>WB asfaltbeton - PCR 1.0, A1</v>
      </c>
      <c r="B196" s="41" t="s">
        <v>1351</v>
      </c>
      <c r="C196" s="41" t="s">
        <v>443</v>
      </c>
      <c r="D196" s="41" t="s">
        <v>473</v>
      </c>
      <c r="E196" s="41" t="s">
        <v>91</v>
      </c>
      <c r="F196" s="41" t="s">
        <v>19</v>
      </c>
      <c r="L196" s="41">
        <v>2.35</v>
      </c>
      <c r="M196" s="53">
        <v>7.8290846139999992</v>
      </c>
      <c r="N196" s="41">
        <v>55</v>
      </c>
      <c r="O196" s="52">
        <v>7.2082076E-5</v>
      </c>
      <c r="P196" s="52">
        <v>1.453048688</v>
      </c>
      <c r="Q196" s="52">
        <v>57.955593645</v>
      </c>
      <c r="R196" s="52">
        <v>4.9093377999999996E-6</v>
      </c>
      <c r="S196" s="52">
        <v>0.15564930619999998</v>
      </c>
      <c r="T196" s="52">
        <v>0.41105608300000002</v>
      </c>
      <c r="U196" s="52">
        <v>3.5695754000000003E-2</v>
      </c>
      <c r="V196" s="52">
        <v>14.878665157999999</v>
      </c>
      <c r="W196" s="52">
        <v>2.2768439309999997</v>
      </c>
      <c r="X196" s="52">
        <v>9971.6263513709982</v>
      </c>
      <c r="Y196" s="52">
        <v>0.28813036400000003</v>
      </c>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v>18.972273628</v>
      </c>
      <c r="AV196" s="52"/>
      <c r="AW196" s="52"/>
      <c r="AX196" s="52">
        <v>3280.8899502569998</v>
      </c>
      <c r="AY196" s="52"/>
      <c r="AZ196" s="52"/>
      <c r="BA196" s="52"/>
      <c r="BB196" s="52">
        <v>35.359288699999993</v>
      </c>
      <c r="BC196" s="52">
        <v>1.2174062600000001E-3</v>
      </c>
      <c r="BD196" s="52">
        <v>4.1803759520000003</v>
      </c>
      <c r="BE196" s="52">
        <v>1.2435971600000002E-3</v>
      </c>
      <c r="BF196" s="52"/>
      <c r="BG196" s="52"/>
      <c r="BH196" s="52"/>
      <c r="BI196" s="52"/>
      <c r="BJ196" s="52"/>
      <c r="BK196" s="78">
        <v>0</v>
      </c>
      <c r="BL196" s="41" t="s">
        <v>109</v>
      </c>
      <c r="BM196" s="45"/>
    </row>
    <row r="197" spans="1:65" x14ac:dyDescent="0.35">
      <c r="A197" s="41" t="str">
        <f>Database_Productkaarten[[#This Row],[Product]]&amp;", "&amp;Database_Productkaarten[[#This Row],[Levensfase]]</f>
        <v>WB asfaltbeton - PCR 1.0, A2</v>
      </c>
      <c r="B197" s="41" t="s">
        <v>1351</v>
      </c>
      <c r="C197" s="41" t="s">
        <v>443</v>
      </c>
      <c r="D197" s="41" t="s">
        <v>473</v>
      </c>
      <c r="E197" s="41" t="s">
        <v>91</v>
      </c>
      <c r="F197" s="41" t="s">
        <v>20</v>
      </c>
      <c r="L197" s="41">
        <v>2.35</v>
      </c>
      <c r="M197" s="53">
        <v>2.0693560746599999</v>
      </c>
      <c r="N197" s="41">
        <v>55</v>
      </c>
      <c r="O197" s="52">
        <v>1.6164164672619998E-5</v>
      </c>
      <c r="P197" s="52">
        <v>9.5578618118700012E-2</v>
      </c>
      <c r="Q197" s="52">
        <v>13.739508802764</v>
      </c>
      <c r="R197" s="52">
        <v>2.2839039244299998E-6</v>
      </c>
      <c r="S197" s="52">
        <v>1.0777537582999999E-2</v>
      </c>
      <c r="T197" s="52">
        <v>0.15984970426379999</v>
      </c>
      <c r="U197" s="52">
        <v>2.0431545981799998E-2</v>
      </c>
      <c r="V197" s="52">
        <v>5.2292334044239999</v>
      </c>
      <c r="W197" s="52">
        <v>0.1199913957364</v>
      </c>
      <c r="X197" s="52">
        <v>468.23365680553604</v>
      </c>
      <c r="Y197" s="52">
        <v>1.8658398345500003E-2</v>
      </c>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v>3.668364592464</v>
      </c>
      <c r="AV197" s="52"/>
      <c r="AW197" s="52"/>
      <c r="AX197" s="52">
        <v>211.88459827319602</v>
      </c>
      <c r="AY197" s="52"/>
      <c r="AZ197" s="52"/>
      <c r="BA197" s="52"/>
      <c r="BB197" s="52">
        <v>4.0322596670700005E-2</v>
      </c>
      <c r="BC197" s="52">
        <v>1.3053896022919998E-4</v>
      </c>
      <c r="BD197" s="52">
        <v>4.5331725934160003</v>
      </c>
      <c r="BE197" s="52">
        <v>1.3207935795700001E-3</v>
      </c>
      <c r="BF197" s="52"/>
      <c r="BG197" s="52"/>
      <c r="BH197" s="52"/>
      <c r="BI197" s="52"/>
      <c r="BJ197" s="52"/>
      <c r="BK197" s="78">
        <v>0</v>
      </c>
      <c r="BL197" s="41" t="s">
        <v>109</v>
      </c>
      <c r="BM197" s="45"/>
    </row>
    <row r="198" spans="1:65" x14ac:dyDescent="0.35">
      <c r="A198" s="41" t="str">
        <f>Database_Productkaarten[[#This Row],[Product]]&amp;", "&amp;Database_Productkaarten[[#This Row],[Levensfase]]</f>
        <v>WB asfaltbeton - PCR 1.0, A3</v>
      </c>
      <c r="B198" s="41" t="s">
        <v>1351</v>
      </c>
      <c r="C198" s="41" t="s">
        <v>443</v>
      </c>
      <c r="D198" s="41" t="s">
        <v>473</v>
      </c>
      <c r="E198" s="41" t="s">
        <v>91</v>
      </c>
      <c r="F198" s="41" t="s">
        <v>21</v>
      </c>
      <c r="L198" s="41">
        <v>2.35</v>
      </c>
      <c r="M198" s="53">
        <v>1.7335686291385604</v>
      </c>
      <c r="N198" s="41">
        <v>55</v>
      </c>
      <c r="O198" s="52">
        <v>5.1815373007611824E-6</v>
      </c>
      <c r="P198" s="52">
        <v>0.20437667681770172</v>
      </c>
      <c r="Q198" s="52">
        <v>24.041070026748582</v>
      </c>
      <c r="R198" s="52">
        <v>2.736881990873959E-6</v>
      </c>
      <c r="S198" s="52">
        <v>3.8933131174909937E-3</v>
      </c>
      <c r="T198" s="52">
        <v>2.6763677726230731E-2</v>
      </c>
      <c r="U198" s="52">
        <v>4.8951154847980015E-3</v>
      </c>
      <c r="V198" s="52">
        <v>3.6328396419263123</v>
      </c>
      <c r="W198" s="52">
        <v>2.5864354894603959E-2</v>
      </c>
      <c r="X198" s="52">
        <v>105.43613333317526</v>
      </c>
      <c r="Y198" s="52">
        <v>2.5988851309837382E-2</v>
      </c>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v>7.4697240432875311</v>
      </c>
      <c r="AV198" s="52"/>
      <c r="AW198" s="52"/>
      <c r="AX198" s="52">
        <v>417.40830073952003</v>
      </c>
      <c r="AY198" s="52"/>
      <c r="AZ198" s="52"/>
      <c r="BA198" s="52"/>
      <c r="BB198" s="52">
        <v>4.9701082448483654E-2</v>
      </c>
      <c r="BC198" s="52">
        <v>5.6883205710647733E-4</v>
      </c>
      <c r="BD198" s="52">
        <v>0.27944898993467621</v>
      </c>
      <c r="BE198" s="52">
        <v>3.9416500028477473E-4</v>
      </c>
      <c r="BF198" s="52"/>
      <c r="BG198" s="52"/>
      <c r="BH198" s="52"/>
      <c r="BI198" s="52"/>
      <c r="BJ198" s="52"/>
      <c r="BK198" s="78">
        <v>0</v>
      </c>
      <c r="BL198" s="41" t="s">
        <v>109</v>
      </c>
      <c r="BM198" s="45"/>
    </row>
    <row r="199" spans="1:65" x14ac:dyDescent="0.35">
      <c r="A199" s="41" t="str">
        <f>Database_Productkaarten[[#This Row],[Product]]&amp;", "&amp;Database_Productkaarten[[#This Row],[Levensfase]]</f>
        <v>WB asfaltbeton - PCR 1.0, A4</v>
      </c>
      <c r="B199" s="41" t="s">
        <v>1351</v>
      </c>
      <c r="C199" s="41" t="s">
        <v>443</v>
      </c>
      <c r="D199" s="41" t="s">
        <v>473</v>
      </c>
      <c r="E199" s="41" t="s">
        <v>91</v>
      </c>
      <c r="F199" s="41" t="s">
        <v>22</v>
      </c>
      <c r="L199" s="41">
        <v>2.35</v>
      </c>
      <c r="M199" s="53">
        <v>0.96188790000000002</v>
      </c>
      <c r="N199" s="41">
        <v>55</v>
      </c>
      <c r="O199" s="52">
        <v>1.6790396999999999E-5</v>
      </c>
      <c r="P199" s="52">
        <v>6.6045701999999998E-2</v>
      </c>
      <c r="Q199" s="52">
        <v>8.7209053999999995</v>
      </c>
      <c r="R199" s="52">
        <v>1.7336426999999999E-6</v>
      </c>
      <c r="S199" s="52">
        <v>5.4680828999999999E-3</v>
      </c>
      <c r="T199" s="52">
        <v>2.9290009999999998E-2</v>
      </c>
      <c r="U199" s="52">
        <v>5.8153672000000002E-3</v>
      </c>
      <c r="V199" s="52">
        <v>3.0663694000000001</v>
      </c>
      <c r="W199" s="52">
        <v>0.19769922000000001</v>
      </c>
      <c r="X199" s="52">
        <v>517.90637000000004</v>
      </c>
      <c r="Y199" s="52">
        <v>1.8187483000000001E-2</v>
      </c>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v>0</v>
      </c>
      <c r="AV199" s="52"/>
      <c r="AW199" s="52"/>
      <c r="AX199" s="52">
        <v>0</v>
      </c>
      <c r="AY199" s="52"/>
      <c r="AZ199" s="52"/>
      <c r="BA199" s="52"/>
      <c r="BB199" s="52">
        <v>0</v>
      </c>
      <c r="BC199" s="52">
        <v>0</v>
      </c>
      <c r="BD199" s="52">
        <v>0</v>
      </c>
      <c r="BE199" s="52">
        <v>0</v>
      </c>
      <c r="BF199" s="52"/>
      <c r="BG199" s="52"/>
      <c r="BH199" s="52"/>
      <c r="BI199" s="52"/>
      <c r="BJ199" s="52"/>
      <c r="BK199" s="78">
        <v>0</v>
      </c>
      <c r="BL199" s="41" t="s">
        <v>109</v>
      </c>
      <c r="BM199" s="45"/>
    </row>
    <row r="200" spans="1:65" x14ac:dyDescent="0.35">
      <c r="A200" s="41" t="str">
        <f>Database_Productkaarten[[#This Row],[Product]]&amp;", "&amp;Database_Productkaarten[[#This Row],[Levensfase]]</f>
        <v>WB asfaltbeton - PCR 1.0, A5</v>
      </c>
      <c r="B200" s="41" t="s">
        <v>1351</v>
      </c>
      <c r="C200" s="41" t="s">
        <v>443</v>
      </c>
      <c r="D200" s="41" t="s">
        <v>473</v>
      </c>
      <c r="E200" s="41" t="s">
        <v>91</v>
      </c>
      <c r="F200" s="41" t="s">
        <v>23</v>
      </c>
      <c r="L200" s="41">
        <v>2.35</v>
      </c>
      <c r="M200" s="53">
        <v>0.21041449000000001</v>
      </c>
      <c r="N200" s="41">
        <v>55</v>
      </c>
      <c r="O200" s="52">
        <v>5.5521790000000002E-7</v>
      </c>
      <c r="P200" s="52">
        <v>1.1398007E-2</v>
      </c>
      <c r="Q200" s="52">
        <v>2.2019112000000001</v>
      </c>
      <c r="R200" s="52">
        <v>2.9848207999999998E-7</v>
      </c>
      <c r="S200" s="52">
        <v>7.6816657999999999E-4</v>
      </c>
      <c r="T200" s="52">
        <v>7.0245098999999998E-3</v>
      </c>
      <c r="U200" s="52">
        <v>1.5085121999999999E-3</v>
      </c>
      <c r="V200" s="52">
        <v>0.57978304000000003</v>
      </c>
      <c r="W200" s="52">
        <v>8.2665138999999995E-3</v>
      </c>
      <c r="X200" s="52">
        <v>27.878706000000001</v>
      </c>
      <c r="Y200" s="52">
        <v>9.8137887999999993E-4</v>
      </c>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v>0.13939961000000001</v>
      </c>
      <c r="AV200" s="52"/>
      <c r="AW200" s="52"/>
      <c r="AX200" s="52">
        <v>25.552444000000001</v>
      </c>
      <c r="AY200" s="52"/>
      <c r="AZ200" s="52"/>
      <c r="BA200" s="52"/>
      <c r="BB200" s="52">
        <v>3.1489918000000001E-3</v>
      </c>
      <c r="BC200" s="52">
        <v>1.0731710999999999E-5</v>
      </c>
      <c r="BD200" s="52">
        <v>2.5624694E-2</v>
      </c>
      <c r="BE200" s="52">
        <v>1.671473E-4</v>
      </c>
      <c r="BF200" s="52"/>
      <c r="BG200" s="52"/>
      <c r="BH200" s="52"/>
      <c r="BI200" s="52"/>
      <c r="BJ200" s="52"/>
      <c r="BK200" s="78">
        <v>0</v>
      </c>
      <c r="BL200" s="41" t="s">
        <v>109</v>
      </c>
      <c r="BM200" s="45"/>
    </row>
    <row r="201" spans="1:65" x14ac:dyDescent="0.35">
      <c r="A201" s="41" t="str">
        <f>Database_Productkaarten[[#This Row],[Product]]&amp;", "&amp;Database_Productkaarten[[#This Row],[Levensfase]]</f>
        <v>WB asfaltbeton - PCR 1.0, B1</v>
      </c>
      <c r="B201" s="41" t="s">
        <v>1351</v>
      </c>
      <c r="C201" s="41" t="s">
        <v>443</v>
      </c>
      <c r="D201" s="41" t="s">
        <v>473</v>
      </c>
      <c r="E201" s="41" t="s">
        <v>91</v>
      </c>
      <c r="F201" s="41" t="s">
        <v>24</v>
      </c>
      <c r="L201" s="41">
        <v>2.35</v>
      </c>
      <c r="M201" s="53">
        <v>4.1994032000000001E-2</v>
      </c>
      <c r="N201" s="41">
        <v>55</v>
      </c>
      <c r="O201" s="52">
        <v>0</v>
      </c>
      <c r="P201" s="52">
        <v>0</v>
      </c>
      <c r="Q201" s="52">
        <v>0</v>
      </c>
      <c r="R201" s="52">
        <v>0</v>
      </c>
      <c r="S201" s="52">
        <v>0</v>
      </c>
      <c r="T201" s="52">
        <v>0</v>
      </c>
      <c r="U201" s="52">
        <v>0</v>
      </c>
      <c r="V201" s="52">
        <v>0.16678892000000001</v>
      </c>
      <c r="W201" s="52">
        <v>4.9358582000000005E-7</v>
      </c>
      <c r="X201" s="52">
        <v>269.49592999999999</v>
      </c>
      <c r="Y201" s="52">
        <v>5.5701559999999999E-4</v>
      </c>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v>0</v>
      </c>
      <c r="AV201" s="52"/>
      <c r="AW201" s="52"/>
      <c r="AX201" s="52">
        <v>0</v>
      </c>
      <c r="AY201" s="52"/>
      <c r="AZ201" s="52"/>
      <c r="BA201" s="52"/>
      <c r="BB201" s="52">
        <v>0</v>
      </c>
      <c r="BC201" s="52">
        <v>0</v>
      </c>
      <c r="BD201" s="52">
        <v>0</v>
      </c>
      <c r="BE201" s="52">
        <v>0</v>
      </c>
      <c r="BF201" s="52"/>
      <c r="BG201" s="52"/>
      <c r="BH201" s="52"/>
      <c r="BI201" s="52"/>
      <c r="BJ201" s="52"/>
      <c r="BK201" s="78">
        <v>0</v>
      </c>
      <c r="BL201" s="41" t="s">
        <v>109</v>
      </c>
      <c r="BM201" s="45"/>
    </row>
    <row r="202" spans="1:65" x14ac:dyDescent="0.35">
      <c r="A202" s="41" t="str">
        <f>Database_Productkaarten[[#This Row],[Product]]&amp;", "&amp;Database_Productkaarten[[#This Row],[Levensfase]]</f>
        <v>WB asfaltbeton - PCR 1.0, C1</v>
      </c>
      <c r="B202" s="41" t="s">
        <v>1351</v>
      </c>
      <c r="C202" s="41" t="s">
        <v>443</v>
      </c>
      <c r="D202" s="41" t="s">
        <v>473</v>
      </c>
      <c r="E202" s="41" t="s">
        <v>91</v>
      </c>
      <c r="F202" s="41" t="s">
        <v>25</v>
      </c>
      <c r="L202" s="41">
        <v>2.35</v>
      </c>
      <c r="M202" s="53">
        <v>8.4165796000000001E-2</v>
      </c>
      <c r="N202" s="41">
        <v>55</v>
      </c>
      <c r="O202" s="52">
        <v>2.2208715999999999E-7</v>
      </c>
      <c r="P202" s="52">
        <v>4.5592026999999999E-3</v>
      </c>
      <c r="Q202" s="52">
        <v>0.88076447999999996</v>
      </c>
      <c r="R202" s="52">
        <v>1.1939283000000001E-7</v>
      </c>
      <c r="S202" s="52">
        <v>3.0726663000000003E-4</v>
      </c>
      <c r="T202" s="52">
        <v>2.8098039999999999E-3</v>
      </c>
      <c r="U202" s="52">
        <v>6.0340489000000001E-4</v>
      </c>
      <c r="V202" s="52">
        <v>0.23191322</v>
      </c>
      <c r="W202" s="52">
        <v>3.3066056E-3</v>
      </c>
      <c r="X202" s="52">
        <v>11.151482</v>
      </c>
      <c r="Y202" s="52">
        <v>3.9255155000000001E-4</v>
      </c>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v>5.5759841999999997E-2</v>
      </c>
      <c r="AV202" s="52"/>
      <c r="AW202" s="52"/>
      <c r="AX202" s="52">
        <v>10.220978000000001</v>
      </c>
      <c r="AY202" s="52"/>
      <c r="AZ202" s="52"/>
      <c r="BA202" s="52"/>
      <c r="BB202" s="52">
        <v>1.2595967E-3</v>
      </c>
      <c r="BC202" s="52">
        <v>4.2926843999999997E-6</v>
      </c>
      <c r="BD202" s="52">
        <v>1.0249878E-2</v>
      </c>
      <c r="BE202" s="52">
        <v>6.6858919000000003E-5</v>
      </c>
      <c r="BF202" s="52"/>
      <c r="BG202" s="52"/>
      <c r="BH202" s="52"/>
      <c r="BI202" s="52"/>
      <c r="BJ202" s="52"/>
      <c r="BK202" s="78">
        <v>0</v>
      </c>
      <c r="BL202" s="41" t="s">
        <v>109</v>
      </c>
      <c r="BM202" s="45"/>
    </row>
    <row r="203" spans="1:65" x14ac:dyDescent="0.35">
      <c r="A203" s="41" t="str">
        <f>Database_Productkaarten[[#This Row],[Product]]&amp;", "&amp;Database_Productkaarten[[#This Row],[Levensfase]]</f>
        <v>WB asfaltbeton - PCR 1.0, C2</v>
      </c>
      <c r="B203" s="41" t="s">
        <v>1351</v>
      </c>
      <c r="C203" s="41" t="s">
        <v>443</v>
      </c>
      <c r="D203" s="41" t="s">
        <v>473</v>
      </c>
      <c r="E203" s="41" t="s">
        <v>91</v>
      </c>
      <c r="F203" s="41" t="s">
        <v>26</v>
      </c>
      <c r="L203" s="41">
        <v>2.35</v>
      </c>
      <c r="M203" s="53">
        <v>0.96188790000000002</v>
      </c>
      <c r="N203" s="41">
        <v>55</v>
      </c>
      <c r="O203" s="52">
        <v>1.6790396999999999E-5</v>
      </c>
      <c r="P203" s="52">
        <v>6.6045701999999998E-2</v>
      </c>
      <c r="Q203" s="52">
        <v>8.7209053999999995</v>
      </c>
      <c r="R203" s="52">
        <v>1.7336426999999999E-6</v>
      </c>
      <c r="S203" s="52">
        <v>5.4680828999999999E-3</v>
      </c>
      <c r="T203" s="52">
        <v>2.9290009999999998E-2</v>
      </c>
      <c r="U203" s="52">
        <v>5.8153672000000002E-3</v>
      </c>
      <c r="V203" s="52">
        <v>3.0663694000000001</v>
      </c>
      <c r="W203" s="52">
        <v>0.19769922000000001</v>
      </c>
      <c r="X203" s="52">
        <v>517.90637000000004</v>
      </c>
      <c r="Y203" s="52">
        <v>1.8187483000000001E-2</v>
      </c>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v>0</v>
      </c>
      <c r="AV203" s="52"/>
      <c r="AW203" s="52"/>
      <c r="AX203" s="52">
        <v>0</v>
      </c>
      <c r="AY203" s="52"/>
      <c r="AZ203" s="52"/>
      <c r="BA203" s="52"/>
      <c r="BB203" s="52">
        <v>0</v>
      </c>
      <c r="BC203" s="52">
        <v>0</v>
      </c>
      <c r="BD203" s="52">
        <v>0</v>
      </c>
      <c r="BE203" s="52">
        <v>0</v>
      </c>
      <c r="BF203" s="52"/>
      <c r="BG203" s="52"/>
      <c r="BH203" s="52"/>
      <c r="BI203" s="52"/>
      <c r="BJ203" s="52"/>
      <c r="BK203" s="78">
        <v>0</v>
      </c>
      <c r="BL203" s="41" t="s">
        <v>109</v>
      </c>
      <c r="BM203" s="45"/>
    </row>
    <row r="204" spans="1:65" x14ac:dyDescent="0.35">
      <c r="A204" s="41" t="str">
        <f>Database_Productkaarten[[#This Row],[Product]]&amp;", "&amp;Database_Productkaarten[[#This Row],[Levensfase]]</f>
        <v>WB asfaltbeton - PCR 1.0, C4</v>
      </c>
      <c r="B204" s="41" t="s">
        <v>1351</v>
      </c>
      <c r="C204" s="41" t="s">
        <v>443</v>
      </c>
      <c r="D204" s="41" t="s">
        <v>473</v>
      </c>
      <c r="E204" s="41" t="s">
        <v>91</v>
      </c>
      <c r="F204" s="41" t="s">
        <v>28</v>
      </c>
      <c r="L204" s="41">
        <v>2.35</v>
      </c>
      <c r="M204" s="53">
        <v>0.74700358</v>
      </c>
      <c r="N204" s="41">
        <v>55</v>
      </c>
      <c r="O204" s="52">
        <v>5.9754661000000001E-6</v>
      </c>
      <c r="P204" s="52">
        <v>7.7588107000000003E-2</v>
      </c>
      <c r="Q204" s="52">
        <v>5.3083710000000002</v>
      </c>
      <c r="R204" s="52">
        <v>1.9141221000000001E-6</v>
      </c>
      <c r="S204" s="52">
        <v>5.7789839000000004E-3</v>
      </c>
      <c r="T204" s="52">
        <v>4.0020355000000001E-2</v>
      </c>
      <c r="U204" s="52">
        <v>7.5688585000000001E-3</v>
      </c>
      <c r="V204" s="52">
        <v>2.3082191000000001</v>
      </c>
      <c r="W204" s="52">
        <v>5.5904124999999999E-2</v>
      </c>
      <c r="X204" s="52">
        <v>195.90810999999999</v>
      </c>
      <c r="Y204" s="52">
        <v>5.7629997000000002E-3</v>
      </c>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v>1.334495</v>
      </c>
      <c r="AV204" s="52"/>
      <c r="AW204" s="52"/>
      <c r="AX204" s="52">
        <v>173.28258</v>
      </c>
      <c r="AY204" s="52"/>
      <c r="AZ204" s="52"/>
      <c r="BA204" s="52"/>
      <c r="BB204" s="52">
        <v>0.16860095</v>
      </c>
      <c r="BC204" s="52">
        <v>1.0912479E-4</v>
      </c>
      <c r="BD204" s="52">
        <v>1004.6596</v>
      </c>
      <c r="BE204" s="52">
        <v>1.0789312000000001E-3</v>
      </c>
      <c r="BF204" s="52"/>
      <c r="BG204" s="52"/>
      <c r="BH204" s="52"/>
      <c r="BI204" s="52"/>
      <c r="BJ204" s="52"/>
      <c r="BK204" s="78">
        <v>0</v>
      </c>
      <c r="BL204" s="41" t="s">
        <v>109</v>
      </c>
      <c r="BM204" s="45"/>
    </row>
    <row r="205" spans="1:65" x14ac:dyDescent="0.35">
      <c r="A205" s="41" t="str">
        <f>Database_Productkaarten[[#This Row],[Product]]&amp;", "&amp;Database_Productkaarten[[#This Row],[Levensfase]]</f>
        <v>WB asfaltbeton - PCR 1.0, D1</v>
      </c>
      <c r="B205" s="41" t="s">
        <v>1351</v>
      </c>
      <c r="C205" s="41" t="s">
        <v>443</v>
      </c>
      <c r="D205" s="41" t="s">
        <v>473</v>
      </c>
      <c r="E205" s="41" t="s">
        <v>91</v>
      </c>
      <c r="F205" s="41" t="s">
        <v>51</v>
      </c>
      <c r="L205" s="41">
        <v>2.35</v>
      </c>
      <c r="M205" s="53">
        <v>0</v>
      </c>
      <c r="N205" s="41">
        <v>55</v>
      </c>
      <c r="O205" s="52">
        <v>0</v>
      </c>
      <c r="P205" s="52">
        <v>0</v>
      </c>
      <c r="Q205" s="52">
        <v>0</v>
      </c>
      <c r="R205" s="52">
        <v>0</v>
      </c>
      <c r="S205" s="52">
        <v>0</v>
      </c>
      <c r="T205" s="52">
        <v>0</v>
      </c>
      <c r="U205" s="52">
        <v>0</v>
      </c>
      <c r="V205" s="52">
        <v>0</v>
      </c>
      <c r="W205" s="52">
        <v>0</v>
      </c>
      <c r="X205" s="52">
        <v>0</v>
      </c>
      <c r="Y205" s="52">
        <v>0</v>
      </c>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v>0</v>
      </c>
      <c r="AV205" s="52"/>
      <c r="AW205" s="52"/>
      <c r="AX205" s="52">
        <v>0</v>
      </c>
      <c r="AY205" s="52"/>
      <c r="AZ205" s="52"/>
      <c r="BA205" s="52"/>
      <c r="BB205" s="52">
        <v>0</v>
      </c>
      <c r="BC205" s="52">
        <v>0</v>
      </c>
      <c r="BD205" s="52">
        <v>0</v>
      </c>
      <c r="BE205" s="52">
        <v>0</v>
      </c>
      <c r="BF205" s="52"/>
      <c r="BG205" s="52"/>
      <c r="BH205" s="52"/>
      <c r="BI205" s="52"/>
      <c r="BJ205" s="52"/>
      <c r="BK205" s="78">
        <v>0</v>
      </c>
      <c r="BL205" s="41" t="s">
        <v>109</v>
      </c>
      <c r="BM205" s="45"/>
    </row>
    <row r="206" spans="1:65" x14ac:dyDescent="0.35">
      <c r="A206" s="41" t="str">
        <f>Database_Productkaarten[[#This Row],[Product]]&amp;", "&amp;Database_Productkaarten[[#This Row],[Levensfase]]</f>
        <v>WB asfaltbeton - PCR 1.0, D2</v>
      </c>
      <c r="B206" s="41" t="s">
        <v>1351</v>
      </c>
      <c r="C206" s="41" t="s">
        <v>443</v>
      </c>
      <c r="D206" s="41" t="s">
        <v>473</v>
      </c>
      <c r="E206" s="41" t="s">
        <v>91</v>
      </c>
      <c r="F206" s="41" t="s">
        <v>52</v>
      </c>
      <c r="L206" s="41">
        <v>2.35</v>
      </c>
      <c r="M206" s="53">
        <v>0</v>
      </c>
      <c r="N206" s="41">
        <v>55</v>
      </c>
      <c r="O206" s="52">
        <v>0</v>
      </c>
      <c r="P206" s="52">
        <v>0</v>
      </c>
      <c r="Q206" s="52">
        <v>0</v>
      </c>
      <c r="R206" s="52">
        <v>0</v>
      </c>
      <c r="S206" s="52">
        <v>0</v>
      </c>
      <c r="T206" s="52">
        <v>0</v>
      </c>
      <c r="U206" s="52">
        <v>0</v>
      </c>
      <c r="V206" s="52">
        <v>0</v>
      </c>
      <c r="W206" s="52">
        <v>0</v>
      </c>
      <c r="X206" s="52">
        <v>0</v>
      </c>
      <c r="Y206" s="52">
        <v>0</v>
      </c>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v>0</v>
      </c>
      <c r="AV206" s="52"/>
      <c r="AW206" s="52"/>
      <c r="AX206" s="52">
        <v>0</v>
      </c>
      <c r="AY206" s="52"/>
      <c r="AZ206" s="52"/>
      <c r="BA206" s="52"/>
      <c r="BB206" s="52">
        <v>0</v>
      </c>
      <c r="BC206" s="52">
        <v>0</v>
      </c>
      <c r="BD206" s="52">
        <v>0</v>
      </c>
      <c r="BE206" s="52">
        <v>0</v>
      </c>
      <c r="BF206" s="52"/>
      <c r="BG206" s="52"/>
      <c r="BH206" s="52"/>
      <c r="BI206" s="52"/>
      <c r="BJ206" s="52"/>
      <c r="BK206" s="78">
        <v>0</v>
      </c>
      <c r="BL206" s="41" t="s">
        <v>109</v>
      </c>
      <c r="BM206" s="45"/>
    </row>
    <row r="207" spans="1:65" x14ac:dyDescent="0.35">
      <c r="A207" s="41" t="str">
        <f>Database_Productkaarten[[#This Row],[Product]]&amp;", "&amp;Database_Productkaarten[[#This Row],[Levensfase]]</f>
        <v>WB asfaltmastiek - PCR 1.0, Totaal</v>
      </c>
      <c r="B207" s="41" t="s">
        <v>1352</v>
      </c>
      <c r="C207" s="41" t="s">
        <v>443</v>
      </c>
      <c r="D207" s="41" t="s">
        <v>474</v>
      </c>
      <c r="E207" s="41" t="s">
        <v>91</v>
      </c>
      <c r="F207" s="41" t="s">
        <v>16</v>
      </c>
      <c r="L207" s="41">
        <v>2</v>
      </c>
      <c r="M207" s="53">
        <v>24.416229473937971</v>
      </c>
      <c r="N207" s="41">
        <v>75</v>
      </c>
      <c r="O207" s="52">
        <v>1.3368720138251538E-4</v>
      </c>
      <c r="P207" s="52">
        <v>4.1091821002163238</v>
      </c>
      <c r="Q207" s="52">
        <v>199.68733514152768</v>
      </c>
      <c r="R207" s="52">
        <v>2.2001738707974861E-5</v>
      </c>
      <c r="S207" s="52">
        <v>0.4085090969786207</v>
      </c>
      <c r="T207" s="52">
        <v>1.1348193560753337</v>
      </c>
      <c r="U207" s="52">
        <v>0.11017117423784549</v>
      </c>
      <c r="V207" s="52">
        <v>49.752742626133859</v>
      </c>
      <c r="W207" s="52">
        <v>6.350812872166518</v>
      </c>
      <c r="X207" s="52">
        <v>27094.543895406019</v>
      </c>
      <c r="Y207" s="52">
        <v>0.80134265603671406</v>
      </c>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v>48.120639836920809</v>
      </c>
      <c r="AV207" s="52"/>
      <c r="AW207" s="52"/>
      <c r="AX207" s="52">
        <v>8807.8487794964094</v>
      </c>
      <c r="AY207" s="52"/>
      <c r="AZ207" s="52"/>
      <c r="BA207" s="52"/>
      <c r="BB207" s="52">
        <v>88.524939101292048</v>
      </c>
      <c r="BC207" s="52">
        <v>3.532049471796746E-3</v>
      </c>
      <c r="BD207" s="52">
        <v>1018.2637720163679</v>
      </c>
      <c r="BE207" s="52">
        <v>4.5873582099264639E-3</v>
      </c>
      <c r="BF207" s="52"/>
      <c r="BG207" s="52"/>
      <c r="BH207" s="52"/>
      <c r="BI207" s="52"/>
      <c r="BJ207" s="52"/>
      <c r="BK207" s="78">
        <v>0</v>
      </c>
      <c r="BL207" s="41" t="s">
        <v>109</v>
      </c>
      <c r="BM207" s="45"/>
    </row>
    <row r="208" spans="1:65" x14ac:dyDescent="0.35">
      <c r="A208" s="41" t="str">
        <f>Database_Productkaarten[[#This Row],[Product]]&amp;", "&amp;Database_Productkaarten[[#This Row],[Levensfase]]</f>
        <v>WB asfaltmastiek - PCR 1.0, A1</v>
      </c>
      <c r="B208" s="41" t="s">
        <v>1352</v>
      </c>
      <c r="C208" s="41" t="s">
        <v>443</v>
      </c>
      <c r="D208" s="41" t="s">
        <v>474</v>
      </c>
      <c r="E208" s="41" t="s">
        <v>91</v>
      </c>
      <c r="F208" s="41" t="s">
        <v>19</v>
      </c>
      <c r="L208" s="41">
        <v>2</v>
      </c>
      <c r="M208" s="53">
        <v>17.446452162</v>
      </c>
      <c r="N208" s="41">
        <v>75</v>
      </c>
      <c r="O208" s="52">
        <v>5.15245856E-5</v>
      </c>
      <c r="P208" s="52">
        <v>3.5417456402999998</v>
      </c>
      <c r="Q208" s="52">
        <v>130.451196071</v>
      </c>
      <c r="R208" s="52">
        <v>1.0286941629999999E-5</v>
      </c>
      <c r="S208" s="52">
        <v>0.37579146532000007</v>
      </c>
      <c r="T208" s="52">
        <v>0.90629876450000013</v>
      </c>
      <c r="U208" s="52">
        <v>6.4099363600000014E-2</v>
      </c>
      <c r="V208" s="52">
        <v>30.352500867</v>
      </c>
      <c r="W208" s="52">
        <v>5.6023758160999995</v>
      </c>
      <c r="X208" s="52">
        <v>24622.141629697999</v>
      </c>
      <c r="Y208" s="52">
        <v>0.68583964489999993</v>
      </c>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v>31.535732208000002</v>
      </c>
      <c r="AV208" s="52"/>
      <c r="AW208" s="52"/>
      <c r="AX208" s="52">
        <v>7986.5673194200008</v>
      </c>
      <c r="AY208" s="52"/>
      <c r="AZ208" s="52"/>
      <c r="BA208" s="52"/>
      <c r="BB208" s="52">
        <v>88.231997875700003</v>
      </c>
      <c r="BC208" s="52">
        <v>2.6293565809999996E-3</v>
      </c>
      <c r="BD208" s="52">
        <v>6.7752380960000007</v>
      </c>
      <c r="BE208" s="52">
        <v>1.6508964460000002E-3</v>
      </c>
      <c r="BF208" s="52"/>
      <c r="BG208" s="52"/>
      <c r="BH208" s="52"/>
      <c r="BI208" s="52"/>
      <c r="BJ208" s="52"/>
      <c r="BK208" s="78">
        <v>0</v>
      </c>
      <c r="BL208" s="41" t="s">
        <v>109</v>
      </c>
      <c r="BM208" s="45"/>
    </row>
    <row r="209" spans="1:65" x14ac:dyDescent="0.35">
      <c r="A209" s="41" t="str">
        <f>Database_Productkaarten[[#This Row],[Product]]&amp;", "&amp;Database_Productkaarten[[#This Row],[Levensfase]]</f>
        <v>WB asfaltmastiek - PCR 1.0, A2</v>
      </c>
      <c r="B209" s="41" t="s">
        <v>1352</v>
      </c>
      <c r="C209" s="41" t="s">
        <v>443</v>
      </c>
      <c r="D209" s="41" t="s">
        <v>474</v>
      </c>
      <c r="E209" s="41" t="s">
        <v>91</v>
      </c>
      <c r="F209" s="41" t="s">
        <v>20</v>
      </c>
      <c r="L209" s="41">
        <v>2</v>
      </c>
      <c r="M209" s="53">
        <v>1.3722165765000001</v>
      </c>
      <c r="N209" s="41">
        <v>75</v>
      </c>
      <c r="O209" s="52">
        <v>2.13777068087E-5</v>
      </c>
      <c r="P209" s="52">
        <v>8.0761020741900016E-2</v>
      </c>
      <c r="Q209" s="52">
        <v>11.502229900500001</v>
      </c>
      <c r="R209" s="52">
        <v>1.9744497757100003E-6</v>
      </c>
      <c r="S209" s="52">
        <v>6.8208052318000003E-3</v>
      </c>
      <c r="T209" s="52">
        <v>6.4765183265399998E-2</v>
      </c>
      <c r="U209" s="52">
        <v>1.3855539101799999E-2</v>
      </c>
      <c r="V209" s="52">
        <v>3.8442524109999998</v>
      </c>
      <c r="W209" s="52">
        <v>0.10727724576200003</v>
      </c>
      <c r="X209" s="52">
        <v>366.11202554300002</v>
      </c>
      <c r="Y209" s="52">
        <v>1.4992973350300002E-2</v>
      </c>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v>2.5530900089999999</v>
      </c>
      <c r="AV209" s="52"/>
      <c r="AW209" s="52"/>
      <c r="AX209" s="52">
        <v>179.20770935350001</v>
      </c>
      <c r="AY209" s="52"/>
      <c r="AZ209" s="52"/>
      <c r="BA209" s="52"/>
      <c r="BB209" s="52">
        <v>3.5129850566700004E-2</v>
      </c>
      <c r="BC209" s="52">
        <v>1.16289972922E-4</v>
      </c>
      <c r="BD209" s="52">
        <v>6.3945739330000002</v>
      </c>
      <c r="BE209" s="52">
        <v>1.1270505799700003E-3</v>
      </c>
      <c r="BF209" s="52"/>
      <c r="BG209" s="52"/>
      <c r="BH209" s="52"/>
      <c r="BI209" s="52"/>
      <c r="BJ209" s="52"/>
      <c r="BK209" s="78">
        <v>0</v>
      </c>
      <c r="BL209" s="41" t="s">
        <v>109</v>
      </c>
      <c r="BM209" s="45"/>
    </row>
    <row r="210" spans="1:65" x14ac:dyDescent="0.35">
      <c r="A210" s="41" t="str">
        <f>Database_Productkaarten[[#This Row],[Product]]&amp;", "&amp;Database_Productkaarten[[#This Row],[Levensfase]]</f>
        <v>WB asfaltmastiek - PCR 1.0, A3</v>
      </c>
      <c r="B210" s="41" t="s">
        <v>1352</v>
      </c>
      <c r="C210" s="41" t="s">
        <v>443</v>
      </c>
      <c r="D210" s="41" t="s">
        <v>474</v>
      </c>
      <c r="E210" s="41" t="s">
        <v>91</v>
      </c>
      <c r="F210" s="41" t="s">
        <v>21</v>
      </c>
      <c r="L210" s="41">
        <v>2</v>
      </c>
      <c r="M210" s="53">
        <v>1.8840506824379588</v>
      </c>
      <c r="N210" s="41">
        <v>75</v>
      </c>
      <c r="O210" s="52">
        <v>8.2531918138153504E-6</v>
      </c>
      <c r="P210" s="52">
        <v>0.21305680047442438</v>
      </c>
      <c r="Q210" s="52">
        <v>25.565351090027654</v>
      </c>
      <c r="R210" s="52">
        <v>2.6815808922648596E-6</v>
      </c>
      <c r="S210" s="52">
        <v>4.1337047168207054E-3</v>
      </c>
      <c r="T210" s="52">
        <v>3.4041652409933579E-2</v>
      </c>
      <c r="U210" s="52">
        <v>6.6799217460454642E-3</v>
      </c>
      <c r="V210" s="52">
        <v>3.8796539081338635</v>
      </c>
      <c r="W210" s="52">
        <v>3.4655915841190439E-2</v>
      </c>
      <c r="X210" s="52">
        <v>142.62472216501862</v>
      </c>
      <c r="Y210" s="52">
        <v>4.3130520326414054E-2</v>
      </c>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v>12.502163167920823</v>
      </c>
      <c r="AV210" s="52"/>
      <c r="AW210" s="52"/>
      <c r="AX210" s="52">
        <v>433.01774872290775</v>
      </c>
      <c r="AY210" s="52"/>
      <c r="AZ210" s="52"/>
      <c r="BA210" s="52"/>
      <c r="BB210" s="52">
        <v>8.4801836525380009E-2</v>
      </c>
      <c r="BC210" s="52">
        <v>6.6225373247474635E-4</v>
      </c>
      <c r="BD210" s="52">
        <v>0.39848541536784388</v>
      </c>
      <c r="BE210" s="52">
        <v>4.964737649564634E-4</v>
      </c>
      <c r="BF210" s="52"/>
      <c r="BG210" s="52"/>
      <c r="BH210" s="52"/>
      <c r="BI210" s="52"/>
      <c r="BJ210" s="52"/>
      <c r="BK210" s="78">
        <v>0</v>
      </c>
      <c r="BL210" s="41" t="s">
        <v>109</v>
      </c>
      <c r="BM210" s="45"/>
    </row>
    <row r="211" spans="1:65" x14ac:dyDescent="0.35">
      <c r="A211" s="41" t="str">
        <f>Database_Productkaarten[[#This Row],[Product]]&amp;", "&amp;Database_Productkaarten[[#This Row],[Levensfase]]</f>
        <v>WB asfaltmastiek - PCR 1.0, A4</v>
      </c>
      <c r="B211" s="41" t="s">
        <v>1352</v>
      </c>
      <c r="C211" s="41" t="s">
        <v>443</v>
      </c>
      <c r="D211" s="41" t="s">
        <v>474</v>
      </c>
      <c r="E211" s="41" t="s">
        <v>91</v>
      </c>
      <c r="F211" s="41" t="s">
        <v>22</v>
      </c>
      <c r="L211" s="41">
        <v>2</v>
      </c>
      <c r="M211" s="53">
        <v>1.6606953</v>
      </c>
      <c r="N211" s="41">
        <v>75</v>
      </c>
      <c r="O211" s="52">
        <v>2.8988548999999999E-5</v>
      </c>
      <c r="P211" s="52">
        <v>0.11402762</v>
      </c>
      <c r="Q211" s="52">
        <v>15.056606</v>
      </c>
      <c r="R211" s="52">
        <v>2.9931267000000001E-6</v>
      </c>
      <c r="S211" s="52">
        <v>9.4406217000000004E-3</v>
      </c>
      <c r="T211" s="52">
        <v>5.0569076999999997E-2</v>
      </c>
      <c r="U211" s="52">
        <v>1.0040207000000001E-2</v>
      </c>
      <c r="V211" s="52">
        <v>5.2940737000000002</v>
      </c>
      <c r="W211" s="52">
        <v>0.34132685000000001</v>
      </c>
      <c r="X211" s="52">
        <v>894.16313000000002</v>
      </c>
      <c r="Y211" s="52">
        <v>3.1400611000000002E-2</v>
      </c>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v>0</v>
      </c>
      <c r="AV211" s="52"/>
      <c r="AW211" s="52"/>
      <c r="AX211" s="52">
        <v>0</v>
      </c>
      <c r="AY211" s="52"/>
      <c r="AZ211" s="52"/>
      <c r="BA211" s="52"/>
      <c r="BB211" s="52">
        <v>0</v>
      </c>
      <c r="BC211" s="52">
        <v>0</v>
      </c>
      <c r="BD211" s="52">
        <v>0</v>
      </c>
      <c r="BE211" s="52">
        <v>0</v>
      </c>
      <c r="BF211" s="52"/>
      <c r="BG211" s="52"/>
      <c r="BH211" s="52"/>
      <c r="BI211" s="52"/>
      <c r="BJ211" s="52"/>
      <c r="BK211" s="78">
        <v>0</v>
      </c>
      <c r="BL211" s="41" t="s">
        <v>109</v>
      </c>
      <c r="BM211" s="45"/>
    </row>
    <row r="212" spans="1:65" x14ac:dyDescent="0.35">
      <c r="A212" s="41" t="str">
        <f>Database_Productkaarten[[#This Row],[Product]]&amp;", "&amp;Database_Productkaarten[[#This Row],[Levensfase]]</f>
        <v>WB asfaltmastiek - PCR 1.0, A5</v>
      </c>
      <c r="B212" s="41" t="s">
        <v>1352</v>
      </c>
      <c r="C212" s="41" t="s">
        <v>443</v>
      </c>
      <c r="D212" s="41" t="s">
        <v>474</v>
      </c>
      <c r="E212" s="41" t="s">
        <v>91</v>
      </c>
      <c r="F212" s="41" t="s">
        <v>23</v>
      </c>
      <c r="L212" s="41">
        <v>2</v>
      </c>
      <c r="M212" s="53">
        <v>0.21041449000000001</v>
      </c>
      <c r="N212" s="41">
        <v>75</v>
      </c>
      <c r="O212" s="52">
        <v>5.5521790000000002E-7</v>
      </c>
      <c r="P212" s="52">
        <v>1.1398007E-2</v>
      </c>
      <c r="Q212" s="52">
        <v>2.2019112000000001</v>
      </c>
      <c r="R212" s="52">
        <v>2.9848207999999998E-7</v>
      </c>
      <c r="S212" s="52">
        <v>7.6816657999999999E-4</v>
      </c>
      <c r="T212" s="52">
        <v>7.0245098999999998E-3</v>
      </c>
      <c r="U212" s="52">
        <v>1.5085121999999999E-3</v>
      </c>
      <c r="V212" s="52">
        <v>0.57978304000000003</v>
      </c>
      <c r="W212" s="52">
        <v>8.2665138999999995E-3</v>
      </c>
      <c r="X212" s="52">
        <v>27.878706000000001</v>
      </c>
      <c r="Y212" s="52">
        <v>9.8137887999999993E-4</v>
      </c>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v>0.13939961000000001</v>
      </c>
      <c r="AV212" s="52"/>
      <c r="AW212" s="52"/>
      <c r="AX212" s="52">
        <v>25.552444000000001</v>
      </c>
      <c r="AY212" s="52"/>
      <c r="AZ212" s="52"/>
      <c r="BA212" s="52"/>
      <c r="BB212" s="52">
        <v>3.1489918000000001E-3</v>
      </c>
      <c r="BC212" s="52">
        <v>1.0731710999999999E-5</v>
      </c>
      <c r="BD212" s="52">
        <v>2.5624694E-2</v>
      </c>
      <c r="BE212" s="52">
        <v>1.671473E-4</v>
      </c>
      <c r="BF212" s="52"/>
      <c r="BG212" s="52"/>
      <c r="BH212" s="52"/>
      <c r="BI212" s="52"/>
      <c r="BJ212" s="52"/>
      <c r="BK212" s="78">
        <v>0</v>
      </c>
      <c r="BL212" s="41" t="s">
        <v>109</v>
      </c>
      <c r="BM212" s="45"/>
    </row>
    <row r="213" spans="1:65" x14ac:dyDescent="0.35">
      <c r="A213" s="41" t="str">
        <f>Database_Productkaarten[[#This Row],[Product]]&amp;", "&amp;Database_Productkaarten[[#This Row],[Levensfase]]</f>
        <v>WB asfaltmastiek - PCR 1.0, B1</v>
      </c>
      <c r="B213" s="41" t="s">
        <v>1352</v>
      </c>
      <c r="C213" s="41" t="s">
        <v>443</v>
      </c>
      <c r="D213" s="41" t="s">
        <v>474</v>
      </c>
      <c r="E213" s="41" t="s">
        <v>91</v>
      </c>
      <c r="F213" s="41" t="s">
        <v>24</v>
      </c>
      <c r="L213" s="41">
        <v>2</v>
      </c>
      <c r="M213" s="53">
        <v>4.9342986999999998E-2</v>
      </c>
      <c r="N213" s="41">
        <v>75</v>
      </c>
      <c r="O213" s="52">
        <v>0</v>
      </c>
      <c r="P213" s="52">
        <v>0</v>
      </c>
      <c r="Q213" s="52">
        <v>0</v>
      </c>
      <c r="R213" s="52">
        <v>0</v>
      </c>
      <c r="S213" s="52">
        <v>0</v>
      </c>
      <c r="T213" s="52">
        <v>0</v>
      </c>
      <c r="U213" s="52">
        <v>0</v>
      </c>
      <c r="V213" s="52">
        <v>0.19597698</v>
      </c>
      <c r="W213" s="52">
        <v>5.7996333000000002E-7</v>
      </c>
      <c r="X213" s="52">
        <v>316.65771999999998</v>
      </c>
      <c r="Y213" s="52">
        <v>6.5449333000000001E-4</v>
      </c>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v>0</v>
      </c>
      <c r="AV213" s="52"/>
      <c r="AW213" s="52"/>
      <c r="AX213" s="52">
        <v>0</v>
      </c>
      <c r="AY213" s="52"/>
      <c r="AZ213" s="52"/>
      <c r="BA213" s="52"/>
      <c r="BB213" s="52">
        <v>0</v>
      </c>
      <c r="BC213" s="52">
        <v>0</v>
      </c>
      <c r="BD213" s="52">
        <v>0</v>
      </c>
      <c r="BE213" s="52">
        <v>0</v>
      </c>
      <c r="BF213" s="52"/>
      <c r="BG213" s="52"/>
      <c r="BH213" s="52"/>
      <c r="BI213" s="52"/>
      <c r="BJ213" s="52"/>
      <c r="BK213" s="78">
        <v>0</v>
      </c>
      <c r="BL213" s="41" t="s">
        <v>109</v>
      </c>
      <c r="BM213" s="45"/>
    </row>
    <row r="214" spans="1:65" x14ac:dyDescent="0.35">
      <c r="A214" s="41" t="str">
        <f>Database_Productkaarten[[#This Row],[Product]]&amp;", "&amp;Database_Productkaarten[[#This Row],[Levensfase]]</f>
        <v>WB asfaltmastiek - PCR 1.0, C1</v>
      </c>
      <c r="B214" s="41" t="s">
        <v>1352</v>
      </c>
      <c r="C214" s="41" t="s">
        <v>443</v>
      </c>
      <c r="D214" s="41" t="s">
        <v>474</v>
      </c>
      <c r="E214" s="41" t="s">
        <v>91</v>
      </c>
      <c r="F214" s="41" t="s">
        <v>25</v>
      </c>
      <c r="L214" s="41">
        <v>2</v>
      </c>
      <c r="M214" s="53">
        <v>8.4165796000000001E-2</v>
      </c>
      <c r="N214" s="41">
        <v>75</v>
      </c>
      <c r="O214" s="52">
        <v>2.2208715999999999E-7</v>
      </c>
      <c r="P214" s="52">
        <v>4.5592026999999999E-3</v>
      </c>
      <c r="Q214" s="52">
        <v>0.88076447999999996</v>
      </c>
      <c r="R214" s="52">
        <v>1.1939283000000001E-7</v>
      </c>
      <c r="S214" s="52">
        <v>3.0726663000000003E-4</v>
      </c>
      <c r="T214" s="52">
        <v>2.8098039999999999E-3</v>
      </c>
      <c r="U214" s="52">
        <v>6.0340489000000001E-4</v>
      </c>
      <c r="V214" s="52">
        <v>0.23191322</v>
      </c>
      <c r="W214" s="52">
        <v>3.3066056E-3</v>
      </c>
      <c r="X214" s="52">
        <v>11.151482</v>
      </c>
      <c r="Y214" s="52">
        <v>3.9255155000000001E-4</v>
      </c>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v>5.5759841999999997E-2</v>
      </c>
      <c r="AV214" s="52"/>
      <c r="AW214" s="52"/>
      <c r="AX214" s="52">
        <v>10.220978000000001</v>
      </c>
      <c r="AY214" s="52"/>
      <c r="AZ214" s="52"/>
      <c r="BA214" s="52"/>
      <c r="BB214" s="52">
        <v>1.2595967E-3</v>
      </c>
      <c r="BC214" s="52">
        <v>4.2926843999999997E-6</v>
      </c>
      <c r="BD214" s="52">
        <v>1.0249878E-2</v>
      </c>
      <c r="BE214" s="52">
        <v>6.6858919000000003E-5</v>
      </c>
      <c r="BF214" s="52"/>
      <c r="BG214" s="52"/>
      <c r="BH214" s="52"/>
      <c r="BI214" s="52"/>
      <c r="BJ214" s="52"/>
      <c r="BK214" s="78">
        <v>0</v>
      </c>
      <c r="BL214" s="41" t="s">
        <v>109</v>
      </c>
      <c r="BM214" s="45"/>
    </row>
    <row r="215" spans="1:65" x14ac:dyDescent="0.35">
      <c r="A215" s="41" t="str">
        <f>Database_Productkaarten[[#This Row],[Product]]&amp;", "&amp;Database_Productkaarten[[#This Row],[Levensfase]]</f>
        <v>WB asfaltmastiek - PCR 1.0, C2</v>
      </c>
      <c r="B215" s="41" t="s">
        <v>1352</v>
      </c>
      <c r="C215" s="41" t="s">
        <v>443</v>
      </c>
      <c r="D215" s="41" t="s">
        <v>474</v>
      </c>
      <c r="E215" s="41" t="s">
        <v>91</v>
      </c>
      <c r="F215" s="41" t="s">
        <v>26</v>
      </c>
      <c r="L215" s="41">
        <v>2</v>
      </c>
      <c r="M215" s="53">
        <v>0.96188790000000002</v>
      </c>
      <c r="N215" s="41">
        <v>75</v>
      </c>
      <c r="O215" s="52">
        <v>1.6790396999999999E-5</v>
      </c>
      <c r="P215" s="52">
        <v>6.6045701999999998E-2</v>
      </c>
      <c r="Q215" s="52">
        <v>8.7209053999999995</v>
      </c>
      <c r="R215" s="52">
        <v>1.7336426999999999E-6</v>
      </c>
      <c r="S215" s="52">
        <v>5.4680828999999999E-3</v>
      </c>
      <c r="T215" s="52">
        <v>2.9290009999999998E-2</v>
      </c>
      <c r="U215" s="52">
        <v>5.8153672000000002E-3</v>
      </c>
      <c r="V215" s="52">
        <v>3.0663694000000001</v>
      </c>
      <c r="W215" s="52">
        <v>0.19769922000000001</v>
      </c>
      <c r="X215" s="52">
        <v>517.90637000000004</v>
      </c>
      <c r="Y215" s="52">
        <v>1.8187483000000001E-2</v>
      </c>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v>0</v>
      </c>
      <c r="AV215" s="52"/>
      <c r="AW215" s="52"/>
      <c r="AX215" s="52">
        <v>0</v>
      </c>
      <c r="AY215" s="52"/>
      <c r="AZ215" s="52"/>
      <c r="BA215" s="52"/>
      <c r="BB215" s="52">
        <v>0</v>
      </c>
      <c r="BC215" s="52">
        <v>0</v>
      </c>
      <c r="BD215" s="52">
        <v>0</v>
      </c>
      <c r="BE215" s="52">
        <v>0</v>
      </c>
      <c r="BF215" s="52"/>
      <c r="BG215" s="52"/>
      <c r="BH215" s="52"/>
      <c r="BI215" s="52"/>
      <c r="BJ215" s="52"/>
      <c r="BK215" s="78">
        <v>0</v>
      </c>
      <c r="BL215" s="41" t="s">
        <v>109</v>
      </c>
      <c r="BM215" s="45"/>
    </row>
    <row r="216" spans="1:65" x14ac:dyDescent="0.35">
      <c r="A216" s="41" t="str">
        <f>Database_Productkaarten[[#This Row],[Product]]&amp;", "&amp;Database_Productkaarten[[#This Row],[Levensfase]]</f>
        <v>WB asfaltmastiek - PCR 1.0, C4</v>
      </c>
      <c r="B216" s="41" t="s">
        <v>1352</v>
      </c>
      <c r="C216" s="41" t="s">
        <v>443</v>
      </c>
      <c r="D216" s="41" t="s">
        <v>474</v>
      </c>
      <c r="E216" s="41" t="s">
        <v>91</v>
      </c>
      <c r="F216" s="41" t="s">
        <v>28</v>
      </c>
      <c r="L216" s="41">
        <v>2</v>
      </c>
      <c r="M216" s="53">
        <v>0.74700358</v>
      </c>
      <c r="N216" s="41">
        <v>75</v>
      </c>
      <c r="O216" s="52">
        <v>5.9754661000000001E-6</v>
      </c>
      <c r="P216" s="52">
        <v>7.7588107000000003E-2</v>
      </c>
      <c r="Q216" s="52">
        <v>5.3083710000000002</v>
      </c>
      <c r="R216" s="52">
        <v>1.9141221000000001E-6</v>
      </c>
      <c r="S216" s="52">
        <v>5.7789839000000004E-3</v>
      </c>
      <c r="T216" s="52">
        <v>4.0020355000000001E-2</v>
      </c>
      <c r="U216" s="52">
        <v>7.5688585000000001E-3</v>
      </c>
      <c r="V216" s="52">
        <v>2.3082191000000001</v>
      </c>
      <c r="W216" s="52">
        <v>5.5904124999999999E-2</v>
      </c>
      <c r="X216" s="52">
        <v>195.90810999999999</v>
      </c>
      <c r="Y216" s="52">
        <v>5.7629997000000002E-3</v>
      </c>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v>1.334495</v>
      </c>
      <c r="AV216" s="52"/>
      <c r="AW216" s="52"/>
      <c r="AX216" s="52">
        <v>173.28258</v>
      </c>
      <c r="AY216" s="52"/>
      <c r="AZ216" s="52"/>
      <c r="BA216" s="52"/>
      <c r="BB216" s="52">
        <v>0.16860095</v>
      </c>
      <c r="BC216" s="52">
        <v>1.0912479E-4</v>
      </c>
      <c r="BD216" s="52">
        <v>1004.6596</v>
      </c>
      <c r="BE216" s="52">
        <v>1.0789312000000001E-3</v>
      </c>
      <c r="BF216" s="52"/>
      <c r="BG216" s="52"/>
      <c r="BH216" s="52"/>
      <c r="BI216" s="52"/>
      <c r="BJ216" s="52"/>
      <c r="BK216" s="78">
        <v>0</v>
      </c>
      <c r="BL216" s="41" t="s">
        <v>109</v>
      </c>
      <c r="BM216" s="45"/>
    </row>
    <row r="217" spans="1:65" x14ac:dyDescent="0.35">
      <c r="A217" s="41" t="str">
        <f>Database_Productkaarten[[#This Row],[Product]]&amp;", "&amp;Database_Productkaarten[[#This Row],[Levensfase]]</f>
        <v>WB asfaltmastiek - PCR 1.0, D1</v>
      </c>
      <c r="B217" s="41" t="s">
        <v>1352</v>
      </c>
      <c r="C217" s="41" t="s">
        <v>443</v>
      </c>
      <c r="D217" s="41" t="s">
        <v>474</v>
      </c>
      <c r="E217" s="41" t="s">
        <v>91</v>
      </c>
      <c r="F217" s="41" t="s">
        <v>51</v>
      </c>
      <c r="L217" s="41">
        <v>2</v>
      </c>
      <c r="M217" s="53">
        <v>0</v>
      </c>
      <c r="N217" s="41">
        <v>75</v>
      </c>
      <c r="O217" s="52">
        <v>0</v>
      </c>
      <c r="P217" s="52">
        <v>0</v>
      </c>
      <c r="Q217" s="52">
        <v>0</v>
      </c>
      <c r="R217" s="52">
        <v>0</v>
      </c>
      <c r="S217" s="52">
        <v>0</v>
      </c>
      <c r="T217" s="52">
        <v>0</v>
      </c>
      <c r="U217" s="52">
        <v>0</v>
      </c>
      <c r="V217" s="52">
        <v>0</v>
      </c>
      <c r="W217" s="52">
        <v>0</v>
      </c>
      <c r="X217" s="52">
        <v>0</v>
      </c>
      <c r="Y217" s="52">
        <v>0</v>
      </c>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v>0</v>
      </c>
      <c r="AV217" s="52"/>
      <c r="AW217" s="52"/>
      <c r="AX217" s="52">
        <v>0</v>
      </c>
      <c r="AY217" s="52"/>
      <c r="AZ217" s="52"/>
      <c r="BA217" s="52"/>
      <c r="BB217" s="52">
        <v>0</v>
      </c>
      <c r="BC217" s="52">
        <v>0</v>
      </c>
      <c r="BD217" s="52">
        <v>0</v>
      </c>
      <c r="BE217" s="52">
        <v>0</v>
      </c>
      <c r="BF217" s="52"/>
      <c r="BG217" s="52"/>
      <c r="BH217" s="52"/>
      <c r="BI217" s="52"/>
      <c r="BJ217" s="52"/>
      <c r="BK217" s="78">
        <v>0</v>
      </c>
      <c r="BL217" s="41" t="s">
        <v>109</v>
      </c>
      <c r="BM217" s="45"/>
    </row>
    <row r="218" spans="1:65" x14ac:dyDescent="0.35">
      <c r="A218" s="41" t="str">
        <f>Database_Productkaarten[[#This Row],[Product]]&amp;", "&amp;Database_Productkaarten[[#This Row],[Levensfase]]</f>
        <v>WB asfaltmastiek - PCR 1.0, D2</v>
      </c>
      <c r="B218" s="41" t="s">
        <v>1352</v>
      </c>
      <c r="C218" s="41" t="s">
        <v>443</v>
      </c>
      <c r="D218" s="41" t="s">
        <v>474</v>
      </c>
      <c r="E218" s="41" t="s">
        <v>91</v>
      </c>
      <c r="F218" s="41" t="s">
        <v>52</v>
      </c>
      <c r="L218" s="41">
        <v>2</v>
      </c>
      <c r="M218" s="53">
        <v>0</v>
      </c>
      <c r="N218" s="41">
        <v>75</v>
      </c>
      <c r="O218" s="52">
        <v>0</v>
      </c>
      <c r="P218" s="52">
        <v>0</v>
      </c>
      <c r="Q218" s="52">
        <v>0</v>
      </c>
      <c r="R218" s="52">
        <v>0</v>
      </c>
      <c r="S218" s="52">
        <v>0</v>
      </c>
      <c r="T218" s="52">
        <v>0</v>
      </c>
      <c r="U218" s="52">
        <v>0</v>
      </c>
      <c r="V218" s="52">
        <v>0</v>
      </c>
      <c r="W218" s="52">
        <v>0</v>
      </c>
      <c r="X218" s="52">
        <v>0</v>
      </c>
      <c r="Y218" s="52">
        <v>0</v>
      </c>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v>0</v>
      </c>
      <c r="AV218" s="52"/>
      <c r="AW218" s="52"/>
      <c r="AX218" s="52">
        <v>0</v>
      </c>
      <c r="AY218" s="52"/>
      <c r="AZ218" s="52"/>
      <c r="BA218" s="52"/>
      <c r="BB218" s="52">
        <v>0</v>
      </c>
      <c r="BC218" s="52">
        <v>0</v>
      </c>
      <c r="BD218" s="52">
        <v>0</v>
      </c>
      <c r="BE218" s="52">
        <v>0</v>
      </c>
      <c r="BF218" s="52"/>
      <c r="BG218" s="52"/>
      <c r="BH218" s="52"/>
      <c r="BI218" s="52"/>
      <c r="BJ218" s="52"/>
      <c r="BK218" s="78">
        <v>0</v>
      </c>
      <c r="BL218" s="41" t="s">
        <v>109</v>
      </c>
      <c r="BM218" s="45"/>
    </row>
    <row r="219" spans="1:65" x14ac:dyDescent="0.35">
      <c r="A219" s="41" t="str">
        <f>Database_Productkaarten[[#This Row],[Product]]&amp;", "&amp;Database_Productkaarten[[#This Row],[Levensfase]]</f>
        <v>WB gietasfalt  - PCR 1.0, Totaal</v>
      </c>
      <c r="B219" s="41" t="s">
        <v>1353</v>
      </c>
      <c r="C219" s="41" t="s">
        <v>443</v>
      </c>
      <c r="D219" s="41" t="s">
        <v>475</v>
      </c>
      <c r="E219" s="41" t="s">
        <v>91</v>
      </c>
      <c r="F219" s="41" t="s">
        <v>16</v>
      </c>
      <c r="L219" s="41">
        <v>2.1</v>
      </c>
      <c r="M219" s="53">
        <v>19.260782744013184</v>
      </c>
      <c r="N219" s="41">
        <v>75</v>
      </c>
      <c r="O219" s="52">
        <v>1.4369666335023036E-4</v>
      </c>
      <c r="P219" s="52">
        <v>2.911750045740817</v>
      </c>
      <c r="Q219" s="52">
        <v>158.64836927899691</v>
      </c>
      <c r="R219" s="52">
        <v>1.9161429102723862E-5</v>
      </c>
      <c r="S219" s="52">
        <v>0.28444472405000876</v>
      </c>
      <c r="T219" s="52">
        <v>0.91206786316575006</v>
      </c>
      <c r="U219" s="52">
        <v>9.766250968421275E-2</v>
      </c>
      <c r="V219" s="52">
        <v>41.610375496117577</v>
      </c>
      <c r="W219" s="52">
        <v>4.4388761786025119</v>
      </c>
      <c r="X219" s="52">
        <v>18537.193663894439</v>
      </c>
      <c r="Y219" s="52">
        <v>0.56493705638875102</v>
      </c>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v>39.097080576584652</v>
      </c>
      <c r="AV219" s="52"/>
      <c r="AW219" s="52"/>
      <c r="AX219" s="52">
        <v>6112.861792497114</v>
      </c>
      <c r="AY219" s="52"/>
      <c r="AZ219" s="52"/>
      <c r="BA219" s="52"/>
      <c r="BB219" s="52">
        <v>57.965319001777118</v>
      </c>
      <c r="BC219" s="52">
        <v>2.6527961414354742E-3</v>
      </c>
      <c r="BD219" s="52">
        <v>1015.4482536602212</v>
      </c>
      <c r="BE219" s="52">
        <v>4.440349671326952E-3</v>
      </c>
      <c r="BF219" s="52"/>
      <c r="BG219" s="52"/>
      <c r="BH219" s="52"/>
      <c r="BI219" s="52"/>
      <c r="BJ219" s="52"/>
      <c r="BK219" s="78">
        <v>0</v>
      </c>
      <c r="BL219" s="41" t="s">
        <v>109</v>
      </c>
      <c r="BM219" s="45"/>
    </row>
    <row r="220" spans="1:65" x14ac:dyDescent="0.35">
      <c r="A220" s="41" t="str">
        <f>Database_Productkaarten[[#This Row],[Product]]&amp;", "&amp;Database_Productkaarten[[#This Row],[Levensfase]]</f>
        <v>WB gietasfalt  - PCR 1.0, A1</v>
      </c>
      <c r="B220" s="41" t="s">
        <v>1353</v>
      </c>
      <c r="C220" s="41" t="s">
        <v>443</v>
      </c>
      <c r="D220" s="41" t="s">
        <v>475</v>
      </c>
      <c r="E220" s="41" t="s">
        <v>91</v>
      </c>
      <c r="F220" s="41" t="s">
        <v>19</v>
      </c>
      <c r="L220" s="41">
        <v>2.1</v>
      </c>
      <c r="M220" s="53">
        <v>11.900790594</v>
      </c>
      <c r="N220" s="41">
        <v>75</v>
      </c>
      <c r="O220" s="52">
        <v>6.6213811200000006E-5</v>
      </c>
      <c r="P220" s="52">
        <v>2.3372430505999997</v>
      </c>
      <c r="Q220" s="52">
        <v>88.537642954999995</v>
      </c>
      <c r="R220" s="52">
        <v>7.1620752600000009E-6</v>
      </c>
      <c r="S220" s="52">
        <v>0.24903810464000001</v>
      </c>
      <c r="T220" s="52">
        <v>0.62166694099999997</v>
      </c>
      <c r="U220" s="52">
        <v>4.8074419200000003E-2</v>
      </c>
      <c r="V220" s="52">
        <v>21.412494106</v>
      </c>
      <c r="W220" s="52">
        <v>3.6842773312000001</v>
      </c>
      <c r="X220" s="52">
        <v>16172.032084827999</v>
      </c>
      <c r="Y220" s="52">
        <v>0.45688816980000002</v>
      </c>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v>24.636811641999998</v>
      </c>
      <c r="AV220" s="52"/>
      <c r="AW220" s="52"/>
      <c r="AX220" s="52">
        <v>5274.0531620509992</v>
      </c>
      <c r="AY220" s="52"/>
      <c r="AZ220" s="52"/>
      <c r="BA220" s="52"/>
      <c r="BB220" s="52">
        <v>57.688833577400004</v>
      </c>
      <c r="BC220" s="52">
        <v>1.7911985620000001E-3</v>
      </c>
      <c r="BD220" s="52">
        <v>5.0599481980000007</v>
      </c>
      <c r="BE220" s="52">
        <v>1.4127352919999999E-3</v>
      </c>
      <c r="BF220" s="52"/>
      <c r="BG220" s="52"/>
      <c r="BH220" s="52"/>
      <c r="BI220" s="52"/>
      <c r="BJ220" s="52"/>
      <c r="BK220" s="78">
        <v>0</v>
      </c>
      <c r="BL220" s="41" t="s">
        <v>109</v>
      </c>
      <c r="BM220" s="45"/>
    </row>
    <row r="221" spans="1:65" x14ac:dyDescent="0.35">
      <c r="A221" s="41" t="str">
        <f>Database_Productkaarten[[#This Row],[Product]]&amp;", "&amp;Database_Productkaarten[[#This Row],[Levensfase]]</f>
        <v>WB gietasfalt  - PCR 1.0, A2</v>
      </c>
      <c r="B221" s="41" t="s">
        <v>1353</v>
      </c>
      <c r="C221" s="41" t="s">
        <v>443</v>
      </c>
      <c r="D221" s="41" t="s">
        <v>475</v>
      </c>
      <c r="E221" s="41" t="s">
        <v>91</v>
      </c>
      <c r="F221" s="41" t="s">
        <v>20</v>
      </c>
      <c r="L221" s="41">
        <v>2.1</v>
      </c>
      <c r="M221" s="53">
        <v>1.8697469279999996</v>
      </c>
      <c r="N221" s="41">
        <v>75</v>
      </c>
      <c r="O221" s="52">
        <v>1.8462917203199994E-5</v>
      </c>
      <c r="P221" s="52">
        <v>9.2076016319900006E-2</v>
      </c>
      <c r="Q221" s="52">
        <v>13.168823231250002</v>
      </c>
      <c r="R221" s="52">
        <v>2.2162989969100001E-6</v>
      </c>
      <c r="S221" s="52">
        <v>9.6356319327999991E-3</v>
      </c>
      <c r="T221" s="52">
        <v>0.1307805936034</v>
      </c>
      <c r="U221" s="52">
        <v>1.83922571478E-2</v>
      </c>
      <c r="V221" s="52">
        <v>4.8817780926999994</v>
      </c>
      <c r="W221" s="52">
        <v>0.118455979962</v>
      </c>
      <c r="X221" s="52">
        <v>445.95901624784995</v>
      </c>
      <c r="Y221" s="52">
        <v>1.7740895471299999E-2</v>
      </c>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v>3.3234028744499997</v>
      </c>
      <c r="AV221" s="52"/>
      <c r="AW221" s="52"/>
      <c r="AX221" s="52">
        <v>204.17467017760001</v>
      </c>
      <c r="AY221" s="52"/>
      <c r="AZ221" s="52"/>
      <c r="BA221" s="52"/>
      <c r="BB221" s="52">
        <v>3.88776259857E-2</v>
      </c>
      <c r="BC221" s="52">
        <v>1.2723797509199997E-4</v>
      </c>
      <c r="BD221" s="52">
        <v>5.3624358165999997</v>
      </c>
      <c r="BE221" s="52">
        <v>1.2762521413700002E-3</v>
      </c>
      <c r="BF221" s="52"/>
      <c r="BG221" s="52"/>
      <c r="BH221" s="52"/>
      <c r="BI221" s="52"/>
      <c r="BJ221" s="52"/>
      <c r="BK221" s="78">
        <v>0</v>
      </c>
      <c r="BL221" s="41" t="s">
        <v>109</v>
      </c>
      <c r="BM221" s="45"/>
    </row>
    <row r="222" spans="1:65" x14ac:dyDescent="0.35">
      <c r="A222" s="41" t="str">
        <f>Database_Productkaarten[[#This Row],[Product]]&amp;", "&amp;Database_Productkaarten[[#This Row],[Levensfase]]</f>
        <v>WB gietasfalt  - PCR 1.0, A3</v>
      </c>
      <c r="B222" s="41" t="s">
        <v>1353</v>
      </c>
      <c r="C222" s="41" t="s">
        <v>443</v>
      </c>
      <c r="D222" s="41" t="s">
        <v>475</v>
      </c>
      <c r="E222" s="41" t="s">
        <v>91</v>
      </c>
      <c r="F222" s="41" t="s">
        <v>21</v>
      </c>
      <c r="L222" s="41">
        <v>2.1</v>
      </c>
      <c r="M222" s="53">
        <v>1.802581495013186</v>
      </c>
      <c r="N222" s="41">
        <v>75</v>
      </c>
      <c r="O222" s="52">
        <v>6.4882177870303274E-6</v>
      </c>
      <c r="P222" s="52">
        <v>0.20881234012091798</v>
      </c>
      <c r="Q222" s="52">
        <v>24.773345012746915</v>
      </c>
      <c r="R222" s="52">
        <v>2.724288435813858E-6</v>
      </c>
      <c r="S222" s="52">
        <v>4.0078657672087334E-3</v>
      </c>
      <c r="T222" s="52">
        <v>2.990657266234991E-2</v>
      </c>
      <c r="U222" s="52">
        <v>5.659483546412737E-3</v>
      </c>
      <c r="V222" s="52">
        <v>3.7424224634175647</v>
      </c>
      <c r="W222" s="52">
        <v>2.9639276767492676E-2</v>
      </c>
      <c r="X222" s="52">
        <v>121.40537481859253</v>
      </c>
      <c r="Y222" s="52">
        <v>3.3271303497450937E-2</v>
      </c>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v>9.607211608134655</v>
      </c>
      <c r="AV222" s="52"/>
      <c r="AW222" s="52"/>
      <c r="AX222" s="52">
        <v>425.57795826851412</v>
      </c>
      <c r="AY222" s="52"/>
      <c r="AZ222" s="52"/>
      <c r="BA222" s="52"/>
      <c r="BB222" s="52">
        <v>6.4598259891412976E-2</v>
      </c>
      <c r="BC222" s="52">
        <v>6.1021041894347434E-4</v>
      </c>
      <c r="BD222" s="52">
        <v>0.33039507362122411</v>
      </c>
      <c r="BE222" s="52">
        <v>4.3842481895695144E-4</v>
      </c>
      <c r="BF222" s="52"/>
      <c r="BG222" s="52"/>
      <c r="BH222" s="52"/>
      <c r="BI222" s="52"/>
      <c r="BJ222" s="52"/>
      <c r="BK222" s="78">
        <v>0</v>
      </c>
      <c r="BL222" s="41" t="s">
        <v>109</v>
      </c>
      <c r="BM222" s="45"/>
    </row>
    <row r="223" spans="1:65" x14ac:dyDescent="0.35">
      <c r="A223" s="41" t="str">
        <f>Database_Productkaarten[[#This Row],[Product]]&amp;", "&amp;Database_Productkaarten[[#This Row],[Levensfase]]</f>
        <v>WB gietasfalt  - PCR 1.0, A4</v>
      </c>
      <c r="B223" s="41" t="s">
        <v>1353</v>
      </c>
      <c r="C223" s="41" t="s">
        <v>443</v>
      </c>
      <c r="D223" s="41" t="s">
        <v>475</v>
      </c>
      <c r="E223" s="41" t="s">
        <v>91</v>
      </c>
      <c r="F223" s="41" t="s">
        <v>22</v>
      </c>
      <c r="L223" s="41">
        <v>2.1</v>
      </c>
      <c r="M223" s="53">
        <v>1.6606953</v>
      </c>
      <c r="N223" s="41">
        <v>75</v>
      </c>
      <c r="O223" s="52">
        <v>2.8988548999999999E-5</v>
      </c>
      <c r="P223" s="52">
        <v>0.11402762</v>
      </c>
      <c r="Q223" s="52">
        <v>15.056606</v>
      </c>
      <c r="R223" s="52">
        <v>2.9931267000000001E-6</v>
      </c>
      <c r="S223" s="52">
        <v>9.4406217000000004E-3</v>
      </c>
      <c r="T223" s="52">
        <v>5.0569076999999997E-2</v>
      </c>
      <c r="U223" s="52">
        <v>1.0040207000000001E-2</v>
      </c>
      <c r="V223" s="52">
        <v>5.2940737000000002</v>
      </c>
      <c r="W223" s="52">
        <v>0.34132685000000001</v>
      </c>
      <c r="X223" s="52">
        <v>894.16313000000002</v>
      </c>
      <c r="Y223" s="52">
        <v>3.1400611000000002E-2</v>
      </c>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v>0</v>
      </c>
      <c r="AV223" s="52"/>
      <c r="AW223" s="52"/>
      <c r="AX223" s="52">
        <v>0</v>
      </c>
      <c r="AY223" s="52"/>
      <c r="AZ223" s="52"/>
      <c r="BA223" s="52"/>
      <c r="BB223" s="52">
        <v>0</v>
      </c>
      <c r="BC223" s="52">
        <v>0</v>
      </c>
      <c r="BD223" s="52">
        <v>0</v>
      </c>
      <c r="BE223" s="52">
        <v>0</v>
      </c>
      <c r="BF223" s="52"/>
      <c r="BG223" s="52"/>
      <c r="BH223" s="52"/>
      <c r="BI223" s="52"/>
      <c r="BJ223" s="52"/>
      <c r="BK223" s="78">
        <v>0</v>
      </c>
      <c r="BL223" s="41" t="s">
        <v>109</v>
      </c>
      <c r="BM223" s="45"/>
    </row>
    <row r="224" spans="1:65" x14ac:dyDescent="0.35">
      <c r="A224" s="41" t="str">
        <f>Database_Productkaarten[[#This Row],[Product]]&amp;", "&amp;Database_Productkaarten[[#This Row],[Levensfase]]</f>
        <v>WB gietasfalt  - PCR 1.0, A5</v>
      </c>
      <c r="B224" s="41" t="s">
        <v>1353</v>
      </c>
      <c r="C224" s="41" t="s">
        <v>443</v>
      </c>
      <c r="D224" s="41" t="s">
        <v>475</v>
      </c>
      <c r="E224" s="41" t="s">
        <v>91</v>
      </c>
      <c r="F224" s="41" t="s">
        <v>23</v>
      </c>
      <c r="L224" s="41">
        <v>2.1</v>
      </c>
      <c r="M224" s="53">
        <v>0.21041449000000001</v>
      </c>
      <c r="N224" s="41">
        <v>75</v>
      </c>
      <c r="O224" s="52">
        <v>5.5521790000000002E-7</v>
      </c>
      <c r="P224" s="52">
        <v>1.1398007E-2</v>
      </c>
      <c r="Q224" s="52">
        <v>2.2019112000000001</v>
      </c>
      <c r="R224" s="52">
        <v>2.9848207999999998E-7</v>
      </c>
      <c r="S224" s="52">
        <v>7.6816657999999999E-4</v>
      </c>
      <c r="T224" s="52">
        <v>7.0245098999999998E-3</v>
      </c>
      <c r="U224" s="52">
        <v>1.5085121999999999E-3</v>
      </c>
      <c r="V224" s="52">
        <v>0.57978304000000003</v>
      </c>
      <c r="W224" s="52">
        <v>8.2665138999999995E-3</v>
      </c>
      <c r="X224" s="52">
        <v>27.878706000000001</v>
      </c>
      <c r="Y224" s="52">
        <v>9.8137887999999993E-4</v>
      </c>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v>0.13939961000000001</v>
      </c>
      <c r="AV224" s="52"/>
      <c r="AW224" s="52"/>
      <c r="AX224" s="52">
        <v>25.552444000000001</v>
      </c>
      <c r="AY224" s="52"/>
      <c r="AZ224" s="52"/>
      <c r="BA224" s="52"/>
      <c r="BB224" s="52">
        <v>3.1489918000000001E-3</v>
      </c>
      <c r="BC224" s="52">
        <v>1.0731710999999999E-5</v>
      </c>
      <c r="BD224" s="52">
        <v>2.5624694E-2</v>
      </c>
      <c r="BE224" s="52">
        <v>1.671473E-4</v>
      </c>
      <c r="BF224" s="52"/>
      <c r="BG224" s="52"/>
      <c r="BH224" s="52"/>
      <c r="BI224" s="52"/>
      <c r="BJ224" s="52"/>
      <c r="BK224" s="78">
        <v>0</v>
      </c>
      <c r="BL224" s="41" t="s">
        <v>109</v>
      </c>
      <c r="BM224" s="45"/>
    </row>
    <row r="225" spans="1:65" x14ac:dyDescent="0.35">
      <c r="A225" s="41" t="str">
        <f>Database_Productkaarten[[#This Row],[Product]]&amp;", "&amp;Database_Productkaarten[[#This Row],[Levensfase]]</f>
        <v>WB gietasfalt  - PCR 1.0, B1</v>
      </c>
      <c r="B225" s="41" t="s">
        <v>1353</v>
      </c>
      <c r="C225" s="41" t="s">
        <v>443</v>
      </c>
      <c r="D225" s="41" t="s">
        <v>475</v>
      </c>
      <c r="E225" s="41" t="s">
        <v>91</v>
      </c>
      <c r="F225" s="41" t="s">
        <v>24</v>
      </c>
      <c r="L225" s="41">
        <v>2.1</v>
      </c>
      <c r="M225" s="53">
        <v>2.3496660999999999E-2</v>
      </c>
      <c r="N225" s="41">
        <v>75</v>
      </c>
      <c r="O225" s="52">
        <v>0</v>
      </c>
      <c r="P225" s="52">
        <v>0</v>
      </c>
      <c r="Q225" s="52">
        <v>0</v>
      </c>
      <c r="R225" s="52">
        <v>0</v>
      </c>
      <c r="S225" s="52">
        <v>0</v>
      </c>
      <c r="T225" s="52">
        <v>0</v>
      </c>
      <c r="U225" s="52">
        <v>0</v>
      </c>
      <c r="V225" s="52">
        <v>9.3322374E-2</v>
      </c>
      <c r="W225" s="52">
        <v>2.7617302000000001E-7</v>
      </c>
      <c r="X225" s="52">
        <v>150.78939</v>
      </c>
      <c r="Y225" s="52">
        <v>3.1166348999999999E-4</v>
      </c>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v>0</v>
      </c>
      <c r="AV225" s="52"/>
      <c r="AW225" s="52"/>
      <c r="AX225" s="52">
        <v>0</v>
      </c>
      <c r="AY225" s="52"/>
      <c r="AZ225" s="52"/>
      <c r="BA225" s="52"/>
      <c r="BB225" s="52">
        <v>0</v>
      </c>
      <c r="BC225" s="52">
        <v>0</v>
      </c>
      <c r="BD225" s="52">
        <v>0</v>
      </c>
      <c r="BE225" s="52">
        <v>0</v>
      </c>
      <c r="BF225" s="52"/>
      <c r="BG225" s="52"/>
      <c r="BH225" s="52"/>
      <c r="BI225" s="52"/>
      <c r="BJ225" s="52"/>
      <c r="BK225" s="78">
        <v>0</v>
      </c>
      <c r="BL225" s="41" t="s">
        <v>109</v>
      </c>
      <c r="BM225" s="45"/>
    </row>
    <row r="226" spans="1:65" x14ac:dyDescent="0.35">
      <c r="A226" s="41" t="str">
        <f>Database_Productkaarten[[#This Row],[Product]]&amp;", "&amp;Database_Productkaarten[[#This Row],[Levensfase]]</f>
        <v>WB gietasfalt  - PCR 1.0, C1</v>
      </c>
      <c r="B226" s="41" t="s">
        <v>1353</v>
      </c>
      <c r="C226" s="41" t="s">
        <v>443</v>
      </c>
      <c r="D226" s="41" t="s">
        <v>475</v>
      </c>
      <c r="E226" s="41" t="s">
        <v>91</v>
      </c>
      <c r="F226" s="41" t="s">
        <v>25</v>
      </c>
      <c r="L226" s="41">
        <v>2.1</v>
      </c>
      <c r="M226" s="53">
        <v>8.4165796000000001E-2</v>
      </c>
      <c r="N226" s="41">
        <v>75</v>
      </c>
      <c r="O226" s="52">
        <v>2.2208715999999999E-7</v>
      </c>
      <c r="P226" s="52">
        <v>4.5592026999999999E-3</v>
      </c>
      <c r="Q226" s="52">
        <v>0.88076447999999996</v>
      </c>
      <c r="R226" s="52">
        <v>1.1939283000000001E-7</v>
      </c>
      <c r="S226" s="52">
        <v>3.0726663000000003E-4</v>
      </c>
      <c r="T226" s="52">
        <v>2.8098039999999999E-3</v>
      </c>
      <c r="U226" s="52">
        <v>6.0340489000000001E-4</v>
      </c>
      <c r="V226" s="52">
        <v>0.23191322</v>
      </c>
      <c r="W226" s="52">
        <v>3.3066056E-3</v>
      </c>
      <c r="X226" s="52">
        <v>11.151482</v>
      </c>
      <c r="Y226" s="52">
        <v>3.9255155000000001E-4</v>
      </c>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v>5.5759841999999997E-2</v>
      </c>
      <c r="AV226" s="52"/>
      <c r="AW226" s="52"/>
      <c r="AX226" s="52">
        <v>10.220978000000001</v>
      </c>
      <c r="AY226" s="52"/>
      <c r="AZ226" s="52"/>
      <c r="BA226" s="52"/>
      <c r="BB226" s="52">
        <v>1.2595967E-3</v>
      </c>
      <c r="BC226" s="52">
        <v>4.2926843999999997E-6</v>
      </c>
      <c r="BD226" s="52">
        <v>1.0249878E-2</v>
      </c>
      <c r="BE226" s="52">
        <v>6.6858919000000003E-5</v>
      </c>
      <c r="BF226" s="52"/>
      <c r="BG226" s="52"/>
      <c r="BH226" s="52"/>
      <c r="BI226" s="52"/>
      <c r="BJ226" s="52"/>
      <c r="BK226" s="78">
        <v>0</v>
      </c>
      <c r="BL226" s="41" t="s">
        <v>109</v>
      </c>
      <c r="BM226" s="45"/>
    </row>
    <row r="227" spans="1:65" x14ac:dyDescent="0.35">
      <c r="A227" s="41" t="str">
        <f>Database_Productkaarten[[#This Row],[Product]]&amp;", "&amp;Database_Productkaarten[[#This Row],[Levensfase]]</f>
        <v>WB gietasfalt  - PCR 1.0, C2</v>
      </c>
      <c r="B227" s="41" t="s">
        <v>1353</v>
      </c>
      <c r="C227" s="41" t="s">
        <v>443</v>
      </c>
      <c r="D227" s="41" t="s">
        <v>475</v>
      </c>
      <c r="E227" s="41" t="s">
        <v>91</v>
      </c>
      <c r="F227" s="41" t="s">
        <v>26</v>
      </c>
      <c r="L227" s="41">
        <v>2.1</v>
      </c>
      <c r="M227" s="53">
        <v>0.96188790000000002</v>
      </c>
      <c r="N227" s="41">
        <v>75</v>
      </c>
      <c r="O227" s="52">
        <v>1.6790396999999999E-5</v>
      </c>
      <c r="P227" s="52">
        <v>6.6045701999999998E-2</v>
      </c>
      <c r="Q227" s="52">
        <v>8.7209053999999995</v>
      </c>
      <c r="R227" s="52">
        <v>1.7336426999999999E-6</v>
      </c>
      <c r="S227" s="52">
        <v>5.4680828999999999E-3</v>
      </c>
      <c r="T227" s="52">
        <v>2.9290009999999998E-2</v>
      </c>
      <c r="U227" s="52">
        <v>5.8153672000000002E-3</v>
      </c>
      <c r="V227" s="52">
        <v>3.0663694000000001</v>
      </c>
      <c r="W227" s="52">
        <v>0.19769922000000001</v>
      </c>
      <c r="X227" s="52">
        <v>517.90637000000004</v>
      </c>
      <c r="Y227" s="52">
        <v>1.8187483000000001E-2</v>
      </c>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v>0</v>
      </c>
      <c r="AV227" s="52"/>
      <c r="AW227" s="52"/>
      <c r="AX227" s="52">
        <v>0</v>
      </c>
      <c r="AY227" s="52"/>
      <c r="AZ227" s="52"/>
      <c r="BA227" s="52"/>
      <c r="BB227" s="52">
        <v>0</v>
      </c>
      <c r="BC227" s="52">
        <v>0</v>
      </c>
      <c r="BD227" s="52">
        <v>0</v>
      </c>
      <c r="BE227" s="52">
        <v>0</v>
      </c>
      <c r="BF227" s="52"/>
      <c r="BG227" s="52"/>
      <c r="BH227" s="52"/>
      <c r="BI227" s="52"/>
      <c r="BJ227" s="52"/>
      <c r="BK227" s="78">
        <v>0</v>
      </c>
      <c r="BL227" s="41" t="s">
        <v>109</v>
      </c>
      <c r="BM227" s="45"/>
    </row>
    <row r="228" spans="1:65" x14ac:dyDescent="0.35">
      <c r="A228" s="41" t="str">
        <f>Database_Productkaarten[[#This Row],[Product]]&amp;", "&amp;Database_Productkaarten[[#This Row],[Levensfase]]</f>
        <v>WB gietasfalt  - PCR 1.0, C4</v>
      </c>
      <c r="B228" s="41" t="s">
        <v>1353</v>
      </c>
      <c r="C228" s="41" t="s">
        <v>443</v>
      </c>
      <c r="D228" s="41" t="s">
        <v>475</v>
      </c>
      <c r="E228" s="41" t="s">
        <v>91</v>
      </c>
      <c r="F228" s="41" t="s">
        <v>28</v>
      </c>
      <c r="L228" s="41">
        <v>2.1</v>
      </c>
      <c r="M228" s="53">
        <v>0.74700358</v>
      </c>
      <c r="N228" s="41">
        <v>75</v>
      </c>
      <c r="O228" s="52">
        <v>5.9754661000000001E-6</v>
      </c>
      <c r="P228" s="52">
        <v>7.7588107000000003E-2</v>
      </c>
      <c r="Q228" s="52">
        <v>5.3083710000000002</v>
      </c>
      <c r="R228" s="52">
        <v>1.9141221000000001E-6</v>
      </c>
      <c r="S228" s="52">
        <v>5.7789839000000004E-3</v>
      </c>
      <c r="T228" s="52">
        <v>4.0020355000000001E-2</v>
      </c>
      <c r="U228" s="52">
        <v>7.5688585000000001E-3</v>
      </c>
      <c r="V228" s="52">
        <v>2.3082191000000001</v>
      </c>
      <c r="W228" s="52">
        <v>5.5904124999999999E-2</v>
      </c>
      <c r="X228" s="52">
        <v>195.90810999999999</v>
      </c>
      <c r="Y228" s="52">
        <v>5.7629997000000002E-3</v>
      </c>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v>1.334495</v>
      </c>
      <c r="AV228" s="52"/>
      <c r="AW228" s="52"/>
      <c r="AX228" s="52">
        <v>173.28258</v>
      </c>
      <c r="AY228" s="52"/>
      <c r="AZ228" s="52"/>
      <c r="BA228" s="52"/>
      <c r="BB228" s="52">
        <v>0.16860095</v>
      </c>
      <c r="BC228" s="52">
        <v>1.0912479E-4</v>
      </c>
      <c r="BD228" s="52">
        <v>1004.6596</v>
      </c>
      <c r="BE228" s="52">
        <v>1.0789312000000001E-3</v>
      </c>
      <c r="BF228" s="52"/>
      <c r="BG228" s="52"/>
      <c r="BH228" s="52"/>
      <c r="BI228" s="52"/>
      <c r="BJ228" s="52"/>
      <c r="BK228" s="78">
        <v>0</v>
      </c>
      <c r="BL228" s="41" t="s">
        <v>109</v>
      </c>
      <c r="BM228" s="45"/>
    </row>
    <row r="229" spans="1:65" x14ac:dyDescent="0.35">
      <c r="A229" s="41" t="str">
        <f>Database_Productkaarten[[#This Row],[Product]]&amp;", "&amp;Database_Productkaarten[[#This Row],[Levensfase]]</f>
        <v>WB gietasfalt  - PCR 1.0, D1</v>
      </c>
      <c r="B229" s="41" t="s">
        <v>1353</v>
      </c>
      <c r="C229" s="41" t="s">
        <v>443</v>
      </c>
      <c r="D229" s="41" t="s">
        <v>475</v>
      </c>
      <c r="E229" s="41" t="s">
        <v>91</v>
      </c>
      <c r="F229" s="41" t="s">
        <v>51</v>
      </c>
      <c r="L229" s="41">
        <v>2.1</v>
      </c>
      <c r="M229" s="53">
        <v>0</v>
      </c>
      <c r="N229" s="41">
        <v>75</v>
      </c>
      <c r="O229" s="52">
        <v>0</v>
      </c>
      <c r="P229" s="52">
        <v>0</v>
      </c>
      <c r="Q229" s="52">
        <v>0</v>
      </c>
      <c r="R229" s="52">
        <v>0</v>
      </c>
      <c r="S229" s="52">
        <v>0</v>
      </c>
      <c r="T229" s="52">
        <v>0</v>
      </c>
      <c r="U229" s="52">
        <v>0</v>
      </c>
      <c r="V229" s="52">
        <v>0</v>
      </c>
      <c r="W229" s="52">
        <v>0</v>
      </c>
      <c r="X229" s="52">
        <v>0</v>
      </c>
      <c r="Y229" s="52">
        <v>0</v>
      </c>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v>0</v>
      </c>
      <c r="AV229" s="52"/>
      <c r="AW229" s="52"/>
      <c r="AX229" s="52">
        <v>0</v>
      </c>
      <c r="AY229" s="52"/>
      <c r="AZ229" s="52"/>
      <c r="BA229" s="52"/>
      <c r="BB229" s="52">
        <v>0</v>
      </c>
      <c r="BC229" s="52">
        <v>0</v>
      </c>
      <c r="BD229" s="52">
        <v>0</v>
      </c>
      <c r="BE229" s="52">
        <v>0</v>
      </c>
      <c r="BF229" s="52"/>
      <c r="BG229" s="52"/>
      <c r="BH229" s="52"/>
      <c r="BI229" s="52"/>
      <c r="BJ229" s="52"/>
      <c r="BK229" s="78">
        <v>0</v>
      </c>
      <c r="BL229" s="41" t="s">
        <v>109</v>
      </c>
      <c r="BM229" s="45"/>
    </row>
    <row r="230" spans="1:65" x14ac:dyDescent="0.35">
      <c r="A230" s="41" t="str">
        <f>Database_Productkaarten[[#This Row],[Product]]&amp;", "&amp;Database_Productkaarten[[#This Row],[Levensfase]]</f>
        <v>WB gietasfalt  - PCR 1.0, D2</v>
      </c>
      <c r="B230" s="41" t="s">
        <v>1353</v>
      </c>
      <c r="C230" s="41" t="s">
        <v>443</v>
      </c>
      <c r="D230" s="41" t="s">
        <v>475</v>
      </c>
      <c r="E230" s="41" t="s">
        <v>91</v>
      </c>
      <c r="F230" s="41" t="s">
        <v>52</v>
      </c>
      <c r="L230" s="41">
        <v>2.1</v>
      </c>
      <c r="M230" s="53">
        <v>0</v>
      </c>
      <c r="N230" s="41">
        <v>75</v>
      </c>
      <c r="O230" s="52">
        <v>0</v>
      </c>
      <c r="P230" s="52">
        <v>0</v>
      </c>
      <c r="Q230" s="52">
        <v>0</v>
      </c>
      <c r="R230" s="52">
        <v>0</v>
      </c>
      <c r="S230" s="52">
        <v>0</v>
      </c>
      <c r="T230" s="52">
        <v>0</v>
      </c>
      <c r="U230" s="52">
        <v>0</v>
      </c>
      <c r="V230" s="52">
        <v>0</v>
      </c>
      <c r="W230" s="52">
        <v>0</v>
      </c>
      <c r="X230" s="52">
        <v>0</v>
      </c>
      <c r="Y230" s="52">
        <v>0</v>
      </c>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v>0</v>
      </c>
      <c r="AV230" s="52"/>
      <c r="AW230" s="52"/>
      <c r="AX230" s="52">
        <v>0</v>
      </c>
      <c r="AY230" s="52"/>
      <c r="AZ230" s="52"/>
      <c r="BA230" s="52"/>
      <c r="BB230" s="52">
        <v>0</v>
      </c>
      <c r="BC230" s="52">
        <v>0</v>
      </c>
      <c r="BD230" s="52">
        <v>0</v>
      </c>
      <c r="BE230" s="52">
        <v>0</v>
      </c>
      <c r="BF230" s="52"/>
      <c r="BG230" s="52"/>
      <c r="BH230" s="52"/>
      <c r="BI230" s="52"/>
      <c r="BJ230" s="52"/>
      <c r="BK230" s="78">
        <v>0</v>
      </c>
      <c r="BL230" s="41" t="s">
        <v>109</v>
      </c>
      <c r="BM230" s="45"/>
    </row>
    <row r="231" spans="1:65" x14ac:dyDescent="0.35">
      <c r="A231" s="41" t="str">
        <f>Database_Productkaarten[[#This Row],[Product]]&amp;", "&amp;Database_Productkaarten[[#This Row],[Levensfase]]</f>
        <v>ZOAB Regulier - PCR 1.0, Totaal</v>
      </c>
      <c r="B231" s="41" t="s">
        <v>1354</v>
      </c>
      <c r="C231" s="41" t="s">
        <v>443</v>
      </c>
      <c r="D231" s="41" t="s">
        <v>469</v>
      </c>
      <c r="E231" s="41" t="s">
        <v>91</v>
      </c>
      <c r="F231" s="41" t="s">
        <v>16</v>
      </c>
      <c r="L231" s="41">
        <v>2</v>
      </c>
      <c r="M231" s="53">
        <v>8.1112845037735664</v>
      </c>
      <c r="N231" s="41">
        <v>12</v>
      </c>
      <c r="O231" s="52">
        <v>6.7787806764216E-5</v>
      </c>
      <c r="P231" s="52">
        <v>0.86663644884847435</v>
      </c>
      <c r="Q231" s="52">
        <v>69.283417823022575</v>
      </c>
      <c r="R231" s="52">
        <v>8.3310270646936262E-6</v>
      </c>
      <c r="S231" s="52">
        <v>7.4581720953815822E-2</v>
      </c>
      <c r="T231" s="52">
        <v>0.3255023661278108</v>
      </c>
      <c r="U231" s="52">
        <v>4.0766820329413096E-2</v>
      </c>
      <c r="V231" s="52">
        <v>19.343298618272712</v>
      </c>
      <c r="W231" s="52">
        <v>4.3198321421919337</v>
      </c>
      <c r="X231" s="52">
        <v>8094.4799559591193</v>
      </c>
      <c r="Y231" s="52">
        <v>0.16954923952599016</v>
      </c>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v>17.438235416071073</v>
      </c>
      <c r="AV231" s="52"/>
      <c r="AW231" s="52"/>
      <c r="AX231" s="52">
        <v>1722.1284322813624</v>
      </c>
      <c r="AY231" s="52"/>
      <c r="AZ231" s="52"/>
      <c r="BA231" s="52"/>
      <c r="BB231" s="52">
        <v>12.593075134289592</v>
      </c>
      <c r="BC231" s="52">
        <v>9.6737789197495457E-4</v>
      </c>
      <c r="BD231" s="52">
        <v>2.9958267771409557</v>
      </c>
      <c r="BE231" s="52">
        <v>1.9562073933623234E-3</v>
      </c>
      <c r="BF231" s="52"/>
      <c r="BG231" s="52"/>
      <c r="BH231" s="52"/>
      <c r="BI231" s="52"/>
      <c r="BJ231" s="52"/>
      <c r="BK231" s="78">
        <v>0</v>
      </c>
      <c r="BL231" s="41" t="s">
        <v>109</v>
      </c>
      <c r="BM231" s="45"/>
    </row>
    <row r="232" spans="1:65" x14ac:dyDescent="0.35">
      <c r="A232" s="41" t="str">
        <f>Database_Productkaarten[[#This Row],[Product]]&amp;", "&amp;Database_Productkaarten[[#This Row],[Levensfase]]</f>
        <v>ZOAB Regulier - PCR 1.0, A1</v>
      </c>
      <c r="B232" s="41" t="s">
        <v>1354</v>
      </c>
      <c r="C232" s="41" t="s">
        <v>443</v>
      </c>
      <c r="D232" s="41" t="s">
        <v>469</v>
      </c>
      <c r="E232" s="41" t="s">
        <v>91</v>
      </c>
      <c r="F232" s="41" t="s">
        <v>19</v>
      </c>
      <c r="L232" s="41">
        <v>2</v>
      </c>
      <c r="M232" s="53">
        <v>7.1340627120000004</v>
      </c>
      <c r="N232" s="41">
        <v>12</v>
      </c>
      <c r="O232" s="52">
        <v>9.3155686400000028E-5</v>
      </c>
      <c r="P232" s="52">
        <v>1.1222008817</v>
      </c>
      <c r="Q232" s="52">
        <v>59.748711356000001</v>
      </c>
      <c r="R232" s="52">
        <v>4.3801979700000001E-6</v>
      </c>
      <c r="S232" s="52">
        <v>0.11961337508000001</v>
      </c>
      <c r="T232" s="52">
        <v>0.35486823950000002</v>
      </c>
      <c r="U232" s="52">
        <v>3.6976672400000007E-2</v>
      </c>
      <c r="V232" s="52">
        <v>12.921095377</v>
      </c>
      <c r="W232" s="52">
        <v>1.7095732849000003</v>
      </c>
      <c r="X232" s="52">
        <v>7469.3312525300007</v>
      </c>
      <c r="Y232" s="52">
        <v>0.23857641510000002</v>
      </c>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v>22.944218662000004</v>
      </c>
      <c r="AV232" s="52"/>
      <c r="AW232" s="52"/>
      <c r="AX232" s="52">
        <v>2533.748071905</v>
      </c>
      <c r="AY232" s="52"/>
      <c r="AZ232" s="52"/>
      <c r="BA232" s="52"/>
      <c r="BB232" s="52">
        <v>25.772974326300002</v>
      </c>
      <c r="BC232" s="52">
        <v>8.7350213900000005E-4</v>
      </c>
      <c r="BD232" s="52">
        <v>2.7264612820000003</v>
      </c>
      <c r="BE232" s="52">
        <v>1.5513410740000001E-3</v>
      </c>
      <c r="BF232" s="52"/>
      <c r="BG232" s="52"/>
      <c r="BH232" s="52"/>
      <c r="BI232" s="52"/>
      <c r="BJ232" s="52"/>
      <c r="BK232" s="78">
        <v>0</v>
      </c>
      <c r="BL232" s="41" t="s">
        <v>109</v>
      </c>
      <c r="BM232" s="45"/>
    </row>
    <row r="233" spans="1:65" x14ac:dyDescent="0.35">
      <c r="A233" s="41" t="str">
        <f>Database_Productkaarten[[#This Row],[Product]]&amp;", "&amp;Database_Productkaarten[[#This Row],[Levensfase]]</f>
        <v>ZOAB Regulier - PCR 1.0, A2</v>
      </c>
      <c r="B233" s="41" t="s">
        <v>1354</v>
      </c>
      <c r="C233" s="41" t="s">
        <v>443</v>
      </c>
      <c r="D233" s="41" t="s">
        <v>469</v>
      </c>
      <c r="E233" s="41" t="s">
        <v>91</v>
      </c>
      <c r="F233" s="41" t="s">
        <v>20</v>
      </c>
      <c r="L233" s="41">
        <v>2</v>
      </c>
      <c r="M233" s="53">
        <v>2.6949982729950004</v>
      </c>
      <c r="N233" s="41">
        <v>12</v>
      </c>
      <c r="O233" s="52">
        <v>1.5878324348389997E-5</v>
      </c>
      <c r="P233" s="52">
        <v>0.11292817848900001</v>
      </c>
      <c r="Q233" s="52">
        <v>16.131817090548001</v>
      </c>
      <c r="R233" s="52">
        <v>2.6765108258000001E-6</v>
      </c>
      <c r="S233" s="52">
        <v>1.4278984446699998E-2</v>
      </c>
      <c r="T233" s="52">
        <v>0.23509236310620005</v>
      </c>
      <c r="U233" s="52">
        <v>2.5486231055800005E-2</v>
      </c>
      <c r="V233" s="52">
        <v>6.7391548997680006</v>
      </c>
      <c r="W233" s="52">
        <v>0.1428745167428</v>
      </c>
      <c r="X233" s="52">
        <v>597.76107315322702</v>
      </c>
      <c r="Y233" s="52">
        <v>2.2669454678200002E-2</v>
      </c>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v>4.5306474319230006</v>
      </c>
      <c r="AV233" s="52"/>
      <c r="AW233" s="52"/>
      <c r="AX233" s="52">
        <v>250.22340405459701</v>
      </c>
      <c r="AY233" s="52"/>
      <c r="AZ233" s="52"/>
      <c r="BA233" s="52"/>
      <c r="BB233" s="52">
        <v>4.5229357715700004E-2</v>
      </c>
      <c r="BC233" s="52">
        <v>1.4761765820739999E-4</v>
      </c>
      <c r="BD233" s="52">
        <v>4.4763891617620013</v>
      </c>
      <c r="BE233" s="52">
        <v>1.5545043975199999E-3</v>
      </c>
      <c r="BF233" s="52"/>
      <c r="BG233" s="52"/>
      <c r="BH233" s="52"/>
      <c r="BI233" s="52"/>
      <c r="BJ233" s="52"/>
      <c r="BK233" s="78">
        <v>0</v>
      </c>
      <c r="BL233" s="41" t="s">
        <v>109</v>
      </c>
      <c r="BM233" s="45"/>
    </row>
    <row r="234" spans="1:65" x14ac:dyDescent="0.35">
      <c r="A234" s="41" t="str">
        <f>Database_Productkaarten[[#This Row],[Product]]&amp;", "&amp;Database_Productkaarten[[#This Row],[Levensfase]]</f>
        <v>ZOAB Regulier - PCR 1.0, A3</v>
      </c>
      <c r="B234" s="41" t="s">
        <v>1354</v>
      </c>
      <c r="C234" s="41" t="s">
        <v>443</v>
      </c>
      <c r="D234" s="41" t="s">
        <v>469</v>
      </c>
      <c r="E234" s="41" t="s">
        <v>91</v>
      </c>
      <c r="F234" s="41" t="s">
        <v>21</v>
      </c>
      <c r="L234" s="41">
        <v>2</v>
      </c>
      <c r="M234" s="53">
        <v>1.5185990802151694</v>
      </c>
      <c r="N234" s="41">
        <v>12</v>
      </c>
      <c r="O234" s="52">
        <v>4.482238571972677E-6</v>
      </c>
      <c r="P234" s="52">
        <v>0.17553034328457348</v>
      </c>
      <c r="Q234" s="52">
        <v>20.662367042460559</v>
      </c>
      <c r="R234" s="52">
        <v>2.3542155697634425E-6</v>
      </c>
      <c r="S234" s="52">
        <v>3.394202922411581E-3</v>
      </c>
      <c r="T234" s="52">
        <v>2.341286321016188E-2</v>
      </c>
      <c r="U234" s="52">
        <v>4.3039364148497409E-3</v>
      </c>
      <c r="V234" s="52">
        <v>3.4107535854662618</v>
      </c>
      <c r="W234" s="52">
        <v>2.2597493439002938E-2</v>
      </c>
      <c r="X234" s="52">
        <v>91.573844840287094</v>
      </c>
      <c r="Y234" s="52">
        <v>2.243368685160672E-2</v>
      </c>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v>6.4437049097398731</v>
      </c>
      <c r="AV234" s="52"/>
      <c r="AW234" s="52"/>
      <c r="AX234" s="52">
        <v>358.55510419501564</v>
      </c>
      <c r="AY234" s="52"/>
      <c r="AZ234" s="52"/>
      <c r="BA234" s="52"/>
      <c r="BB234" s="52">
        <v>4.2963486729940562E-2</v>
      </c>
      <c r="BC234" s="52">
        <v>4.8838005325153085E-4</v>
      </c>
      <c r="BD234" s="52">
        <v>0.24121094981487284</v>
      </c>
      <c r="BE234" s="52">
        <v>3.4419923898692948E-4</v>
      </c>
      <c r="BF234" s="52"/>
      <c r="BG234" s="52"/>
      <c r="BH234" s="52"/>
      <c r="BI234" s="52"/>
      <c r="BJ234" s="52"/>
      <c r="BK234" s="78">
        <v>0</v>
      </c>
      <c r="BL234" s="41" t="s">
        <v>109</v>
      </c>
      <c r="BM234" s="45"/>
    </row>
    <row r="235" spans="1:65" x14ac:dyDescent="0.35">
      <c r="A235" s="41" t="str">
        <f>Database_Productkaarten[[#This Row],[Product]]&amp;", "&amp;Database_Productkaarten[[#This Row],[Levensfase]]</f>
        <v>ZOAB Regulier - PCR 1.0, A4</v>
      </c>
      <c r="B235" s="41" t="s">
        <v>1354</v>
      </c>
      <c r="C235" s="41" t="s">
        <v>443</v>
      </c>
      <c r="D235" s="41" t="s">
        <v>469</v>
      </c>
      <c r="E235" s="41" t="s">
        <v>91</v>
      </c>
      <c r="F235" s="41" t="s">
        <v>22</v>
      </c>
      <c r="L235" s="41">
        <v>2</v>
      </c>
      <c r="M235" s="53">
        <v>0.62892669999999995</v>
      </c>
      <c r="N235" s="41">
        <v>12</v>
      </c>
      <c r="O235" s="52">
        <v>1.0978337000000001E-5</v>
      </c>
      <c r="P235" s="52">
        <v>4.3183727999999998E-2</v>
      </c>
      <c r="Q235" s="52">
        <v>5.7021305</v>
      </c>
      <c r="R235" s="52">
        <v>1.1335356E-6</v>
      </c>
      <c r="S235" s="52">
        <v>3.5752850000000001E-3</v>
      </c>
      <c r="T235" s="52">
        <v>1.9151161E-2</v>
      </c>
      <c r="U235" s="52">
        <v>3.8023555000000001E-3</v>
      </c>
      <c r="V235" s="52">
        <v>2.0049337999999999</v>
      </c>
      <c r="W235" s="52">
        <v>0.12926487</v>
      </c>
      <c r="X235" s="52">
        <v>338.63108999999997</v>
      </c>
      <c r="Y235" s="52">
        <v>1.1891815999999999E-2</v>
      </c>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v>0</v>
      </c>
      <c r="AV235" s="52"/>
      <c r="AW235" s="52"/>
      <c r="AX235" s="52">
        <v>0</v>
      </c>
      <c r="AY235" s="52"/>
      <c r="AZ235" s="52"/>
      <c r="BA235" s="52"/>
      <c r="BB235" s="52">
        <v>0</v>
      </c>
      <c r="BC235" s="52">
        <v>0</v>
      </c>
      <c r="BD235" s="52">
        <v>0</v>
      </c>
      <c r="BE235" s="52">
        <v>0</v>
      </c>
      <c r="BF235" s="52"/>
      <c r="BG235" s="52"/>
      <c r="BH235" s="52"/>
      <c r="BI235" s="52"/>
      <c r="BJ235" s="52"/>
      <c r="BK235" s="78">
        <v>0</v>
      </c>
      <c r="BL235" s="41" t="s">
        <v>109</v>
      </c>
      <c r="BM235" s="45"/>
    </row>
    <row r="236" spans="1:65" x14ac:dyDescent="0.35">
      <c r="A236" s="41" t="str">
        <f>Database_Productkaarten[[#This Row],[Product]]&amp;", "&amp;Database_Productkaarten[[#This Row],[Levensfase]]</f>
        <v>ZOAB Regulier - PCR 1.0, A5</v>
      </c>
      <c r="B236" s="41" t="s">
        <v>1354</v>
      </c>
      <c r="C236" s="41" t="s">
        <v>443</v>
      </c>
      <c r="D236" s="41" t="s">
        <v>469</v>
      </c>
      <c r="E236" s="41" t="s">
        <v>91</v>
      </c>
      <c r="F236" s="41" t="s">
        <v>23</v>
      </c>
      <c r="L236" s="41">
        <v>2</v>
      </c>
      <c r="M236" s="53">
        <v>0.14272683999999999</v>
      </c>
      <c r="N236" s="41">
        <v>12</v>
      </c>
      <c r="O236" s="52">
        <v>3.5533945000000002E-7</v>
      </c>
      <c r="P236" s="52">
        <v>7.2947244E-3</v>
      </c>
      <c r="Q236" s="52">
        <v>1.4092232</v>
      </c>
      <c r="R236" s="52">
        <v>1.9102853E-7</v>
      </c>
      <c r="S236" s="52">
        <v>5.2450969E-4</v>
      </c>
      <c r="T236" s="52">
        <v>5.7148863000000003E-3</v>
      </c>
      <c r="U236" s="52">
        <v>1.2824398000000001E-3</v>
      </c>
      <c r="V236" s="52">
        <v>0.3740175</v>
      </c>
      <c r="W236" s="52">
        <v>5.2905688999999997E-3</v>
      </c>
      <c r="X236" s="52">
        <v>17.842372000000001</v>
      </c>
      <c r="Y236" s="52">
        <v>6.2808248E-4</v>
      </c>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v>8.9215747999999997E-2</v>
      </c>
      <c r="AV236" s="52"/>
      <c r="AW236" s="52"/>
      <c r="AX236" s="52">
        <v>16.353563999999999</v>
      </c>
      <c r="AY236" s="52"/>
      <c r="AZ236" s="52"/>
      <c r="BA236" s="52"/>
      <c r="BB236" s="52">
        <v>2.0153547999999999E-3</v>
      </c>
      <c r="BC236" s="52">
        <v>6.8682951000000004E-6</v>
      </c>
      <c r="BD236" s="52">
        <v>1.6399804E-2</v>
      </c>
      <c r="BE236" s="52">
        <v>1.0697427E-4</v>
      </c>
      <c r="BF236" s="52"/>
      <c r="BG236" s="52"/>
      <c r="BH236" s="52"/>
      <c r="BI236" s="52"/>
      <c r="BJ236" s="52"/>
      <c r="BK236" s="78">
        <v>0</v>
      </c>
      <c r="BL236" s="41" t="s">
        <v>109</v>
      </c>
      <c r="BM236" s="45"/>
    </row>
    <row r="237" spans="1:65" x14ac:dyDescent="0.35">
      <c r="A237" s="41" t="str">
        <f>Database_Productkaarten[[#This Row],[Product]]&amp;", "&amp;Database_Productkaarten[[#This Row],[Levensfase]]</f>
        <v>ZOAB Regulier - PCR 1.0, B1</v>
      </c>
      <c r="B237" s="41" t="s">
        <v>1354</v>
      </c>
      <c r="C237" s="41" t="s">
        <v>443</v>
      </c>
      <c r="D237" s="41" t="s">
        <v>469</v>
      </c>
      <c r="E237" s="41" t="s">
        <v>91</v>
      </c>
      <c r="F237" s="41" t="s">
        <v>24</v>
      </c>
      <c r="L237" s="41">
        <v>2</v>
      </c>
      <c r="M237" s="53">
        <v>0.63803195999999995</v>
      </c>
      <c r="N237" s="41">
        <v>12</v>
      </c>
      <c r="O237" s="52">
        <v>0</v>
      </c>
      <c r="P237" s="52">
        <v>0</v>
      </c>
      <c r="Q237" s="52">
        <v>0</v>
      </c>
      <c r="R237" s="52">
        <v>0</v>
      </c>
      <c r="S237" s="52">
        <v>0</v>
      </c>
      <c r="T237" s="52">
        <v>0</v>
      </c>
      <c r="U237" s="52">
        <v>0</v>
      </c>
      <c r="V237" s="52">
        <v>2.2159960000000001</v>
      </c>
      <c r="W237" s="52">
        <v>3.1435906</v>
      </c>
      <c r="X237" s="52">
        <v>3441.1720999999998</v>
      </c>
      <c r="Y237" s="52">
        <v>2.7899999999999999E-3</v>
      </c>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v>0</v>
      </c>
      <c r="AV237" s="52"/>
      <c r="AW237" s="52"/>
      <c r="AX237" s="52">
        <v>0</v>
      </c>
      <c r="AY237" s="52"/>
      <c r="AZ237" s="52"/>
      <c r="BA237" s="52"/>
      <c r="BB237" s="52">
        <v>0</v>
      </c>
      <c r="BC237" s="52">
        <v>0</v>
      </c>
      <c r="BD237" s="52">
        <v>0</v>
      </c>
      <c r="BE237" s="52">
        <v>0</v>
      </c>
      <c r="BF237" s="52"/>
      <c r="BG237" s="52"/>
      <c r="BH237" s="52"/>
      <c r="BI237" s="52"/>
      <c r="BJ237" s="52"/>
      <c r="BK237" s="78">
        <v>0</v>
      </c>
      <c r="BL237" s="41" t="s">
        <v>109</v>
      </c>
      <c r="BM237" s="45"/>
    </row>
    <row r="238" spans="1:65" x14ac:dyDescent="0.35">
      <c r="A238" s="41" t="str">
        <f>Database_Productkaarten[[#This Row],[Product]]&amp;", "&amp;Database_Productkaarten[[#This Row],[Levensfase]]</f>
        <v>ZOAB Regulier - PCR 1.0, C1</v>
      </c>
      <c r="B238" s="41" t="s">
        <v>1354</v>
      </c>
      <c r="C238" s="41" t="s">
        <v>443</v>
      </c>
      <c r="D238" s="41" t="s">
        <v>469</v>
      </c>
      <c r="E238" s="41" t="s">
        <v>91</v>
      </c>
      <c r="F238" s="41" t="s">
        <v>25</v>
      </c>
      <c r="L238" s="41">
        <v>2</v>
      </c>
      <c r="M238" s="53">
        <v>0.31815712000000002</v>
      </c>
      <c r="N238" s="41">
        <v>12</v>
      </c>
      <c r="O238" s="52">
        <v>8.5503554999999996E-7</v>
      </c>
      <c r="P238" s="52">
        <v>1.7552930000000001E-2</v>
      </c>
      <c r="Q238" s="52">
        <v>3.3909432000000002</v>
      </c>
      <c r="R238" s="52">
        <v>4.596624E-7</v>
      </c>
      <c r="S238" s="52">
        <v>1.1229438E-3</v>
      </c>
      <c r="T238" s="52">
        <v>9.9389952E-3</v>
      </c>
      <c r="U238" s="52">
        <v>2.0946338000000001E-3</v>
      </c>
      <c r="V238" s="52">
        <v>0.89075641000000005</v>
      </c>
      <c r="W238" s="52">
        <v>1.2730431E-2</v>
      </c>
      <c r="X238" s="52">
        <v>42.933207000000003</v>
      </c>
      <c r="Y238" s="52">
        <v>1.5113234999999999E-3</v>
      </c>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v>0.21467538999999999</v>
      </c>
      <c r="AV238" s="52"/>
      <c r="AW238" s="52"/>
      <c r="AX238" s="52">
        <v>39.350763000000001</v>
      </c>
      <c r="AY238" s="52"/>
      <c r="AZ238" s="52"/>
      <c r="BA238" s="52"/>
      <c r="BB238" s="52">
        <v>4.8494473999999999E-3</v>
      </c>
      <c r="BC238" s="52">
        <v>1.6526835000000001E-5</v>
      </c>
      <c r="BD238" s="52">
        <v>3.9462028000000003E-2</v>
      </c>
      <c r="BE238" s="52">
        <v>2.5740684000000001E-4</v>
      </c>
      <c r="BF238" s="52"/>
      <c r="BG238" s="52"/>
      <c r="BH238" s="52"/>
      <c r="BI238" s="52"/>
      <c r="BJ238" s="52"/>
      <c r="BK238" s="78">
        <v>0</v>
      </c>
      <c r="BL238" s="41" t="s">
        <v>109</v>
      </c>
      <c r="BM238" s="45"/>
    </row>
    <row r="239" spans="1:65" x14ac:dyDescent="0.35">
      <c r="A239" s="41" t="str">
        <f>Database_Productkaarten[[#This Row],[Product]]&amp;", "&amp;Database_Productkaarten[[#This Row],[Levensfase]]</f>
        <v>ZOAB Regulier - PCR 1.0, C2</v>
      </c>
      <c r="B239" s="41" t="s">
        <v>1354</v>
      </c>
      <c r="C239" s="41" t="s">
        <v>443</v>
      </c>
      <c r="D239" s="41" t="s">
        <v>469</v>
      </c>
      <c r="E239" s="41" t="s">
        <v>91</v>
      </c>
      <c r="F239" s="41" t="s">
        <v>26</v>
      </c>
      <c r="L239" s="41">
        <v>2</v>
      </c>
      <c r="M239" s="53">
        <v>0.62892669999999995</v>
      </c>
      <c r="N239" s="41">
        <v>12</v>
      </c>
      <c r="O239" s="52">
        <v>1.0978337000000001E-5</v>
      </c>
      <c r="P239" s="52">
        <v>4.3183727999999998E-2</v>
      </c>
      <c r="Q239" s="52">
        <v>5.7021305</v>
      </c>
      <c r="R239" s="52">
        <v>1.1335356E-6</v>
      </c>
      <c r="S239" s="52">
        <v>3.5752850000000001E-3</v>
      </c>
      <c r="T239" s="52">
        <v>1.9151161E-2</v>
      </c>
      <c r="U239" s="52">
        <v>3.8023555000000001E-3</v>
      </c>
      <c r="V239" s="52">
        <v>2.0049337999999999</v>
      </c>
      <c r="W239" s="52">
        <v>0.12926487</v>
      </c>
      <c r="X239" s="52">
        <v>338.63108999999997</v>
      </c>
      <c r="Y239" s="52">
        <v>1.1891815999999999E-2</v>
      </c>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v>0</v>
      </c>
      <c r="AV239" s="52"/>
      <c r="AW239" s="52"/>
      <c r="AX239" s="52">
        <v>0</v>
      </c>
      <c r="AY239" s="52"/>
      <c r="AZ239" s="52"/>
      <c r="BA239" s="52"/>
      <c r="BB239" s="52">
        <v>0</v>
      </c>
      <c r="BC239" s="52">
        <v>0</v>
      </c>
      <c r="BD239" s="52">
        <v>0</v>
      </c>
      <c r="BE239" s="52">
        <v>0</v>
      </c>
      <c r="BF239" s="52"/>
      <c r="BG239" s="52"/>
      <c r="BH239" s="52"/>
      <c r="BI239" s="52"/>
      <c r="BJ239" s="52"/>
      <c r="BK239" s="78">
        <v>0</v>
      </c>
      <c r="BL239" s="41" t="s">
        <v>109</v>
      </c>
      <c r="BM239" s="45"/>
    </row>
    <row r="240" spans="1:65" x14ac:dyDescent="0.35">
      <c r="A240" s="41" t="str">
        <f>Database_Productkaarten[[#This Row],[Product]]&amp;", "&amp;Database_Productkaarten[[#This Row],[Levensfase]]</f>
        <v>ZOAB Regulier - PCR 1.0, C3</v>
      </c>
      <c r="B240" s="41" t="s">
        <v>1354</v>
      </c>
      <c r="C240" s="41" t="s">
        <v>443</v>
      </c>
      <c r="D240" s="41" t="s">
        <v>469</v>
      </c>
      <c r="E240" s="41" t="s">
        <v>91</v>
      </c>
      <c r="F240" s="41" t="s">
        <v>27</v>
      </c>
      <c r="L240" s="41">
        <v>2</v>
      </c>
      <c r="M240" s="53">
        <v>0.16120214999999999</v>
      </c>
      <c r="N240" s="41">
        <v>12</v>
      </c>
      <c r="O240" s="52">
        <v>4.1291555000000003E-7</v>
      </c>
      <c r="P240" s="52">
        <v>8.4766977000000007E-3</v>
      </c>
      <c r="Q240" s="52">
        <v>1.6375614000000001</v>
      </c>
      <c r="R240" s="52">
        <v>2.2198111999999999E-7</v>
      </c>
      <c r="S240" s="52">
        <v>5.9777666000000002E-4</v>
      </c>
      <c r="T240" s="52">
        <v>5.9352911000000001E-3</v>
      </c>
      <c r="U240" s="52">
        <v>1.3067828999999999E-3</v>
      </c>
      <c r="V240" s="52">
        <v>0.43290835999999999</v>
      </c>
      <c r="W240" s="52">
        <v>6.1478063999999997E-3</v>
      </c>
      <c r="X240" s="52">
        <v>20.733394000000001</v>
      </c>
      <c r="Y240" s="52">
        <v>7.2985146999999997E-4</v>
      </c>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v>0.10367149000000001</v>
      </c>
      <c r="AV240" s="52"/>
      <c r="AW240" s="52"/>
      <c r="AX240" s="52">
        <v>19.003352</v>
      </c>
      <c r="AY240" s="52"/>
      <c r="AZ240" s="52"/>
      <c r="BA240" s="52"/>
      <c r="BB240" s="52">
        <v>2.3419052000000001E-3</v>
      </c>
      <c r="BC240" s="52">
        <v>7.9811734999999999E-6</v>
      </c>
      <c r="BD240" s="52">
        <v>1.9057085000000001E-2</v>
      </c>
      <c r="BE240" s="52">
        <v>1.2430745000000001E-4</v>
      </c>
      <c r="BF240" s="52"/>
      <c r="BG240" s="52"/>
      <c r="BH240" s="52"/>
      <c r="BI240" s="52"/>
      <c r="BJ240" s="52"/>
      <c r="BK240" s="78">
        <v>0</v>
      </c>
      <c r="BL240" s="41" t="s">
        <v>109</v>
      </c>
      <c r="BM240" s="45"/>
    </row>
    <row r="241" spans="1:65" x14ac:dyDescent="0.35">
      <c r="A241" s="41" t="str">
        <f>Database_Productkaarten[[#This Row],[Product]]&amp;", "&amp;Database_Productkaarten[[#This Row],[Levensfase]]</f>
        <v>ZOAB Regulier - PCR 1.0, D1</v>
      </c>
      <c r="B241" s="41" t="s">
        <v>1354</v>
      </c>
      <c r="C241" s="41" t="s">
        <v>443</v>
      </c>
      <c r="D241" s="41" t="s">
        <v>469</v>
      </c>
      <c r="E241" s="41" t="s">
        <v>91</v>
      </c>
      <c r="F241" s="41" t="s">
        <v>51</v>
      </c>
      <c r="L241" s="41">
        <v>2</v>
      </c>
      <c r="M241" s="53">
        <v>-4.0322548959965996</v>
      </c>
      <c r="N241" s="41">
        <v>12</v>
      </c>
      <c r="O241" s="52">
        <v>-5.9162438809600012E-5</v>
      </c>
      <c r="P241" s="52">
        <v>-0.59155439528229992</v>
      </c>
      <c r="Q241" s="52">
        <v>-34.793334038245604</v>
      </c>
      <c r="R241" s="52">
        <v>-2.5093685628300001E-6</v>
      </c>
      <c r="S241" s="52">
        <v>-6.297642913432E-2</v>
      </c>
      <c r="T241" s="52">
        <v>-0.19753900184590001</v>
      </c>
      <c r="U241" s="52">
        <v>-2.2002971632000004E-2</v>
      </c>
      <c r="V241" s="52">
        <v>-7.3449715909838016</v>
      </c>
      <c r="W241" s="52">
        <v>-0.89020665844010005</v>
      </c>
      <c r="X241" s="52">
        <v>-3882.164332552114</v>
      </c>
      <c r="Y241" s="52">
        <v>-0.1290875645349</v>
      </c>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v>-13.992830659550599</v>
      </c>
      <c r="AV241" s="52"/>
      <c r="AW241" s="52"/>
      <c r="AX241" s="52">
        <v>-1335.214710695883</v>
      </c>
      <c r="AY241" s="52"/>
      <c r="AZ241" s="52"/>
      <c r="BA241" s="52"/>
      <c r="BB241" s="52">
        <v>-13.248397445732103</v>
      </c>
      <c r="BC241" s="52">
        <v>-4.7917155882100002E-4</v>
      </c>
      <c r="BD241" s="52">
        <v>-1.6628346190832002</v>
      </c>
      <c r="BE241" s="52">
        <v>-9.8920794428600006E-4</v>
      </c>
      <c r="BF241" s="52"/>
      <c r="BG241" s="52"/>
      <c r="BH241" s="52"/>
      <c r="BI241" s="52"/>
      <c r="BJ241" s="52"/>
      <c r="BK241" s="78">
        <v>0</v>
      </c>
      <c r="BL241" s="41" t="s">
        <v>109</v>
      </c>
      <c r="BM241" s="45"/>
    </row>
    <row r="242" spans="1:65" x14ac:dyDescent="0.35">
      <c r="A242" s="41" t="str">
        <f>Database_Productkaarten[[#This Row],[Product]]&amp;", "&amp;Database_Productkaarten[[#This Row],[Levensfase]]</f>
        <v>ZOAB Regulier - PCR 1.0, D2</v>
      </c>
      <c r="B242" s="41" t="s">
        <v>1354</v>
      </c>
      <c r="C242" s="41" t="s">
        <v>443</v>
      </c>
      <c r="D242" s="41" t="s">
        <v>469</v>
      </c>
      <c r="E242" s="41" t="s">
        <v>91</v>
      </c>
      <c r="F242" s="41" t="s">
        <v>52</v>
      </c>
      <c r="L242" s="41">
        <v>2</v>
      </c>
      <c r="M242" s="53">
        <v>-1.7220921354400052</v>
      </c>
      <c r="N242" s="41">
        <v>12</v>
      </c>
      <c r="O242" s="52">
        <v>-1.0145968296546672E-5</v>
      </c>
      <c r="P242" s="52">
        <v>-7.2160367442799037E-2</v>
      </c>
      <c r="Q242" s="52">
        <v>-10.308132427740373</v>
      </c>
      <c r="R242" s="52">
        <v>-1.7102719880398182E-6</v>
      </c>
      <c r="S242" s="52">
        <v>-9.1242125109757405E-3</v>
      </c>
      <c r="T242" s="52">
        <v>-0.15022359244265115</v>
      </c>
      <c r="U242" s="52">
        <v>-1.6285615409236644E-2</v>
      </c>
      <c r="V242" s="52">
        <v>-4.3062795229777526</v>
      </c>
      <c r="W242" s="52">
        <v>-9.1295640749768814E-2</v>
      </c>
      <c r="X242" s="52">
        <v>-381.96513501228094</v>
      </c>
      <c r="Y242" s="52">
        <v>-1.4485642018916544E-2</v>
      </c>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v>-2.8950675560411971</v>
      </c>
      <c r="AV242" s="52"/>
      <c r="AW242" s="52"/>
      <c r="AX242" s="52">
        <v>-159.89111617736771</v>
      </c>
      <c r="AY242" s="52"/>
      <c r="AZ242" s="52"/>
      <c r="BA242" s="52"/>
      <c r="BB242" s="52">
        <v>-2.8901298123944166E-2</v>
      </c>
      <c r="BC242" s="52">
        <v>-9.4326703262976206E-5</v>
      </c>
      <c r="BD242" s="52">
        <v>-2.8603189143527179</v>
      </c>
      <c r="BE242" s="52">
        <v>-9.9331793285860619E-4</v>
      </c>
      <c r="BF242" s="52"/>
      <c r="BG242" s="52"/>
      <c r="BH242" s="52"/>
      <c r="BI242" s="52"/>
      <c r="BJ242" s="52"/>
      <c r="BK242" s="78">
        <v>0</v>
      </c>
      <c r="BL242" s="41" t="s">
        <v>109</v>
      </c>
      <c r="BM242" s="45"/>
    </row>
    <row r="243" spans="1:65" x14ac:dyDescent="0.35">
      <c r="A243" s="45" t="str">
        <f>Database_Productkaarten[[#This Row],[Product]]&amp;", "&amp;Database_Productkaarten[[#This Row],[Levensfase]]</f>
        <v>AC Surf 0% PR - PCR 2.0, Totaal</v>
      </c>
      <c r="B243" s="41" t="s">
        <v>1356</v>
      </c>
      <c r="C243" s="41" t="s">
        <v>443</v>
      </c>
      <c r="D243" s="41" t="s">
        <v>471</v>
      </c>
      <c r="E243" s="41" t="s">
        <v>91</v>
      </c>
      <c r="F243" s="41" t="s">
        <v>16</v>
      </c>
      <c r="G243" s="45"/>
      <c r="H243" s="45"/>
      <c r="I243" s="45"/>
      <c r="J243" s="45"/>
      <c r="K243" s="45"/>
      <c r="L243" s="41">
        <v>2.35</v>
      </c>
      <c r="M243" s="292">
        <f>SUM(M244:M258)</f>
        <v>9.8989802632855088</v>
      </c>
      <c r="N243" s="45">
        <v>14</v>
      </c>
      <c r="O243" s="55">
        <f t="shared" ref="O243:BJ243" si="13">SUM(O244:O262)</f>
        <v>2.3506367714915357E-3</v>
      </c>
      <c r="P243" s="55">
        <f t="shared" si="13"/>
        <v>3.5792557149385029</v>
      </c>
      <c r="Q243" s="55">
        <f t="shared" si="13"/>
        <v>270.35351224576544</v>
      </c>
      <c r="R243" s="55">
        <f t="shared" si="13"/>
        <v>3.0698876044526997E-5</v>
      </c>
      <c r="S243" s="55">
        <f t="shared" si="13"/>
        <v>0.31136435909459487</v>
      </c>
      <c r="T243" s="55">
        <f t="shared" si="13"/>
        <v>1.2417519308067757</v>
      </c>
      <c r="U243" s="55">
        <f t="shared" si="13"/>
        <v>0.17884413854746478</v>
      </c>
      <c r="V243" s="55">
        <f t="shared" si="13"/>
        <v>59.433942947928784</v>
      </c>
      <c r="W243" s="55">
        <f t="shared" si="13"/>
        <v>5.1324212412687586</v>
      </c>
      <c r="X243" s="55">
        <f t="shared" si="13"/>
        <v>19364.241888702101</v>
      </c>
      <c r="Y243" s="55">
        <f t="shared" si="13"/>
        <v>0.65879936019136498</v>
      </c>
      <c r="Z243" s="55">
        <f t="shared" si="13"/>
        <v>323.36647147078236</v>
      </c>
      <c r="AA243" s="55">
        <f t="shared" si="13"/>
        <v>322.60224913700205</v>
      </c>
      <c r="AB243" s="55">
        <f t="shared" si="13"/>
        <v>0.64626344701488136</v>
      </c>
      <c r="AC243" s="55">
        <f t="shared" si="13"/>
        <v>0.21215885346523283</v>
      </c>
      <c r="AD243" s="55">
        <f t="shared" si="13"/>
        <v>4.0853215302654614E-5</v>
      </c>
      <c r="AE243" s="55">
        <f t="shared" si="13"/>
        <v>1.8966921445204565</v>
      </c>
      <c r="AF243" s="55">
        <f t="shared" si="13"/>
        <v>3.6322008537882731E-3</v>
      </c>
      <c r="AG243" s="55">
        <f t="shared" si="13"/>
        <v>0.4689435109713736</v>
      </c>
      <c r="AH243" s="55">
        <f t="shared" si="13"/>
        <v>4.9321326370987881</v>
      </c>
      <c r="AI243" s="55">
        <f t="shared" si="13"/>
        <v>2.028017508712419</v>
      </c>
      <c r="AJ243" s="55">
        <f t="shared" si="13"/>
        <v>2.3562313400506117E-3</v>
      </c>
      <c r="AK243" s="55">
        <f t="shared" si="13"/>
        <v>9889.6636388089937</v>
      </c>
      <c r="AL243" s="55">
        <f t="shared" si="13"/>
        <v>99.37269200052954</v>
      </c>
      <c r="AM243" s="55">
        <f t="shared" si="13"/>
        <v>7.3714686828902936E-6</v>
      </c>
      <c r="AN243" s="55">
        <f t="shared" si="13"/>
        <v>10.057928355837474</v>
      </c>
      <c r="AO243" s="55">
        <f t="shared" si="13"/>
        <v>8588.8333952025532</v>
      </c>
      <c r="AP243" s="55">
        <f t="shared" si="13"/>
        <v>8.8453875415873393E-8</v>
      </c>
      <c r="AQ243" s="55">
        <f t="shared" si="13"/>
        <v>3.0323513419792641E-6</v>
      </c>
      <c r="AR243" s="55">
        <f t="shared" si="13"/>
        <v>-398.10998231102661</v>
      </c>
      <c r="AS243" s="55">
        <f t="shared" si="13"/>
        <v>16.131650424</v>
      </c>
      <c r="AT243" s="55">
        <f t="shared" si="13"/>
        <v>0</v>
      </c>
      <c r="AU243" s="55">
        <f t="shared" si="13"/>
        <v>95.527254451526474</v>
      </c>
      <c r="AV243" s="55">
        <f t="shared" si="13"/>
        <v>1.413350235</v>
      </c>
      <c r="AW243" s="55">
        <f t="shared" si="13"/>
        <v>1.9853659800000002E-3</v>
      </c>
      <c r="AX243" s="55">
        <f t="shared" si="13"/>
        <v>7919.993405657101</v>
      </c>
      <c r="AY243" s="55">
        <f t="shared" si="13"/>
        <v>588</v>
      </c>
      <c r="AZ243" s="55">
        <f t="shared" si="13"/>
        <v>0</v>
      </c>
      <c r="BA243" s="55">
        <f t="shared" si="13"/>
        <v>0</v>
      </c>
      <c r="BB243" s="55">
        <f t="shared" si="13"/>
        <v>-26.904755826480347</v>
      </c>
      <c r="BC243" s="55">
        <f t="shared" si="13"/>
        <v>6.4943823094781141E-3</v>
      </c>
      <c r="BD243" s="55">
        <f t="shared" si="13"/>
        <v>42.915618701569095</v>
      </c>
      <c r="BE243" s="55">
        <f t="shared" si="13"/>
        <v>1.1339489110464895E-2</v>
      </c>
      <c r="BF243" s="55">
        <f t="shared" si="13"/>
        <v>0</v>
      </c>
      <c r="BG243" s="55">
        <f t="shared" si="13"/>
        <v>2000</v>
      </c>
      <c r="BH243" s="55">
        <f t="shared" si="13"/>
        <v>0</v>
      </c>
      <c r="BI243" s="55">
        <f t="shared" si="13"/>
        <v>0</v>
      </c>
      <c r="BJ243" s="55">
        <f t="shared" si="13"/>
        <v>0</v>
      </c>
      <c r="BK243" s="78">
        <v>0</v>
      </c>
      <c r="BL243" s="41" t="s">
        <v>616</v>
      </c>
      <c r="BM243" s="45"/>
    </row>
    <row r="244" spans="1:65" x14ac:dyDescent="0.35">
      <c r="A244" s="45" t="str">
        <f>Database_Productkaarten[[#This Row],[Product]]&amp;", "&amp;Database_Productkaarten[[#This Row],[Levensfase]]</f>
        <v>AC Surf 0% PR - PCR 2.0, A1</v>
      </c>
      <c r="B244" s="41" t="s">
        <v>1356</v>
      </c>
      <c r="C244" s="41" t="s">
        <v>443</v>
      </c>
      <c r="D244" s="41" t="s">
        <v>471</v>
      </c>
      <c r="E244" s="41" t="s">
        <v>91</v>
      </c>
      <c r="F244" s="41" t="s">
        <v>19</v>
      </c>
      <c r="G244" s="45"/>
      <c r="H244" s="45"/>
      <c r="I244" s="45"/>
      <c r="J244" s="45"/>
      <c r="K244" s="45"/>
      <c r="L244" s="41">
        <v>2.35</v>
      </c>
      <c r="M244" s="249">
        <v>7.5022124702087254</v>
      </c>
      <c r="N244" s="45">
        <v>14</v>
      </c>
      <c r="O244" s="290">
        <v>7.8110772228437105E-4</v>
      </c>
      <c r="P244" s="290">
        <v>1.3859353557905301</v>
      </c>
      <c r="Q244" s="290">
        <v>59.159290572993797</v>
      </c>
      <c r="R244" s="290">
        <v>4.4718497894302099E-6</v>
      </c>
      <c r="S244" s="290">
        <v>0.146360531305264</v>
      </c>
      <c r="T244" s="290">
        <v>0.37426748881737198</v>
      </c>
      <c r="U244" s="290">
        <v>2.85851961867509E-2</v>
      </c>
      <c r="V244" s="290">
        <v>13.8389101694777</v>
      </c>
      <c r="W244" s="290">
        <v>2.16133319129223</v>
      </c>
      <c r="X244" s="290">
        <v>9480.5530450011993</v>
      </c>
      <c r="Y244" s="290">
        <v>0.27973588084413797</v>
      </c>
      <c r="Z244" s="290">
        <v>63.150595743931902</v>
      </c>
      <c r="AA244" s="290">
        <v>62.9453215780552</v>
      </c>
      <c r="AB244" s="290">
        <v>0.20512281793307899</v>
      </c>
      <c r="AC244" s="290">
        <v>3.6575347943634602E-2</v>
      </c>
      <c r="AD244" s="290">
        <v>5.4021085231866996E-6</v>
      </c>
      <c r="AE244" s="290">
        <v>0.435841748307502</v>
      </c>
      <c r="AF244" s="290">
        <v>9.6410960230001498E-4</v>
      </c>
      <c r="AG244" s="290">
        <v>5.6510661130074198E-2</v>
      </c>
      <c r="AH244" s="290">
        <v>0.55605602008775101</v>
      </c>
      <c r="AI244" s="290">
        <v>0.41959999166484102</v>
      </c>
      <c r="AJ244" s="290">
        <v>7.8104709852573802E-4</v>
      </c>
      <c r="AK244" s="290">
        <v>2945.1348392733398</v>
      </c>
      <c r="AL244" s="290">
        <v>58.769793468404004</v>
      </c>
      <c r="AM244" s="290">
        <v>1.9121003726348499E-6</v>
      </c>
      <c r="AN244" s="290">
        <v>1.7924972163573101</v>
      </c>
      <c r="AO244" s="290">
        <v>3571.94368437819</v>
      </c>
      <c r="AP244" s="290">
        <v>1.7850239179887899E-8</v>
      </c>
      <c r="AQ244" s="290">
        <v>8.4226260337177604E-7</v>
      </c>
      <c r="AR244" s="290">
        <v>364.40967921107602</v>
      </c>
      <c r="AS244" s="290">
        <v>0</v>
      </c>
      <c r="AT244" s="290">
        <v>0</v>
      </c>
      <c r="AU244" s="290">
        <v>25.325445208304501</v>
      </c>
      <c r="AV244" s="290">
        <v>0</v>
      </c>
      <c r="AW244" s="290">
        <v>0</v>
      </c>
      <c r="AX244" s="290">
        <v>3134.0636370960901</v>
      </c>
      <c r="AY244" s="290">
        <v>0</v>
      </c>
      <c r="AZ244" s="290">
        <v>0</v>
      </c>
      <c r="BA244" s="290">
        <v>0</v>
      </c>
      <c r="BB244" s="290">
        <v>1.41096002271129</v>
      </c>
      <c r="BC244" s="290">
        <v>1.1327987085643699E-3</v>
      </c>
      <c r="BD244" s="290">
        <v>3.4328491029701</v>
      </c>
      <c r="BE244" s="290">
        <v>1.15895243985612E-3</v>
      </c>
      <c r="BF244" s="290">
        <v>0</v>
      </c>
      <c r="BG244" s="290">
        <v>0</v>
      </c>
      <c r="BH244" s="290">
        <v>0</v>
      </c>
      <c r="BI244" s="290">
        <v>0</v>
      </c>
      <c r="BJ244" s="290">
        <v>0</v>
      </c>
      <c r="BK244" s="78">
        <v>0</v>
      </c>
      <c r="BL244" s="41" t="s">
        <v>616</v>
      </c>
      <c r="BM244" s="45"/>
    </row>
    <row r="245" spans="1:65" x14ac:dyDescent="0.35">
      <c r="A245" s="45" t="str">
        <f>Database_Productkaarten[[#This Row],[Product]]&amp;", "&amp;Database_Productkaarten[[#This Row],[Levensfase]]</f>
        <v>AC Surf 0% PR - PCR 2.0, A2</v>
      </c>
      <c r="B245" s="41" t="s">
        <v>1356</v>
      </c>
      <c r="C245" s="41" t="s">
        <v>443</v>
      </c>
      <c r="D245" s="41" t="s">
        <v>471</v>
      </c>
      <c r="E245" s="41" t="s">
        <v>91</v>
      </c>
      <c r="F245" s="41" t="s">
        <v>20</v>
      </c>
      <c r="G245" s="45"/>
      <c r="H245" s="45"/>
      <c r="I245" s="45"/>
      <c r="J245" s="45"/>
      <c r="K245" s="45"/>
      <c r="L245" s="41">
        <v>2.35</v>
      </c>
      <c r="M245" s="249">
        <v>3.7230506785879243</v>
      </c>
      <c r="N245" s="45">
        <v>14</v>
      </c>
      <c r="O245" s="290">
        <v>3.4792705055892E-4</v>
      </c>
      <c r="P245" s="290">
        <v>0.198683928758071</v>
      </c>
      <c r="Q245" s="290">
        <v>31.153940057092299</v>
      </c>
      <c r="R245" s="290">
        <v>4.66103004239095E-6</v>
      </c>
      <c r="S245" s="290">
        <v>1.8404455187182801E-2</v>
      </c>
      <c r="T245" s="290">
        <v>0.206976906617926</v>
      </c>
      <c r="U245" s="290">
        <v>4.5657400199673903E-2</v>
      </c>
      <c r="V245" s="290">
        <v>8.6032095210377104</v>
      </c>
      <c r="W245" s="290">
        <v>0.225235107122843</v>
      </c>
      <c r="X245" s="290">
        <v>743.61878150722498</v>
      </c>
      <c r="Y245" s="290">
        <v>3.8797016695333301E-2</v>
      </c>
      <c r="Z245" s="290">
        <v>31.509052104039402</v>
      </c>
      <c r="AA245" s="290">
        <v>31.414945916314799</v>
      </c>
      <c r="AB245" s="290">
        <v>4.4253022325332798E-2</v>
      </c>
      <c r="AC245" s="290">
        <v>4.9853165399254898E-2</v>
      </c>
      <c r="AD245" s="290">
        <v>5.80020841000702E-6</v>
      </c>
      <c r="AE245" s="290">
        <v>0.28740046732754898</v>
      </c>
      <c r="AF245" s="290">
        <v>3.6673632080189302E-4</v>
      </c>
      <c r="AG245" s="290">
        <v>0.120575176333667</v>
      </c>
      <c r="AH245" s="290">
        <v>1.3273049708386799</v>
      </c>
      <c r="AI245" s="290">
        <v>0.34585764032859201</v>
      </c>
      <c r="AJ245" s="290">
        <v>3.4791386729029702E-4</v>
      </c>
      <c r="AK245" s="290">
        <v>411.76318243327898</v>
      </c>
      <c r="AL245" s="290">
        <v>1.8423234093099099</v>
      </c>
      <c r="AM245" s="290">
        <v>1.10354194109852E-6</v>
      </c>
      <c r="AN245" s="290">
        <v>1.7729814015127401</v>
      </c>
      <c r="AO245" s="290">
        <v>364.62021149532302</v>
      </c>
      <c r="AP245" s="290">
        <v>1.46861807845934E-8</v>
      </c>
      <c r="AQ245" s="290">
        <v>2.8181328563114898E-7</v>
      </c>
      <c r="AR245" s="290">
        <v>323.87453385165202</v>
      </c>
      <c r="AS245" s="290">
        <v>0</v>
      </c>
      <c r="AT245" s="290">
        <v>0</v>
      </c>
      <c r="AU245" s="290">
        <v>8.7223891676951109</v>
      </c>
      <c r="AV245" s="290">
        <v>0</v>
      </c>
      <c r="AW245" s="290">
        <v>0</v>
      </c>
      <c r="AX245" s="290">
        <v>436.99976871129701</v>
      </c>
      <c r="AY245" s="290">
        <v>0</v>
      </c>
      <c r="AZ245" s="290">
        <v>0</v>
      </c>
      <c r="BA245" s="290">
        <v>0</v>
      </c>
      <c r="BB245" s="290">
        <v>7.2644927942811993E-2</v>
      </c>
      <c r="BC245" s="290">
        <v>1.06673349521564E-3</v>
      </c>
      <c r="BD245" s="290">
        <v>7.1416148800192802</v>
      </c>
      <c r="BE245" s="290">
        <v>2.6759816985203102E-3</v>
      </c>
      <c r="BF245" s="290">
        <v>0</v>
      </c>
      <c r="BG245" s="290">
        <v>0</v>
      </c>
      <c r="BH245" s="290">
        <v>0</v>
      </c>
      <c r="BI245" s="290">
        <v>0</v>
      </c>
      <c r="BJ245" s="290">
        <v>0</v>
      </c>
      <c r="BK245" s="78">
        <v>0</v>
      </c>
      <c r="BL245" s="41" t="s">
        <v>616</v>
      </c>
      <c r="BM245" s="45"/>
    </row>
    <row r="246" spans="1:65" x14ac:dyDescent="0.35">
      <c r="A246" s="45" t="str">
        <f>Database_Productkaarten[[#This Row],[Product]]&amp;", "&amp;Database_Productkaarten[[#This Row],[Levensfase]]</f>
        <v>AC Surf 0% PR - PCR 2.0, A3</v>
      </c>
      <c r="B246" s="41" t="s">
        <v>1356</v>
      </c>
      <c r="C246" s="41" t="s">
        <v>443</v>
      </c>
      <c r="D246" s="41" t="s">
        <v>471</v>
      </c>
      <c r="E246" s="41" t="s">
        <v>91</v>
      </c>
      <c r="F246" s="41" t="s">
        <v>21</v>
      </c>
      <c r="G246" s="45"/>
      <c r="H246" s="45"/>
      <c r="I246" s="45"/>
      <c r="J246" s="45"/>
      <c r="K246" s="45"/>
      <c r="L246" s="41">
        <v>2.35</v>
      </c>
      <c r="M246" s="249">
        <v>1.7118284314900936</v>
      </c>
      <c r="N246" s="45">
        <v>14</v>
      </c>
      <c r="O246" s="290">
        <v>2.2963705517437501E-5</v>
      </c>
      <c r="P246" s="290">
        <v>0.20448083630179401</v>
      </c>
      <c r="Q246" s="290">
        <v>23.988852353117601</v>
      </c>
      <c r="R246" s="290">
        <v>2.7179398815150401E-6</v>
      </c>
      <c r="S246" s="290">
        <v>3.86386171930921E-3</v>
      </c>
      <c r="T246" s="290">
        <v>2.35431962214094E-2</v>
      </c>
      <c r="U246" s="290">
        <v>3.96991359394988E-3</v>
      </c>
      <c r="V246" s="290">
        <v>3.6558712457748301</v>
      </c>
      <c r="W246" s="290">
        <v>2.6039135216053898E-2</v>
      </c>
      <c r="X246" s="290">
        <v>106.272677907377</v>
      </c>
      <c r="Y246" s="290">
        <v>2.5284716663991302E-2</v>
      </c>
      <c r="Z246" s="290">
        <v>24.3448643490416</v>
      </c>
      <c r="AA246" s="290">
        <v>24.2886313040425</v>
      </c>
      <c r="AB246" s="290">
        <v>5.4211418640341701E-2</v>
      </c>
      <c r="AC246" s="290">
        <v>2.0216263586459999E-3</v>
      </c>
      <c r="AD246" s="290">
        <v>3.0651353260498099E-6</v>
      </c>
      <c r="AE246" s="290">
        <v>3.0232276796763099E-2</v>
      </c>
      <c r="AF246" s="290">
        <v>2.7202609270764102E-4</v>
      </c>
      <c r="AG246" s="290">
        <v>8.4222811866149598E-3</v>
      </c>
      <c r="AH246" s="290">
        <v>9.5232690650616195E-2</v>
      </c>
      <c r="AI246" s="290">
        <v>2.8881505723063298E-2</v>
      </c>
      <c r="AJ246" s="290">
        <v>2.2963390227501402E-5</v>
      </c>
      <c r="AK246" s="290">
        <v>376.48279406066399</v>
      </c>
      <c r="AL246" s="290">
        <v>0.55081868741571705</v>
      </c>
      <c r="AM246" s="290">
        <v>1.9824457646855E-7</v>
      </c>
      <c r="AN246" s="290">
        <v>0.275091058599571</v>
      </c>
      <c r="AO246" s="290">
        <v>78.864082657513705</v>
      </c>
      <c r="AP246" s="290">
        <v>2.9725644127661701E-9</v>
      </c>
      <c r="AQ246" s="290">
        <v>5.1427920190360401E-8</v>
      </c>
      <c r="AR246" s="290">
        <v>16.763518220353099</v>
      </c>
      <c r="AS246" s="290">
        <v>0</v>
      </c>
      <c r="AT246" s="290">
        <v>0</v>
      </c>
      <c r="AU246" s="290">
        <v>7.0381495009470996</v>
      </c>
      <c r="AV246" s="290">
        <v>0</v>
      </c>
      <c r="AW246" s="290">
        <v>0</v>
      </c>
      <c r="AX246" s="290">
        <v>415.11183388013598</v>
      </c>
      <c r="AY246" s="290">
        <v>0</v>
      </c>
      <c r="AZ246" s="290">
        <v>0</v>
      </c>
      <c r="BA246" s="290">
        <v>0</v>
      </c>
      <c r="BB246" s="290">
        <v>4.0919203184925E-2</v>
      </c>
      <c r="BC246" s="290">
        <v>4.5746651269804701E-4</v>
      </c>
      <c r="BD246" s="290">
        <v>0.28288706148770998</v>
      </c>
      <c r="BE246" s="290">
        <v>3.5057846768145898E-4</v>
      </c>
      <c r="BF246" s="290">
        <v>0</v>
      </c>
      <c r="BG246" s="290">
        <v>0</v>
      </c>
      <c r="BH246" s="290">
        <v>0</v>
      </c>
      <c r="BI246" s="290">
        <v>0</v>
      </c>
      <c r="BJ246" s="290">
        <v>0</v>
      </c>
      <c r="BK246" s="78">
        <v>0</v>
      </c>
      <c r="BL246" s="41" t="s">
        <v>616</v>
      </c>
      <c r="BM246" s="45"/>
    </row>
    <row r="247" spans="1:65" x14ac:dyDescent="0.35">
      <c r="A247" s="45" t="str">
        <f>Database_Productkaarten[[#This Row],[Product]]&amp;", "&amp;Database_Productkaarten[[#This Row],[Levensfase]]</f>
        <v>AC Surf 0% PR - PCR 2.0, A4</v>
      </c>
      <c r="B247" s="41" t="s">
        <v>1356</v>
      </c>
      <c r="C247" s="41" t="s">
        <v>443</v>
      </c>
      <c r="D247" s="41" t="s">
        <v>471</v>
      </c>
      <c r="E247" s="41" t="s">
        <v>91</v>
      </c>
      <c r="F247" s="41" t="s">
        <v>22</v>
      </c>
      <c r="G247" s="45"/>
      <c r="H247" s="45"/>
      <c r="I247" s="45"/>
      <c r="J247" s="45"/>
      <c r="K247" s="45"/>
      <c r="L247" s="41">
        <v>2.35</v>
      </c>
      <c r="M247" s="249">
        <v>0.37546048090943995</v>
      </c>
      <c r="N247" s="45">
        <v>14</v>
      </c>
      <c r="O247" s="290">
        <v>6.8533509000000002E-5</v>
      </c>
      <c r="P247" s="290">
        <v>2.9713889699999999E-2</v>
      </c>
      <c r="Q247" s="290">
        <v>3.9891474704999998</v>
      </c>
      <c r="R247" s="290">
        <v>7.557213E-7</v>
      </c>
      <c r="S247" s="290">
        <v>2.4773701499999998E-3</v>
      </c>
      <c r="T247" s="290">
        <v>1.36398132E-2</v>
      </c>
      <c r="U247" s="290">
        <v>2.5682192100000001E-3</v>
      </c>
      <c r="V247" s="290">
        <v>0.8608144794</v>
      </c>
      <c r="W247" s="290">
        <v>3.6189873900000002E-2</v>
      </c>
      <c r="X247" s="290">
        <v>97.376595929999993</v>
      </c>
      <c r="Y247" s="290">
        <v>4.8437180999999999E-3</v>
      </c>
      <c r="Z247" s="290">
        <v>4.0259382761999998</v>
      </c>
      <c r="AA247" s="290">
        <v>4.0229543298000001</v>
      </c>
      <c r="AB247" s="290">
        <v>1.9814632200000001E-3</v>
      </c>
      <c r="AC247" s="290">
        <v>1.0024609799999999E-3</v>
      </c>
      <c r="AD247" s="290">
        <v>9.4976262000000003E-7</v>
      </c>
      <c r="AE247" s="290">
        <v>1.7739576E-2</v>
      </c>
      <c r="AF247" s="290">
        <v>2.7841996800000001E-5</v>
      </c>
      <c r="AG247" s="290">
        <v>5.5484582100000001E-3</v>
      </c>
      <c r="AH247" s="290">
        <v>6.1385308800000003E-2</v>
      </c>
      <c r="AI247" s="290">
        <v>1.9235744999999999E-2</v>
      </c>
      <c r="AJ247" s="290">
        <v>6.8533397999999998E-5</v>
      </c>
      <c r="AK247" s="290">
        <v>62.400806729999999</v>
      </c>
      <c r="AL247" s="290">
        <v>0.212954166</v>
      </c>
      <c r="AM247" s="290">
        <v>2.9338876200000002E-7</v>
      </c>
      <c r="AN247" s="290">
        <v>0.26868483510000002</v>
      </c>
      <c r="AO247" s="290">
        <v>45.56587296</v>
      </c>
      <c r="AP247" s="290">
        <v>1.16371179E-9</v>
      </c>
      <c r="AQ247" s="290">
        <v>3.8268015899999999E-8</v>
      </c>
      <c r="AR247" s="290">
        <v>71.806844609999999</v>
      </c>
      <c r="AS247" s="290">
        <v>0</v>
      </c>
      <c r="AT247" s="290">
        <v>0</v>
      </c>
      <c r="AU247" s="290">
        <v>0.63474917099999995</v>
      </c>
      <c r="AV247" s="290">
        <v>0</v>
      </c>
      <c r="AW247" s="290">
        <v>0</v>
      </c>
      <c r="AX247" s="290">
        <v>66.265108560000002</v>
      </c>
      <c r="AY247" s="290">
        <v>0</v>
      </c>
      <c r="AZ247" s="290">
        <v>0</v>
      </c>
      <c r="BA247" s="290">
        <v>0</v>
      </c>
      <c r="BB247" s="290">
        <v>6.7467797999999999E-3</v>
      </c>
      <c r="BC247" s="290">
        <v>1.54707915E-4</v>
      </c>
      <c r="BD247" s="290">
        <v>5.4635493149999999</v>
      </c>
      <c r="BE247" s="290">
        <v>4.25149758E-4</v>
      </c>
      <c r="BF247" s="290">
        <v>0</v>
      </c>
      <c r="BG247" s="290">
        <v>0</v>
      </c>
      <c r="BH247" s="290">
        <v>0</v>
      </c>
      <c r="BI247" s="290">
        <v>0</v>
      </c>
      <c r="BJ247" s="290">
        <v>0</v>
      </c>
      <c r="BK247" s="78">
        <v>0</v>
      </c>
      <c r="BL247" s="41" t="s">
        <v>616</v>
      </c>
      <c r="BM247" s="45"/>
    </row>
    <row r="248" spans="1:65" x14ac:dyDescent="0.35">
      <c r="A248" s="45" t="str">
        <f>Database_Productkaarten[[#This Row],[Product]]&amp;", "&amp;Database_Productkaarten[[#This Row],[Levensfase]]</f>
        <v>AC Surf 0% PR - PCR 2.0, A5</v>
      </c>
      <c r="B248" s="41" t="s">
        <v>1356</v>
      </c>
      <c r="C248" s="41" t="s">
        <v>443</v>
      </c>
      <c r="D248" s="41" t="s">
        <v>471</v>
      </c>
      <c r="E248" s="41" t="s">
        <v>91</v>
      </c>
      <c r="F248" s="41" t="s">
        <v>23</v>
      </c>
      <c r="G248" s="45"/>
      <c r="H248" s="45"/>
      <c r="I248" s="45"/>
      <c r="J248" s="45"/>
      <c r="K248" s="45"/>
      <c r="L248" s="41">
        <v>2.35</v>
      </c>
      <c r="M248" s="249">
        <v>0.2597053332068151</v>
      </c>
      <c r="N248" s="45">
        <v>14</v>
      </c>
      <c r="O248" s="290">
        <v>2.9238192707677402E-6</v>
      </c>
      <c r="P248" s="290">
        <v>1.2437868994803E-2</v>
      </c>
      <c r="Q248" s="290">
        <v>2.5295292150567601</v>
      </c>
      <c r="R248" s="290">
        <v>3.2687703886030699E-7</v>
      </c>
      <c r="S248" s="290">
        <v>9.4117069173933602E-4</v>
      </c>
      <c r="T248" s="290">
        <v>1.04973944418747E-2</v>
      </c>
      <c r="U248" s="290">
        <v>2.4039520956648098E-3</v>
      </c>
      <c r="V248" s="290">
        <v>0.68877613954755601</v>
      </c>
      <c r="W248" s="290">
        <v>9.7024793750478903E-3</v>
      </c>
      <c r="X248" s="290">
        <v>33.711839732419001</v>
      </c>
      <c r="Y248" s="290">
        <v>1.1490061137567401E-3</v>
      </c>
      <c r="Z248" s="290">
        <v>2.54822762684821</v>
      </c>
      <c r="AA248" s="290">
        <v>2.54749698006755</v>
      </c>
      <c r="AB248" s="290">
        <v>5.8195030453543899E-4</v>
      </c>
      <c r="AC248" s="290">
        <v>1.4869647611912099E-4</v>
      </c>
      <c r="AD248" s="290">
        <v>4.1187797926669598E-7</v>
      </c>
      <c r="AE248" s="290">
        <v>1.46547170942998E-2</v>
      </c>
      <c r="AF248" s="290">
        <v>6.9471842588523002E-6</v>
      </c>
      <c r="AG248" s="290">
        <v>6.3596059772135904E-3</v>
      </c>
      <c r="AH248" s="290">
        <v>6.9798399515417303E-2</v>
      </c>
      <c r="AI248" s="290">
        <v>1.8200499450150499E-2</v>
      </c>
      <c r="AJ248" s="290">
        <v>2.9237963272080802E-6</v>
      </c>
      <c r="AK248" s="290">
        <v>26.2431444393752</v>
      </c>
      <c r="AL248" s="290">
        <v>3.4951581797891297E-2</v>
      </c>
      <c r="AM248" s="290">
        <v>5.4485692533963101E-8</v>
      </c>
      <c r="AN248" s="290">
        <v>0.112638013429361</v>
      </c>
      <c r="AO248" s="290">
        <v>15.7470627105613</v>
      </c>
      <c r="AP248" s="290">
        <v>5.5245137337319497E-10</v>
      </c>
      <c r="AQ248" s="290">
        <v>1.3239865413379501E-8</v>
      </c>
      <c r="AR248" s="290">
        <v>3.3519896072099198</v>
      </c>
      <c r="AS248" s="290">
        <v>0</v>
      </c>
      <c r="AT248" s="290">
        <v>0</v>
      </c>
      <c r="AU248" s="290">
        <v>0.144245359551091</v>
      </c>
      <c r="AV248" s="290">
        <v>0</v>
      </c>
      <c r="AW248" s="290">
        <v>0</v>
      </c>
      <c r="AX248" s="290">
        <v>27.869389367604899</v>
      </c>
      <c r="AY248" s="290">
        <v>0</v>
      </c>
      <c r="AZ248" s="290">
        <v>0</v>
      </c>
      <c r="BA248" s="290">
        <v>0</v>
      </c>
      <c r="BB248" s="290">
        <v>1.35659657543801E-3</v>
      </c>
      <c r="BC248" s="290">
        <v>7.1467090199202801E-5</v>
      </c>
      <c r="BD248" s="290">
        <v>3.1052769846988501E-2</v>
      </c>
      <c r="BE248" s="290">
        <v>1.8239126227470999E-4</v>
      </c>
      <c r="BF248" s="290">
        <v>0</v>
      </c>
      <c r="BG248" s="290">
        <v>0</v>
      </c>
      <c r="BH248" s="290">
        <v>0</v>
      </c>
      <c r="BI248" s="290">
        <v>0</v>
      </c>
      <c r="BJ248" s="290">
        <v>0</v>
      </c>
      <c r="BK248" s="78">
        <v>0</v>
      </c>
      <c r="BL248" s="41" t="s">
        <v>616</v>
      </c>
      <c r="BM248" s="45"/>
    </row>
    <row r="249" spans="1:65" x14ac:dyDescent="0.35">
      <c r="A249" s="45" t="str">
        <f>Database_Productkaarten[[#This Row],[Product]]&amp;", "&amp;Database_Productkaarten[[#This Row],[Levensfase]]</f>
        <v>AC Surf 0% PR - PCR 2.0, B1</v>
      </c>
      <c r="B249" s="41" t="s">
        <v>1356</v>
      </c>
      <c r="C249" s="41" t="s">
        <v>443</v>
      </c>
      <c r="D249" s="41" t="s">
        <v>471</v>
      </c>
      <c r="E249" s="41" t="s">
        <v>91</v>
      </c>
      <c r="F249" s="41" t="s">
        <v>24</v>
      </c>
      <c r="G249" s="45"/>
      <c r="H249" s="45"/>
      <c r="I249" s="45"/>
      <c r="J249" s="45"/>
      <c r="K249" s="45"/>
      <c r="L249" s="41">
        <v>2.35</v>
      </c>
      <c r="M249" s="249">
        <v>8.2079854524338774E-2</v>
      </c>
      <c r="N249" s="45">
        <v>14</v>
      </c>
      <c r="O249" s="290">
        <v>0</v>
      </c>
      <c r="P249" s="290">
        <v>0</v>
      </c>
      <c r="Q249" s="290">
        <v>0</v>
      </c>
      <c r="R249" s="290">
        <v>0</v>
      </c>
      <c r="S249" s="290">
        <v>0</v>
      </c>
      <c r="T249" s="290">
        <v>0</v>
      </c>
      <c r="U249" s="290">
        <v>0</v>
      </c>
      <c r="V249" s="290">
        <v>0.33065065287376499</v>
      </c>
      <c r="W249" s="290">
        <v>0.35447901498708101</v>
      </c>
      <c r="X249" s="290">
        <v>416.74823543935599</v>
      </c>
      <c r="Y249" s="290">
        <v>2.0169620253149699E-4</v>
      </c>
      <c r="Z249" s="290">
        <v>0</v>
      </c>
      <c r="AA249" s="290">
        <v>0</v>
      </c>
      <c r="AB249" s="290">
        <v>0</v>
      </c>
      <c r="AC249" s="290">
        <v>0</v>
      </c>
      <c r="AD249" s="290">
        <v>0</v>
      </c>
      <c r="AE249" s="290">
        <v>0</v>
      </c>
      <c r="AF249" s="290">
        <v>0</v>
      </c>
      <c r="AG249" s="290">
        <v>0</v>
      </c>
      <c r="AH249" s="290">
        <v>0</v>
      </c>
      <c r="AI249" s="290">
        <v>0</v>
      </c>
      <c r="AJ249" s="290">
        <v>0</v>
      </c>
      <c r="AK249" s="290">
        <v>0</v>
      </c>
      <c r="AL249" s="290">
        <v>0</v>
      </c>
      <c r="AM249" s="290">
        <v>0</v>
      </c>
      <c r="AN249" s="290">
        <v>0</v>
      </c>
      <c r="AO249" s="290">
        <v>2.4574834227146498</v>
      </c>
      <c r="AP249" s="290">
        <v>6.1425360401853599E-10</v>
      </c>
      <c r="AQ249" s="290">
        <v>3.6903212873143E-8</v>
      </c>
      <c r="AR249" s="290">
        <v>0</v>
      </c>
      <c r="AS249" s="290">
        <v>0</v>
      </c>
      <c r="AT249" s="290">
        <v>0</v>
      </c>
      <c r="AU249" s="290">
        <v>0</v>
      </c>
      <c r="AV249" s="290">
        <v>0</v>
      </c>
      <c r="AW249" s="290">
        <v>0</v>
      </c>
      <c r="AX249" s="290">
        <v>0</v>
      </c>
      <c r="AY249" s="290">
        <v>0</v>
      </c>
      <c r="AZ249" s="290">
        <v>0</v>
      </c>
      <c r="BA249" s="290">
        <v>0</v>
      </c>
      <c r="BB249" s="290">
        <v>0</v>
      </c>
      <c r="BC249" s="290">
        <v>0</v>
      </c>
      <c r="BD249" s="290">
        <v>0</v>
      </c>
      <c r="BE249" s="290">
        <v>0</v>
      </c>
      <c r="BF249" s="290">
        <v>0</v>
      </c>
      <c r="BG249" s="290">
        <v>0</v>
      </c>
      <c r="BH249" s="290">
        <v>0</v>
      </c>
      <c r="BI249" s="290">
        <v>0</v>
      </c>
      <c r="BJ249" s="290">
        <v>0</v>
      </c>
      <c r="BK249" s="78">
        <v>0</v>
      </c>
      <c r="BL249" s="41" t="s">
        <v>616</v>
      </c>
      <c r="BM249" s="45"/>
    </row>
    <row r="250" spans="1:65" x14ac:dyDescent="0.35">
      <c r="A250" s="45" t="str">
        <f>Database_Productkaarten[[#This Row],[Product]]&amp;", "&amp;Database_Productkaarten[[#This Row],[Levensfase]]</f>
        <v>AC Surf 0% PR - PCR 2.0, B2</v>
      </c>
      <c r="B250" s="41" t="s">
        <v>1356</v>
      </c>
      <c r="C250" s="41" t="s">
        <v>443</v>
      </c>
      <c r="D250" s="41" t="s">
        <v>471</v>
      </c>
      <c r="E250" s="41" t="s">
        <v>91</v>
      </c>
      <c r="F250" s="41" t="s">
        <v>604</v>
      </c>
      <c r="G250" s="45"/>
      <c r="H250" s="45"/>
      <c r="I250" s="45"/>
      <c r="J250" s="45"/>
      <c r="K250" s="45"/>
      <c r="L250" s="41">
        <v>2.35</v>
      </c>
      <c r="M250" s="249">
        <v>0</v>
      </c>
      <c r="N250" s="45">
        <v>14</v>
      </c>
      <c r="O250" s="290">
        <v>0</v>
      </c>
      <c r="P250" s="290">
        <v>0</v>
      </c>
      <c r="Q250" s="290">
        <v>0</v>
      </c>
      <c r="R250" s="290">
        <v>0</v>
      </c>
      <c r="S250" s="290">
        <v>0</v>
      </c>
      <c r="T250" s="290">
        <v>0</v>
      </c>
      <c r="U250" s="290">
        <v>0</v>
      </c>
      <c r="V250" s="290">
        <v>0</v>
      </c>
      <c r="W250" s="290">
        <v>0</v>
      </c>
      <c r="X250" s="290">
        <v>0</v>
      </c>
      <c r="Y250" s="290">
        <v>0</v>
      </c>
      <c r="Z250" s="290">
        <v>0</v>
      </c>
      <c r="AA250" s="290">
        <v>0</v>
      </c>
      <c r="AB250" s="290">
        <v>0</v>
      </c>
      <c r="AC250" s="290">
        <v>0</v>
      </c>
      <c r="AD250" s="290">
        <v>0</v>
      </c>
      <c r="AE250" s="290">
        <v>0</v>
      </c>
      <c r="AF250" s="290">
        <v>0</v>
      </c>
      <c r="AG250" s="290">
        <v>0</v>
      </c>
      <c r="AH250" s="290">
        <v>0</v>
      </c>
      <c r="AI250" s="290">
        <v>0</v>
      </c>
      <c r="AJ250" s="290">
        <v>0</v>
      </c>
      <c r="AK250" s="290">
        <v>0</v>
      </c>
      <c r="AL250" s="290">
        <v>0</v>
      </c>
      <c r="AM250" s="290">
        <v>0</v>
      </c>
      <c r="AN250" s="290">
        <v>0</v>
      </c>
      <c r="AO250" s="290">
        <v>0</v>
      </c>
      <c r="AP250" s="290">
        <v>0</v>
      </c>
      <c r="AQ250" s="290">
        <v>0</v>
      </c>
      <c r="AR250" s="290">
        <v>0</v>
      </c>
      <c r="AS250" s="290">
        <v>0</v>
      </c>
      <c r="AT250" s="290">
        <v>0</v>
      </c>
      <c r="AU250" s="290">
        <v>0</v>
      </c>
      <c r="AV250" s="290">
        <v>0</v>
      </c>
      <c r="AW250" s="290">
        <v>0</v>
      </c>
      <c r="AX250" s="290">
        <v>0</v>
      </c>
      <c r="AY250" s="290">
        <v>0</v>
      </c>
      <c r="AZ250" s="290">
        <v>0</v>
      </c>
      <c r="BA250" s="290">
        <v>0</v>
      </c>
      <c r="BB250" s="290">
        <v>0</v>
      </c>
      <c r="BC250" s="290">
        <v>0</v>
      </c>
      <c r="BD250" s="290">
        <v>0</v>
      </c>
      <c r="BE250" s="290">
        <v>0</v>
      </c>
      <c r="BF250" s="290">
        <v>0</v>
      </c>
      <c r="BG250" s="290">
        <v>0</v>
      </c>
      <c r="BH250" s="290">
        <v>0</v>
      </c>
      <c r="BI250" s="290">
        <v>0</v>
      </c>
      <c r="BJ250" s="290">
        <v>0</v>
      </c>
      <c r="BK250" s="78">
        <v>0</v>
      </c>
      <c r="BL250" s="41" t="s">
        <v>616</v>
      </c>
      <c r="BM250" s="45"/>
    </row>
    <row r="251" spans="1:65" x14ac:dyDescent="0.35">
      <c r="A251" s="45" t="str">
        <f>Database_Productkaarten[[#This Row],[Product]]&amp;", "&amp;Database_Productkaarten[[#This Row],[Levensfase]]</f>
        <v>AC Surf 0% PR - PCR 2.0, B3</v>
      </c>
      <c r="B251" s="41" t="s">
        <v>1356</v>
      </c>
      <c r="C251" s="41" t="s">
        <v>443</v>
      </c>
      <c r="D251" s="41" t="s">
        <v>471</v>
      </c>
      <c r="E251" s="41" t="s">
        <v>91</v>
      </c>
      <c r="F251" s="41" t="s">
        <v>602</v>
      </c>
      <c r="G251" s="45"/>
      <c r="H251" s="45"/>
      <c r="I251" s="45"/>
      <c r="J251" s="45"/>
      <c r="K251" s="45"/>
      <c r="L251" s="41">
        <v>2.35</v>
      </c>
      <c r="M251" s="249">
        <v>0</v>
      </c>
      <c r="N251" s="45">
        <v>14</v>
      </c>
      <c r="O251" s="290">
        <v>0</v>
      </c>
      <c r="P251" s="290">
        <v>0</v>
      </c>
      <c r="Q251" s="290">
        <v>0</v>
      </c>
      <c r="R251" s="290">
        <v>0</v>
      </c>
      <c r="S251" s="290">
        <v>0</v>
      </c>
      <c r="T251" s="290">
        <v>0</v>
      </c>
      <c r="U251" s="290">
        <v>0</v>
      </c>
      <c r="V251" s="290">
        <v>0</v>
      </c>
      <c r="W251" s="290">
        <v>0</v>
      </c>
      <c r="X251" s="290">
        <v>0</v>
      </c>
      <c r="Y251" s="290">
        <v>0</v>
      </c>
      <c r="Z251" s="290">
        <v>0</v>
      </c>
      <c r="AA251" s="290">
        <v>0</v>
      </c>
      <c r="AB251" s="290">
        <v>0</v>
      </c>
      <c r="AC251" s="290">
        <v>0</v>
      </c>
      <c r="AD251" s="290">
        <v>0</v>
      </c>
      <c r="AE251" s="290">
        <v>0</v>
      </c>
      <c r="AF251" s="290">
        <v>0</v>
      </c>
      <c r="AG251" s="290">
        <v>0</v>
      </c>
      <c r="AH251" s="290">
        <v>0</v>
      </c>
      <c r="AI251" s="290">
        <v>0</v>
      </c>
      <c r="AJ251" s="290">
        <v>0</v>
      </c>
      <c r="AK251" s="290">
        <v>0</v>
      </c>
      <c r="AL251" s="290">
        <v>0</v>
      </c>
      <c r="AM251" s="290">
        <v>0</v>
      </c>
      <c r="AN251" s="290">
        <v>0</v>
      </c>
      <c r="AO251" s="290">
        <v>0</v>
      </c>
      <c r="AP251" s="290">
        <v>0</v>
      </c>
      <c r="AQ251" s="290">
        <v>0</v>
      </c>
      <c r="AR251" s="290">
        <v>0</v>
      </c>
      <c r="AS251" s="290">
        <v>0</v>
      </c>
      <c r="AT251" s="290">
        <v>0</v>
      </c>
      <c r="AU251" s="290">
        <v>0</v>
      </c>
      <c r="AV251" s="290">
        <v>0</v>
      </c>
      <c r="AW251" s="290">
        <v>0</v>
      </c>
      <c r="AX251" s="290">
        <v>0</v>
      </c>
      <c r="AY251" s="290">
        <v>0</v>
      </c>
      <c r="AZ251" s="290">
        <v>0</v>
      </c>
      <c r="BA251" s="290">
        <v>0</v>
      </c>
      <c r="BB251" s="290">
        <v>0</v>
      </c>
      <c r="BC251" s="290">
        <v>0</v>
      </c>
      <c r="BD251" s="290">
        <v>0</v>
      </c>
      <c r="BE251" s="290">
        <v>0</v>
      </c>
      <c r="BF251" s="290">
        <v>0</v>
      </c>
      <c r="BG251" s="290">
        <v>0</v>
      </c>
      <c r="BH251" s="290">
        <v>0</v>
      </c>
      <c r="BI251" s="290">
        <v>0</v>
      </c>
      <c r="BJ251" s="290">
        <v>0</v>
      </c>
      <c r="BK251" s="78">
        <v>0</v>
      </c>
      <c r="BL251" s="41" t="s">
        <v>616</v>
      </c>
      <c r="BM251" s="45"/>
    </row>
    <row r="252" spans="1:65" x14ac:dyDescent="0.35">
      <c r="A252" s="45" t="str">
        <f>Database_Productkaarten[[#This Row],[Product]]&amp;", "&amp;Database_Productkaarten[[#This Row],[Levensfase]]</f>
        <v>AC Surf 0% PR - PCR 2.0, B4</v>
      </c>
      <c r="B252" s="41" t="s">
        <v>1356</v>
      </c>
      <c r="C252" s="41" t="s">
        <v>443</v>
      </c>
      <c r="D252" s="41" t="s">
        <v>471</v>
      </c>
      <c r="E252" s="41" t="s">
        <v>91</v>
      </c>
      <c r="F252" s="41" t="s">
        <v>50</v>
      </c>
      <c r="G252" s="45"/>
      <c r="H252" s="45"/>
      <c r="I252" s="45"/>
      <c r="J252" s="45"/>
      <c r="K252" s="45"/>
      <c r="L252" s="41">
        <v>2.35</v>
      </c>
      <c r="M252" s="249">
        <v>0</v>
      </c>
      <c r="N252" s="45">
        <v>14</v>
      </c>
      <c r="O252" s="290">
        <v>0</v>
      </c>
      <c r="P252" s="290">
        <v>0</v>
      </c>
      <c r="Q252" s="290">
        <v>0</v>
      </c>
      <c r="R252" s="290">
        <v>0</v>
      </c>
      <c r="S252" s="290">
        <v>0</v>
      </c>
      <c r="T252" s="290">
        <v>0</v>
      </c>
      <c r="U252" s="290">
        <v>0</v>
      </c>
      <c r="V252" s="290">
        <v>0</v>
      </c>
      <c r="W252" s="290">
        <v>0</v>
      </c>
      <c r="X252" s="290">
        <v>0</v>
      </c>
      <c r="Y252" s="290">
        <v>0</v>
      </c>
      <c r="Z252" s="290">
        <v>0</v>
      </c>
      <c r="AA252" s="290">
        <v>0</v>
      </c>
      <c r="AB252" s="290">
        <v>0</v>
      </c>
      <c r="AC252" s="290">
        <v>0</v>
      </c>
      <c r="AD252" s="290">
        <v>0</v>
      </c>
      <c r="AE252" s="290">
        <v>0</v>
      </c>
      <c r="AF252" s="290">
        <v>0</v>
      </c>
      <c r="AG252" s="290">
        <v>0</v>
      </c>
      <c r="AH252" s="290">
        <v>0</v>
      </c>
      <c r="AI252" s="290">
        <v>0</v>
      </c>
      <c r="AJ252" s="290">
        <v>0</v>
      </c>
      <c r="AK252" s="290">
        <v>0</v>
      </c>
      <c r="AL252" s="290">
        <v>0</v>
      </c>
      <c r="AM252" s="290">
        <v>0</v>
      </c>
      <c r="AN252" s="290">
        <v>0</v>
      </c>
      <c r="AO252" s="290">
        <v>0</v>
      </c>
      <c r="AP252" s="290">
        <v>0</v>
      </c>
      <c r="AQ252" s="290">
        <v>0</v>
      </c>
      <c r="AR252" s="290">
        <v>0</v>
      </c>
      <c r="AS252" s="290">
        <v>0</v>
      </c>
      <c r="AT252" s="290">
        <v>0</v>
      </c>
      <c r="AU252" s="290">
        <v>0</v>
      </c>
      <c r="AV252" s="290">
        <v>0</v>
      </c>
      <c r="AW252" s="290">
        <v>0</v>
      </c>
      <c r="AX252" s="290">
        <v>0</v>
      </c>
      <c r="AY252" s="290">
        <v>0</v>
      </c>
      <c r="AZ252" s="290">
        <v>0</v>
      </c>
      <c r="BA252" s="290">
        <v>0</v>
      </c>
      <c r="BB252" s="290">
        <v>0</v>
      </c>
      <c r="BC252" s="290">
        <v>0</v>
      </c>
      <c r="BD252" s="290">
        <v>0</v>
      </c>
      <c r="BE252" s="290">
        <v>0</v>
      </c>
      <c r="BF252" s="290">
        <v>0</v>
      </c>
      <c r="BG252" s="290">
        <v>0</v>
      </c>
      <c r="BH252" s="290">
        <v>0</v>
      </c>
      <c r="BI252" s="290">
        <v>0</v>
      </c>
      <c r="BJ252" s="290">
        <v>0</v>
      </c>
      <c r="BK252" s="78">
        <v>0</v>
      </c>
      <c r="BL252" s="41" t="s">
        <v>616</v>
      </c>
      <c r="BM252" s="45"/>
    </row>
    <row r="253" spans="1:65" x14ac:dyDescent="0.35">
      <c r="A253" s="45" t="str">
        <f>Database_Productkaarten[[#This Row],[Product]]&amp;", "&amp;Database_Productkaarten[[#This Row],[Levensfase]]</f>
        <v>AC Surf 0% PR - PCR 2.0, B5</v>
      </c>
      <c r="B253" s="41" t="s">
        <v>1356</v>
      </c>
      <c r="C253" s="41" t="s">
        <v>443</v>
      </c>
      <c r="D253" s="41" t="s">
        <v>471</v>
      </c>
      <c r="E253" s="41" t="s">
        <v>91</v>
      </c>
      <c r="F253" s="41" t="s">
        <v>1358</v>
      </c>
      <c r="G253" s="45"/>
      <c r="H253" s="45"/>
      <c r="I253" s="45"/>
      <c r="J253" s="45"/>
      <c r="K253" s="45"/>
      <c r="L253" s="41">
        <v>2.35</v>
      </c>
      <c r="M253" s="249">
        <v>0</v>
      </c>
      <c r="N253" s="45">
        <v>14</v>
      </c>
      <c r="O253" s="290">
        <v>0</v>
      </c>
      <c r="P253" s="290">
        <v>0</v>
      </c>
      <c r="Q253" s="290">
        <v>0</v>
      </c>
      <c r="R253" s="290">
        <v>0</v>
      </c>
      <c r="S253" s="290">
        <v>0</v>
      </c>
      <c r="T253" s="290">
        <v>0</v>
      </c>
      <c r="U253" s="290">
        <v>0</v>
      </c>
      <c r="V253" s="290">
        <v>0</v>
      </c>
      <c r="W253" s="290">
        <v>0</v>
      </c>
      <c r="X253" s="290">
        <v>0</v>
      </c>
      <c r="Y253" s="290">
        <v>0</v>
      </c>
      <c r="Z253" s="290">
        <v>0</v>
      </c>
      <c r="AA253" s="290">
        <v>0</v>
      </c>
      <c r="AB253" s="290">
        <v>0</v>
      </c>
      <c r="AC253" s="290">
        <v>0</v>
      </c>
      <c r="AD253" s="290">
        <v>0</v>
      </c>
      <c r="AE253" s="290">
        <v>0</v>
      </c>
      <c r="AF253" s="290">
        <v>0</v>
      </c>
      <c r="AG253" s="290">
        <v>0</v>
      </c>
      <c r="AH253" s="290">
        <v>0</v>
      </c>
      <c r="AI253" s="290">
        <v>0</v>
      </c>
      <c r="AJ253" s="290">
        <v>0</v>
      </c>
      <c r="AK253" s="290">
        <v>0</v>
      </c>
      <c r="AL253" s="290">
        <v>0</v>
      </c>
      <c r="AM253" s="290">
        <v>0</v>
      </c>
      <c r="AN253" s="290">
        <v>0</v>
      </c>
      <c r="AO253" s="290">
        <v>0</v>
      </c>
      <c r="AP253" s="290">
        <v>0</v>
      </c>
      <c r="AQ253" s="290">
        <v>0</v>
      </c>
      <c r="AR253" s="290">
        <v>0</v>
      </c>
      <c r="AS253" s="290">
        <v>0</v>
      </c>
      <c r="AT253" s="290">
        <v>0</v>
      </c>
      <c r="AU253" s="290">
        <v>0</v>
      </c>
      <c r="AV253" s="290">
        <v>0</v>
      </c>
      <c r="AW253" s="290">
        <v>0</v>
      </c>
      <c r="AX253" s="290">
        <v>0</v>
      </c>
      <c r="AY253" s="290">
        <v>0</v>
      </c>
      <c r="AZ253" s="290">
        <v>0</v>
      </c>
      <c r="BA253" s="290">
        <v>0</v>
      </c>
      <c r="BB253" s="290">
        <v>0</v>
      </c>
      <c r="BC253" s="290">
        <v>0</v>
      </c>
      <c r="BD253" s="290">
        <v>0</v>
      </c>
      <c r="BE253" s="290">
        <v>0</v>
      </c>
      <c r="BF253" s="290">
        <v>0</v>
      </c>
      <c r="BG253" s="290">
        <v>0</v>
      </c>
      <c r="BH253" s="290">
        <v>0</v>
      </c>
      <c r="BI253" s="290">
        <v>0</v>
      </c>
      <c r="BJ253" s="290">
        <v>0</v>
      </c>
      <c r="BK253" s="78">
        <v>0</v>
      </c>
      <c r="BL253" s="41" t="s">
        <v>616</v>
      </c>
      <c r="BM253" s="45"/>
    </row>
    <row r="254" spans="1:65" x14ac:dyDescent="0.35">
      <c r="A254" s="45" t="str">
        <f>Database_Productkaarten[[#This Row],[Product]]&amp;", "&amp;Database_Productkaarten[[#This Row],[Levensfase]]</f>
        <v>AC Surf 0% PR - PCR 2.0, C1</v>
      </c>
      <c r="B254" s="41" t="s">
        <v>1356</v>
      </c>
      <c r="C254" s="41" t="s">
        <v>443</v>
      </c>
      <c r="D254" s="41" t="s">
        <v>471</v>
      </c>
      <c r="E254" s="41" t="s">
        <v>91</v>
      </c>
      <c r="F254" s="41" t="s">
        <v>25</v>
      </c>
      <c r="G254" s="45"/>
      <c r="H254" s="45"/>
      <c r="I254" s="45"/>
      <c r="J254" s="45"/>
      <c r="K254" s="45"/>
      <c r="L254" s="41">
        <v>2.35</v>
      </c>
      <c r="M254" s="292">
        <v>0.13541602848430037</v>
      </c>
      <c r="N254" s="45">
        <v>14</v>
      </c>
      <c r="O254" s="290">
        <v>1.66355234371268E-6</v>
      </c>
      <c r="P254" s="290">
        <v>7.0767185660086003E-3</v>
      </c>
      <c r="Q254" s="290">
        <v>1.4392148982219499</v>
      </c>
      <c r="R254" s="290">
        <v>1.8598176348948501E-7</v>
      </c>
      <c r="S254" s="290">
        <v>4.7349882800803002E-4</v>
      </c>
      <c r="T254" s="290">
        <v>4.1086089065849101E-3</v>
      </c>
      <c r="U254" s="290">
        <v>8.8311374408541897E-4</v>
      </c>
      <c r="V254" s="290">
        <v>0.38738647324257602</v>
      </c>
      <c r="W254" s="290">
        <v>5.5203761961479404E-3</v>
      </c>
      <c r="X254" s="290">
        <v>19.1808743305143</v>
      </c>
      <c r="Y254" s="290">
        <v>6.5374485782711202E-4</v>
      </c>
      <c r="Z254" s="290">
        <v>1.4480810791550101</v>
      </c>
      <c r="AA254" s="290">
        <v>1.44766536633154</v>
      </c>
      <c r="AB254" s="290">
        <v>3.3110965602878002E-4</v>
      </c>
      <c r="AC254" s="290">
        <v>8.4603167447085795E-5</v>
      </c>
      <c r="AD254" s="290">
        <v>2.34344367513809E-7</v>
      </c>
      <c r="AE254" s="290">
        <v>5.5792397950341598E-3</v>
      </c>
      <c r="AF254" s="290">
        <v>3.9527082852090703E-6</v>
      </c>
      <c r="AG254" s="290">
        <v>2.16816828703612E-3</v>
      </c>
      <c r="AH254" s="290">
        <v>2.3831205862229001E-2</v>
      </c>
      <c r="AI254" s="290">
        <v>6.5087102457774201E-3</v>
      </c>
      <c r="AJ254" s="290">
        <v>1.6635392896183899E-6</v>
      </c>
      <c r="AK254" s="290">
        <v>14.931444249989299</v>
      </c>
      <c r="AL254" s="290">
        <v>1.98862448160417E-2</v>
      </c>
      <c r="AM254" s="290">
        <v>2.3049580029673E-8</v>
      </c>
      <c r="AN254" s="290">
        <v>6.4087145571877599E-2</v>
      </c>
      <c r="AO254" s="290">
        <v>8.9589317785942892</v>
      </c>
      <c r="AP254" s="290">
        <v>3.14325781401989E-10</v>
      </c>
      <c r="AQ254" s="290">
        <v>6.3100664428503798E-9</v>
      </c>
      <c r="AR254" s="290">
        <v>1.90716650065392</v>
      </c>
      <c r="AS254" s="290">
        <v>0</v>
      </c>
      <c r="AT254" s="290">
        <v>0</v>
      </c>
      <c r="AU254" s="290">
        <v>8.2070635606655395E-2</v>
      </c>
      <c r="AV254" s="290">
        <v>0</v>
      </c>
      <c r="AW254" s="290">
        <v>0</v>
      </c>
      <c r="AX254" s="290">
        <v>15.8567215367407</v>
      </c>
      <c r="AY254" s="290">
        <v>0</v>
      </c>
      <c r="AZ254" s="290">
        <v>0</v>
      </c>
      <c r="BA254" s="290">
        <v>0</v>
      </c>
      <c r="BB254" s="290">
        <v>7.7185667223196998E-4</v>
      </c>
      <c r="BC254" s="290">
        <v>4.0662309940925699E-5</v>
      </c>
      <c r="BD254" s="290">
        <v>1.7667955257769302E-2</v>
      </c>
      <c r="BE254" s="290">
        <v>1.03774338880439E-4</v>
      </c>
      <c r="BF254" s="290">
        <v>0</v>
      </c>
      <c r="BG254" s="290">
        <v>0</v>
      </c>
      <c r="BH254" s="290">
        <v>0</v>
      </c>
      <c r="BI254" s="290">
        <v>0</v>
      </c>
      <c r="BJ254" s="290">
        <v>0</v>
      </c>
      <c r="BK254" s="78">
        <v>0</v>
      </c>
      <c r="BL254" s="41" t="s">
        <v>616</v>
      </c>
      <c r="BM254" s="45"/>
    </row>
    <row r="255" spans="1:65" x14ac:dyDescent="0.35">
      <c r="A255" s="45" t="str">
        <f>Database_Productkaarten[[#This Row],[Product]]&amp;", "&amp;Database_Productkaarten[[#This Row],[Levensfase]]</f>
        <v>AC Surf 0% PR - PCR 2.0, C2</v>
      </c>
      <c r="B255" s="41" t="s">
        <v>1356</v>
      </c>
      <c r="C255" s="41" t="s">
        <v>443</v>
      </c>
      <c r="D255" s="41" t="s">
        <v>471</v>
      </c>
      <c r="E255" s="41" t="s">
        <v>91</v>
      </c>
      <c r="F255" s="41" t="s">
        <v>26</v>
      </c>
      <c r="G255" s="45"/>
      <c r="H255" s="45"/>
      <c r="I255" s="45"/>
      <c r="J255" s="45"/>
      <c r="K255" s="45"/>
      <c r="L255" s="41">
        <v>2.35</v>
      </c>
      <c r="M255" s="54">
        <v>0.31791357541832999</v>
      </c>
      <c r="N255" s="45">
        <v>14</v>
      </c>
      <c r="O255" s="290">
        <v>7.2195843000000002E-5</v>
      </c>
      <c r="P255" s="290">
        <v>2.5045429500000001E-2</v>
      </c>
      <c r="Q255" s="290">
        <v>3.2726104581</v>
      </c>
      <c r="R255" s="290">
        <v>6.2448211500000004E-7</v>
      </c>
      <c r="S255" s="290">
        <v>2.3663202E-3</v>
      </c>
      <c r="T255" s="290">
        <v>9.9103019999999993E-3</v>
      </c>
      <c r="U255" s="290">
        <v>1.66070541E-3</v>
      </c>
      <c r="V255" s="290">
        <v>0.89062466159999998</v>
      </c>
      <c r="W255" s="290">
        <v>3.5055542699999998E-2</v>
      </c>
      <c r="X255" s="290">
        <v>92.682047400000002</v>
      </c>
      <c r="Y255" s="290">
        <v>7.4868390000000003E-3</v>
      </c>
      <c r="Z255" s="290">
        <v>3.3150718431000001</v>
      </c>
      <c r="AA255" s="290">
        <v>3.3001817481</v>
      </c>
      <c r="AB255" s="290">
        <v>1.3607189190000001E-2</v>
      </c>
      <c r="AC255" s="290">
        <v>1.2829113599999999E-3</v>
      </c>
      <c r="AD255" s="290">
        <v>7.8107336699999998E-7</v>
      </c>
      <c r="AE255" s="290">
        <v>1.2482505E-2</v>
      </c>
      <c r="AF255" s="290">
        <v>3.4632532799999998E-5</v>
      </c>
      <c r="AG255" s="290">
        <v>2.8897329300000001E-3</v>
      </c>
      <c r="AH255" s="290">
        <v>3.3662059799999998E-2</v>
      </c>
      <c r="AI255" s="290">
        <v>1.2098522699999999E-2</v>
      </c>
      <c r="AJ255" s="290">
        <v>7.2195510000000004E-5</v>
      </c>
      <c r="AK255" s="290">
        <v>52.307882313</v>
      </c>
      <c r="AL255" s="290">
        <v>0.28570883850000001</v>
      </c>
      <c r="AM255" s="290">
        <v>2.8544027399999998E-7</v>
      </c>
      <c r="AN255" s="290">
        <v>0.22308385950000001</v>
      </c>
      <c r="AO255" s="290">
        <v>50.61443379</v>
      </c>
      <c r="AP255" s="290">
        <v>1.35209877E-9</v>
      </c>
      <c r="AQ255" s="290">
        <v>4.3221490799999998E-8</v>
      </c>
      <c r="AR255" s="290">
        <v>98.528772599999996</v>
      </c>
      <c r="AS255" s="290">
        <v>8.065825212</v>
      </c>
      <c r="AT255" s="290">
        <v>0</v>
      </c>
      <c r="AU255" s="290">
        <v>8.6963547624000004</v>
      </c>
      <c r="AV255" s="290">
        <v>0.70667511750000001</v>
      </c>
      <c r="AW255" s="290">
        <v>9.926829900000001E-4</v>
      </c>
      <c r="AX255" s="290">
        <v>55.561210727999999</v>
      </c>
      <c r="AY255" s="290">
        <v>0</v>
      </c>
      <c r="AZ255" s="290">
        <v>0</v>
      </c>
      <c r="BA255" s="290">
        <v>0</v>
      </c>
      <c r="BB255" s="290">
        <v>8.7338241000000007E-3</v>
      </c>
      <c r="BC255" s="290">
        <v>1.5376752299999999E-4</v>
      </c>
      <c r="BD255" s="290">
        <v>5.5583861609999996</v>
      </c>
      <c r="BE255" s="290">
        <v>3.4865666099999999E-4</v>
      </c>
      <c r="BF255" s="290">
        <v>0</v>
      </c>
      <c r="BG255" s="290">
        <v>0</v>
      </c>
      <c r="BH255" s="290">
        <v>0</v>
      </c>
      <c r="BI255" s="290">
        <v>0</v>
      </c>
      <c r="BJ255" s="290">
        <v>0</v>
      </c>
      <c r="BK255" s="78">
        <v>0</v>
      </c>
      <c r="BL255" s="41" t="s">
        <v>616</v>
      </c>
      <c r="BM255" s="45"/>
    </row>
    <row r="256" spans="1:65" x14ac:dyDescent="0.35">
      <c r="A256" s="45" t="str">
        <f>Database_Productkaarten[[#This Row],[Product]]&amp;", "&amp;Database_Productkaarten[[#This Row],[Levensfase]]</f>
        <v>AC Surf 0% PR - PCR 2.0, C3</v>
      </c>
      <c r="B256" s="41" t="s">
        <v>1356</v>
      </c>
      <c r="C256" s="41" t="s">
        <v>443</v>
      </c>
      <c r="D256" s="41" t="s">
        <v>471</v>
      </c>
      <c r="E256" s="41" t="s">
        <v>91</v>
      </c>
      <c r="F256" s="41" t="s">
        <v>27</v>
      </c>
      <c r="G256" s="45"/>
      <c r="H256" s="45"/>
      <c r="I256" s="45"/>
      <c r="J256" s="45"/>
      <c r="K256" s="45"/>
      <c r="L256" s="41">
        <v>2.35</v>
      </c>
      <c r="M256" s="54">
        <v>0.15929996445386349</v>
      </c>
      <c r="N256" s="45">
        <v>14</v>
      </c>
      <c r="O256" s="290">
        <v>1.86519505204149E-6</v>
      </c>
      <c r="P256" s="290">
        <v>7.9345026346156998E-3</v>
      </c>
      <c r="Q256" s="290">
        <v>1.61366518891552</v>
      </c>
      <c r="R256" s="290">
        <v>2.0852500754881699E-7</v>
      </c>
      <c r="S256" s="290">
        <v>5.8559282648642901E-4</v>
      </c>
      <c r="T256" s="290">
        <v>5.7290955922309397E-3</v>
      </c>
      <c r="U256" s="290">
        <v>1.28200094033804E-3</v>
      </c>
      <c r="V256" s="290">
        <v>0.43705340511137297</v>
      </c>
      <c r="W256" s="290">
        <v>6.1895127047719503E-3</v>
      </c>
      <c r="X256" s="290">
        <v>21.505828794819099</v>
      </c>
      <c r="Y256" s="290">
        <v>7.32986658775854E-4</v>
      </c>
      <c r="Z256" s="290">
        <v>1.6243260223859299</v>
      </c>
      <c r="AA256" s="290">
        <v>1.6238599201293</v>
      </c>
      <c r="AB256" s="290">
        <v>3.7124415978984603E-4</v>
      </c>
      <c r="AC256" s="290">
        <v>9.4858096834611393E-5</v>
      </c>
      <c r="AD256" s="290">
        <v>2.6274974539427099E-7</v>
      </c>
      <c r="AE256" s="290">
        <v>7.9167720429161696E-3</v>
      </c>
      <c r="AF256" s="290">
        <v>4.4318244409919901E-6</v>
      </c>
      <c r="AG256" s="290">
        <v>3.3042609354642601E-3</v>
      </c>
      <c r="AH256" s="290">
        <v>3.6283310966736301E-2</v>
      </c>
      <c r="AI256" s="290">
        <v>9.6537099664764005E-3</v>
      </c>
      <c r="AJ256" s="290">
        <v>1.8651804156327399E-6</v>
      </c>
      <c r="AK256" s="290">
        <v>16.741316280291102</v>
      </c>
      <c r="AL256" s="290">
        <v>2.2296698733137599E-2</v>
      </c>
      <c r="AM256" s="290">
        <v>3.0576571272358099E-8</v>
      </c>
      <c r="AN256" s="290">
        <v>7.1855284429075003E-2</v>
      </c>
      <c r="AO256" s="290">
        <v>10.045649777604201</v>
      </c>
      <c r="AP256" s="290">
        <v>3.5242587611738398E-10</v>
      </c>
      <c r="AQ256" s="290">
        <v>7.5755651317201396E-9</v>
      </c>
      <c r="AR256" s="290">
        <v>2.1383381977028799</v>
      </c>
      <c r="AS256" s="290">
        <v>0</v>
      </c>
      <c r="AT256" s="290">
        <v>0</v>
      </c>
      <c r="AU256" s="290">
        <v>9.2018591437765404E-2</v>
      </c>
      <c r="AV256" s="290">
        <v>0</v>
      </c>
      <c r="AW256" s="290">
        <v>0</v>
      </c>
      <c r="AX256" s="290">
        <v>17.778748389678999</v>
      </c>
      <c r="AY256" s="290">
        <v>0</v>
      </c>
      <c r="AZ256" s="290">
        <v>0</v>
      </c>
      <c r="BA256" s="290">
        <v>0</v>
      </c>
      <c r="BB256" s="290">
        <v>8.6541505674493603E-4</v>
      </c>
      <c r="BC256" s="290">
        <v>4.5591074782250099E-5</v>
      </c>
      <c r="BD256" s="290">
        <v>1.9809525592044401E-2</v>
      </c>
      <c r="BE256" s="290">
        <v>1.1635304662352199E-4</v>
      </c>
      <c r="BF256" s="290">
        <v>0</v>
      </c>
      <c r="BG256" s="290">
        <v>1000</v>
      </c>
      <c r="BH256" s="290">
        <v>0</v>
      </c>
      <c r="BI256" s="290">
        <v>0</v>
      </c>
      <c r="BJ256" s="290">
        <v>0</v>
      </c>
      <c r="BK256" s="78">
        <v>0</v>
      </c>
      <c r="BL256" s="41" t="s">
        <v>616</v>
      </c>
      <c r="BM256" s="45"/>
    </row>
    <row r="257" spans="1:65" x14ac:dyDescent="0.35">
      <c r="A257" s="45" t="str">
        <f>Database_Productkaarten[[#This Row],[Product]]&amp;", "&amp;Database_Productkaarten[[#This Row],[Levensfase]]</f>
        <v>AC Surf 0% PR - PCR 2.0, C4</v>
      </c>
      <c r="B257" s="41" t="s">
        <v>1356</v>
      </c>
      <c r="C257" s="41" t="s">
        <v>443</v>
      </c>
      <c r="D257" s="41" t="s">
        <v>471</v>
      </c>
      <c r="E257" s="41" t="s">
        <v>91</v>
      </c>
      <c r="F257" s="41" t="s">
        <v>28</v>
      </c>
      <c r="G257" s="45"/>
      <c r="H257" s="45"/>
      <c r="I257" s="45"/>
      <c r="J257" s="45"/>
      <c r="K257" s="45"/>
      <c r="L257" s="41">
        <v>2.35</v>
      </c>
      <c r="M257" s="54">
        <v>0</v>
      </c>
      <c r="N257" s="45">
        <v>14</v>
      </c>
      <c r="O257" s="290">
        <v>0</v>
      </c>
      <c r="P257" s="290">
        <v>0</v>
      </c>
      <c r="Q257" s="290">
        <v>0</v>
      </c>
      <c r="R257" s="290">
        <v>0</v>
      </c>
      <c r="S257" s="290">
        <v>0</v>
      </c>
      <c r="T257" s="290">
        <v>0</v>
      </c>
      <c r="U257" s="290">
        <v>0</v>
      </c>
      <c r="V257" s="290">
        <v>0</v>
      </c>
      <c r="W257" s="290">
        <v>0</v>
      </c>
      <c r="X257" s="290">
        <v>0</v>
      </c>
      <c r="Y257" s="290">
        <v>0</v>
      </c>
      <c r="Z257" s="290">
        <v>0</v>
      </c>
      <c r="AA257" s="290">
        <v>0</v>
      </c>
      <c r="AB257" s="290">
        <v>0</v>
      </c>
      <c r="AC257" s="290">
        <v>0</v>
      </c>
      <c r="AD257" s="290">
        <v>0</v>
      </c>
      <c r="AE257" s="290">
        <v>0</v>
      </c>
      <c r="AF257" s="290">
        <v>0</v>
      </c>
      <c r="AG257" s="290">
        <v>0</v>
      </c>
      <c r="AH257" s="290">
        <v>0</v>
      </c>
      <c r="AI257" s="290">
        <v>0</v>
      </c>
      <c r="AJ257" s="290">
        <v>0</v>
      </c>
      <c r="AK257" s="290">
        <v>0</v>
      </c>
      <c r="AL257" s="290">
        <v>0</v>
      </c>
      <c r="AM257" s="290">
        <v>0</v>
      </c>
      <c r="AN257" s="290">
        <v>0</v>
      </c>
      <c r="AO257" s="290">
        <v>0</v>
      </c>
      <c r="AP257" s="290">
        <v>0</v>
      </c>
      <c r="AQ257" s="290">
        <v>0</v>
      </c>
      <c r="AR257" s="290">
        <v>0</v>
      </c>
      <c r="AS257" s="290">
        <v>0</v>
      </c>
      <c r="AT257" s="290">
        <v>0</v>
      </c>
      <c r="AU257" s="290">
        <v>0</v>
      </c>
      <c r="AV257" s="290">
        <v>0</v>
      </c>
      <c r="AW257" s="290">
        <v>0</v>
      </c>
      <c r="AX257" s="290">
        <v>0</v>
      </c>
      <c r="AY257" s="290">
        <v>0</v>
      </c>
      <c r="AZ257" s="290">
        <v>0</v>
      </c>
      <c r="BA257" s="290">
        <v>0</v>
      </c>
      <c r="BB257" s="290">
        <v>0</v>
      </c>
      <c r="BC257" s="290">
        <v>0</v>
      </c>
      <c r="BD257" s="290">
        <v>0</v>
      </c>
      <c r="BE257" s="290">
        <v>0</v>
      </c>
      <c r="BF257" s="290">
        <v>0</v>
      </c>
      <c r="BG257" s="290">
        <v>0</v>
      </c>
      <c r="BH257" s="290">
        <v>0</v>
      </c>
      <c r="BI257" s="290">
        <v>0</v>
      </c>
      <c r="BJ257" s="290">
        <v>0</v>
      </c>
      <c r="BK257" s="78">
        <v>0</v>
      </c>
      <c r="BL257" s="41" t="s">
        <v>616</v>
      </c>
      <c r="BM257" s="45"/>
    </row>
    <row r="258" spans="1:65" x14ac:dyDescent="0.35">
      <c r="A258" s="45" t="str">
        <f>Database_Productkaarten[[#This Row],[Product]]&amp;", "&amp;Database_Productkaarten[[#This Row],[Levensfase]]</f>
        <v>AC Surf 0% PR - PCR 2.0, D1</v>
      </c>
      <c r="B258" s="41" t="s">
        <v>1356</v>
      </c>
      <c r="C258" s="41" t="s">
        <v>443</v>
      </c>
      <c r="D258" s="41" t="s">
        <v>471</v>
      </c>
      <c r="E258" s="41" t="s">
        <v>91</v>
      </c>
      <c r="F258" s="41" t="s">
        <v>51</v>
      </c>
      <c r="G258" s="45"/>
      <c r="H258" s="45"/>
      <c r="I258" s="45"/>
      <c r="J258" s="45"/>
      <c r="K258" s="45"/>
      <c r="L258" s="41">
        <v>2.35</v>
      </c>
      <c r="M258" s="54">
        <v>-4.3679865539983256</v>
      </c>
      <c r="N258" s="45">
        <v>14</v>
      </c>
      <c r="O258" s="290">
        <v>-4.9038814033031803E-4</v>
      </c>
      <c r="P258" s="290">
        <v>-0.74558617450839504</v>
      </c>
      <c r="Q258" s="290">
        <v>-32.476786341511001</v>
      </c>
      <c r="R258" s="290">
        <v>-2.7847203957846E-6</v>
      </c>
      <c r="S258" s="290">
        <v>-8.0189532046971504E-2</v>
      </c>
      <c r="T258" s="290">
        <v>-0.229417962006538</v>
      </c>
      <c r="U258" s="290">
        <v>-2.1887334324890099E-2</v>
      </c>
      <c r="V258" s="290">
        <v>-8.9008105514779796</v>
      </c>
      <c r="W258" s="290">
        <v>-1.1557979044650999</v>
      </c>
      <c r="X258" s="290">
        <v>-5047.7740661252001</v>
      </c>
      <c r="Y258" s="290">
        <v>-0.152170514391816</v>
      </c>
      <c r="Z258" s="290">
        <v>-8.6996419177699291</v>
      </c>
      <c r="AA258" s="290">
        <v>-8.59566863323289</v>
      </c>
      <c r="AB258" s="290">
        <v>-9.3379173776010793E-2</v>
      </c>
      <c r="AC258" s="290">
        <v>-1.05941107610323E-2</v>
      </c>
      <c r="AD258" s="290">
        <v>-1.13959398850648E-6</v>
      </c>
      <c r="AE258" s="290">
        <v>-8.4050570543286005E-2</v>
      </c>
      <c r="AF258" s="290">
        <v>-3.6733848745293998E-4</v>
      </c>
      <c r="AG258" s="290">
        <v>-2.4828159562750699E-2</v>
      </c>
      <c r="AH258" s="290">
        <v>-0.31243681504859999</v>
      </c>
      <c r="AI258" s="290">
        <v>-7.7086420534434097E-2</v>
      </c>
      <c r="AJ258" s="290">
        <v>-4.8699679061853501E-4</v>
      </c>
      <c r="AK258" s="290">
        <v>-125.345591997498</v>
      </c>
      <c r="AL258" s="290">
        <v>-30.720181874510299</v>
      </c>
      <c r="AM258" s="290">
        <v>-1.1872978183924901E-6</v>
      </c>
      <c r="AN258" s="290">
        <v>-0.67077370481472898</v>
      </c>
      <c r="AO258" s="290">
        <v>-1140.60845585282</v>
      </c>
      <c r="AP258" s="290">
        <v>-6.3431836447027303E-9</v>
      </c>
      <c r="AQ258" s="290">
        <v>-1.4494123834996801E-7</v>
      </c>
      <c r="AR258" s="290">
        <v>-1407.4485183793399</v>
      </c>
      <c r="AS258" s="290">
        <v>0</v>
      </c>
      <c r="AT258" s="290">
        <v>0</v>
      </c>
      <c r="AU258" s="290">
        <v>-16.262675897358601</v>
      </c>
      <c r="AV258" s="290">
        <v>0</v>
      </c>
      <c r="AW258" s="290">
        <v>0</v>
      </c>
      <c r="AX258" s="290">
        <v>-1683.87225347758</v>
      </c>
      <c r="AY258" s="290">
        <v>0</v>
      </c>
      <c r="AZ258" s="290">
        <v>0</v>
      </c>
      <c r="BA258" s="290">
        <v>0</v>
      </c>
      <c r="BB258" s="290">
        <v>-17.998471227442302</v>
      </c>
      <c r="BC258" s="290">
        <v>-7.7956597544783304E-4</v>
      </c>
      <c r="BD258" s="290">
        <v>-3.08464458035085</v>
      </c>
      <c r="BE258" s="290">
        <v>-9.1037909196680397E-4</v>
      </c>
      <c r="BF258" s="290">
        <v>0</v>
      </c>
      <c r="BG258" s="290">
        <v>0</v>
      </c>
      <c r="BH258" s="290">
        <v>0</v>
      </c>
      <c r="BI258" s="290">
        <v>0</v>
      </c>
      <c r="BJ258" s="290">
        <v>0</v>
      </c>
      <c r="BK258" s="78">
        <v>0</v>
      </c>
      <c r="BL258" s="41" t="s">
        <v>616</v>
      </c>
      <c r="BM258" s="45"/>
    </row>
    <row r="259" spans="1:65" x14ac:dyDescent="0.35">
      <c r="A259" s="45" t="str">
        <f>Database_Productkaarten[[#This Row],[Product]]&amp;", "&amp;Database_Productkaarten[[#This Row],[Levensfase]]</f>
        <v>AC Surf 30% PR - PCR 2.0, Totaal</v>
      </c>
      <c r="B259" s="41" t="s">
        <v>1357</v>
      </c>
      <c r="C259" s="41" t="s">
        <v>443</v>
      </c>
      <c r="D259" s="41" t="s">
        <v>471</v>
      </c>
      <c r="E259" s="41" t="s">
        <v>91</v>
      </c>
      <c r="F259" s="41" t="s">
        <v>16</v>
      </c>
      <c r="G259" s="45"/>
      <c r="H259" s="45"/>
      <c r="I259" s="45"/>
      <c r="J259" s="45"/>
      <c r="K259" s="45"/>
      <c r="L259" s="41">
        <v>2.35</v>
      </c>
      <c r="M259" s="54">
        <f>SUM(M260:M274)</f>
        <v>8.5585317014023055</v>
      </c>
      <c r="N259" s="45">
        <v>14</v>
      </c>
      <c r="O259" s="55">
        <f>SUM(O260:O274)</f>
        <v>6.7140620319395834E-4</v>
      </c>
      <c r="P259" s="55">
        <f t="shared" ref="P259:BJ259" si="14">SUM(P260:P274)</f>
        <v>1.0046789646967875</v>
      </c>
      <c r="Q259" s="55">
        <f t="shared" si="14"/>
        <v>82.799802223441532</v>
      </c>
      <c r="R259" s="55">
        <f t="shared" si="14"/>
        <v>9.8333820637757098E-6</v>
      </c>
      <c r="S259" s="55">
        <f t="shared" si="14"/>
        <v>8.315561665232421E-2</v>
      </c>
      <c r="T259" s="55">
        <f t="shared" si="14"/>
        <v>0.35220660998999509</v>
      </c>
      <c r="U259" s="55">
        <f t="shared" si="14"/>
        <v>5.3533252429303249E-2</v>
      </c>
      <c r="V259" s="55">
        <f t="shared" si="14"/>
        <v>17.976395156886483</v>
      </c>
      <c r="W259" s="55">
        <f t="shared" si="14"/>
        <v>1.5298091957750637</v>
      </c>
      <c r="X259" s="55">
        <f t="shared" si="14"/>
        <v>5258.9214798635076</v>
      </c>
      <c r="Y259" s="55">
        <f t="shared" si="14"/>
        <v>0.17985993860954763</v>
      </c>
      <c r="Z259" s="55">
        <f t="shared" si="14"/>
        <v>103.45982699875543</v>
      </c>
      <c r="AA259" s="55">
        <f t="shared" si="14"/>
        <v>103.24023845833854</v>
      </c>
      <c r="AB259" s="55">
        <f t="shared" si="14"/>
        <v>0.1850648326031378</v>
      </c>
      <c r="AC259" s="55">
        <f t="shared" si="14"/>
        <v>6.3411691163720321E-2</v>
      </c>
      <c r="AD259" s="55">
        <f t="shared" si="14"/>
        <v>1.346040183801597E-5</v>
      </c>
      <c r="AE259" s="55">
        <f t="shared" si="14"/>
        <v>0.58396425991418377</v>
      </c>
      <c r="AF259" s="55">
        <f t="shared" si="14"/>
        <v>1.0686631766447646E-3</v>
      </c>
      <c r="AG259" s="55">
        <f t="shared" si="14"/>
        <v>0.14536743561623305</v>
      </c>
      <c r="AH259" s="55">
        <f t="shared" si="14"/>
        <v>1.5226976895730127</v>
      </c>
      <c r="AI259" s="55">
        <f t="shared" si="14"/>
        <v>0.6281708893165231</v>
      </c>
      <c r="AJ259" s="55">
        <f t="shared" si="14"/>
        <v>6.7374202022446052E-4</v>
      </c>
      <c r="AK259" s="55">
        <f t="shared" si="14"/>
        <v>3096.5672135444875</v>
      </c>
      <c r="AL259" s="55">
        <f t="shared" si="14"/>
        <v>23.620744953252895</v>
      </c>
      <c r="AM259" s="55">
        <f t="shared" si="14"/>
        <v>2.2533236756478782E-6</v>
      </c>
      <c r="AN259" s="55">
        <f t="shared" si="14"/>
        <v>3.207283074291686</v>
      </c>
      <c r="AO259" s="55">
        <f t="shared" si="14"/>
        <v>2454.3721513461119</v>
      </c>
      <c r="AP259" s="55">
        <f t="shared" si="14"/>
        <v>2.7404893515082487E-8</v>
      </c>
      <c r="AQ259" s="55">
        <f t="shared" si="14"/>
        <v>9.4973012843038804E-7</v>
      </c>
      <c r="AR259" s="55">
        <f t="shared" si="14"/>
        <v>-344.68392459529298</v>
      </c>
      <c r="AS259" s="55">
        <f t="shared" si="14"/>
        <v>8.065825212</v>
      </c>
      <c r="AT259" s="55">
        <f t="shared" si="14"/>
        <v>0</v>
      </c>
      <c r="AU259" s="55">
        <f t="shared" si="14"/>
        <v>29.611248644201535</v>
      </c>
      <c r="AV259" s="55">
        <f t="shared" si="14"/>
        <v>0.70667511750000001</v>
      </c>
      <c r="AW259" s="55">
        <f t="shared" si="14"/>
        <v>9.926829900000001E-4</v>
      </c>
      <c r="AX259" s="55">
        <f t="shared" si="14"/>
        <v>2214.438304245989</v>
      </c>
      <c r="AY259" s="55">
        <f t="shared" si="14"/>
        <v>294</v>
      </c>
      <c r="AZ259" s="55">
        <f t="shared" si="14"/>
        <v>0</v>
      </c>
      <c r="BA259" s="55">
        <f t="shared" si="14"/>
        <v>0</v>
      </c>
      <c r="BB259" s="55">
        <f t="shared" si="14"/>
        <v>-11.56886471972564</v>
      </c>
      <c r="BC259" s="55">
        <f t="shared" si="14"/>
        <v>2.0332879948907908E-3</v>
      </c>
      <c r="BD259" s="55">
        <f t="shared" si="14"/>
        <v>16.482576581857394</v>
      </c>
      <c r="BE259" s="55">
        <f t="shared" si="14"/>
        <v>3.7108139787226189E-3</v>
      </c>
      <c r="BF259" s="55">
        <f t="shared" si="14"/>
        <v>0</v>
      </c>
      <c r="BG259" s="55">
        <f t="shared" si="14"/>
        <v>1000</v>
      </c>
      <c r="BH259" s="55">
        <f t="shared" si="14"/>
        <v>0</v>
      </c>
      <c r="BI259" s="55">
        <f t="shared" si="14"/>
        <v>0</v>
      </c>
      <c r="BJ259" s="55">
        <f t="shared" si="14"/>
        <v>0</v>
      </c>
      <c r="BK259" s="78">
        <v>0.3</v>
      </c>
      <c r="BL259" s="41" t="s">
        <v>616</v>
      </c>
      <c r="BM259" s="45"/>
    </row>
    <row r="260" spans="1:65" x14ac:dyDescent="0.35">
      <c r="A260" s="45" t="str">
        <f>Database_Productkaarten[[#This Row],[Product]]&amp;", "&amp;Database_Productkaarten[[#This Row],[Levensfase]]</f>
        <v>AC Surf 30% PR - PCR 2.0, A1</v>
      </c>
      <c r="B260" s="41" t="s">
        <v>1357</v>
      </c>
      <c r="C260" s="41" t="s">
        <v>443</v>
      </c>
      <c r="D260" s="41" t="s">
        <v>471</v>
      </c>
      <c r="E260" s="41" t="s">
        <v>91</v>
      </c>
      <c r="F260" s="41" t="s">
        <v>19</v>
      </c>
      <c r="G260" s="45"/>
      <c r="H260" s="45"/>
      <c r="I260" s="45"/>
      <c r="J260" s="45"/>
      <c r="K260" s="45"/>
      <c r="L260" s="41">
        <v>2.35</v>
      </c>
      <c r="M260" s="291">
        <v>5.7475900574497398</v>
      </c>
      <c r="N260" s="45">
        <v>14</v>
      </c>
      <c r="O260" s="290">
        <v>5.8901111793250899E-4</v>
      </c>
      <c r="P260" s="290">
        <v>1.08950050955348</v>
      </c>
      <c r="Q260" s="290">
        <v>44.784130708458697</v>
      </c>
      <c r="R260" s="290">
        <v>3.3571750619294902E-6</v>
      </c>
      <c r="S260" s="290">
        <v>0.114988275788752</v>
      </c>
      <c r="T260" s="290">
        <v>0.28853075072241402</v>
      </c>
      <c r="U260" s="290">
        <v>2.1314109752781502E-2</v>
      </c>
      <c r="V260" s="290">
        <v>10.507695458006401</v>
      </c>
      <c r="W260" s="290">
        <v>1.70371733773511</v>
      </c>
      <c r="X260" s="290">
        <v>7479.63788727063</v>
      </c>
      <c r="Y260" s="290">
        <v>0.21956735242724601</v>
      </c>
      <c r="Z260" s="290">
        <v>47.912769369204497</v>
      </c>
      <c r="AA260" s="290">
        <v>47.763260250255499</v>
      </c>
      <c r="AB260" s="290">
        <v>0.15046215964330101</v>
      </c>
      <c r="AC260" s="290">
        <v>2.7934959305711399E-2</v>
      </c>
      <c r="AD260" s="290">
        <v>4.0582480156521999E-6</v>
      </c>
      <c r="AE260" s="290">
        <v>0.33487578214990799</v>
      </c>
      <c r="AF260" s="290">
        <v>7.2257941903336995E-4</v>
      </c>
      <c r="AG260" s="290">
        <v>4.1723027871460601E-2</v>
      </c>
      <c r="AH260" s="290">
        <v>0.40534314832870999</v>
      </c>
      <c r="AI260" s="290">
        <v>0.32281167362575702</v>
      </c>
      <c r="AJ260" s="290">
        <v>5.8896359188386198E-4</v>
      </c>
      <c r="AK260" s="290">
        <v>2315.53356071895</v>
      </c>
      <c r="AL260" s="290">
        <v>42.817467163165297</v>
      </c>
      <c r="AM260" s="290">
        <v>1.3859551144637799E-6</v>
      </c>
      <c r="AN260" s="290">
        <v>1.3232101095334501</v>
      </c>
      <c r="AO260" s="290">
        <v>2775.38737036976</v>
      </c>
      <c r="AP260" s="290">
        <v>1.3394665035856199E-8</v>
      </c>
      <c r="AQ260" s="290">
        <v>6.4504885902716896E-7</v>
      </c>
      <c r="AR260" s="290">
        <v>209.68397880940199</v>
      </c>
      <c r="AS260" s="290">
        <v>0</v>
      </c>
      <c r="AT260" s="290">
        <v>0</v>
      </c>
      <c r="AU260" s="290">
        <v>18.3197154222092</v>
      </c>
      <c r="AV260" s="290">
        <v>0</v>
      </c>
      <c r="AW260" s="290">
        <v>0</v>
      </c>
      <c r="AX260" s="290">
        <v>2464.1756919628301</v>
      </c>
      <c r="AY260" s="290">
        <v>294</v>
      </c>
      <c r="AZ260" s="290">
        <v>0</v>
      </c>
      <c r="BA260" s="290">
        <v>0</v>
      </c>
      <c r="BB260" s="290">
        <v>1.0264774891785</v>
      </c>
      <c r="BC260" s="290">
        <v>8.3640257073749696E-4</v>
      </c>
      <c r="BD260" s="290">
        <v>2.1169231803486999</v>
      </c>
      <c r="BE260" s="290">
        <v>7.96302862125318E-4</v>
      </c>
      <c r="BF260" s="290">
        <v>0</v>
      </c>
      <c r="BG260" s="290">
        <v>0</v>
      </c>
      <c r="BH260" s="290">
        <v>0</v>
      </c>
      <c r="BI260" s="290">
        <v>0</v>
      </c>
      <c r="BJ260" s="290">
        <v>0</v>
      </c>
      <c r="BK260" s="78">
        <v>0.3</v>
      </c>
      <c r="BL260" s="41" t="s">
        <v>616</v>
      </c>
      <c r="BM260" s="45"/>
    </row>
    <row r="261" spans="1:65" x14ac:dyDescent="0.35">
      <c r="A261" s="45" t="str">
        <f>Database_Productkaarten[[#This Row],[Product]]&amp;", "&amp;Database_Productkaarten[[#This Row],[Levensfase]]</f>
        <v>AC Surf 30% PR - PCR 2.0, A2</v>
      </c>
      <c r="B261" s="41" t="s">
        <v>1357</v>
      </c>
      <c r="C261" s="41" t="s">
        <v>443</v>
      </c>
      <c r="D261" s="41" t="s">
        <v>471</v>
      </c>
      <c r="E261" s="41" t="s">
        <v>91</v>
      </c>
      <c r="F261" s="41" t="s">
        <v>20</v>
      </c>
      <c r="G261" s="45"/>
      <c r="H261" s="45"/>
      <c r="I261" s="45"/>
      <c r="J261" s="45"/>
      <c r="K261" s="45"/>
      <c r="L261" s="41">
        <v>2.35</v>
      </c>
      <c r="M261" s="291">
        <v>2.8366554814738221</v>
      </c>
      <c r="N261" s="45">
        <v>14</v>
      </c>
      <c r="O261" s="290">
        <v>2.6005462849876498E-4</v>
      </c>
      <c r="P261" s="290">
        <v>0.15105579124249499</v>
      </c>
      <c r="Q261" s="290">
        <v>23.7397277704363</v>
      </c>
      <c r="R261" s="290">
        <v>3.5419677674873E-6</v>
      </c>
      <c r="S261" s="290">
        <v>1.4019993499347599E-2</v>
      </c>
      <c r="T261" s="290">
        <v>0.15851130214409201</v>
      </c>
      <c r="U261" s="290">
        <v>3.5003694003869101E-2</v>
      </c>
      <c r="V261" s="290">
        <v>6.5046903936298399</v>
      </c>
      <c r="W261" s="290">
        <v>0.16984781893114501</v>
      </c>
      <c r="X261" s="290">
        <v>559.47589856767797</v>
      </c>
      <c r="Y261" s="290">
        <v>2.9478285305849301E-2</v>
      </c>
      <c r="Z261" s="290">
        <v>24.011074468009799</v>
      </c>
      <c r="AA261" s="290">
        <v>23.938593993740799</v>
      </c>
      <c r="AB261" s="290">
        <v>3.4057818042842802E-2</v>
      </c>
      <c r="AC261" s="290">
        <v>3.84226562261646E-2</v>
      </c>
      <c r="AD261" s="290">
        <v>4.4070025127385002E-6</v>
      </c>
      <c r="AE261" s="290">
        <v>0.22019340222928299</v>
      </c>
      <c r="AF261" s="290">
        <v>2.8002176106254202E-4</v>
      </c>
      <c r="AG261" s="290">
        <v>9.2517793521077502E-2</v>
      </c>
      <c r="AH261" s="290">
        <v>1.0184338203801799</v>
      </c>
      <c r="AI261" s="290">
        <v>0.26517492346424298</v>
      </c>
      <c r="AJ261" s="290">
        <v>2.6004446872153898E-4</v>
      </c>
      <c r="AK261" s="290">
        <v>313.06680653467998</v>
      </c>
      <c r="AL261" s="290">
        <v>1.4055433326412501</v>
      </c>
      <c r="AM261" s="290">
        <v>8.2147544752520201E-7</v>
      </c>
      <c r="AN261" s="290">
        <v>1.34863362769247</v>
      </c>
      <c r="AO261" s="290">
        <v>277.19032798457499</v>
      </c>
      <c r="AP261" s="290">
        <v>1.12021257110569E-8</v>
      </c>
      <c r="AQ261" s="290">
        <v>2.1270541885554701E-7</v>
      </c>
      <c r="AR261" s="290">
        <v>245.81175909503699</v>
      </c>
      <c r="AS261" s="290">
        <v>0</v>
      </c>
      <c r="AT261" s="290">
        <v>0</v>
      </c>
      <c r="AU261" s="290">
        <v>6.6781577592771297</v>
      </c>
      <c r="AV261" s="290">
        <v>0</v>
      </c>
      <c r="AW261" s="290">
        <v>0</v>
      </c>
      <c r="AX261" s="290">
        <v>332.25208315856202</v>
      </c>
      <c r="AY261" s="290">
        <v>0</v>
      </c>
      <c r="AZ261" s="290">
        <v>0</v>
      </c>
      <c r="BA261" s="290">
        <v>0</v>
      </c>
      <c r="BB261" s="290">
        <v>5.5525417606839697E-2</v>
      </c>
      <c r="BC261" s="290">
        <v>8.1134923686426198E-4</v>
      </c>
      <c r="BD261" s="290">
        <v>5.1827038226753004</v>
      </c>
      <c r="BE261" s="290">
        <v>2.0342067652916302E-3</v>
      </c>
      <c r="BF261" s="290">
        <v>0</v>
      </c>
      <c r="BG261" s="290">
        <v>0</v>
      </c>
      <c r="BH261" s="290">
        <v>0</v>
      </c>
      <c r="BI261" s="290">
        <v>0</v>
      </c>
      <c r="BJ261" s="290">
        <v>0</v>
      </c>
      <c r="BK261" s="78">
        <v>0.3</v>
      </c>
      <c r="BL261" s="41" t="s">
        <v>616</v>
      </c>
      <c r="BM261" s="45"/>
    </row>
    <row r="262" spans="1:65" x14ac:dyDescent="0.35">
      <c r="A262" s="45" t="str">
        <f>Database_Productkaarten[[#This Row],[Product]]&amp;", "&amp;Database_Productkaarten[[#This Row],[Levensfase]]</f>
        <v>AC Surf 30% PR - PCR 2.0, A3</v>
      </c>
      <c r="B262" s="41" t="s">
        <v>1357</v>
      </c>
      <c r="C262" s="41" t="s">
        <v>443</v>
      </c>
      <c r="D262" s="41" t="s">
        <v>471</v>
      </c>
      <c r="E262" s="41" t="s">
        <v>91</v>
      </c>
      <c r="F262" s="41" t="s">
        <v>21</v>
      </c>
      <c r="G262" s="45"/>
      <c r="H262" s="45"/>
      <c r="I262" s="45"/>
      <c r="J262" s="45"/>
      <c r="K262" s="45"/>
      <c r="L262" s="41">
        <v>2.35</v>
      </c>
      <c r="M262" s="291">
        <v>1.7282094326086572</v>
      </c>
      <c r="N262" s="45">
        <v>14</v>
      </c>
      <c r="O262" s="290">
        <v>2.1372565169370499E-5</v>
      </c>
      <c r="P262" s="290">
        <v>0.20829809370831301</v>
      </c>
      <c r="Q262" s="290">
        <v>24.360387670942</v>
      </c>
      <c r="R262" s="290">
        <v>2.79866460888429E-6</v>
      </c>
      <c r="S262" s="290">
        <v>3.9172042931527396E-3</v>
      </c>
      <c r="T262" s="290">
        <v>2.32484241594146E-2</v>
      </c>
      <c r="U262" s="290">
        <v>3.8699153059380499E-3</v>
      </c>
      <c r="V262" s="290">
        <v>3.6526757428185301</v>
      </c>
      <c r="W262" s="290">
        <v>2.51005597983643E-2</v>
      </c>
      <c r="X262" s="290">
        <v>102.330763082576</v>
      </c>
      <c r="Y262" s="290">
        <v>2.31786931041843E-2</v>
      </c>
      <c r="Z262" s="290">
        <v>24.716285507880499</v>
      </c>
      <c r="AA262" s="290">
        <v>24.664767925059198</v>
      </c>
      <c r="AB262" s="290">
        <v>4.9597595072502998E-2</v>
      </c>
      <c r="AC262" s="290">
        <v>1.9199877487324701E-3</v>
      </c>
      <c r="AD262" s="290">
        <v>3.1598965863361202E-6</v>
      </c>
      <c r="AE262" s="290">
        <v>2.98619684063034E-2</v>
      </c>
      <c r="AF262" s="290">
        <v>2.4759672210593401E-4</v>
      </c>
      <c r="AG262" s="290">
        <v>8.3850685352830599E-3</v>
      </c>
      <c r="AH262" s="290">
        <v>9.4540827344055903E-2</v>
      </c>
      <c r="AI262" s="290">
        <v>2.8910117761429599E-2</v>
      </c>
      <c r="AJ262" s="290">
        <v>2.1372269763289301E-5</v>
      </c>
      <c r="AK262" s="290">
        <v>383.83624022843702</v>
      </c>
      <c r="AL262" s="290">
        <v>0.51038533100370798</v>
      </c>
      <c r="AM262" s="290">
        <v>1.9718449360801001E-7</v>
      </c>
      <c r="AN262" s="290">
        <v>0.26865643463465999</v>
      </c>
      <c r="AO262" s="290">
        <v>73.674588384422904</v>
      </c>
      <c r="AP262" s="290">
        <v>2.93712322642196E-9</v>
      </c>
      <c r="AQ262" s="290">
        <v>4.8786148261749802E-8</v>
      </c>
      <c r="AR262" s="290">
        <v>15.7458799605194</v>
      </c>
      <c r="AS262" s="290">
        <v>0</v>
      </c>
      <c r="AT262" s="290">
        <v>0</v>
      </c>
      <c r="AU262" s="290">
        <v>6.4453861262549896</v>
      </c>
      <c r="AV262" s="290">
        <v>0</v>
      </c>
      <c r="AW262" s="290">
        <v>0</v>
      </c>
      <c r="AX262" s="290">
        <v>423.493161497752</v>
      </c>
      <c r="AY262" s="290">
        <v>0</v>
      </c>
      <c r="AZ262" s="290">
        <v>0</v>
      </c>
      <c r="BA262" s="290">
        <v>0</v>
      </c>
      <c r="BB262" s="290">
        <v>3.7578587858808903E-2</v>
      </c>
      <c r="BC262" s="290">
        <v>4.69713853032962E-4</v>
      </c>
      <c r="BD262" s="290">
        <v>0.27024292586465598</v>
      </c>
      <c r="BE262" s="290">
        <v>3.4670692345557097E-4</v>
      </c>
      <c r="BF262" s="290">
        <v>0</v>
      </c>
      <c r="BG262" s="290">
        <v>0</v>
      </c>
      <c r="BH262" s="290">
        <v>0</v>
      </c>
      <c r="BI262" s="290">
        <v>0</v>
      </c>
      <c r="BJ262" s="290">
        <v>0</v>
      </c>
      <c r="BK262" s="78">
        <v>0.3</v>
      </c>
      <c r="BL262" s="41" t="s">
        <v>616</v>
      </c>
      <c r="BM262" s="45"/>
    </row>
    <row r="263" spans="1:65" x14ac:dyDescent="0.35">
      <c r="A263" s="45" t="str">
        <f>Database_Productkaarten[[#This Row],[Product]]&amp;", "&amp;Database_Productkaarten[[#This Row],[Levensfase]]</f>
        <v>AC Surf 30% PR - PCR 2.0, A4</v>
      </c>
      <c r="B263" s="41" t="s">
        <v>1357</v>
      </c>
      <c r="C263" s="41" t="s">
        <v>443</v>
      </c>
      <c r="D263" s="41" t="s">
        <v>471</v>
      </c>
      <c r="E263" s="41" t="s">
        <v>91</v>
      </c>
      <c r="F263" s="41" t="s">
        <v>22</v>
      </c>
      <c r="G263" s="45"/>
      <c r="H263" s="45"/>
      <c r="I263" s="45"/>
      <c r="J263" s="45"/>
      <c r="K263" s="45"/>
      <c r="L263" s="41">
        <v>2.35</v>
      </c>
      <c r="M263" s="291">
        <v>0.37546048090943995</v>
      </c>
      <c r="N263" s="45">
        <v>14</v>
      </c>
      <c r="O263" s="290">
        <v>6.8533509000000002E-5</v>
      </c>
      <c r="P263" s="290">
        <v>2.9713889699999999E-2</v>
      </c>
      <c r="Q263" s="290">
        <v>3.9891474704999998</v>
      </c>
      <c r="R263" s="290">
        <v>7.557213E-7</v>
      </c>
      <c r="S263" s="290">
        <v>2.4773701499999998E-3</v>
      </c>
      <c r="T263" s="290">
        <v>1.36398132E-2</v>
      </c>
      <c r="U263" s="290">
        <v>2.5682192100000001E-3</v>
      </c>
      <c r="V263" s="290">
        <v>0.8608144794</v>
      </c>
      <c r="W263" s="290">
        <v>3.6189873900000002E-2</v>
      </c>
      <c r="X263" s="290">
        <v>97.376595929999993</v>
      </c>
      <c r="Y263" s="290">
        <v>4.8437180999999999E-3</v>
      </c>
      <c r="Z263" s="290">
        <v>4.0259382761999998</v>
      </c>
      <c r="AA263" s="290">
        <v>4.0229543298000001</v>
      </c>
      <c r="AB263" s="290">
        <v>1.9814632200000001E-3</v>
      </c>
      <c r="AC263" s="290">
        <v>1.0024609799999999E-3</v>
      </c>
      <c r="AD263" s="290">
        <v>9.4976262000000003E-7</v>
      </c>
      <c r="AE263" s="290">
        <v>1.7739576E-2</v>
      </c>
      <c r="AF263" s="290">
        <v>2.7841996800000001E-5</v>
      </c>
      <c r="AG263" s="290">
        <v>5.5484582100000001E-3</v>
      </c>
      <c r="AH263" s="290">
        <v>6.1385308800000003E-2</v>
      </c>
      <c r="AI263" s="290">
        <v>1.9235744999999999E-2</v>
      </c>
      <c r="AJ263" s="290">
        <v>6.8533397999999998E-5</v>
      </c>
      <c r="AK263" s="290">
        <v>62.400806729999999</v>
      </c>
      <c r="AL263" s="290">
        <v>0.212954166</v>
      </c>
      <c r="AM263" s="290">
        <v>2.9338876200000002E-7</v>
      </c>
      <c r="AN263" s="290">
        <v>0.26868483510000002</v>
      </c>
      <c r="AO263" s="290">
        <v>45.56587296</v>
      </c>
      <c r="AP263" s="290">
        <v>1.16371179E-9</v>
      </c>
      <c r="AQ263" s="290">
        <v>3.8268015899999999E-8</v>
      </c>
      <c r="AR263" s="290">
        <v>71.806844609999999</v>
      </c>
      <c r="AS263" s="290">
        <v>0</v>
      </c>
      <c r="AT263" s="290">
        <v>0</v>
      </c>
      <c r="AU263" s="290">
        <v>0.63474917099999995</v>
      </c>
      <c r="AV263" s="290">
        <v>0</v>
      </c>
      <c r="AW263" s="290">
        <v>0</v>
      </c>
      <c r="AX263" s="290">
        <v>66.265108560000002</v>
      </c>
      <c r="AY263" s="290">
        <v>0</v>
      </c>
      <c r="AZ263" s="290">
        <v>0</v>
      </c>
      <c r="BA263" s="290">
        <v>0</v>
      </c>
      <c r="BB263" s="290">
        <v>6.7467797999999999E-3</v>
      </c>
      <c r="BC263" s="290">
        <v>1.54707915E-4</v>
      </c>
      <c r="BD263" s="290">
        <v>5.4635493149999999</v>
      </c>
      <c r="BE263" s="290">
        <v>4.25149758E-4</v>
      </c>
      <c r="BF263" s="290">
        <v>0</v>
      </c>
      <c r="BG263" s="290">
        <v>0</v>
      </c>
      <c r="BH263" s="290">
        <v>0</v>
      </c>
      <c r="BI263" s="290">
        <v>0</v>
      </c>
      <c r="BJ263" s="290">
        <v>0</v>
      </c>
      <c r="BK263" s="78">
        <v>0.3</v>
      </c>
      <c r="BL263" s="41" t="s">
        <v>616</v>
      </c>
      <c r="BM263" s="45"/>
    </row>
    <row r="264" spans="1:65" x14ac:dyDescent="0.35">
      <c r="A264" s="45" t="str">
        <f>Database_Productkaarten[[#This Row],[Product]]&amp;", "&amp;Database_Productkaarten[[#This Row],[Levensfase]]</f>
        <v>AC Surf 30% PR - PCR 2.0, A5</v>
      </c>
      <c r="B264" s="41" t="s">
        <v>1357</v>
      </c>
      <c r="C264" s="41" t="s">
        <v>443</v>
      </c>
      <c r="D264" s="41" t="s">
        <v>471</v>
      </c>
      <c r="E264" s="41" t="s">
        <v>91</v>
      </c>
      <c r="F264" s="41" t="s">
        <v>23</v>
      </c>
      <c r="G264" s="45"/>
      <c r="H264" s="45"/>
      <c r="I264" s="45"/>
      <c r="J264" s="45"/>
      <c r="K264" s="45"/>
      <c r="L264" s="41">
        <v>2.35</v>
      </c>
      <c r="M264" s="291">
        <v>0.25970533320492506</v>
      </c>
      <c r="N264" s="45">
        <v>14</v>
      </c>
      <c r="O264" s="290">
        <v>2.9238192707677499E-6</v>
      </c>
      <c r="P264" s="290">
        <v>1.2437868994803101E-2</v>
      </c>
      <c r="Q264" s="290">
        <v>2.5295292150192399</v>
      </c>
      <c r="R264" s="290">
        <v>3.2687703886028899E-7</v>
      </c>
      <c r="S264" s="290">
        <v>9.4117069173933505E-4</v>
      </c>
      <c r="T264" s="290">
        <v>1.04973944418747E-2</v>
      </c>
      <c r="U264" s="290">
        <v>2.4039520956642799E-3</v>
      </c>
      <c r="V264" s="290">
        <v>0.68877613954753103</v>
      </c>
      <c r="W264" s="290">
        <v>9.7024793749382592E-3</v>
      </c>
      <c r="X264" s="290">
        <v>33.711839732380902</v>
      </c>
      <c r="Y264" s="290">
        <v>1.1490061137566399E-3</v>
      </c>
      <c r="Z264" s="290">
        <v>2.5482276268106898</v>
      </c>
      <c r="AA264" s="290">
        <v>2.5474969800300298</v>
      </c>
      <c r="AB264" s="290">
        <v>5.8195030453543704E-4</v>
      </c>
      <c r="AC264" s="290">
        <v>1.4869647611911901E-4</v>
      </c>
      <c r="AD264" s="290">
        <v>4.1187797926667899E-7</v>
      </c>
      <c r="AE264" s="290">
        <v>1.4654717094299699E-2</v>
      </c>
      <c r="AF264" s="290">
        <v>6.9471842586934604E-6</v>
      </c>
      <c r="AG264" s="290">
        <v>6.3596059772135999E-3</v>
      </c>
      <c r="AH264" s="290">
        <v>6.9798399515416901E-2</v>
      </c>
      <c r="AI264" s="290">
        <v>1.8200499450150499E-2</v>
      </c>
      <c r="AJ264" s="290">
        <v>2.9237963272080899E-6</v>
      </c>
      <c r="AK264" s="290">
        <v>26.243144439375399</v>
      </c>
      <c r="AL264" s="290">
        <v>3.4951581797827903E-2</v>
      </c>
      <c r="AM264" s="290">
        <v>5.4485692533963201E-8</v>
      </c>
      <c r="AN264" s="290">
        <v>0.112638013429362</v>
      </c>
      <c r="AO264" s="290">
        <v>15.747062710553401</v>
      </c>
      <c r="AP264" s="290">
        <v>5.5245137337162301E-10</v>
      </c>
      <c r="AQ264" s="290">
        <v>1.32398654133379E-8</v>
      </c>
      <c r="AR264" s="290">
        <v>3.3519896072098101</v>
      </c>
      <c r="AS264" s="290">
        <v>0</v>
      </c>
      <c r="AT264" s="290">
        <v>0</v>
      </c>
      <c r="AU264" s="290">
        <v>0.14424535955109299</v>
      </c>
      <c r="AV264" s="290">
        <v>0</v>
      </c>
      <c r="AW264" s="290">
        <v>0</v>
      </c>
      <c r="AX264" s="290">
        <v>27.869389367605098</v>
      </c>
      <c r="AY264" s="290">
        <v>0</v>
      </c>
      <c r="AZ264" s="290">
        <v>0</v>
      </c>
      <c r="BA264" s="290">
        <v>0</v>
      </c>
      <c r="BB264" s="290">
        <v>1.3565965754365301E-3</v>
      </c>
      <c r="BC264" s="290">
        <v>7.1467090199142804E-5</v>
      </c>
      <c r="BD264" s="290">
        <v>3.1052769846838101E-2</v>
      </c>
      <c r="BE264" s="290">
        <v>1.8239126227471199E-4</v>
      </c>
      <c r="BF264" s="290">
        <v>0</v>
      </c>
      <c r="BG264" s="290">
        <v>0</v>
      </c>
      <c r="BH264" s="290">
        <v>0</v>
      </c>
      <c r="BI264" s="290">
        <v>0</v>
      </c>
      <c r="BJ264" s="290">
        <v>0</v>
      </c>
      <c r="BK264" s="78">
        <v>0.3</v>
      </c>
      <c r="BL264" s="41" t="s">
        <v>616</v>
      </c>
      <c r="BM264" s="45"/>
    </row>
    <row r="265" spans="1:65" x14ac:dyDescent="0.35">
      <c r="A265" s="45" t="str">
        <f>Database_Productkaarten[[#This Row],[Product]]&amp;", "&amp;Database_Productkaarten[[#This Row],[Levensfase]]</f>
        <v>AC Surf 30% PR - PCR 2.0, B1</v>
      </c>
      <c r="B265" s="41" t="s">
        <v>1357</v>
      </c>
      <c r="C265" s="41" t="s">
        <v>443</v>
      </c>
      <c r="D265" s="41" t="s">
        <v>471</v>
      </c>
      <c r="E265" s="41" t="s">
        <v>91</v>
      </c>
      <c r="F265" s="41" t="s">
        <v>24</v>
      </c>
      <c r="G265" s="45"/>
      <c r="H265" s="45"/>
      <c r="I265" s="45"/>
      <c r="J265" s="45"/>
      <c r="K265" s="45"/>
      <c r="L265" s="41">
        <v>2.35</v>
      </c>
      <c r="M265" s="291">
        <v>8.2079854524338774E-2</v>
      </c>
      <c r="N265" s="45">
        <v>14</v>
      </c>
      <c r="O265" s="290">
        <v>0</v>
      </c>
      <c r="P265" s="290">
        <v>0</v>
      </c>
      <c r="Q265" s="290">
        <v>0</v>
      </c>
      <c r="R265" s="290">
        <v>0</v>
      </c>
      <c r="S265" s="290">
        <v>0</v>
      </c>
      <c r="T265" s="290">
        <v>0</v>
      </c>
      <c r="U265" s="290">
        <v>0</v>
      </c>
      <c r="V265" s="290">
        <v>0.33065065287376499</v>
      </c>
      <c r="W265" s="290">
        <v>0.35447901498708101</v>
      </c>
      <c r="X265" s="290">
        <v>416.74823543935599</v>
      </c>
      <c r="Y265" s="290">
        <v>2.0169620253149699E-4</v>
      </c>
      <c r="Z265" s="290">
        <v>0</v>
      </c>
      <c r="AA265" s="290">
        <v>0</v>
      </c>
      <c r="AB265" s="290">
        <v>0</v>
      </c>
      <c r="AC265" s="290">
        <v>0</v>
      </c>
      <c r="AD265" s="290">
        <v>0</v>
      </c>
      <c r="AE265" s="290">
        <v>0</v>
      </c>
      <c r="AF265" s="290">
        <v>0</v>
      </c>
      <c r="AG265" s="290">
        <v>0</v>
      </c>
      <c r="AH265" s="290">
        <v>0</v>
      </c>
      <c r="AI265" s="290">
        <v>0</v>
      </c>
      <c r="AJ265" s="290">
        <v>0</v>
      </c>
      <c r="AK265" s="290">
        <v>0</v>
      </c>
      <c r="AL265" s="290">
        <v>0</v>
      </c>
      <c r="AM265" s="290">
        <v>0</v>
      </c>
      <c r="AN265" s="290">
        <v>0</v>
      </c>
      <c r="AO265" s="290">
        <v>2.4574834227146498</v>
      </c>
      <c r="AP265" s="290">
        <v>6.1425360401853599E-10</v>
      </c>
      <c r="AQ265" s="290">
        <v>3.6903212873143E-8</v>
      </c>
      <c r="AR265" s="290">
        <v>0</v>
      </c>
      <c r="AS265" s="290">
        <v>0</v>
      </c>
      <c r="AT265" s="290">
        <v>0</v>
      </c>
      <c r="AU265" s="290">
        <v>0</v>
      </c>
      <c r="AV265" s="290">
        <v>0</v>
      </c>
      <c r="AW265" s="290">
        <v>0</v>
      </c>
      <c r="AX265" s="290">
        <v>0</v>
      </c>
      <c r="AY265" s="290">
        <v>0</v>
      </c>
      <c r="AZ265" s="290">
        <v>0</v>
      </c>
      <c r="BA265" s="290">
        <v>0</v>
      </c>
      <c r="BB265" s="290">
        <v>0</v>
      </c>
      <c r="BC265" s="290">
        <v>0</v>
      </c>
      <c r="BD265" s="290">
        <v>0</v>
      </c>
      <c r="BE265" s="290">
        <v>0</v>
      </c>
      <c r="BF265" s="290">
        <v>0</v>
      </c>
      <c r="BG265" s="290">
        <v>0</v>
      </c>
      <c r="BH265" s="290">
        <v>0</v>
      </c>
      <c r="BI265" s="290">
        <v>0</v>
      </c>
      <c r="BJ265" s="290">
        <v>0</v>
      </c>
      <c r="BK265" s="78">
        <v>0.3</v>
      </c>
      <c r="BL265" s="41" t="s">
        <v>616</v>
      </c>
      <c r="BM265" s="45"/>
    </row>
    <row r="266" spans="1:65" x14ac:dyDescent="0.35">
      <c r="A266" s="45" t="str">
        <f>Database_Productkaarten[[#This Row],[Product]]&amp;", "&amp;Database_Productkaarten[[#This Row],[Levensfase]]</f>
        <v>AC Surf 30% PR - PCR 2.0, B2</v>
      </c>
      <c r="B266" s="41" t="s">
        <v>1357</v>
      </c>
      <c r="C266" s="41" t="s">
        <v>443</v>
      </c>
      <c r="D266" s="41" t="s">
        <v>471</v>
      </c>
      <c r="E266" s="41" t="s">
        <v>91</v>
      </c>
      <c r="F266" s="41" t="s">
        <v>604</v>
      </c>
      <c r="G266" s="45"/>
      <c r="H266" s="45"/>
      <c r="I266" s="45"/>
      <c r="J266" s="45"/>
      <c r="K266" s="45"/>
      <c r="L266" s="41">
        <v>2.35</v>
      </c>
      <c r="M266" s="291">
        <v>0</v>
      </c>
      <c r="N266" s="45">
        <v>14</v>
      </c>
      <c r="O266" s="290">
        <v>0</v>
      </c>
      <c r="P266" s="290">
        <v>0</v>
      </c>
      <c r="Q266" s="290">
        <v>0</v>
      </c>
      <c r="R266" s="290">
        <v>0</v>
      </c>
      <c r="S266" s="290">
        <v>0</v>
      </c>
      <c r="T266" s="290">
        <v>0</v>
      </c>
      <c r="U266" s="290">
        <v>0</v>
      </c>
      <c r="V266" s="290">
        <v>0</v>
      </c>
      <c r="W266" s="290">
        <v>0</v>
      </c>
      <c r="X266" s="290">
        <v>0</v>
      </c>
      <c r="Y266" s="290">
        <v>0</v>
      </c>
      <c r="Z266" s="290">
        <v>0</v>
      </c>
      <c r="AA266" s="290">
        <v>0</v>
      </c>
      <c r="AB266" s="290">
        <v>0</v>
      </c>
      <c r="AC266" s="290">
        <v>0</v>
      </c>
      <c r="AD266" s="290">
        <v>0</v>
      </c>
      <c r="AE266" s="290">
        <v>0</v>
      </c>
      <c r="AF266" s="290">
        <v>0</v>
      </c>
      <c r="AG266" s="290">
        <v>0</v>
      </c>
      <c r="AH266" s="290">
        <v>0</v>
      </c>
      <c r="AI266" s="290">
        <v>0</v>
      </c>
      <c r="AJ266" s="290">
        <v>0</v>
      </c>
      <c r="AK266" s="290">
        <v>0</v>
      </c>
      <c r="AL266" s="290">
        <v>0</v>
      </c>
      <c r="AM266" s="290">
        <v>0</v>
      </c>
      <c r="AN266" s="290">
        <v>0</v>
      </c>
      <c r="AO266" s="290">
        <v>0</v>
      </c>
      <c r="AP266" s="290">
        <v>0</v>
      </c>
      <c r="AQ266" s="290">
        <v>0</v>
      </c>
      <c r="AR266" s="290">
        <v>0</v>
      </c>
      <c r="AS266" s="290">
        <v>0</v>
      </c>
      <c r="AT266" s="290">
        <v>0</v>
      </c>
      <c r="AU266" s="290">
        <v>0</v>
      </c>
      <c r="AV266" s="290">
        <v>0</v>
      </c>
      <c r="AW266" s="290">
        <v>0</v>
      </c>
      <c r="AX266" s="290">
        <v>0</v>
      </c>
      <c r="AY266" s="290">
        <v>0</v>
      </c>
      <c r="AZ266" s="290">
        <v>0</v>
      </c>
      <c r="BA266" s="290">
        <v>0</v>
      </c>
      <c r="BB266" s="290">
        <v>0</v>
      </c>
      <c r="BC266" s="290">
        <v>0</v>
      </c>
      <c r="BD266" s="290">
        <v>0</v>
      </c>
      <c r="BE266" s="290">
        <v>0</v>
      </c>
      <c r="BF266" s="290">
        <v>0</v>
      </c>
      <c r="BG266" s="290">
        <v>0</v>
      </c>
      <c r="BH266" s="290">
        <v>0</v>
      </c>
      <c r="BI266" s="290">
        <v>0</v>
      </c>
      <c r="BJ266" s="290">
        <v>0</v>
      </c>
      <c r="BK266" s="78">
        <v>0.3</v>
      </c>
      <c r="BL266" s="41" t="s">
        <v>616</v>
      </c>
      <c r="BM266" s="45"/>
    </row>
    <row r="267" spans="1:65" x14ac:dyDescent="0.35">
      <c r="A267" s="45" t="str">
        <f>Database_Productkaarten[[#This Row],[Product]]&amp;", "&amp;Database_Productkaarten[[#This Row],[Levensfase]]</f>
        <v>AC Surf 30% PR - PCR 2.0, B3</v>
      </c>
      <c r="B267" s="41" t="s">
        <v>1357</v>
      </c>
      <c r="C267" s="41" t="s">
        <v>443</v>
      </c>
      <c r="D267" s="41" t="s">
        <v>471</v>
      </c>
      <c r="E267" s="41" t="s">
        <v>91</v>
      </c>
      <c r="F267" s="41" t="s">
        <v>602</v>
      </c>
      <c r="G267" s="45"/>
      <c r="H267" s="45"/>
      <c r="I267" s="45"/>
      <c r="J267" s="45"/>
      <c r="K267" s="45"/>
      <c r="L267" s="41">
        <v>2.35</v>
      </c>
      <c r="M267" s="291">
        <v>0</v>
      </c>
      <c r="N267" s="45">
        <v>14</v>
      </c>
      <c r="O267" s="290">
        <v>0</v>
      </c>
      <c r="P267" s="290">
        <v>0</v>
      </c>
      <c r="Q267" s="290">
        <v>0</v>
      </c>
      <c r="R267" s="290">
        <v>0</v>
      </c>
      <c r="S267" s="290">
        <v>0</v>
      </c>
      <c r="T267" s="290">
        <v>0</v>
      </c>
      <c r="U267" s="290">
        <v>0</v>
      </c>
      <c r="V267" s="290">
        <v>0</v>
      </c>
      <c r="W267" s="290">
        <v>0</v>
      </c>
      <c r="X267" s="290">
        <v>0</v>
      </c>
      <c r="Y267" s="290">
        <v>0</v>
      </c>
      <c r="Z267" s="290">
        <v>0</v>
      </c>
      <c r="AA267" s="290">
        <v>0</v>
      </c>
      <c r="AB267" s="290">
        <v>0</v>
      </c>
      <c r="AC267" s="290">
        <v>0</v>
      </c>
      <c r="AD267" s="290">
        <v>0</v>
      </c>
      <c r="AE267" s="290">
        <v>0</v>
      </c>
      <c r="AF267" s="290">
        <v>0</v>
      </c>
      <c r="AG267" s="290">
        <v>0</v>
      </c>
      <c r="AH267" s="290">
        <v>0</v>
      </c>
      <c r="AI267" s="290">
        <v>0</v>
      </c>
      <c r="AJ267" s="290">
        <v>0</v>
      </c>
      <c r="AK267" s="290">
        <v>0</v>
      </c>
      <c r="AL267" s="290">
        <v>0</v>
      </c>
      <c r="AM267" s="290">
        <v>0</v>
      </c>
      <c r="AN267" s="290">
        <v>0</v>
      </c>
      <c r="AO267" s="290">
        <v>0</v>
      </c>
      <c r="AP267" s="290">
        <v>0</v>
      </c>
      <c r="AQ267" s="290">
        <v>0</v>
      </c>
      <c r="AR267" s="290">
        <v>0</v>
      </c>
      <c r="AS267" s="290">
        <v>0</v>
      </c>
      <c r="AT267" s="290">
        <v>0</v>
      </c>
      <c r="AU267" s="290">
        <v>0</v>
      </c>
      <c r="AV267" s="290">
        <v>0</v>
      </c>
      <c r="AW267" s="290">
        <v>0</v>
      </c>
      <c r="AX267" s="290">
        <v>0</v>
      </c>
      <c r="AY267" s="290">
        <v>0</v>
      </c>
      <c r="AZ267" s="290">
        <v>0</v>
      </c>
      <c r="BA267" s="290">
        <v>0</v>
      </c>
      <c r="BB267" s="290">
        <v>0</v>
      </c>
      <c r="BC267" s="290">
        <v>0</v>
      </c>
      <c r="BD267" s="290">
        <v>0</v>
      </c>
      <c r="BE267" s="290">
        <v>0</v>
      </c>
      <c r="BF267" s="290">
        <v>0</v>
      </c>
      <c r="BG267" s="290">
        <v>0</v>
      </c>
      <c r="BH267" s="290">
        <v>0</v>
      </c>
      <c r="BI267" s="290">
        <v>0</v>
      </c>
      <c r="BJ267" s="290">
        <v>0</v>
      </c>
      <c r="BK267" s="78">
        <v>0.3</v>
      </c>
      <c r="BL267" s="41" t="s">
        <v>616</v>
      </c>
      <c r="BM267" s="45"/>
    </row>
    <row r="268" spans="1:65" x14ac:dyDescent="0.35">
      <c r="A268" s="45" t="str">
        <f>Database_Productkaarten[[#This Row],[Product]]&amp;", "&amp;Database_Productkaarten[[#This Row],[Levensfase]]</f>
        <v>AC Surf 30% PR - PCR 2.0, B4</v>
      </c>
      <c r="B268" s="41" t="s">
        <v>1357</v>
      </c>
      <c r="C268" s="41" t="s">
        <v>443</v>
      </c>
      <c r="D268" s="41" t="s">
        <v>471</v>
      </c>
      <c r="E268" s="41" t="s">
        <v>91</v>
      </c>
      <c r="F268" s="41" t="s">
        <v>50</v>
      </c>
      <c r="G268" s="45"/>
      <c r="H268" s="45"/>
      <c r="I268" s="45"/>
      <c r="J268" s="45"/>
      <c r="K268" s="45"/>
      <c r="L268" s="41">
        <v>2.35</v>
      </c>
      <c r="M268" s="291">
        <v>0</v>
      </c>
      <c r="N268" s="45">
        <v>14</v>
      </c>
      <c r="O268" s="290">
        <v>0</v>
      </c>
      <c r="P268" s="290">
        <v>0</v>
      </c>
      <c r="Q268" s="290">
        <v>0</v>
      </c>
      <c r="R268" s="290">
        <v>0</v>
      </c>
      <c r="S268" s="290">
        <v>0</v>
      </c>
      <c r="T268" s="290">
        <v>0</v>
      </c>
      <c r="U268" s="290">
        <v>0</v>
      </c>
      <c r="V268" s="290">
        <v>0</v>
      </c>
      <c r="W268" s="290">
        <v>0</v>
      </c>
      <c r="X268" s="290">
        <v>0</v>
      </c>
      <c r="Y268" s="290">
        <v>0</v>
      </c>
      <c r="Z268" s="290">
        <v>0</v>
      </c>
      <c r="AA268" s="290">
        <v>0</v>
      </c>
      <c r="AB268" s="290">
        <v>0</v>
      </c>
      <c r="AC268" s="290">
        <v>0</v>
      </c>
      <c r="AD268" s="290">
        <v>0</v>
      </c>
      <c r="AE268" s="290">
        <v>0</v>
      </c>
      <c r="AF268" s="290">
        <v>0</v>
      </c>
      <c r="AG268" s="290">
        <v>0</v>
      </c>
      <c r="AH268" s="290">
        <v>0</v>
      </c>
      <c r="AI268" s="290">
        <v>0</v>
      </c>
      <c r="AJ268" s="290">
        <v>0</v>
      </c>
      <c r="AK268" s="290">
        <v>0</v>
      </c>
      <c r="AL268" s="290">
        <v>0</v>
      </c>
      <c r="AM268" s="290">
        <v>0</v>
      </c>
      <c r="AN268" s="290">
        <v>0</v>
      </c>
      <c r="AO268" s="290">
        <v>0</v>
      </c>
      <c r="AP268" s="290">
        <v>0</v>
      </c>
      <c r="AQ268" s="290">
        <v>0</v>
      </c>
      <c r="AR268" s="290">
        <v>0</v>
      </c>
      <c r="AS268" s="290">
        <v>0</v>
      </c>
      <c r="AT268" s="290">
        <v>0</v>
      </c>
      <c r="AU268" s="290">
        <v>0</v>
      </c>
      <c r="AV268" s="290">
        <v>0</v>
      </c>
      <c r="AW268" s="290">
        <v>0</v>
      </c>
      <c r="AX268" s="290">
        <v>0</v>
      </c>
      <c r="AY268" s="290">
        <v>0</v>
      </c>
      <c r="AZ268" s="290">
        <v>0</v>
      </c>
      <c r="BA268" s="290">
        <v>0</v>
      </c>
      <c r="BB268" s="290">
        <v>0</v>
      </c>
      <c r="BC268" s="290">
        <v>0</v>
      </c>
      <c r="BD268" s="290">
        <v>0</v>
      </c>
      <c r="BE268" s="290">
        <v>0</v>
      </c>
      <c r="BF268" s="290">
        <v>0</v>
      </c>
      <c r="BG268" s="290">
        <v>0</v>
      </c>
      <c r="BH268" s="290">
        <v>0</v>
      </c>
      <c r="BI268" s="290">
        <v>0</v>
      </c>
      <c r="BJ268" s="290">
        <v>0</v>
      </c>
      <c r="BK268" s="78">
        <v>0.3</v>
      </c>
      <c r="BL268" s="41" t="s">
        <v>616</v>
      </c>
      <c r="BM268" s="45"/>
    </row>
    <row r="269" spans="1:65" x14ac:dyDescent="0.35">
      <c r="A269" s="45" t="str">
        <f>Database_Productkaarten[[#This Row],[Product]]&amp;", "&amp;Database_Productkaarten[[#This Row],[Levensfase]]</f>
        <v>AC Surf 30% PR - PCR 2.0, B5</v>
      </c>
      <c r="B269" s="41" t="s">
        <v>1357</v>
      </c>
      <c r="C269" s="41" t="s">
        <v>443</v>
      </c>
      <c r="D269" s="41" t="s">
        <v>471</v>
      </c>
      <c r="E269" s="41" t="s">
        <v>91</v>
      </c>
      <c r="F269" s="41" t="s">
        <v>1358</v>
      </c>
      <c r="G269" s="45"/>
      <c r="H269" s="45"/>
      <c r="I269" s="45"/>
      <c r="J269" s="45"/>
      <c r="K269" s="45"/>
      <c r="L269" s="41">
        <v>2.35</v>
      </c>
      <c r="M269" s="291">
        <v>0</v>
      </c>
      <c r="N269" s="45">
        <v>14</v>
      </c>
      <c r="O269" s="290">
        <v>0</v>
      </c>
      <c r="P269" s="290">
        <v>0</v>
      </c>
      <c r="Q269" s="290">
        <v>0</v>
      </c>
      <c r="R269" s="290">
        <v>0</v>
      </c>
      <c r="S269" s="290">
        <v>0</v>
      </c>
      <c r="T269" s="290">
        <v>0</v>
      </c>
      <c r="U269" s="290">
        <v>0</v>
      </c>
      <c r="V269" s="290">
        <v>0</v>
      </c>
      <c r="W269" s="290">
        <v>0</v>
      </c>
      <c r="X269" s="290">
        <v>0</v>
      </c>
      <c r="Y269" s="290">
        <v>0</v>
      </c>
      <c r="Z269" s="290">
        <v>0</v>
      </c>
      <c r="AA269" s="290">
        <v>0</v>
      </c>
      <c r="AB269" s="290">
        <v>0</v>
      </c>
      <c r="AC269" s="290">
        <v>0</v>
      </c>
      <c r="AD269" s="290">
        <v>0</v>
      </c>
      <c r="AE269" s="290">
        <v>0</v>
      </c>
      <c r="AF269" s="290">
        <v>0</v>
      </c>
      <c r="AG269" s="290">
        <v>0</v>
      </c>
      <c r="AH269" s="290">
        <v>0</v>
      </c>
      <c r="AI269" s="290">
        <v>0</v>
      </c>
      <c r="AJ269" s="290">
        <v>0</v>
      </c>
      <c r="AK269" s="290">
        <v>0</v>
      </c>
      <c r="AL269" s="290">
        <v>0</v>
      </c>
      <c r="AM269" s="290">
        <v>0</v>
      </c>
      <c r="AN269" s="290">
        <v>0</v>
      </c>
      <c r="AO269" s="290">
        <v>0</v>
      </c>
      <c r="AP269" s="290">
        <v>0</v>
      </c>
      <c r="AQ269" s="290">
        <v>0</v>
      </c>
      <c r="AR269" s="290">
        <v>0</v>
      </c>
      <c r="AS269" s="290">
        <v>0</v>
      </c>
      <c r="AT269" s="290">
        <v>0</v>
      </c>
      <c r="AU269" s="290">
        <v>0</v>
      </c>
      <c r="AV269" s="290">
        <v>0</v>
      </c>
      <c r="AW269" s="290">
        <v>0</v>
      </c>
      <c r="AX269" s="290">
        <v>0</v>
      </c>
      <c r="AY269" s="290">
        <v>0</v>
      </c>
      <c r="AZ269" s="290">
        <v>0</v>
      </c>
      <c r="BA269" s="290">
        <v>0</v>
      </c>
      <c r="BB269" s="290">
        <v>0</v>
      </c>
      <c r="BC269" s="290">
        <v>0</v>
      </c>
      <c r="BD269" s="290">
        <v>0</v>
      </c>
      <c r="BE269" s="290">
        <v>0</v>
      </c>
      <c r="BF269" s="290">
        <v>0</v>
      </c>
      <c r="BG269" s="290">
        <v>0</v>
      </c>
      <c r="BH269" s="290">
        <v>0</v>
      </c>
      <c r="BI269" s="290">
        <v>0</v>
      </c>
      <c r="BJ269" s="290">
        <v>0</v>
      </c>
      <c r="BK269" s="78">
        <v>0.3</v>
      </c>
      <c r="BL269" s="41" t="s">
        <v>616</v>
      </c>
      <c r="BM269" s="45"/>
    </row>
    <row r="270" spans="1:65" x14ac:dyDescent="0.35">
      <c r="A270" s="45" t="str">
        <f>Database_Productkaarten[[#This Row],[Product]]&amp;", "&amp;Database_Productkaarten[[#This Row],[Levensfase]]</f>
        <v>AC Surf 30% PR - PCR 2.0, C1</v>
      </c>
      <c r="B270" s="41" t="s">
        <v>1357</v>
      </c>
      <c r="C270" s="41" t="s">
        <v>443</v>
      </c>
      <c r="D270" s="41" t="s">
        <v>471</v>
      </c>
      <c r="E270" s="41" t="s">
        <v>91</v>
      </c>
      <c r="F270" s="41" t="s">
        <v>25</v>
      </c>
      <c r="G270" s="45"/>
      <c r="H270" s="45"/>
      <c r="I270" s="45"/>
      <c r="J270" s="45"/>
      <c r="K270" s="45"/>
      <c r="L270" s="41">
        <v>2.35</v>
      </c>
      <c r="M270" s="291">
        <v>0.13541602848322476</v>
      </c>
      <c r="N270" s="45">
        <v>14</v>
      </c>
      <c r="O270" s="290">
        <v>1.66355234371269E-6</v>
      </c>
      <c r="P270" s="290">
        <v>7.0767185660086497E-3</v>
      </c>
      <c r="Q270" s="290">
        <v>1.4392148982005999</v>
      </c>
      <c r="R270" s="290">
        <v>1.85981763489475E-7</v>
      </c>
      <c r="S270" s="290">
        <v>4.7349882800803002E-4</v>
      </c>
      <c r="T270" s="290">
        <v>4.1086089065848902E-3</v>
      </c>
      <c r="U270" s="290">
        <v>8.8311374408511496E-4</v>
      </c>
      <c r="V270" s="290">
        <v>0.38738647324256198</v>
      </c>
      <c r="W270" s="290">
        <v>5.5203761960855597E-3</v>
      </c>
      <c r="X270" s="290">
        <v>19.1808743304926</v>
      </c>
      <c r="Y270" s="290">
        <v>6.5374485782705195E-4</v>
      </c>
      <c r="Z270" s="290">
        <v>1.44808107913367</v>
      </c>
      <c r="AA270" s="290">
        <v>1.4476653663101899</v>
      </c>
      <c r="AB270" s="290">
        <v>3.3110965602877899E-4</v>
      </c>
      <c r="AC270" s="290">
        <v>8.4603167447084698E-5</v>
      </c>
      <c r="AD270" s="290">
        <v>2.343443675138E-7</v>
      </c>
      <c r="AE270" s="290">
        <v>5.5792397950341199E-3</v>
      </c>
      <c r="AF270" s="290">
        <v>3.9527082851186902E-6</v>
      </c>
      <c r="AG270" s="290">
        <v>2.1681682870361299E-3</v>
      </c>
      <c r="AH270" s="290">
        <v>2.3831205862228699E-2</v>
      </c>
      <c r="AI270" s="290">
        <v>6.5087102457774297E-3</v>
      </c>
      <c r="AJ270" s="290">
        <v>1.6635392896183899E-6</v>
      </c>
      <c r="AK270" s="290">
        <v>14.931444249989401</v>
      </c>
      <c r="AL270" s="290">
        <v>1.9886244816005601E-2</v>
      </c>
      <c r="AM270" s="290">
        <v>2.3049580029673099E-8</v>
      </c>
      <c r="AN270" s="290">
        <v>6.4087145571878099E-2</v>
      </c>
      <c r="AO270" s="290">
        <v>8.9589317785898306</v>
      </c>
      <c r="AP270" s="290">
        <v>3.1432578140109399E-10</v>
      </c>
      <c r="AQ270" s="290">
        <v>6.31006644282671E-9</v>
      </c>
      <c r="AR270" s="290">
        <v>1.9071665006538601</v>
      </c>
      <c r="AS270" s="290">
        <v>0</v>
      </c>
      <c r="AT270" s="290">
        <v>0</v>
      </c>
      <c r="AU270" s="290">
        <v>8.20706356066562E-2</v>
      </c>
      <c r="AV270" s="290">
        <v>0</v>
      </c>
      <c r="AW270" s="290">
        <v>0</v>
      </c>
      <c r="AX270" s="290">
        <v>15.8567215367408</v>
      </c>
      <c r="AY270" s="290">
        <v>0</v>
      </c>
      <c r="AZ270" s="290">
        <v>0</v>
      </c>
      <c r="BA270" s="290">
        <v>0</v>
      </c>
      <c r="BB270" s="290">
        <v>7.7185667223112896E-4</v>
      </c>
      <c r="BC270" s="290">
        <v>4.0662309940891601E-5</v>
      </c>
      <c r="BD270" s="290">
        <v>1.76679552576837E-2</v>
      </c>
      <c r="BE270" s="290">
        <v>1.03774338880439E-4</v>
      </c>
      <c r="BF270" s="290">
        <v>0</v>
      </c>
      <c r="BG270" s="290">
        <v>0</v>
      </c>
      <c r="BH270" s="290">
        <v>0</v>
      </c>
      <c r="BI270" s="290">
        <v>0</v>
      </c>
      <c r="BJ270" s="290">
        <v>0</v>
      </c>
      <c r="BK270" s="78">
        <v>0.3</v>
      </c>
      <c r="BL270" s="41" t="s">
        <v>616</v>
      </c>
      <c r="BM270" s="45"/>
    </row>
    <row r="271" spans="1:65" x14ac:dyDescent="0.35">
      <c r="A271" s="45" t="str">
        <f>Database_Productkaarten[[#This Row],[Product]]&amp;", "&amp;Database_Productkaarten[[#This Row],[Levensfase]]</f>
        <v>AC Surf 30% PR - PCR 2.0, C2</v>
      </c>
      <c r="B271" s="41" t="s">
        <v>1357</v>
      </c>
      <c r="C271" s="41" t="s">
        <v>443</v>
      </c>
      <c r="D271" s="41" t="s">
        <v>471</v>
      </c>
      <c r="E271" s="41" t="s">
        <v>91</v>
      </c>
      <c r="F271" s="41" t="s">
        <v>26</v>
      </c>
      <c r="G271" s="45"/>
      <c r="H271" s="45"/>
      <c r="I271" s="45"/>
      <c r="J271" s="45"/>
      <c r="K271" s="45"/>
      <c r="L271" s="41">
        <v>2.35</v>
      </c>
      <c r="M271" s="291">
        <v>0.31791357541832999</v>
      </c>
      <c r="N271" s="45">
        <v>14</v>
      </c>
      <c r="O271" s="290">
        <v>7.2195843000000002E-5</v>
      </c>
      <c r="P271" s="290">
        <v>2.5045429500000001E-2</v>
      </c>
      <c r="Q271" s="290">
        <v>3.2726104581</v>
      </c>
      <c r="R271" s="290">
        <v>6.2448211500000004E-7</v>
      </c>
      <c r="S271" s="290">
        <v>2.3663202E-3</v>
      </c>
      <c r="T271" s="290">
        <v>9.9103019999999993E-3</v>
      </c>
      <c r="U271" s="290">
        <v>1.66070541E-3</v>
      </c>
      <c r="V271" s="290">
        <v>0.89062466159999998</v>
      </c>
      <c r="W271" s="290">
        <v>3.5055542699999998E-2</v>
      </c>
      <c r="X271" s="290">
        <v>92.682047400000002</v>
      </c>
      <c r="Y271" s="290">
        <v>7.4868390000000003E-3</v>
      </c>
      <c r="Z271" s="290">
        <v>3.3150718431000001</v>
      </c>
      <c r="AA271" s="290">
        <v>3.3001817481</v>
      </c>
      <c r="AB271" s="290">
        <v>1.3607189190000001E-2</v>
      </c>
      <c r="AC271" s="290">
        <v>1.2829113599999999E-3</v>
      </c>
      <c r="AD271" s="290">
        <v>7.8107336699999998E-7</v>
      </c>
      <c r="AE271" s="290">
        <v>1.2482505E-2</v>
      </c>
      <c r="AF271" s="290">
        <v>3.4632532799999998E-5</v>
      </c>
      <c r="AG271" s="290">
        <v>2.8897329300000001E-3</v>
      </c>
      <c r="AH271" s="290">
        <v>3.3662059799999998E-2</v>
      </c>
      <c r="AI271" s="290">
        <v>1.2098522699999999E-2</v>
      </c>
      <c r="AJ271" s="290">
        <v>7.2195510000000004E-5</v>
      </c>
      <c r="AK271" s="290">
        <v>52.307882313</v>
      </c>
      <c r="AL271" s="290">
        <v>0.28570883850000001</v>
      </c>
      <c r="AM271" s="290">
        <v>2.8544027399999998E-7</v>
      </c>
      <c r="AN271" s="290">
        <v>0.22308385950000001</v>
      </c>
      <c r="AO271" s="290">
        <v>50.61443379</v>
      </c>
      <c r="AP271" s="290">
        <v>1.35209877E-9</v>
      </c>
      <c r="AQ271" s="290">
        <v>4.3221490799999998E-8</v>
      </c>
      <c r="AR271" s="290">
        <v>98.528772599999996</v>
      </c>
      <c r="AS271" s="290">
        <v>8.065825212</v>
      </c>
      <c r="AT271" s="290">
        <v>0</v>
      </c>
      <c r="AU271" s="290">
        <v>8.6963547624000004</v>
      </c>
      <c r="AV271" s="290">
        <v>0.70667511750000001</v>
      </c>
      <c r="AW271" s="290">
        <v>9.926829900000001E-4</v>
      </c>
      <c r="AX271" s="290">
        <v>55.561210727999999</v>
      </c>
      <c r="AY271" s="290">
        <v>0</v>
      </c>
      <c r="AZ271" s="290">
        <v>0</v>
      </c>
      <c r="BA271" s="290">
        <v>0</v>
      </c>
      <c r="BB271" s="290">
        <v>8.7338241000000007E-3</v>
      </c>
      <c r="BC271" s="290">
        <v>1.5376752299999999E-4</v>
      </c>
      <c r="BD271" s="290">
        <v>5.5583861609999996</v>
      </c>
      <c r="BE271" s="290">
        <v>3.4865666099999999E-4</v>
      </c>
      <c r="BF271" s="290">
        <v>0</v>
      </c>
      <c r="BG271" s="290">
        <v>0</v>
      </c>
      <c r="BH271" s="290">
        <v>0</v>
      </c>
      <c r="BI271" s="290">
        <v>0</v>
      </c>
      <c r="BJ271" s="290">
        <v>0</v>
      </c>
      <c r="BK271" s="78">
        <v>0.3</v>
      </c>
      <c r="BL271" s="41" t="s">
        <v>616</v>
      </c>
      <c r="BM271" s="45"/>
    </row>
    <row r="272" spans="1:65" x14ac:dyDescent="0.35">
      <c r="A272" s="45" t="str">
        <f>Database_Productkaarten[[#This Row],[Product]]&amp;", "&amp;Database_Productkaarten[[#This Row],[Levensfase]]</f>
        <v>AC Surf 30% PR - PCR 2.0, C3</v>
      </c>
      <c r="B272" s="41" t="s">
        <v>1357</v>
      </c>
      <c r="C272" s="41" t="s">
        <v>443</v>
      </c>
      <c r="D272" s="41" t="s">
        <v>471</v>
      </c>
      <c r="E272" s="41" t="s">
        <v>91</v>
      </c>
      <c r="F272" s="41" t="s">
        <v>27</v>
      </c>
      <c r="G272" s="45"/>
      <c r="H272" s="45"/>
      <c r="I272" s="45"/>
      <c r="J272" s="45"/>
      <c r="K272" s="45"/>
      <c r="L272" s="41">
        <v>2.35</v>
      </c>
      <c r="M272" s="291">
        <v>0.15929996445265776</v>
      </c>
      <c r="N272" s="45">
        <v>14</v>
      </c>
      <c r="O272" s="290">
        <v>1.8651950520415E-6</v>
      </c>
      <c r="P272" s="290">
        <v>7.9345026346157605E-3</v>
      </c>
      <c r="Q272" s="290">
        <v>1.6136651888915901</v>
      </c>
      <c r="R272" s="290">
        <v>2.0852500754880601E-7</v>
      </c>
      <c r="S272" s="290">
        <v>5.8559282648642803E-4</v>
      </c>
      <c r="T272" s="290">
        <v>5.7290955922309197E-3</v>
      </c>
      <c r="U272" s="290">
        <v>1.28200094033769E-3</v>
      </c>
      <c r="V272" s="290">
        <v>0.43705340511135699</v>
      </c>
      <c r="W272" s="290">
        <v>6.1895127047020201E-3</v>
      </c>
      <c r="X272" s="290">
        <v>21.505828794794802</v>
      </c>
      <c r="Y272" s="290">
        <v>7.3298665877578602E-4</v>
      </c>
      <c r="Z272" s="290">
        <v>1.62432602236199</v>
      </c>
      <c r="AA272" s="290">
        <v>1.6238599201053701</v>
      </c>
      <c r="AB272" s="290">
        <v>3.7124415978984299E-4</v>
      </c>
      <c r="AC272" s="290">
        <v>9.4858096834610106E-5</v>
      </c>
      <c r="AD272" s="290">
        <v>2.6274974539425998E-7</v>
      </c>
      <c r="AE272" s="290">
        <v>7.9167720429161193E-3</v>
      </c>
      <c r="AF272" s="290">
        <v>4.4318244408906596E-6</v>
      </c>
      <c r="AG272" s="290">
        <v>3.3042609354642601E-3</v>
      </c>
      <c r="AH272" s="290">
        <v>3.6283310966736003E-2</v>
      </c>
      <c r="AI272" s="290">
        <v>9.6537099664764092E-3</v>
      </c>
      <c r="AJ272" s="290">
        <v>1.8651804156327501E-6</v>
      </c>
      <c r="AK272" s="290">
        <v>16.741316280291201</v>
      </c>
      <c r="AL272" s="290">
        <v>2.2296698733097101E-2</v>
      </c>
      <c r="AM272" s="290">
        <v>3.0576571272358099E-8</v>
      </c>
      <c r="AN272" s="290">
        <v>7.1855284429075503E-2</v>
      </c>
      <c r="AO272" s="290">
        <v>10.0456497775992</v>
      </c>
      <c r="AP272" s="290">
        <v>3.5242587611638102E-10</v>
      </c>
      <c r="AQ272" s="290">
        <v>7.5755651316935904E-9</v>
      </c>
      <c r="AR272" s="290">
        <v>2.1383381977028102</v>
      </c>
      <c r="AS272" s="290">
        <v>0</v>
      </c>
      <c r="AT272" s="290">
        <v>0</v>
      </c>
      <c r="AU272" s="290">
        <v>9.2018591437766403E-2</v>
      </c>
      <c r="AV272" s="290">
        <v>0</v>
      </c>
      <c r="AW272" s="290">
        <v>0</v>
      </c>
      <c r="AX272" s="290">
        <v>17.778748389679102</v>
      </c>
      <c r="AY272" s="290">
        <v>0</v>
      </c>
      <c r="AZ272" s="290">
        <v>0</v>
      </c>
      <c r="BA272" s="290">
        <v>0</v>
      </c>
      <c r="BB272" s="290">
        <v>8.6541505674399299E-4</v>
      </c>
      <c r="BC272" s="290">
        <v>4.55910747822118E-5</v>
      </c>
      <c r="BD272" s="290">
        <v>1.9809525591948401E-2</v>
      </c>
      <c r="BE272" s="290">
        <v>1.16353046623523E-4</v>
      </c>
      <c r="BF272" s="290">
        <v>0</v>
      </c>
      <c r="BG272" s="290">
        <v>1000</v>
      </c>
      <c r="BH272" s="290">
        <v>0</v>
      </c>
      <c r="BI272" s="290">
        <v>0</v>
      </c>
      <c r="BJ272" s="290">
        <v>0</v>
      </c>
      <c r="BK272" s="78">
        <v>0.3</v>
      </c>
      <c r="BL272" s="41" t="s">
        <v>616</v>
      </c>
      <c r="BM272" s="45"/>
    </row>
    <row r="273" spans="1:65" x14ac:dyDescent="0.35">
      <c r="A273" s="45" t="str">
        <f>Database_Productkaarten[[#This Row],[Product]]&amp;", "&amp;Database_Productkaarten[[#This Row],[Levensfase]]</f>
        <v>AC Surf 30% PR - PCR 2.0, C4</v>
      </c>
      <c r="B273" s="41" t="s">
        <v>1357</v>
      </c>
      <c r="C273" s="41" t="s">
        <v>443</v>
      </c>
      <c r="D273" s="41" t="s">
        <v>471</v>
      </c>
      <c r="E273" s="41" t="s">
        <v>91</v>
      </c>
      <c r="F273" s="41" t="s">
        <v>28</v>
      </c>
      <c r="G273" s="45"/>
      <c r="H273" s="45"/>
      <c r="I273" s="45"/>
      <c r="J273" s="45"/>
      <c r="K273" s="45"/>
      <c r="L273" s="41">
        <v>2.35</v>
      </c>
      <c r="M273" s="291">
        <v>0</v>
      </c>
      <c r="N273" s="45">
        <v>14</v>
      </c>
      <c r="O273" s="290">
        <v>0</v>
      </c>
      <c r="P273" s="290">
        <v>0</v>
      </c>
      <c r="Q273" s="290">
        <v>0</v>
      </c>
      <c r="R273" s="290">
        <v>0</v>
      </c>
      <c r="S273" s="290">
        <v>0</v>
      </c>
      <c r="T273" s="290">
        <v>0</v>
      </c>
      <c r="U273" s="290">
        <v>0</v>
      </c>
      <c r="V273" s="290">
        <v>0</v>
      </c>
      <c r="W273" s="290">
        <v>0</v>
      </c>
      <c r="X273" s="290">
        <v>0</v>
      </c>
      <c r="Y273" s="290">
        <v>0</v>
      </c>
      <c r="Z273" s="290">
        <v>0</v>
      </c>
      <c r="AA273" s="290">
        <v>0</v>
      </c>
      <c r="AB273" s="290">
        <v>0</v>
      </c>
      <c r="AC273" s="290">
        <v>0</v>
      </c>
      <c r="AD273" s="290">
        <v>0</v>
      </c>
      <c r="AE273" s="290">
        <v>0</v>
      </c>
      <c r="AF273" s="290">
        <v>0</v>
      </c>
      <c r="AG273" s="290">
        <v>0</v>
      </c>
      <c r="AH273" s="290">
        <v>0</v>
      </c>
      <c r="AI273" s="290">
        <v>0</v>
      </c>
      <c r="AJ273" s="290">
        <v>0</v>
      </c>
      <c r="AK273" s="290">
        <v>0</v>
      </c>
      <c r="AL273" s="290">
        <v>0</v>
      </c>
      <c r="AM273" s="290">
        <v>0</v>
      </c>
      <c r="AN273" s="290">
        <v>0</v>
      </c>
      <c r="AO273" s="290">
        <v>0</v>
      </c>
      <c r="AP273" s="290">
        <v>0</v>
      </c>
      <c r="AQ273" s="290">
        <v>0</v>
      </c>
      <c r="AR273" s="290">
        <v>0</v>
      </c>
      <c r="AS273" s="290">
        <v>0</v>
      </c>
      <c r="AT273" s="290">
        <v>0</v>
      </c>
      <c r="AU273" s="290">
        <v>0</v>
      </c>
      <c r="AV273" s="290">
        <v>0</v>
      </c>
      <c r="AW273" s="290">
        <v>0</v>
      </c>
      <c r="AX273" s="290">
        <v>0</v>
      </c>
      <c r="AY273" s="290">
        <v>0</v>
      </c>
      <c r="AZ273" s="290">
        <v>0</v>
      </c>
      <c r="BA273" s="290">
        <v>0</v>
      </c>
      <c r="BB273" s="290">
        <v>0</v>
      </c>
      <c r="BC273" s="290">
        <v>0</v>
      </c>
      <c r="BD273" s="290">
        <v>0</v>
      </c>
      <c r="BE273" s="290">
        <v>0</v>
      </c>
      <c r="BF273" s="290">
        <v>0</v>
      </c>
      <c r="BG273" s="290">
        <v>0</v>
      </c>
      <c r="BH273" s="290">
        <v>0</v>
      </c>
      <c r="BI273" s="290">
        <v>0</v>
      </c>
      <c r="BJ273" s="290">
        <v>0</v>
      </c>
      <c r="BK273" s="78">
        <v>0.3</v>
      </c>
      <c r="BL273" s="41" t="s">
        <v>616</v>
      </c>
      <c r="BM273" s="45"/>
    </row>
    <row r="274" spans="1:65" x14ac:dyDescent="0.35">
      <c r="A274" s="45" t="str">
        <f>Database_Productkaarten[[#This Row],[Product]]&amp;", "&amp;Database_Productkaarten[[#This Row],[Levensfase]]</f>
        <v>AC Surf 30% PR - PCR 2.0, D1</v>
      </c>
      <c r="B274" s="41" t="s">
        <v>1357</v>
      </c>
      <c r="C274" s="41" t="s">
        <v>443</v>
      </c>
      <c r="D274" s="41" t="s">
        <v>471</v>
      </c>
      <c r="E274" s="41" t="s">
        <v>91</v>
      </c>
      <c r="F274" s="41" t="s">
        <v>51</v>
      </c>
      <c r="G274" s="45"/>
      <c r="H274" s="45"/>
      <c r="I274" s="45"/>
      <c r="J274" s="45"/>
      <c r="K274" s="45"/>
      <c r="L274" s="41">
        <v>2.35</v>
      </c>
      <c r="M274" s="291">
        <v>-3.0837985071228311</v>
      </c>
      <c r="N274" s="45">
        <v>14</v>
      </c>
      <c r="O274" s="290">
        <v>-3.46214027073208E-4</v>
      </c>
      <c r="P274" s="290">
        <v>-0.52638383920292797</v>
      </c>
      <c r="Q274" s="290">
        <v>-22.9286111571069</v>
      </c>
      <c r="R274" s="290">
        <v>-1.96601259942394E-6</v>
      </c>
      <c r="S274" s="290">
        <v>-5.6613809625161902E-2</v>
      </c>
      <c r="T274" s="290">
        <v>-0.16196908117661599</v>
      </c>
      <c r="U274" s="290">
        <v>-1.54524580333725E-2</v>
      </c>
      <c r="V274" s="290">
        <v>-6.2839722493435</v>
      </c>
      <c r="W274" s="290">
        <v>-0.81599332055236196</v>
      </c>
      <c r="X274" s="290">
        <v>-3563.7284906844002</v>
      </c>
      <c r="Y274" s="290">
        <v>-0.10743238316062299</v>
      </c>
      <c r="Z274" s="290">
        <v>-6.1419471939457004</v>
      </c>
      <c r="AA274" s="290">
        <v>-6.06854205506255</v>
      </c>
      <c r="AB274" s="290">
        <v>-6.5925696685863094E-2</v>
      </c>
      <c r="AC274" s="290">
        <v>-7.4794421972889701E-3</v>
      </c>
      <c r="AD274" s="290">
        <v>-8.0455335588558902E-7</v>
      </c>
      <c r="AE274" s="290">
        <v>-5.9339702803560497E-2</v>
      </c>
      <c r="AF274" s="290">
        <v>-2.59340972141784E-4</v>
      </c>
      <c r="AG274" s="290">
        <v>-1.75286806513021E-2</v>
      </c>
      <c r="AH274" s="290">
        <v>-0.22058039142431499</v>
      </c>
      <c r="AI274" s="290">
        <v>-5.4423012897310899E-2</v>
      </c>
      <c r="AJ274" s="290">
        <v>-3.4381973417668899E-4</v>
      </c>
      <c r="AK274" s="290">
        <v>-88.493987950235805</v>
      </c>
      <c r="AL274" s="290">
        <v>-21.688448403404301</v>
      </c>
      <c r="AM274" s="290">
        <v>-8.3823225978510795E-7</v>
      </c>
      <c r="AN274" s="290">
        <v>-0.47356623559921002</v>
      </c>
      <c r="AO274" s="290">
        <v>-805.269569832103</v>
      </c>
      <c r="AP274" s="290">
        <v>-4.47828765316021E-9</v>
      </c>
      <c r="AQ274" s="290">
        <v>-1.0232851427507901E-7</v>
      </c>
      <c r="AR274" s="290">
        <v>-993.65865397581797</v>
      </c>
      <c r="AS274" s="290">
        <v>0</v>
      </c>
      <c r="AT274" s="290">
        <v>0</v>
      </c>
      <c r="AU274" s="290">
        <v>-11.4814491835353</v>
      </c>
      <c r="AV274" s="290">
        <v>0</v>
      </c>
      <c r="AW274" s="290">
        <v>0</v>
      </c>
      <c r="AX274" s="290">
        <v>-1188.8138109551801</v>
      </c>
      <c r="AY274" s="290">
        <v>0</v>
      </c>
      <c r="AZ274" s="290">
        <v>0</v>
      </c>
      <c r="BA274" s="290">
        <v>0</v>
      </c>
      <c r="BB274" s="290">
        <v>-12.7069206865742</v>
      </c>
      <c r="BC274" s="290">
        <v>-5.5037357866617601E-4</v>
      </c>
      <c r="BD274" s="290">
        <v>-2.1777590737277301</v>
      </c>
      <c r="BE274" s="290">
        <v>-6.4272763892857503E-4</v>
      </c>
      <c r="BF274" s="290">
        <v>0</v>
      </c>
      <c r="BG274" s="290">
        <v>0</v>
      </c>
      <c r="BH274" s="290">
        <v>0</v>
      </c>
      <c r="BI274" s="290">
        <v>0</v>
      </c>
      <c r="BJ274" s="290">
        <v>0</v>
      </c>
      <c r="BK274" s="78">
        <v>0.3</v>
      </c>
      <c r="BL274" s="41" t="s">
        <v>616</v>
      </c>
      <c r="BM274" s="45"/>
    </row>
    <row r="275" spans="1:65" x14ac:dyDescent="0.35">
      <c r="A275" s="45" t="str">
        <f>Database_Productkaarten[[#This Row],[Product]]&amp;", "&amp;Database_Productkaarten[[#This Row],[Levensfase]]</f>
        <v>AC Surf G.M. 0% PR - PCR 2.0, Totaal</v>
      </c>
      <c r="B275" s="41" t="s">
        <v>1359</v>
      </c>
      <c r="C275" s="41" t="s">
        <v>443</v>
      </c>
      <c r="D275" s="41" t="s">
        <v>471</v>
      </c>
      <c r="E275" s="41" t="s">
        <v>91</v>
      </c>
      <c r="F275" s="41" t="s">
        <v>16</v>
      </c>
      <c r="G275" s="45"/>
      <c r="H275" s="45"/>
      <c r="I275" s="45"/>
      <c r="J275" s="45"/>
      <c r="K275" s="45"/>
      <c r="L275" s="41">
        <v>2.35</v>
      </c>
      <c r="M275" s="54">
        <f>SUM(M276:M290)</f>
        <v>11.582478467522026</v>
      </c>
      <c r="N275" s="45">
        <v>14</v>
      </c>
      <c r="O275" s="55">
        <f>SUM(O276:O290)</f>
        <v>6.9902414208173258E-3</v>
      </c>
      <c r="P275" s="55">
        <f t="shared" ref="P275" si="15">SUM(P276:P290)</f>
        <v>1.2503185379108896</v>
      </c>
      <c r="Q275" s="55">
        <f t="shared" ref="Q275" si="16">SUM(Q276:Q290)</f>
        <v>110.36655537991844</v>
      </c>
      <c r="R275" s="55">
        <f t="shared" ref="R275" si="17">SUM(R276:R290)</f>
        <v>1.4365677657135469E-5</v>
      </c>
      <c r="S275" s="55">
        <f t="shared" ref="S275" si="18">SUM(S276:S290)</f>
        <v>0.10093143930355117</v>
      </c>
      <c r="T275" s="55">
        <f t="shared" ref="T275" si="19">SUM(T276:T290)</f>
        <v>0.47213304720225707</v>
      </c>
      <c r="U275" s="55">
        <f t="shared" ref="U275" si="20">SUM(U276:U290)</f>
        <v>7.3645664841894637E-2</v>
      </c>
      <c r="V275" s="55">
        <f t="shared" ref="V275" si="21">SUM(V276:V290)</f>
        <v>27.540021333318439</v>
      </c>
      <c r="W275" s="55">
        <f t="shared" ref="W275" si="22">SUM(W276:W290)</f>
        <v>1.6681812542538905</v>
      </c>
      <c r="X275" s="55">
        <f t="shared" ref="X275" si="23">SUM(X276:X290)</f>
        <v>5675.9299316370316</v>
      </c>
      <c r="Y275" s="55">
        <f t="shared" ref="Y275" si="24">SUM(Y276:Y290)</f>
        <v>0.21839869533594497</v>
      </c>
      <c r="Z275" s="55">
        <f t="shared" ref="Z275" si="25">SUM(Z276:Z290)</f>
        <v>138.74601348912068</v>
      </c>
      <c r="AA275" s="55">
        <f t="shared" ref="AA275" si="26">SUM(AA276:AA290)</f>
        <v>138.72563114073549</v>
      </c>
      <c r="AB275" s="55">
        <f t="shared" ref="AB275" si="27">SUM(AB276:AB290)</f>
        <v>-3.8660289550204945E-2</v>
      </c>
      <c r="AC275" s="55">
        <f t="shared" ref="AC275" si="28">SUM(AC276:AC290)</f>
        <v>9.1824221285410373E-2</v>
      </c>
      <c r="AD275" s="55">
        <f t="shared" ref="AD275" si="29">SUM(AD276:AD290)</f>
        <v>1.9610999394440024E-5</v>
      </c>
      <c r="AE275" s="55">
        <f t="shared" ref="AE275" si="30">SUM(AE276:AE290)</f>
        <v>0.79328944606302176</v>
      </c>
      <c r="AF275" s="55">
        <f t="shared" ref="AF275" si="31">SUM(AF276:AF290)</f>
        <v>1.9711166962686761E-3</v>
      </c>
      <c r="AG275" s="55">
        <f t="shared" ref="AG275" si="32">SUM(AG276:AG290)</f>
        <v>0.19373894783689008</v>
      </c>
      <c r="AH275" s="55">
        <f t="shared" ref="AH275" si="33">SUM(AH276:AH290)</f>
        <v>2.0490961786405033</v>
      </c>
      <c r="AI275" s="55">
        <f t="shared" ref="AI275" si="34">SUM(AI276:AI290)</f>
        <v>0.82828287060765915</v>
      </c>
      <c r="AJ275" s="55">
        <f t="shared" ref="AJ275" si="35">SUM(AJ276:AJ290)</f>
        <v>6.9935625614906179E-3</v>
      </c>
      <c r="AK275" s="55">
        <f t="shared" ref="AK275" si="36">SUM(AK276:AK290)</f>
        <v>4019.6264210300101</v>
      </c>
      <c r="AL275" s="55">
        <f t="shared" ref="AL275" si="37">SUM(AL276:AL290)</f>
        <v>37.363226942512938</v>
      </c>
      <c r="AM275" s="55">
        <f t="shared" ref="AM275" si="38">SUM(AM276:AM290)</f>
        <v>3.7828019305387846E-6</v>
      </c>
      <c r="AN275" s="55">
        <f t="shared" ref="AN275" si="39">SUM(AN276:AN290)</f>
        <v>5.3346579427967509</v>
      </c>
      <c r="AO275" s="55">
        <f t="shared" ref="AO275" si="40">SUM(AO276:AO290)</f>
        <v>3073.5763988289964</v>
      </c>
      <c r="AP275" s="55">
        <f t="shared" ref="AP275" si="41">SUM(AP276:AP290)</f>
        <v>4.1830379979519756E-8</v>
      </c>
      <c r="AQ275" s="55">
        <f t="shared" ref="AQ275" si="42">SUM(AQ276:AQ290)</f>
        <v>1.3434913871117989E-6</v>
      </c>
      <c r="AR275" s="55">
        <f t="shared" ref="AR275" si="43">SUM(AR276:AR290)</f>
        <v>-429.99817193307831</v>
      </c>
      <c r="AS275" s="55">
        <f t="shared" ref="AS275" si="44">SUM(AS276:AS290)</f>
        <v>8.065825212</v>
      </c>
      <c r="AT275" s="55">
        <f t="shared" ref="AT275" si="45">SUM(AT276:AT290)</f>
        <v>0</v>
      </c>
      <c r="AU275" s="55">
        <f t="shared" ref="AU275" si="46">SUM(AU276:AU290)</f>
        <v>55.328583748279058</v>
      </c>
      <c r="AV275" s="55">
        <f t="shared" ref="AV275" si="47">SUM(AV276:AV290)</f>
        <v>0.70667511750000001</v>
      </c>
      <c r="AW275" s="55">
        <f t="shared" ref="AW275" si="48">SUM(AW276:AW290)</f>
        <v>9.926829900000001E-4</v>
      </c>
      <c r="AX275" s="55">
        <f t="shared" ref="AX275" si="49">SUM(AX276:AX290)</f>
        <v>2741.8179629279102</v>
      </c>
      <c r="AY275" s="55">
        <f t="shared" ref="AY275" si="50">SUM(AY276:AY290)</f>
        <v>0</v>
      </c>
      <c r="AZ275" s="55">
        <f t="shared" ref="AZ275" si="51">SUM(AZ276:AZ290)</f>
        <v>0</v>
      </c>
      <c r="BA275" s="55">
        <f t="shared" ref="BA275" si="52">SUM(BA276:BA290)</f>
        <v>0</v>
      </c>
      <c r="BB275" s="55">
        <f t="shared" ref="BB275" si="53">SUM(BB276:BB290)</f>
        <v>-16.265519168159052</v>
      </c>
      <c r="BC275" s="55">
        <f t="shared" ref="BC275" si="54">SUM(BC276:BC290)</f>
        <v>2.599241037107531E-3</v>
      </c>
      <c r="BD275" s="55">
        <f t="shared" ref="BD275" si="55">SUM(BD276:BD290)</f>
        <v>20.800906413935337</v>
      </c>
      <c r="BE275" s="55">
        <f t="shared" ref="BE275" si="56">SUM(BE276:BE290)</f>
        <v>6.4282154149193768E-3</v>
      </c>
      <c r="BF275" s="55">
        <f t="shared" ref="BF275" si="57">SUM(BF276:BF290)</f>
        <v>0</v>
      </c>
      <c r="BG275" s="55">
        <f t="shared" ref="BG275" si="58">SUM(BG276:BG290)</f>
        <v>1000</v>
      </c>
      <c r="BH275" s="55">
        <f t="shared" ref="BH275" si="59">SUM(BH276:BH290)</f>
        <v>0</v>
      </c>
      <c r="BI275" s="55">
        <f t="shared" ref="BI275" si="60">SUM(BI276:BI290)</f>
        <v>0</v>
      </c>
      <c r="BJ275" s="55">
        <f t="shared" ref="BJ275" si="61">SUM(BJ276:BJ290)</f>
        <v>0</v>
      </c>
      <c r="BK275" s="78">
        <v>0</v>
      </c>
      <c r="BL275" s="41" t="s">
        <v>616</v>
      </c>
      <c r="BM275" s="45"/>
    </row>
    <row r="276" spans="1:65" x14ac:dyDescent="0.35">
      <c r="A276" s="45" t="str">
        <f>Database_Productkaarten[[#This Row],[Product]]&amp;", "&amp;Database_Productkaarten[[#This Row],[Levensfase]]</f>
        <v>AC Surf G.M. 0% PR - PCR 2.0, A1</v>
      </c>
      <c r="B276" s="41" t="s">
        <v>1359</v>
      </c>
      <c r="C276" s="41" t="s">
        <v>443</v>
      </c>
      <c r="D276" s="41" t="s">
        <v>471</v>
      </c>
      <c r="E276" s="41" t="s">
        <v>91</v>
      </c>
      <c r="F276" s="41" t="s">
        <v>19</v>
      </c>
      <c r="G276" s="45"/>
      <c r="H276" s="45"/>
      <c r="I276" s="45"/>
      <c r="J276" s="45"/>
      <c r="K276" s="45"/>
      <c r="L276" s="41">
        <v>2.35</v>
      </c>
      <c r="M276" s="291">
        <v>9.2792603126519495</v>
      </c>
      <c r="N276" s="45">
        <v>14</v>
      </c>
      <c r="O276" s="290">
        <v>6.98238901566156E-3</v>
      </c>
      <c r="P276" s="290">
        <v>1.5162391529835899</v>
      </c>
      <c r="Q276" s="290">
        <v>75.632559603643799</v>
      </c>
      <c r="R276" s="290">
        <v>7.8075453959349692E-6</v>
      </c>
      <c r="S276" s="290">
        <v>0.152477038742554</v>
      </c>
      <c r="T276" s="290">
        <v>0.43055846535779901</v>
      </c>
      <c r="U276" s="290">
        <v>3.7778165097766402E-2</v>
      </c>
      <c r="V276" s="290">
        <v>20.913234698619899</v>
      </c>
      <c r="W276" s="290">
        <v>2.13510841291387</v>
      </c>
      <c r="X276" s="290">
        <v>9226.9239012047801</v>
      </c>
      <c r="Y276" s="290">
        <v>0.29257448680194598</v>
      </c>
      <c r="Z276" s="290">
        <v>79.413475486329901</v>
      </c>
      <c r="AA276" s="290">
        <v>79.458296914395802</v>
      </c>
      <c r="AB276" s="290">
        <v>-6.0256657495001503E-2</v>
      </c>
      <c r="AC276" s="290">
        <v>4.8216829429170403E-2</v>
      </c>
      <c r="AD276" s="290">
        <v>9.4182094063045697E-6</v>
      </c>
      <c r="AE276" s="290">
        <v>0.50587410684607304</v>
      </c>
      <c r="AF276" s="290">
        <v>1.62978244641722E-3</v>
      </c>
      <c r="AG276" s="290">
        <v>7.0899085126437902E-2</v>
      </c>
      <c r="AH276" s="290">
        <v>0.73167150320743701</v>
      </c>
      <c r="AI276" s="290">
        <v>0.46996829311405802</v>
      </c>
      <c r="AJ276" s="290">
        <v>6.9823327222398798E-3</v>
      </c>
      <c r="AK276" s="290">
        <v>3195.9066081813098</v>
      </c>
      <c r="AL276" s="290">
        <v>65.156697453517495</v>
      </c>
      <c r="AM276" s="290">
        <v>3.0516641731176401E-6</v>
      </c>
      <c r="AN276" s="290">
        <v>3.26647197541006</v>
      </c>
      <c r="AO276" s="290">
        <v>3647.83804803055</v>
      </c>
      <c r="AP276" s="290">
        <v>2.6507105938026299E-8</v>
      </c>
      <c r="AQ276" s="290">
        <v>1.0211861753691101E-6</v>
      </c>
      <c r="AR276" s="290">
        <v>469.317081744147</v>
      </c>
      <c r="AS276" s="290">
        <v>0</v>
      </c>
      <c r="AT276" s="290">
        <v>0</v>
      </c>
      <c r="AU276" s="290">
        <v>46.329069099567597</v>
      </c>
      <c r="AV276" s="290">
        <v>0</v>
      </c>
      <c r="AW276" s="290">
        <v>0</v>
      </c>
      <c r="AX276" s="290">
        <v>3402.78119169399</v>
      </c>
      <c r="AY276" s="290">
        <v>0</v>
      </c>
      <c r="AZ276" s="290">
        <v>0</v>
      </c>
      <c r="BA276" s="290">
        <v>0</v>
      </c>
      <c r="BB276" s="290">
        <v>1.60235128495577</v>
      </c>
      <c r="BC276" s="290">
        <v>1.4183263103585901E-3</v>
      </c>
      <c r="BD276" s="290">
        <v>6.11942103460947</v>
      </c>
      <c r="BE276" s="290">
        <v>3.2132290023641498E-3</v>
      </c>
      <c r="BF276" s="290">
        <v>0</v>
      </c>
      <c r="BG276" s="290">
        <v>0</v>
      </c>
      <c r="BH276" s="290">
        <v>0</v>
      </c>
      <c r="BI276" s="290">
        <v>0</v>
      </c>
      <c r="BJ276" s="290">
        <v>0</v>
      </c>
      <c r="BK276" s="78">
        <v>0</v>
      </c>
      <c r="BL276" s="41" t="s">
        <v>616</v>
      </c>
      <c r="BM276" s="45"/>
    </row>
    <row r="277" spans="1:65" x14ac:dyDescent="0.35">
      <c r="A277" s="45" t="str">
        <f>Database_Productkaarten[[#This Row],[Product]]&amp;", "&amp;Database_Productkaarten[[#This Row],[Levensfase]]</f>
        <v>AC Surf G.M. 0% PR - PCR 2.0, A2</v>
      </c>
      <c r="B277" s="41" t="s">
        <v>1359</v>
      </c>
      <c r="C277" s="41" t="s">
        <v>443</v>
      </c>
      <c r="D277" s="41" t="s">
        <v>471</v>
      </c>
      <c r="E277" s="41" t="s">
        <v>91</v>
      </c>
      <c r="F277" s="41" t="s">
        <v>20</v>
      </c>
      <c r="G277" s="45"/>
      <c r="H277" s="45"/>
      <c r="I277" s="45"/>
      <c r="J277" s="45"/>
      <c r="K277" s="45"/>
      <c r="L277" s="41">
        <v>2.35</v>
      </c>
      <c r="M277" s="291">
        <v>3.6295010392715139</v>
      </c>
      <c r="N277" s="45">
        <v>14</v>
      </c>
      <c r="O277" s="290">
        <v>3.2809491461853002E-4</v>
      </c>
      <c r="P277" s="290">
        <v>0.19297631327284301</v>
      </c>
      <c r="Q277" s="290">
        <v>30.377762471578102</v>
      </c>
      <c r="R277" s="290">
        <v>4.5233255391681301E-6</v>
      </c>
      <c r="S277" s="290">
        <v>1.7936118195985E-2</v>
      </c>
      <c r="T277" s="290">
        <v>0.20356413364120299</v>
      </c>
      <c r="U277" s="290">
        <v>4.49869291034962E-2</v>
      </c>
      <c r="V277" s="290">
        <v>8.27642014081027</v>
      </c>
      <c r="W277" s="290">
        <v>0.21569481087731901</v>
      </c>
      <c r="X277" s="290">
        <v>709.30199792821804</v>
      </c>
      <c r="Y277" s="290">
        <v>3.7642015602104402E-2</v>
      </c>
      <c r="Z277" s="290">
        <v>30.725670659842802</v>
      </c>
      <c r="AA277" s="290">
        <v>30.6322131483366</v>
      </c>
      <c r="AB277" s="290">
        <v>4.3891165228767501E-2</v>
      </c>
      <c r="AC277" s="290">
        <v>4.9566346277453002E-2</v>
      </c>
      <c r="AD277" s="290">
        <v>5.6274405567477004E-6</v>
      </c>
      <c r="AE277" s="290">
        <v>0.28286082322152201</v>
      </c>
      <c r="AF277" s="290">
        <v>3.5884040418941498E-4</v>
      </c>
      <c r="AG277" s="290">
        <v>0.11897551476533499</v>
      </c>
      <c r="AH277" s="290">
        <v>1.3096685152321501</v>
      </c>
      <c r="AI277" s="290">
        <v>0.340822304991589</v>
      </c>
      <c r="AJ277" s="290">
        <v>3.28081808925707E-4</v>
      </c>
      <c r="AK277" s="290">
        <v>399.958016099948</v>
      </c>
      <c r="AL277" s="290">
        <v>1.80009512440593</v>
      </c>
      <c r="AM277" s="290">
        <v>1.03325011899391E-6</v>
      </c>
      <c r="AN277" s="290">
        <v>1.7235194802990501</v>
      </c>
      <c r="AO277" s="290">
        <v>354.09329774710898</v>
      </c>
      <c r="AP277" s="290">
        <v>1.434462610728E-8</v>
      </c>
      <c r="AQ277" s="290">
        <v>2.7030031375889398E-7</v>
      </c>
      <c r="AR277" s="290">
        <v>313.63663492816403</v>
      </c>
      <c r="AS277" s="290">
        <v>0</v>
      </c>
      <c r="AT277" s="290">
        <v>0</v>
      </c>
      <c r="AU277" s="290">
        <v>8.5746026936367894</v>
      </c>
      <c r="AV277" s="290">
        <v>0</v>
      </c>
      <c r="AW277" s="290">
        <v>0</v>
      </c>
      <c r="AX277" s="290">
        <v>424.46601143898499</v>
      </c>
      <c r="AY277" s="290">
        <v>0</v>
      </c>
      <c r="AZ277" s="290">
        <v>0</v>
      </c>
      <c r="BA277" s="290">
        <v>0</v>
      </c>
      <c r="BB277" s="290">
        <v>7.1207098927107401E-2</v>
      </c>
      <c r="BC277" s="290">
        <v>1.03681827652844E-3</v>
      </c>
      <c r="BD277" s="290">
        <v>6.3927771714394597</v>
      </c>
      <c r="BE277" s="290">
        <v>2.5984619710042399E-3</v>
      </c>
      <c r="BF277" s="290">
        <v>0</v>
      </c>
      <c r="BG277" s="290">
        <v>0</v>
      </c>
      <c r="BH277" s="290">
        <v>0</v>
      </c>
      <c r="BI277" s="290">
        <v>0</v>
      </c>
      <c r="BJ277" s="290">
        <v>0</v>
      </c>
      <c r="BK277" s="78">
        <v>0</v>
      </c>
      <c r="BL277" s="41" t="s">
        <v>616</v>
      </c>
      <c r="BM277" s="45"/>
    </row>
    <row r="278" spans="1:65" x14ac:dyDescent="0.35">
      <c r="A278" s="45" t="str">
        <f>Database_Productkaarten[[#This Row],[Product]]&amp;", "&amp;Database_Productkaarten[[#This Row],[Levensfase]]</f>
        <v>AC Surf G.M. 0% PR - PCR 2.0, A3</v>
      </c>
      <c r="B278" s="41" t="s">
        <v>1359</v>
      </c>
      <c r="C278" s="41" t="s">
        <v>443</v>
      </c>
      <c r="D278" s="41" t="s">
        <v>471</v>
      </c>
      <c r="E278" s="41" t="s">
        <v>91</v>
      </c>
      <c r="F278" s="41" t="s">
        <v>21</v>
      </c>
      <c r="G278" s="45"/>
      <c r="H278" s="45"/>
      <c r="I278" s="45"/>
      <c r="J278" s="45"/>
      <c r="K278" s="45"/>
      <c r="L278" s="41">
        <v>2.35</v>
      </c>
      <c r="M278" s="291">
        <v>1.7118284361774236</v>
      </c>
      <c r="N278" s="45">
        <v>14</v>
      </c>
      <c r="O278" s="290">
        <v>2.2963705306335498E-5</v>
      </c>
      <c r="P278" s="290">
        <v>0.204480837005104</v>
      </c>
      <c r="Q278" s="290">
        <v>23.988852445652501</v>
      </c>
      <c r="R278" s="290">
        <v>2.7179398934922901E-6</v>
      </c>
      <c r="S278" s="290">
        <v>3.8638617207948801E-3</v>
      </c>
      <c r="T278" s="290">
        <v>2.3543196192614201E-2</v>
      </c>
      <c r="U278" s="290">
        <v>3.9699135859767101E-3</v>
      </c>
      <c r="V278" s="290">
        <v>3.65587124788303</v>
      </c>
      <c r="W278" s="290">
        <v>2.6039135099019801E-2</v>
      </c>
      <c r="X278" s="290">
        <v>106.27267746707101</v>
      </c>
      <c r="Y278" s="290">
        <v>2.5284716489011299E-2</v>
      </c>
      <c r="Z278" s="290">
        <v>24.344864442837</v>
      </c>
      <c r="AA278" s="290">
        <v>24.288631397238198</v>
      </c>
      <c r="AB278" s="290">
        <v>5.42114192413213E-2</v>
      </c>
      <c r="AC278" s="290">
        <v>2.0216263573571099E-3</v>
      </c>
      <c r="AD278" s="290">
        <v>3.0651353394469099E-6</v>
      </c>
      <c r="AE278" s="290">
        <v>3.0232276765851999E-2</v>
      </c>
      <c r="AF278" s="290">
        <v>2.7202609022331301E-4</v>
      </c>
      <c r="AG278" s="290">
        <v>8.4222811895209894E-3</v>
      </c>
      <c r="AH278" s="290">
        <v>9.5232690674118298E-2</v>
      </c>
      <c r="AI278" s="290">
        <v>2.8881505732753301E-2</v>
      </c>
      <c r="AJ278" s="290">
        <v>2.2963390016402099E-5</v>
      </c>
      <c r="AK278" s="290">
        <v>376.48279544260902</v>
      </c>
      <c r="AL278" s="290">
        <v>0.55081868233089004</v>
      </c>
      <c r="AM278" s="290">
        <v>1.98244576375348E-7</v>
      </c>
      <c r="AN278" s="290">
        <v>0.27509105790046501</v>
      </c>
      <c r="AO278" s="290">
        <v>78.864081949395697</v>
      </c>
      <c r="AP278" s="290">
        <v>2.97256441510428E-9</v>
      </c>
      <c r="AQ278" s="290">
        <v>5.1427919999974698E-8</v>
      </c>
      <c r="AR278" s="290">
        <v>16.763518104896502</v>
      </c>
      <c r="AS278" s="290">
        <v>0</v>
      </c>
      <c r="AT278" s="290">
        <v>0</v>
      </c>
      <c r="AU278" s="290">
        <v>7.0381494721101499</v>
      </c>
      <c r="AV278" s="290">
        <v>0</v>
      </c>
      <c r="AW278" s="290">
        <v>0</v>
      </c>
      <c r="AX278" s="290">
        <v>415.11183543017398</v>
      </c>
      <c r="AY278" s="290">
        <v>0</v>
      </c>
      <c r="AZ278" s="290">
        <v>0</v>
      </c>
      <c r="BA278" s="290">
        <v>0</v>
      </c>
      <c r="BB278" s="290">
        <v>4.09192029861127E-2</v>
      </c>
      <c r="BC278" s="290">
        <v>4.5746651222483998E-4</v>
      </c>
      <c r="BD278" s="290">
        <v>0.28288706062177599</v>
      </c>
      <c r="BE278" s="290">
        <v>3.5057846685835898E-4</v>
      </c>
      <c r="BF278" s="290">
        <v>0</v>
      </c>
      <c r="BG278" s="290">
        <v>0</v>
      </c>
      <c r="BH278" s="290">
        <v>0</v>
      </c>
      <c r="BI278" s="290">
        <v>0</v>
      </c>
      <c r="BJ278" s="290">
        <v>0</v>
      </c>
      <c r="BK278" s="78">
        <v>0</v>
      </c>
      <c r="BL278" s="41" t="s">
        <v>616</v>
      </c>
      <c r="BM278" s="45"/>
    </row>
    <row r="279" spans="1:65" x14ac:dyDescent="0.35">
      <c r="A279" s="45" t="str">
        <f>Database_Productkaarten[[#This Row],[Product]]&amp;", "&amp;Database_Productkaarten[[#This Row],[Levensfase]]</f>
        <v>AC Surf G.M. 0% PR - PCR 2.0, A4</v>
      </c>
      <c r="B279" s="41" t="s">
        <v>1359</v>
      </c>
      <c r="C279" s="41" t="s">
        <v>443</v>
      </c>
      <c r="D279" s="41" t="s">
        <v>471</v>
      </c>
      <c r="E279" s="41" t="s">
        <v>91</v>
      </c>
      <c r="F279" s="41" t="s">
        <v>22</v>
      </c>
      <c r="G279" s="45"/>
      <c r="H279" s="45"/>
      <c r="I279" s="45"/>
      <c r="J279" s="45"/>
      <c r="K279" s="45"/>
      <c r="L279" s="41">
        <v>2.35</v>
      </c>
      <c r="M279" s="291">
        <v>0.37546048090943995</v>
      </c>
      <c r="N279" s="45">
        <v>14</v>
      </c>
      <c r="O279" s="290">
        <v>6.8533509000000002E-5</v>
      </c>
      <c r="P279" s="290">
        <v>2.9713889699999999E-2</v>
      </c>
      <c r="Q279" s="290">
        <v>3.9891474704999998</v>
      </c>
      <c r="R279" s="290">
        <v>7.557213E-7</v>
      </c>
      <c r="S279" s="290">
        <v>2.4773701499999998E-3</v>
      </c>
      <c r="T279" s="290">
        <v>1.36398132E-2</v>
      </c>
      <c r="U279" s="290">
        <v>2.5682192100000001E-3</v>
      </c>
      <c r="V279" s="290">
        <v>0.8608144794</v>
      </c>
      <c r="W279" s="290">
        <v>3.6189873900000002E-2</v>
      </c>
      <c r="X279" s="290">
        <v>97.376595929999993</v>
      </c>
      <c r="Y279" s="290">
        <v>4.8437180999999999E-3</v>
      </c>
      <c r="Z279" s="290">
        <v>4.0259382761999998</v>
      </c>
      <c r="AA279" s="290">
        <v>4.0229543298000001</v>
      </c>
      <c r="AB279" s="290">
        <v>1.9814632200000001E-3</v>
      </c>
      <c r="AC279" s="290">
        <v>1.0024609799999999E-3</v>
      </c>
      <c r="AD279" s="290">
        <v>9.4976262000000003E-7</v>
      </c>
      <c r="AE279" s="290">
        <v>1.7739576E-2</v>
      </c>
      <c r="AF279" s="290">
        <v>2.7841996800000001E-5</v>
      </c>
      <c r="AG279" s="290">
        <v>5.5484582100000001E-3</v>
      </c>
      <c r="AH279" s="290">
        <v>6.1385308800000003E-2</v>
      </c>
      <c r="AI279" s="290">
        <v>1.9235744999999999E-2</v>
      </c>
      <c r="AJ279" s="290">
        <v>6.8533397999999998E-5</v>
      </c>
      <c r="AK279" s="290">
        <v>62.400806729999999</v>
      </c>
      <c r="AL279" s="290">
        <v>0.212954166</v>
      </c>
      <c r="AM279" s="290">
        <v>2.9338876200000002E-7</v>
      </c>
      <c r="AN279" s="290">
        <v>0.26868483510000002</v>
      </c>
      <c r="AO279" s="290">
        <v>45.56587296</v>
      </c>
      <c r="AP279" s="290">
        <v>1.16371179E-9</v>
      </c>
      <c r="AQ279" s="290">
        <v>3.8268015899999999E-8</v>
      </c>
      <c r="AR279" s="290">
        <v>71.806844609999999</v>
      </c>
      <c r="AS279" s="290">
        <v>0</v>
      </c>
      <c r="AT279" s="290">
        <v>0</v>
      </c>
      <c r="AU279" s="290">
        <v>0.63474917099999995</v>
      </c>
      <c r="AV279" s="290">
        <v>0</v>
      </c>
      <c r="AW279" s="290">
        <v>0</v>
      </c>
      <c r="AX279" s="290">
        <v>66.265108560000002</v>
      </c>
      <c r="AY279" s="290">
        <v>0</v>
      </c>
      <c r="AZ279" s="290">
        <v>0</v>
      </c>
      <c r="BA279" s="290">
        <v>0</v>
      </c>
      <c r="BB279" s="290">
        <v>6.7467797999999999E-3</v>
      </c>
      <c r="BC279" s="290">
        <v>1.54707915E-4</v>
      </c>
      <c r="BD279" s="290">
        <v>5.4635493149999999</v>
      </c>
      <c r="BE279" s="290">
        <v>4.25149758E-4</v>
      </c>
      <c r="BF279" s="290">
        <v>0</v>
      </c>
      <c r="BG279" s="290">
        <v>0</v>
      </c>
      <c r="BH279" s="290">
        <v>0</v>
      </c>
      <c r="BI279" s="290">
        <v>0</v>
      </c>
      <c r="BJ279" s="290">
        <v>0</v>
      </c>
      <c r="BK279" s="78">
        <v>0</v>
      </c>
      <c r="BL279" s="41" t="s">
        <v>616</v>
      </c>
      <c r="BM279" s="45"/>
    </row>
    <row r="280" spans="1:65" x14ac:dyDescent="0.35">
      <c r="A280" s="45" t="str">
        <f>Database_Productkaarten[[#This Row],[Product]]&amp;", "&amp;Database_Productkaarten[[#This Row],[Levensfase]]</f>
        <v>AC Surf G.M. 0% PR - PCR 2.0, A5</v>
      </c>
      <c r="B280" s="41" t="s">
        <v>1359</v>
      </c>
      <c r="C280" s="41" t="s">
        <v>443</v>
      </c>
      <c r="D280" s="41" t="s">
        <v>471</v>
      </c>
      <c r="E280" s="41" t="s">
        <v>91</v>
      </c>
      <c r="F280" s="41" t="s">
        <v>23</v>
      </c>
      <c r="G280" s="45"/>
      <c r="H280" s="45"/>
      <c r="I280" s="45"/>
      <c r="J280" s="45"/>
      <c r="K280" s="45"/>
      <c r="L280" s="41">
        <v>2.35</v>
      </c>
      <c r="M280" s="291">
        <v>0.25970533328944417</v>
      </c>
      <c r="N280" s="45">
        <v>14</v>
      </c>
      <c r="O280" s="290">
        <v>2.9238192702336198E-6</v>
      </c>
      <c r="P280" s="290">
        <v>1.2437869009839699E-2</v>
      </c>
      <c r="Q280" s="290">
        <v>2.5295292158044198</v>
      </c>
      <c r="R280" s="290">
        <v>3.2687703926461799E-7</v>
      </c>
      <c r="S280" s="290">
        <v>9.4117069237233998E-4</v>
      </c>
      <c r="T280" s="290">
        <v>1.0497394447035501E-2</v>
      </c>
      <c r="U280" s="290">
        <v>2.4039520962731101E-3</v>
      </c>
      <c r="V280" s="290">
        <v>0.68877613966134299</v>
      </c>
      <c r="W280" s="290">
        <v>9.7024793875735496E-3</v>
      </c>
      <c r="X280" s="290">
        <v>33.711839780216202</v>
      </c>
      <c r="Y280" s="290">
        <v>1.1490061145542599E-3</v>
      </c>
      <c r="Z280" s="290">
        <v>2.5482276276019298</v>
      </c>
      <c r="AA280" s="290">
        <v>2.5474969808171801</v>
      </c>
      <c r="AB280" s="290">
        <v>5.81950307989873E-4</v>
      </c>
      <c r="AC280" s="290">
        <v>1.4869647676085001E-4</v>
      </c>
      <c r="AD280" s="290">
        <v>4.11877979769449E-7</v>
      </c>
      <c r="AE280" s="290">
        <v>1.4654717100391301E-2</v>
      </c>
      <c r="AF280" s="290">
        <v>6.9471842613085899E-6</v>
      </c>
      <c r="AG280" s="290">
        <v>6.3596059780874504E-3</v>
      </c>
      <c r="AH280" s="290">
        <v>6.9798399525328805E-2</v>
      </c>
      <c r="AI280" s="290">
        <v>1.82004994537374E-2</v>
      </c>
      <c r="AJ280" s="290">
        <v>2.92379632667407E-6</v>
      </c>
      <c r="AK280" s="290">
        <v>26.243144472483099</v>
      </c>
      <c r="AL280" s="290">
        <v>3.49515818847791E-2</v>
      </c>
      <c r="AM280" s="290">
        <v>5.4485692575873398E-8</v>
      </c>
      <c r="AN280" s="290">
        <v>0.112638013519801</v>
      </c>
      <c r="AO280" s="290">
        <v>15.7470627241676</v>
      </c>
      <c r="AP280" s="290">
        <v>5.5245137245815495E-10</v>
      </c>
      <c r="AQ280" s="290">
        <v>1.3239865413112201E-8</v>
      </c>
      <c r="AR280" s="290">
        <v>3.3519896116494201</v>
      </c>
      <c r="AS280" s="290">
        <v>0</v>
      </c>
      <c r="AT280" s="290">
        <v>0</v>
      </c>
      <c r="AU280" s="290">
        <v>0.144245360319008</v>
      </c>
      <c r="AV280" s="290">
        <v>0</v>
      </c>
      <c r="AW280" s="290">
        <v>0</v>
      </c>
      <c r="AX280" s="290">
        <v>27.8693894026664</v>
      </c>
      <c r="AY280" s="290">
        <v>0</v>
      </c>
      <c r="AZ280" s="290">
        <v>0</v>
      </c>
      <c r="BA280" s="290">
        <v>0</v>
      </c>
      <c r="BB280" s="290">
        <v>1.35659658066793E-3</v>
      </c>
      <c r="BC280" s="290">
        <v>7.1467090350123107E-5</v>
      </c>
      <c r="BD280" s="290">
        <v>3.1052769834831202E-2</v>
      </c>
      <c r="BE280" s="290">
        <v>1.8239126238351399E-4</v>
      </c>
      <c r="BF280" s="290">
        <v>0</v>
      </c>
      <c r="BG280" s="290">
        <v>0</v>
      </c>
      <c r="BH280" s="290">
        <v>0</v>
      </c>
      <c r="BI280" s="290">
        <v>0</v>
      </c>
      <c r="BJ280" s="290">
        <v>0</v>
      </c>
      <c r="BK280" s="78">
        <v>0</v>
      </c>
      <c r="BL280" s="41" t="s">
        <v>616</v>
      </c>
      <c r="BM280" s="45"/>
    </row>
    <row r="281" spans="1:65" x14ac:dyDescent="0.35">
      <c r="A281" s="45" t="str">
        <f>Database_Productkaarten[[#This Row],[Product]]&amp;", "&amp;Database_Productkaarten[[#This Row],[Levensfase]]</f>
        <v>AC Surf G.M. 0% PR - PCR 2.0, B1</v>
      </c>
      <c r="B281" s="41" t="s">
        <v>1359</v>
      </c>
      <c r="C281" s="41" t="s">
        <v>443</v>
      </c>
      <c r="D281" s="41" t="s">
        <v>471</v>
      </c>
      <c r="E281" s="41" t="s">
        <v>91</v>
      </c>
      <c r="F281" s="41" t="s">
        <v>24</v>
      </c>
      <c r="G281" s="45"/>
      <c r="H281" s="45"/>
      <c r="I281" s="45"/>
      <c r="J281" s="45"/>
      <c r="K281" s="45"/>
      <c r="L281" s="41">
        <v>2.35</v>
      </c>
      <c r="M281" s="291">
        <v>8.2079854524338774E-2</v>
      </c>
      <c r="N281" s="45">
        <v>14</v>
      </c>
      <c r="O281" s="290">
        <v>0</v>
      </c>
      <c r="P281" s="290">
        <v>0</v>
      </c>
      <c r="Q281" s="290">
        <v>0</v>
      </c>
      <c r="R281" s="290">
        <v>0</v>
      </c>
      <c r="S281" s="290">
        <v>0</v>
      </c>
      <c r="T281" s="290">
        <v>0</v>
      </c>
      <c r="U281" s="290">
        <v>0</v>
      </c>
      <c r="V281" s="290">
        <v>0.33065065287376499</v>
      </c>
      <c r="W281" s="290">
        <v>0.35447901498708101</v>
      </c>
      <c r="X281" s="290">
        <v>416.74823543935599</v>
      </c>
      <c r="Y281" s="290">
        <v>2.0169620253149699E-4</v>
      </c>
      <c r="Z281" s="290">
        <v>0</v>
      </c>
      <c r="AA281" s="290">
        <v>0</v>
      </c>
      <c r="AB281" s="290">
        <v>0</v>
      </c>
      <c r="AC281" s="290">
        <v>0</v>
      </c>
      <c r="AD281" s="290">
        <v>0</v>
      </c>
      <c r="AE281" s="290">
        <v>0</v>
      </c>
      <c r="AF281" s="290">
        <v>0</v>
      </c>
      <c r="AG281" s="290">
        <v>0</v>
      </c>
      <c r="AH281" s="290">
        <v>0</v>
      </c>
      <c r="AI281" s="290">
        <v>0</v>
      </c>
      <c r="AJ281" s="290">
        <v>0</v>
      </c>
      <c r="AK281" s="290">
        <v>0</v>
      </c>
      <c r="AL281" s="290">
        <v>0</v>
      </c>
      <c r="AM281" s="290">
        <v>0</v>
      </c>
      <c r="AN281" s="290">
        <v>0</v>
      </c>
      <c r="AO281" s="290">
        <v>2.4574834227146498</v>
      </c>
      <c r="AP281" s="290">
        <v>6.1425360401853599E-10</v>
      </c>
      <c r="AQ281" s="290">
        <v>3.6903212873143E-8</v>
      </c>
      <c r="AR281" s="290">
        <v>0</v>
      </c>
      <c r="AS281" s="290">
        <v>0</v>
      </c>
      <c r="AT281" s="290">
        <v>0</v>
      </c>
      <c r="AU281" s="290">
        <v>0</v>
      </c>
      <c r="AV281" s="290">
        <v>0</v>
      </c>
      <c r="AW281" s="290">
        <v>0</v>
      </c>
      <c r="AX281" s="290">
        <v>0</v>
      </c>
      <c r="AY281" s="290">
        <v>0</v>
      </c>
      <c r="AZ281" s="290">
        <v>0</v>
      </c>
      <c r="BA281" s="290">
        <v>0</v>
      </c>
      <c r="BB281" s="290">
        <v>0</v>
      </c>
      <c r="BC281" s="290">
        <v>0</v>
      </c>
      <c r="BD281" s="290">
        <v>0</v>
      </c>
      <c r="BE281" s="290">
        <v>0</v>
      </c>
      <c r="BF281" s="290">
        <v>0</v>
      </c>
      <c r="BG281" s="290">
        <v>0</v>
      </c>
      <c r="BH281" s="290">
        <v>0</v>
      </c>
      <c r="BI281" s="290">
        <v>0</v>
      </c>
      <c r="BJ281" s="290">
        <v>0</v>
      </c>
      <c r="BK281" s="78">
        <v>0</v>
      </c>
      <c r="BL281" s="41" t="s">
        <v>616</v>
      </c>
      <c r="BM281" s="45"/>
    </row>
    <row r="282" spans="1:65" x14ac:dyDescent="0.35">
      <c r="A282" s="45" t="str">
        <f>Database_Productkaarten[[#This Row],[Product]]&amp;", "&amp;Database_Productkaarten[[#This Row],[Levensfase]]</f>
        <v>AC Surf G.M. 0% PR - PCR 2.0, B2</v>
      </c>
      <c r="B282" s="41" t="s">
        <v>1359</v>
      </c>
      <c r="C282" s="41" t="s">
        <v>443</v>
      </c>
      <c r="D282" s="41" t="s">
        <v>471</v>
      </c>
      <c r="E282" s="41" t="s">
        <v>91</v>
      </c>
      <c r="F282" s="41" t="s">
        <v>604</v>
      </c>
      <c r="G282" s="45"/>
      <c r="H282" s="45"/>
      <c r="I282" s="45"/>
      <c r="J282" s="45"/>
      <c r="K282" s="45"/>
      <c r="L282" s="41">
        <v>2.35</v>
      </c>
      <c r="M282" s="291">
        <v>0</v>
      </c>
      <c r="N282" s="45">
        <v>14</v>
      </c>
      <c r="O282" s="290">
        <v>0</v>
      </c>
      <c r="P282" s="290">
        <v>0</v>
      </c>
      <c r="Q282" s="290">
        <v>0</v>
      </c>
      <c r="R282" s="290">
        <v>0</v>
      </c>
      <c r="S282" s="290">
        <v>0</v>
      </c>
      <c r="T282" s="290">
        <v>0</v>
      </c>
      <c r="U282" s="290">
        <v>0</v>
      </c>
      <c r="V282" s="290">
        <v>0</v>
      </c>
      <c r="W282" s="290">
        <v>0</v>
      </c>
      <c r="X282" s="290">
        <v>0</v>
      </c>
      <c r="Y282" s="290">
        <v>0</v>
      </c>
      <c r="Z282" s="290">
        <v>0</v>
      </c>
      <c r="AA282" s="290">
        <v>0</v>
      </c>
      <c r="AB282" s="290">
        <v>0</v>
      </c>
      <c r="AC282" s="290">
        <v>0</v>
      </c>
      <c r="AD282" s="290">
        <v>0</v>
      </c>
      <c r="AE282" s="290">
        <v>0</v>
      </c>
      <c r="AF282" s="290">
        <v>0</v>
      </c>
      <c r="AG282" s="290">
        <v>0</v>
      </c>
      <c r="AH282" s="290">
        <v>0</v>
      </c>
      <c r="AI282" s="290">
        <v>0</v>
      </c>
      <c r="AJ282" s="290">
        <v>0</v>
      </c>
      <c r="AK282" s="290">
        <v>0</v>
      </c>
      <c r="AL282" s="290">
        <v>0</v>
      </c>
      <c r="AM282" s="290">
        <v>0</v>
      </c>
      <c r="AN282" s="290">
        <v>0</v>
      </c>
      <c r="AO282" s="290">
        <v>0</v>
      </c>
      <c r="AP282" s="290">
        <v>0</v>
      </c>
      <c r="AQ282" s="290">
        <v>0</v>
      </c>
      <c r="AR282" s="290">
        <v>0</v>
      </c>
      <c r="AS282" s="290">
        <v>0</v>
      </c>
      <c r="AT282" s="290">
        <v>0</v>
      </c>
      <c r="AU282" s="290">
        <v>0</v>
      </c>
      <c r="AV282" s="290">
        <v>0</v>
      </c>
      <c r="AW282" s="290">
        <v>0</v>
      </c>
      <c r="AX282" s="290">
        <v>0</v>
      </c>
      <c r="AY282" s="290">
        <v>0</v>
      </c>
      <c r="AZ282" s="290">
        <v>0</v>
      </c>
      <c r="BA282" s="290">
        <v>0</v>
      </c>
      <c r="BB282" s="290">
        <v>0</v>
      </c>
      <c r="BC282" s="290">
        <v>0</v>
      </c>
      <c r="BD282" s="290">
        <v>0</v>
      </c>
      <c r="BE282" s="290">
        <v>0</v>
      </c>
      <c r="BF282" s="290">
        <v>0</v>
      </c>
      <c r="BG282" s="290">
        <v>0</v>
      </c>
      <c r="BH282" s="290">
        <v>0</v>
      </c>
      <c r="BI282" s="290">
        <v>0</v>
      </c>
      <c r="BJ282" s="290">
        <v>0</v>
      </c>
      <c r="BK282" s="78">
        <v>0</v>
      </c>
      <c r="BL282" s="41" t="s">
        <v>616</v>
      </c>
      <c r="BM282" s="45"/>
    </row>
    <row r="283" spans="1:65" x14ac:dyDescent="0.35">
      <c r="A283" s="45" t="str">
        <f>Database_Productkaarten[[#This Row],[Product]]&amp;", "&amp;Database_Productkaarten[[#This Row],[Levensfase]]</f>
        <v>AC Surf G.M. 0% PR - PCR 2.0, B3</v>
      </c>
      <c r="B283" s="41" t="s">
        <v>1359</v>
      </c>
      <c r="C283" s="41" t="s">
        <v>443</v>
      </c>
      <c r="D283" s="41" t="s">
        <v>471</v>
      </c>
      <c r="E283" s="41" t="s">
        <v>91</v>
      </c>
      <c r="F283" s="41" t="s">
        <v>602</v>
      </c>
      <c r="G283" s="45"/>
      <c r="H283" s="45"/>
      <c r="I283" s="45"/>
      <c r="J283" s="45"/>
      <c r="K283" s="45"/>
      <c r="L283" s="41">
        <v>2.35</v>
      </c>
      <c r="M283" s="291">
        <v>0</v>
      </c>
      <c r="N283" s="45">
        <v>14</v>
      </c>
      <c r="O283" s="290">
        <v>0</v>
      </c>
      <c r="P283" s="290">
        <v>0</v>
      </c>
      <c r="Q283" s="290">
        <v>0</v>
      </c>
      <c r="R283" s="290">
        <v>0</v>
      </c>
      <c r="S283" s="290">
        <v>0</v>
      </c>
      <c r="T283" s="290">
        <v>0</v>
      </c>
      <c r="U283" s="290">
        <v>0</v>
      </c>
      <c r="V283" s="290">
        <v>0</v>
      </c>
      <c r="W283" s="290">
        <v>0</v>
      </c>
      <c r="X283" s="290">
        <v>0</v>
      </c>
      <c r="Y283" s="290">
        <v>0</v>
      </c>
      <c r="Z283" s="290">
        <v>0</v>
      </c>
      <c r="AA283" s="290">
        <v>0</v>
      </c>
      <c r="AB283" s="290">
        <v>0</v>
      </c>
      <c r="AC283" s="290">
        <v>0</v>
      </c>
      <c r="AD283" s="290">
        <v>0</v>
      </c>
      <c r="AE283" s="290">
        <v>0</v>
      </c>
      <c r="AF283" s="290">
        <v>0</v>
      </c>
      <c r="AG283" s="290">
        <v>0</v>
      </c>
      <c r="AH283" s="290">
        <v>0</v>
      </c>
      <c r="AI283" s="290">
        <v>0</v>
      </c>
      <c r="AJ283" s="290">
        <v>0</v>
      </c>
      <c r="AK283" s="290">
        <v>0</v>
      </c>
      <c r="AL283" s="290">
        <v>0</v>
      </c>
      <c r="AM283" s="290">
        <v>0</v>
      </c>
      <c r="AN283" s="290">
        <v>0</v>
      </c>
      <c r="AO283" s="290">
        <v>0</v>
      </c>
      <c r="AP283" s="290">
        <v>0</v>
      </c>
      <c r="AQ283" s="290">
        <v>0</v>
      </c>
      <c r="AR283" s="290">
        <v>0</v>
      </c>
      <c r="AS283" s="290">
        <v>0</v>
      </c>
      <c r="AT283" s="290">
        <v>0</v>
      </c>
      <c r="AU283" s="290">
        <v>0</v>
      </c>
      <c r="AV283" s="290">
        <v>0</v>
      </c>
      <c r="AW283" s="290">
        <v>0</v>
      </c>
      <c r="AX283" s="290">
        <v>0</v>
      </c>
      <c r="AY283" s="290">
        <v>0</v>
      </c>
      <c r="AZ283" s="290">
        <v>0</v>
      </c>
      <c r="BA283" s="290">
        <v>0</v>
      </c>
      <c r="BB283" s="290">
        <v>0</v>
      </c>
      <c r="BC283" s="290">
        <v>0</v>
      </c>
      <c r="BD283" s="290">
        <v>0</v>
      </c>
      <c r="BE283" s="290">
        <v>0</v>
      </c>
      <c r="BF283" s="290">
        <v>0</v>
      </c>
      <c r="BG283" s="290">
        <v>0</v>
      </c>
      <c r="BH283" s="290">
        <v>0</v>
      </c>
      <c r="BI283" s="290">
        <v>0</v>
      </c>
      <c r="BJ283" s="290">
        <v>0</v>
      </c>
      <c r="BK283" s="78">
        <v>0</v>
      </c>
      <c r="BL283" s="41" t="s">
        <v>616</v>
      </c>
      <c r="BM283" s="45"/>
    </row>
    <row r="284" spans="1:65" x14ac:dyDescent="0.35">
      <c r="A284" s="45" t="str">
        <f>Database_Productkaarten[[#This Row],[Product]]&amp;", "&amp;Database_Productkaarten[[#This Row],[Levensfase]]</f>
        <v>AC Surf G.M. 0% PR - PCR 2.0, B4</v>
      </c>
      <c r="B284" s="41" t="s">
        <v>1359</v>
      </c>
      <c r="C284" s="41" t="s">
        <v>443</v>
      </c>
      <c r="D284" s="41" t="s">
        <v>471</v>
      </c>
      <c r="E284" s="41" t="s">
        <v>91</v>
      </c>
      <c r="F284" s="41" t="s">
        <v>50</v>
      </c>
      <c r="G284" s="45"/>
      <c r="H284" s="45"/>
      <c r="I284" s="45"/>
      <c r="J284" s="45"/>
      <c r="K284" s="45"/>
      <c r="L284" s="41">
        <v>2.35</v>
      </c>
      <c r="M284" s="291">
        <v>0</v>
      </c>
      <c r="N284" s="45">
        <v>14</v>
      </c>
      <c r="O284" s="290">
        <v>0</v>
      </c>
      <c r="P284" s="290">
        <v>0</v>
      </c>
      <c r="Q284" s="290">
        <v>0</v>
      </c>
      <c r="R284" s="290">
        <v>0</v>
      </c>
      <c r="S284" s="290">
        <v>0</v>
      </c>
      <c r="T284" s="290">
        <v>0</v>
      </c>
      <c r="U284" s="290">
        <v>0</v>
      </c>
      <c r="V284" s="290">
        <v>0</v>
      </c>
      <c r="W284" s="290">
        <v>0</v>
      </c>
      <c r="X284" s="290">
        <v>0</v>
      </c>
      <c r="Y284" s="290">
        <v>0</v>
      </c>
      <c r="Z284" s="290">
        <v>0</v>
      </c>
      <c r="AA284" s="290">
        <v>0</v>
      </c>
      <c r="AB284" s="290">
        <v>0</v>
      </c>
      <c r="AC284" s="290">
        <v>0</v>
      </c>
      <c r="AD284" s="290">
        <v>0</v>
      </c>
      <c r="AE284" s="290">
        <v>0</v>
      </c>
      <c r="AF284" s="290">
        <v>0</v>
      </c>
      <c r="AG284" s="290">
        <v>0</v>
      </c>
      <c r="AH284" s="290">
        <v>0</v>
      </c>
      <c r="AI284" s="290">
        <v>0</v>
      </c>
      <c r="AJ284" s="290">
        <v>0</v>
      </c>
      <c r="AK284" s="290">
        <v>0</v>
      </c>
      <c r="AL284" s="290">
        <v>0</v>
      </c>
      <c r="AM284" s="290">
        <v>0</v>
      </c>
      <c r="AN284" s="290">
        <v>0</v>
      </c>
      <c r="AO284" s="290">
        <v>0</v>
      </c>
      <c r="AP284" s="290">
        <v>0</v>
      </c>
      <c r="AQ284" s="290">
        <v>0</v>
      </c>
      <c r="AR284" s="290">
        <v>0</v>
      </c>
      <c r="AS284" s="290">
        <v>0</v>
      </c>
      <c r="AT284" s="290">
        <v>0</v>
      </c>
      <c r="AU284" s="290">
        <v>0</v>
      </c>
      <c r="AV284" s="290">
        <v>0</v>
      </c>
      <c r="AW284" s="290">
        <v>0</v>
      </c>
      <c r="AX284" s="290">
        <v>0</v>
      </c>
      <c r="AY284" s="290">
        <v>0</v>
      </c>
      <c r="AZ284" s="290">
        <v>0</v>
      </c>
      <c r="BA284" s="290">
        <v>0</v>
      </c>
      <c r="BB284" s="290">
        <v>0</v>
      </c>
      <c r="BC284" s="290">
        <v>0</v>
      </c>
      <c r="BD284" s="290">
        <v>0</v>
      </c>
      <c r="BE284" s="290">
        <v>0</v>
      </c>
      <c r="BF284" s="290">
        <v>0</v>
      </c>
      <c r="BG284" s="290">
        <v>0</v>
      </c>
      <c r="BH284" s="290">
        <v>0</v>
      </c>
      <c r="BI284" s="290">
        <v>0</v>
      </c>
      <c r="BJ284" s="290">
        <v>0</v>
      </c>
      <c r="BK284" s="78">
        <v>0</v>
      </c>
      <c r="BL284" s="41" t="s">
        <v>616</v>
      </c>
      <c r="BM284" s="45"/>
    </row>
    <row r="285" spans="1:65" x14ac:dyDescent="0.35">
      <c r="A285" s="45" t="str">
        <f>Database_Productkaarten[[#This Row],[Product]]&amp;", "&amp;Database_Productkaarten[[#This Row],[Levensfase]]</f>
        <v>AC Surf G.M. 0% PR - PCR 2.0, B5</v>
      </c>
      <c r="B285" s="41" t="s">
        <v>1359</v>
      </c>
      <c r="C285" s="41" t="s">
        <v>443</v>
      </c>
      <c r="D285" s="41" t="s">
        <v>471</v>
      </c>
      <c r="E285" s="41" t="s">
        <v>91</v>
      </c>
      <c r="F285" s="41" t="s">
        <v>1358</v>
      </c>
      <c r="G285" s="45"/>
      <c r="H285" s="45"/>
      <c r="I285" s="45"/>
      <c r="J285" s="45"/>
      <c r="K285" s="45"/>
      <c r="L285" s="41">
        <v>2.35</v>
      </c>
      <c r="M285" s="291">
        <v>0</v>
      </c>
      <c r="N285" s="45">
        <v>14</v>
      </c>
      <c r="O285" s="290">
        <v>0</v>
      </c>
      <c r="P285" s="290">
        <v>0</v>
      </c>
      <c r="Q285" s="290">
        <v>0</v>
      </c>
      <c r="R285" s="290">
        <v>0</v>
      </c>
      <c r="S285" s="290">
        <v>0</v>
      </c>
      <c r="T285" s="290">
        <v>0</v>
      </c>
      <c r="U285" s="290">
        <v>0</v>
      </c>
      <c r="V285" s="290">
        <v>0</v>
      </c>
      <c r="W285" s="290">
        <v>0</v>
      </c>
      <c r="X285" s="290">
        <v>0</v>
      </c>
      <c r="Y285" s="290">
        <v>0</v>
      </c>
      <c r="Z285" s="290">
        <v>0</v>
      </c>
      <c r="AA285" s="290">
        <v>0</v>
      </c>
      <c r="AB285" s="290">
        <v>0</v>
      </c>
      <c r="AC285" s="290">
        <v>0</v>
      </c>
      <c r="AD285" s="290">
        <v>0</v>
      </c>
      <c r="AE285" s="290">
        <v>0</v>
      </c>
      <c r="AF285" s="290">
        <v>0</v>
      </c>
      <c r="AG285" s="290">
        <v>0</v>
      </c>
      <c r="AH285" s="290">
        <v>0</v>
      </c>
      <c r="AI285" s="290">
        <v>0</v>
      </c>
      <c r="AJ285" s="290">
        <v>0</v>
      </c>
      <c r="AK285" s="290">
        <v>0</v>
      </c>
      <c r="AL285" s="290">
        <v>0</v>
      </c>
      <c r="AM285" s="290">
        <v>0</v>
      </c>
      <c r="AN285" s="290">
        <v>0</v>
      </c>
      <c r="AO285" s="290">
        <v>0</v>
      </c>
      <c r="AP285" s="290">
        <v>0</v>
      </c>
      <c r="AQ285" s="290">
        <v>0</v>
      </c>
      <c r="AR285" s="290">
        <v>0</v>
      </c>
      <c r="AS285" s="290">
        <v>0</v>
      </c>
      <c r="AT285" s="290">
        <v>0</v>
      </c>
      <c r="AU285" s="290">
        <v>0</v>
      </c>
      <c r="AV285" s="290">
        <v>0</v>
      </c>
      <c r="AW285" s="290">
        <v>0</v>
      </c>
      <c r="AX285" s="290">
        <v>0</v>
      </c>
      <c r="AY285" s="290">
        <v>0</v>
      </c>
      <c r="AZ285" s="290">
        <v>0</v>
      </c>
      <c r="BA285" s="290">
        <v>0</v>
      </c>
      <c r="BB285" s="290">
        <v>0</v>
      </c>
      <c r="BC285" s="290">
        <v>0</v>
      </c>
      <c r="BD285" s="290">
        <v>0</v>
      </c>
      <c r="BE285" s="290">
        <v>0</v>
      </c>
      <c r="BF285" s="290">
        <v>0</v>
      </c>
      <c r="BG285" s="290">
        <v>0</v>
      </c>
      <c r="BH285" s="290">
        <v>0</v>
      </c>
      <c r="BI285" s="290">
        <v>0</v>
      </c>
      <c r="BJ285" s="290">
        <v>0</v>
      </c>
      <c r="BK285" s="78">
        <v>0</v>
      </c>
      <c r="BL285" s="41" t="s">
        <v>616</v>
      </c>
      <c r="BM285" s="45"/>
    </row>
    <row r="286" spans="1:65" x14ac:dyDescent="0.35">
      <c r="A286" s="45" t="str">
        <f>Database_Productkaarten[[#This Row],[Product]]&amp;", "&amp;Database_Productkaarten[[#This Row],[Levensfase]]</f>
        <v>AC Surf G.M. 0% PR - PCR 2.0, C1</v>
      </c>
      <c r="B286" s="41" t="s">
        <v>1359</v>
      </c>
      <c r="C286" s="41" t="s">
        <v>443</v>
      </c>
      <c r="D286" s="41" t="s">
        <v>471</v>
      </c>
      <c r="E286" s="41" t="s">
        <v>91</v>
      </c>
      <c r="F286" s="41" t="s">
        <v>25</v>
      </c>
      <c r="G286" s="45"/>
      <c r="H286" s="45"/>
      <c r="I286" s="45"/>
      <c r="J286" s="45"/>
      <c r="K286" s="45"/>
      <c r="L286" s="41">
        <v>2.35</v>
      </c>
      <c r="M286" s="291">
        <v>0.13541602853131343</v>
      </c>
      <c r="N286" s="45">
        <v>14</v>
      </c>
      <c r="O286" s="290">
        <v>1.6635523434087801E-6</v>
      </c>
      <c r="P286" s="290">
        <v>7.0767185745639703E-3</v>
      </c>
      <c r="Q286" s="290">
        <v>1.4392148986473401</v>
      </c>
      <c r="R286" s="290">
        <v>1.8598176371952399E-7</v>
      </c>
      <c r="S286" s="290">
        <v>4.7349882836818702E-4</v>
      </c>
      <c r="T286" s="290">
        <v>4.1086089095212497E-3</v>
      </c>
      <c r="U286" s="290">
        <v>8.83113744431522E-4</v>
      </c>
      <c r="V286" s="290">
        <v>0.38738647330731701</v>
      </c>
      <c r="W286" s="290">
        <v>5.5203762032745903E-3</v>
      </c>
      <c r="X286" s="290">
        <v>19.1808743577092</v>
      </c>
      <c r="Y286" s="290">
        <v>6.5374485828087003E-4</v>
      </c>
      <c r="Z286" s="290">
        <v>1.4480810795838599</v>
      </c>
      <c r="AA286" s="290">
        <v>1.4476653667580499</v>
      </c>
      <c r="AB286" s="290">
        <v>3.3110965799423901E-4</v>
      </c>
      <c r="AC286" s="290">
        <v>8.4603167812207397E-5</v>
      </c>
      <c r="AD286" s="290">
        <v>2.3434436779985899E-7</v>
      </c>
      <c r="AE286" s="290">
        <v>5.5792397985000497E-3</v>
      </c>
      <c r="AF286" s="290">
        <v>3.9527082866066103E-6</v>
      </c>
      <c r="AG286" s="290">
        <v>2.1681682875333199E-3</v>
      </c>
      <c r="AH286" s="290">
        <v>2.3831205867868299E-2</v>
      </c>
      <c r="AI286" s="290">
        <v>6.5087102478182503E-3</v>
      </c>
      <c r="AJ286" s="290">
        <v>1.66353928931456E-6</v>
      </c>
      <c r="AK286" s="290">
        <v>14.931444268826599</v>
      </c>
      <c r="AL286" s="290">
        <v>1.9886244865477701E-2</v>
      </c>
      <c r="AM286" s="290">
        <v>2.3049580053518599E-8</v>
      </c>
      <c r="AN286" s="290">
        <v>6.4087145623334896E-2</v>
      </c>
      <c r="AO286" s="290">
        <v>8.9589317863358495</v>
      </c>
      <c r="AP286" s="290">
        <v>3.1432578088136199E-10</v>
      </c>
      <c r="AQ286" s="290">
        <v>6.3100664426983299E-9</v>
      </c>
      <c r="AR286" s="290">
        <v>1.9071665031798399</v>
      </c>
      <c r="AS286" s="290">
        <v>0</v>
      </c>
      <c r="AT286" s="290">
        <v>0</v>
      </c>
      <c r="AU286" s="290">
        <v>8.2070636043573203E-2</v>
      </c>
      <c r="AV286" s="290">
        <v>0</v>
      </c>
      <c r="AW286" s="290">
        <v>0</v>
      </c>
      <c r="AX286" s="290">
        <v>15.8567215566895</v>
      </c>
      <c r="AY286" s="290">
        <v>0</v>
      </c>
      <c r="AZ286" s="290">
        <v>0</v>
      </c>
      <c r="BA286" s="290">
        <v>0</v>
      </c>
      <c r="BB286" s="290">
        <v>7.7185667520761705E-4</v>
      </c>
      <c r="BC286" s="290">
        <v>4.0662310026794199E-5</v>
      </c>
      <c r="BD286" s="290">
        <v>1.7667955250852199E-2</v>
      </c>
      <c r="BE286" s="290">
        <v>1.03774338942344E-4</v>
      </c>
      <c r="BF286" s="290">
        <v>0</v>
      </c>
      <c r="BG286" s="290">
        <v>0</v>
      </c>
      <c r="BH286" s="290">
        <v>0</v>
      </c>
      <c r="BI286" s="290">
        <v>0</v>
      </c>
      <c r="BJ286" s="290">
        <v>0</v>
      </c>
      <c r="BK286" s="78">
        <v>0</v>
      </c>
      <c r="BL286" s="41" t="s">
        <v>616</v>
      </c>
      <c r="BM286" s="45"/>
    </row>
    <row r="287" spans="1:65" x14ac:dyDescent="0.35">
      <c r="A287" s="45" t="str">
        <f>Database_Productkaarten[[#This Row],[Product]]&amp;", "&amp;Database_Productkaarten[[#This Row],[Levensfase]]</f>
        <v>AC Surf G.M. 0% PR - PCR 2.0, C2</v>
      </c>
      <c r="B287" s="41" t="s">
        <v>1359</v>
      </c>
      <c r="C287" s="41" t="s">
        <v>443</v>
      </c>
      <c r="D287" s="41" t="s">
        <v>471</v>
      </c>
      <c r="E287" s="41" t="s">
        <v>91</v>
      </c>
      <c r="F287" s="41" t="s">
        <v>26</v>
      </c>
      <c r="G287" s="45"/>
      <c r="H287" s="45"/>
      <c r="I287" s="45"/>
      <c r="J287" s="45"/>
      <c r="K287" s="45"/>
      <c r="L287" s="41">
        <v>2.35</v>
      </c>
      <c r="M287" s="291">
        <v>0.31791357541832999</v>
      </c>
      <c r="N287" s="45">
        <v>14</v>
      </c>
      <c r="O287" s="290">
        <v>7.2195843000000002E-5</v>
      </c>
      <c r="P287" s="290">
        <v>2.5045429500000001E-2</v>
      </c>
      <c r="Q287" s="290">
        <v>3.2726104581</v>
      </c>
      <c r="R287" s="290">
        <v>6.2448211500000004E-7</v>
      </c>
      <c r="S287" s="290">
        <v>2.3663202E-3</v>
      </c>
      <c r="T287" s="290">
        <v>9.9103019999999993E-3</v>
      </c>
      <c r="U287" s="290">
        <v>1.66070541E-3</v>
      </c>
      <c r="V287" s="290">
        <v>0.89062466159999998</v>
      </c>
      <c r="W287" s="290">
        <v>3.5055542699999998E-2</v>
      </c>
      <c r="X287" s="290">
        <v>92.682047400000002</v>
      </c>
      <c r="Y287" s="290">
        <v>7.4868390000000003E-3</v>
      </c>
      <c r="Z287" s="290">
        <v>3.3150718431000001</v>
      </c>
      <c r="AA287" s="290">
        <v>3.3001817481</v>
      </c>
      <c r="AB287" s="290">
        <v>1.3607189190000001E-2</v>
      </c>
      <c r="AC287" s="290">
        <v>1.2829113599999999E-3</v>
      </c>
      <c r="AD287" s="290">
        <v>7.8107336699999998E-7</v>
      </c>
      <c r="AE287" s="290">
        <v>1.2482505E-2</v>
      </c>
      <c r="AF287" s="290">
        <v>3.4632532799999998E-5</v>
      </c>
      <c r="AG287" s="290">
        <v>2.8897329300000001E-3</v>
      </c>
      <c r="AH287" s="290">
        <v>3.3662059799999998E-2</v>
      </c>
      <c r="AI287" s="290">
        <v>1.2098522699999999E-2</v>
      </c>
      <c r="AJ287" s="290">
        <v>7.2195510000000004E-5</v>
      </c>
      <c r="AK287" s="290">
        <v>52.307882313</v>
      </c>
      <c r="AL287" s="290">
        <v>0.28570883850000001</v>
      </c>
      <c r="AM287" s="290">
        <v>2.8544027399999998E-7</v>
      </c>
      <c r="AN287" s="290">
        <v>0.22308385950000001</v>
      </c>
      <c r="AO287" s="290">
        <v>50.61443379</v>
      </c>
      <c r="AP287" s="290">
        <v>1.35209877E-9</v>
      </c>
      <c r="AQ287" s="290">
        <v>4.3221490799999998E-8</v>
      </c>
      <c r="AR287" s="290">
        <v>98.528772599999996</v>
      </c>
      <c r="AS287" s="290">
        <v>8.065825212</v>
      </c>
      <c r="AT287" s="290">
        <v>0</v>
      </c>
      <c r="AU287" s="290">
        <v>8.6963547624000004</v>
      </c>
      <c r="AV287" s="290">
        <v>0.70667511750000001</v>
      </c>
      <c r="AW287" s="290">
        <v>9.926829900000001E-4</v>
      </c>
      <c r="AX287" s="290">
        <v>55.561210727999999</v>
      </c>
      <c r="AY287" s="290">
        <v>0</v>
      </c>
      <c r="AZ287" s="290">
        <v>0</v>
      </c>
      <c r="BA287" s="290">
        <v>0</v>
      </c>
      <c r="BB287" s="290">
        <v>8.7338241000000007E-3</v>
      </c>
      <c r="BC287" s="290">
        <v>1.5376752299999999E-4</v>
      </c>
      <c r="BD287" s="290">
        <v>5.5583861609999996</v>
      </c>
      <c r="BE287" s="290">
        <v>3.4865666099999999E-4</v>
      </c>
      <c r="BF287" s="290">
        <v>0</v>
      </c>
      <c r="BG287" s="290">
        <v>0</v>
      </c>
      <c r="BH287" s="290">
        <v>0</v>
      </c>
      <c r="BI287" s="290">
        <v>0</v>
      </c>
      <c r="BJ287" s="290">
        <v>0</v>
      </c>
      <c r="BK287" s="78">
        <v>0</v>
      </c>
      <c r="BL287" s="41" t="s">
        <v>616</v>
      </c>
      <c r="BM287" s="45"/>
    </row>
    <row r="288" spans="1:65" x14ac:dyDescent="0.35">
      <c r="A288" s="45" t="str">
        <f>Database_Productkaarten[[#This Row],[Product]]&amp;", "&amp;Database_Productkaarten[[#This Row],[Levensfase]]</f>
        <v>AC Surf G.M. 0% PR - PCR 2.0, C3</v>
      </c>
      <c r="B288" s="41" t="s">
        <v>1359</v>
      </c>
      <c r="C288" s="41" t="s">
        <v>443</v>
      </c>
      <c r="D288" s="41" t="s">
        <v>471</v>
      </c>
      <c r="E288" s="41" t="s">
        <v>91</v>
      </c>
      <c r="F288" s="41" t="s">
        <v>27</v>
      </c>
      <c r="G288" s="45"/>
      <c r="H288" s="45"/>
      <c r="I288" s="45"/>
      <c r="J288" s="45"/>
      <c r="K288" s="45"/>
      <c r="L288" s="41">
        <v>2.35</v>
      </c>
      <c r="M288" s="291">
        <v>0.15929996450657533</v>
      </c>
      <c r="N288" s="45">
        <v>14</v>
      </c>
      <c r="O288" s="290">
        <v>1.86519505170076E-6</v>
      </c>
      <c r="P288" s="290">
        <v>7.9345026442080892E-3</v>
      </c>
      <c r="Q288" s="290">
        <v>1.61366518939248</v>
      </c>
      <c r="R288" s="290">
        <v>2.08525007806739E-7</v>
      </c>
      <c r="S288" s="290">
        <v>5.8559282689024195E-4</v>
      </c>
      <c r="T288" s="290">
        <v>5.7290955955232002E-3</v>
      </c>
      <c r="U288" s="290">
        <v>1.2820009407260901E-3</v>
      </c>
      <c r="V288" s="290">
        <v>0.43705340518396102</v>
      </c>
      <c r="W288" s="290">
        <v>6.1895127127624397E-3</v>
      </c>
      <c r="X288" s="290">
        <v>21.5058288253102</v>
      </c>
      <c r="Y288" s="290">
        <v>7.32986659284615E-4</v>
      </c>
      <c r="Z288" s="290">
        <v>1.62432602286675</v>
      </c>
      <c r="AA288" s="290">
        <v>1.6238599206075099</v>
      </c>
      <c r="AB288" s="290">
        <v>3.7124416199354001E-4</v>
      </c>
      <c r="AC288" s="290">
        <v>9.4858097243990196E-5</v>
      </c>
      <c r="AD288" s="290">
        <v>2.6274974571499303E-7</v>
      </c>
      <c r="AE288" s="290">
        <v>7.9167720468021601E-3</v>
      </c>
      <c r="AF288" s="290">
        <v>4.4318244425589198E-6</v>
      </c>
      <c r="AG288" s="290">
        <v>3.30426093602172E-3</v>
      </c>
      <c r="AH288" s="290">
        <v>3.6283310973059098E-2</v>
      </c>
      <c r="AI288" s="290">
        <v>9.6537099687646205E-3</v>
      </c>
      <c r="AJ288" s="290">
        <v>1.86518041529208E-6</v>
      </c>
      <c r="AK288" s="290">
        <v>16.741316301411601</v>
      </c>
      <c r="AL288" s="290">
        <v>2.22966987885659E-2</v>
      </c>
      <c r="AM288" s="290">
        <v>3.0576571299093999E-8</v>
      </c>
      <c r="AN288" s="290">
        <v>7.1855284486769394E-2</v>
      </c>
      <c r="AO288" s="290">
        <v>10.0456497862841</v>
      </c>
      <c r="AP288" s="290">
        <v>3.5242587553365099E-10</v>
      </c>
      <c r="AQ288" s="290">
        <v>7.5755651315496593E-9</v>
      </c>
      <c r="AR288" s="290">
        <v>2.13833820053497</v>
      </c>
      <c r="AS288" s="290">
        <v>0</v>
      </c>
      <c r="AT288" s="290">
        <v>0</v>
      </c>
      <c r="AU288" s="290">
        <v>9.2018591927642696E-2</v>
      </c>
      <c r="AV288" s="290">
        <v>0</v>
      </c>
      <c r="AW288" s="290">
        <v>0</v>
      </c>
      <c r="AX288" s="290">
        <v>17.7787484120458</v>
      </c>
      <c r="AY288" s="290">
        <v>0</v>
      </c>
      <c r="AZ288" s="290">
        <v>0</v>
      </c>
      <c r="BA288" s="290">
        <v>0</v>
      </c>
      <c r="BB288" s="290">
        <v>8.6541506008126605E-4</v>
      </c>
      <c r="BC288" s="290">
        <v>4.5591074878526798E-5</v>
      </c>
      <c r="BD288" s="290">
        <v>1.98095255842889E-2</v>
      </c>
      <c r="BE288" s="290">
        <v>1.16353046692931E-4</v>
      </c>
      <c r="BF288" s="290">
        <v>0</v>
      </c>
      <c r="BG288" s="290">
        <v>1000</v>
      </c>
      <c r="BH288" s="290">
        <v>0</v>
      </c>
      <c r="BI288" s="290">
        <v>0</v>
      </c>
      <c r="BJ288" s="290">
        <v>0</v>
      </c>
      <c r="BK288" s="78">
        <v>0</v>
      </c>
      <c r="BL288" s="41" t="s">
        <v>616</v>
      </c>
      <c r="BM288" s="45"/>
    </row>
    <row r="289" spans="1:65" x14ac:dyDescent="0.35">
      <c r="A289" s="45" t="str">
        <f>Database_Productkaarten[[#This Row],[Product]]&amp;", "&amp;Database_Productkaarten[[#This Row],[Levensfase]]</f>
        <v>AC Surf G.M. 0% PR - PCR 2.0, C4</v>
      </c>
      <c r="B289" s="41" t="s">
        <v>1359</v>
      </c>
      <c r="C289" s="41" t="s">
        <v>443</v>
      </c>
      <c r="D289" s="41" t="s">
        <v>471</v>
      </c>
      <c r="E289" s="41" t="s">
        <v>91</v>
      </c>
      <c r="F289" s="41" t="s">
        <v>28</v>
      </c>
      <c r="G289" s="45"/>
      <c r="H289" s="45"/>
      <c r="I289" s="45"/>
      <c r="J289" s="45"/>
      <c r="K289" s="45"/>
      <c r="L289" s="41">
        <v>2.35</v>
      </c>
      <c r="M289" s="291">
        <v>0</v>
      </c>
      <c r="N289" s="45">
        <v>14</v>
      </c>
      <c r="O289" s="290">
        <v>0</v>
      </c>
      <c r="P289" s="290">
        <v>0</v>
      </c>
      <c r="Q289" s="290">
        <v>0</v>
      </c>
      <c r="R289" s="290">
        <v>0</v>
      </c>
      <c r="S289" s="290">
        <v>0</v>
      </c>
      <c r="T289" s="290">
        <v>0</v>
      </c>
      <c r="U289" s="290">
        <v>0</v>
      </c>
      <c r="V289" s="290">
        <v>0</v>
      </c>
      <c r="W289" s="290">
        <v>0</v>
      </c>
      <c r="X289" s="290">
        <v>0</v>
      </c>
      <c r="Y289" s="290">
        <v>0</v>
      </c>
      <c r="Z289" s="290">
        <v>0</v>
      </c>
      <c r="AA289" s="290">
        <v>0</v>
      </c>
      <c r="AB289" s="290">
        <v>0</v>
      </c>
      <c r="AC289" s="290">
        <v>0</v>
      </c>
      <c r="AD289" s="290">
        <v>0</v>
      </c>
      <c r="AE289" s="290">
        <v>0</v>
      </c>
      <c r="AF289" s="290">
        <v>0</v>
      </c>
      <c r="AG289" s="290">
        <v>0</v>
      </c>
      <c r="AH289" s="290">
        <v>0</v>
      </c>
      <c r="AI289" s="290">
        <v>0</v>
      </c>
      <c r="AJ289" s="290">
        <v>0</v>
      </c>
      <c r="AK289" s="290">
        <v>0</v>
      </c>
      <c r="AL289" s="290">
        <v>0</v>
      </c>
      <c r="AM289" s="290">
        <v>0</v>
      </c>
      <c r="AN289" s="290">
        <v>0</v>
      </c>
      <c r="AO289" s="290">
        <v>0</v>
      </c>
      <c r="AP289" s="290">
        <v>0</v>
      </c>
      <c r="AQ289" s="290">
        <v>0</v>
      </c>
      <c r="AR289" s="290">
        <v>0</v>
      </c>
      <c r="AS289" s="290">
        <v>0</v>
      </c>
      <c r="AT289" s="290">
        <v>0</v>
      </c>
      <c r="AU289" s="290">
        <v>0</v>
      </c>
      <c r="AV289" s="290">
        <v>0</v>
      </c>
      <c r="AW289" s="290">
        <v>0</v>
      </c>
      <c r="AX289" s="290">
        <v>0</v>
      </c>
      <c r="AY289" s="290">
        <v>0</v>
      </c>
      <c r="AZ289" s="290">
        <v>0</v>
      </c>
      <c r="BA289" s="290">
        <v>0</v>
      </c>
      <c r="BB289" s="290">
        <v>0</v>
      </c>
      <c r="BC289" s="290">
        <v>0</v>
      </c>
      <c r="BD289" s="290">
        <v>0</v>
      </c>
      <c r="BE289" s="290">
        <v>0</v>
      </c>
      <c r="BF289" s="290">
        <v>0</v>
      </c>
      <c r="BG289" s="290">
        <v>0</v>
      </c>
      <c r="BH289" s="290">
        <v>0</v>
      </c>
      <c r="BI289" s="290">
        <v>0</v>
      </c>
      <c r="BJ289" s="290">
        <v>0</v>
      </c>
      <c r="BK289" s="78">
        <v>0</v>
      </c>
      <c r="BL289" s="41" t="s">
        <v>616</v>
      </c>
      <c r="BM289" s="45"/>
    </row>
    <row r="290" spans="1:65" x14ac:dyDescent="0.35">
      <c r="A290" s="45" t="str">
        <f>Database_Productkaarten[[#This Row],[Product]]&amp;", "&amp;Database_Productkaarten[[#This Row],[Levensfase]]</f>
        <v>AC Surf G.M. 0% PR - PCR 2.0, D1</v>
      </c>
      <c r="B290" s="41" t="s">
        <v>1359</v>
      </c>
      <c r="C290" s="41" t="s">
        <v>443</v>
      </c>
      <c r="D290" s="41" t="s">
        <v>471</v>
      </c>
      <c r="E290" s="41" t="s">
        <v>91</v>
      </c>
      <c r="F290" s="41" t="s">
        <v>51</v>
      </c>
      <c r="G290" s="45"/>
      <c r="H290" s="45"/>
      <c r="I290" s="45"/>
      <c r="J290" s="45"/>
      <c r="K290" s="45"/>
      <c r="L290" s="41">
        <v>2.35</v>
      </c>
      <c r="M290" s="291">
        <v>-4.3679865577583028</v>
      </c>
      <c r="N290" s="45">
        <v>14</v>
      </c>
      <c r="O290" s="290">
        <v>-4.9038813343444396E-4</v>
      </c>
      <c r="P290" s="290">
        <v>-0.74558617477925904</v>
      </c>
      <c r="Q290" s="290">
        <v>-32.476786373400202</v>
      </c>
      <c r="R290" s="290">
        <v>-2.7847203972508001E-6</v>
      </c>
      <c r="S290" s="290">
        <v>-8.0189532053413504E-2</v>
      </c>
      <c r="T290" s="290">
        <v>-0.229417962141439</v>
      </c>
      <c r="U290" s="290">
        <v>-2.1887334346775401E-2</v>
      </c>
      <c r="V290" s="290">
        <v>-8.9008105660211392</v>
      </c>
      <c r="W290" s="290">
        <v>-1.1557979045270099</v>
      </c>
      <c r="X290" s="290">
        <v>-5047.7740666956297</v>
      </c>
      <c r="Y290" s="290">
        <v>-0.15217051449176799</v>
      </c>
      <c r="Z290" s="290">
        <v>-8.6996419492415402</v>
      </c>
      <c r="AA290" s="290">
        <v>-8.5956686653178807</v>
      </c>
      <c r="AB290" s="290">
        <v>-9.3379173063269899E-2</v>
      </c>
      <c r="AC290" s="290">
        <v>-1.0594110860387199E-2</v>
      </c>
      <c r="AD290" s="290">
        <v>-1.1395939883434601E-6</v>
      </c>
      <c r="AE290" s="290">
        <v>-8.4050570716118905E-2</v>
      </c>
      <c r="AF290" s="290">
        <v>-3.67338491151746E-4</v>
      </c>
      <c r="AG290" s="290">
        <v>-2.4828159586046301E-2</v>
      </c>
      <c r="AH290" s="290">
        <v>-0.312436815439458</v>
      </c>
      <c r="AI290" s="290">
        <v>-7.7086420601061398E-2</v>
      </c>
      <c r="AJ290" s="290">
        <v>-4.86996783722652E-4</v>
      </c>
      <c r="AK290" s="290">
        <v>-125.345592779578</v>
      </c>
      <c r="AL290" s="290">
        <v>-30.7201818477802</v>
      </c>
      <c r="AM290" s="290">
        <v>-1.1872978178766E-6</v>
      </c>
      <c r="AN290" s="290">
        <v>-0.67077370904272904</v>
      </c>
      <c r="AO290" s="290">
        <v>-1140.60846336756</v>
      </c>
      <c r="AP290" s="290">
        <v>-6.3431836737825303E-9</v>
      </c>
      <c r="AQ290" s="290">
        <v>-1.44941238576683E-7</v>
      </c>
      <c r="AR290" s="290">
        <v>-1407.44851823565</v>
      </c>
      <c r="AS290" s="290">
        <v>0</v>
      </c>
      <c r="AT290" s="290">
        <v>0</v>
      </c>
      <c r="AU290" s="290">
        <v>-16.262676038725701</v>
      </c>
      <c r="AV290" s="290">
        <v>0</v>
      </c>
      <c r="AW290" s="290">
        <v>0</v>
      </c>
      <c r="AX290" s="290">
        <v>-1683.87225429464</v>
      </c>
      <c r="AY290" s="290">
        <v>0</v>
      </c>
      <c r="AZ290" s="290">
        <v>0</v>
      </c>
      <c r="BA290" s="290">
        <v>0</v>
      </c>
      <c r="BB290" s="290">
        <v>-17.998471227244</v>
      </c>
      <c r="BC290" s="290">
        <v>-7.7956597525978295E-4</v>
      </c>
      <c r="BD290" s="290">
        <v>-3.0846445794053401</v>
      </c>
      <c r="BE290" s="290">
        <v>-9.1037909232616105E-4</v>
      </c>
      <c r="BF290" s="290">
        <v>0</v>
      </c>
      <c r="BG290" s="290">
        <v>0</v>
      </c>
      <c r="BH290" s="290">
        <v>0</v>
      </c>
      <c r="BI290" s="290">
        <v>0</v>
      </c>
      <c r="BJ290" s="290">
        <v>0</v>
      </c>
      <c r="BK290" s="78">
        <v>0</v>
      </c>
      <c r="BL290" s="41" t="s">
        <v>616</v>
      </c>
      <c r="BM290" s="45"/>
    </row>
    <row r="291" spans="1:65" x14ac:dyDescent="0.35">
      <c r="A291" s="45" t="str">
        <f>Database_Productkaarten[[#This Row],[Product]]&amp;", "&amp;Database_Productkaarten[[#This Row],[Levensfase]]</f>
        <v>AC Surf G.M. 30% PR - PCR 2.0, Totaal</v>
      </c>
      <c r="B291" s="41" t="s">
        <v>1360</v>
      </c>
      <c r="C291" s="41" t="s">
        <v>443</v>
      </c>
      <c r="D291" s="41" t="s">
        <v>471</v>
      </c>
      <c r="E291" s="41" t="s">
        <v>91</v>
      </c>
      <c r="F291" s="41" t="s">
        <v>16</v>
      </c>
      <c r="G291" s="45"/>
      <c r="H291" s="45"/>
      <c r="I291" s="45"/>
      <c r="J291" s="45"/>
      <c r="K291" s="45"/>
      <c r="L291" s="41">
        <v>2.35</v>
      </c>
      <c r="M291" s="54">
        <f>SUM(M292:M306)</f>
        <v>9.8937198895206642</v>
      </c>
      <c r="N291" s="45">
        <v>14</v>
      </c>
      <c r="O291" s="55">
        <f>SUM(O292:O306)</f>
        <v>5.573934843638953E-3</v>
      </c>
      <c r="P291" s="55">
        <f t="shared" ref="P291" si="62">SUM(P292:P306)</f>
        <v>1.1034966242704005</v>
      </c>
      <c r="Q291" s="55">
        <f t="shared" ref="Q291" si="63">SUM(Q292:Q306)</f>
        <v>95.249219289242433</v>
      </c>
      <c r="R291" s="55">
        <f t="shared" ref="R291" si="64">SUM(R292:R306)</f>
        <v>1.2369719806140958E-5</v>
      </c>
      <c r="S291" s="55">
        <f t="shared" ref="S291" si="65">SUM(S292:S306)</f>
        <v>8.7635199913351641E-2</v>
      </c>
      <c r="T291" s="55">
        <f t="shared" ref="T291" si="66">SUM(T292:T306)</f>
        <v>0.39414449310538097</v>
      </c>
      <c r="U291" s="55">
        <f t="shared" ref="U291" si="67">SUM(U292:U306)</f>
        <v>6.0292474333600486E-2</v>
      </c>
      <c r="V291" s="55">
        <f t="shared" ref="V291" si="68">SUM(V292:V306)</f>
        <v>23.327888421085994</v>
      </c>
      <c r="W291" s="55">
        <f t="shared" ref="W291" si="69">SUM(W292:W306)</f>
        <v>1.5014437895173205</v>
      </c>
      <c r="X291" s="55">
        <f t="shared" ref="X291" si="70">SUM(X292:X306)</f>
        <v>5030.5505645054254</v>
      </c>
      <c r="Y291" s="55">
        <f t="shared" ref="Y291" si="71">SUM(Y292:Y306)</f>
        <v>0.18912624536128333</v>
      </c>
      <c r="Z291" s="55">
        <f t="shared" ref="Z291" si="72">SUM(Z292:Z306)</f>
        <v>115.73667018626992</v>
      </c>
      <c r="AA291" s="55">
        <f t="shared" ref="AA291" si="73">SUM(AA292:AA306)</f>
        <v>115.7159477907786</v>
      </c>
      <c r="AB291" s="55">
        <f t="shared" ref="AB291" si="74">SUM(AB292:AB306)</f>
        <v>-2.5695533285518442E-2</v>
      </c>
      <c r="AC291" s="55">
        <f t="shared" ref="AC291" si="75">SUM(AC292:AC306)</f>
        <v>7.241711212686186E-2</v>
      </c>
      <c r="AD291" s="55">
        <f t="shared" ref="AD291" si="76">SUM(AD292:AD306)</f>
        <v>1.6508562480422762E-5</v>
      </c>
      <c r="AE291" s="55">
        <f t="shared" ref="AE291" si="77">SUM(AE292:AE306)</f>
        <v>0.6359067541942317</v>
      </c>
      <c r="AF291" s="55">
        <f t="shared" ref="AF291" si="78">SUM(AF292:AF306)</f>
        <v>1.5903483184720054E-3</v>
      </c>
      <c r="AG291" s="55">
        <f t="shared" ref="AG291" si="79">SUM(AG292:AG306)</f>
        <v>0.15551024590593646</v>
      </c>
      <c r="AH291" s="55">
        <f t="shared" ref="AH291" si="80">SUM(AH292:AH306)</f>
        <v>1.6479913867052163</v>
      </c>
      <c r="AI291" s="55">
        <f t="shared" ref="AI291" si="81">SUM(AI292:AI306)</f>
        <v>0.66412461737468631</v>
      </c>
      <c r="AJ291" s="55">
        <f t="shared" ref="AJ291" si="82">SUM(AJ292:AJ306)</f>
        <v>5.5762741566005667E-3</v>
      </c>
      <c r="AK291" s="55">
        <f t="shared" ref="AK291" si="83">SUM(AK292:AK306)</f>
        <v>3286.0924463278438</v>
      </c>
      <c r="AL291" s="55">
        <f t="shared" ref="AL291" si="84">SUM(AL292:AL306)</f>
        <v>28.65272913602816</v>
      </c>
      <c r="AM291" s="55">
        <f t="shared" ref="AM291" si="85">SUM(AM292:AM306)</f>
        <v>3.101366959422748E-6</v>
      </c>
      <c r="AN291" s="55">
        <f t="shared" ref="AN291" si="86">SUM(AN292:AN306)</f>
        <v>4.3370690983199545</v>
      </c>
      <c r="AO291" s="55">
        <f t="shared" ref="AO291" si="87">SUM(AO292:AO306)</f>
        <v>2506.2152908003536</v>
      </c>
      <c r="AP291" s="55">
        <f t="shared" ref="AP291" si="88">SUM(AP292:AP306)</f>
        <v>3.3999795977447875E-8</v>
      </c>
      <c r="AQ291" s="55">
        <f t="shared" ref="AQ291" si="89">SUM(AQ292:AQ306)</f>
        <v>1.0825040492039448E-6</v>
      </c>
      <c r="AR291" s="55">
        <f t="shared" ref="AR291" si="90">SUM(AR292:AR306)</f>
        <v>-269.60121833088306</v>
      </c>
      <c r="AS291" s="55">
        <f t="shared" ref="AS291" si="91">SUM(AS292:AS306)</f>
        <v>8.065825212</v>
      </c>
      <c r="AT291" s="55">
        <f t="shared" ref="AT291" si="92">SUM(AT292:AT306)</f>
        <v>0</v>
      </c>
      <c r="AU291" s="55">
        <f t="shared" ref="AU291" si="93">SUM(AU292:AU306)</f>
        <v>46.152084956513718</v>
      </c>
      <c r="AV291" s="55">
        <f t="shared" ref="AV291" si="94">SUM(AV292:AV306)</f>
        <v>0.70667511750000001</v>
      </c>
      <c r="AW291" s="55">
        <f t="shared" ref="AW291" si="95">SUM(AW292:AW306)</f>
        <v>9.926829900000001E-4</v>
      </c>
      <c r="AX291" s="55">
        <f t="shared" ref="AX291" si="96">SUM(AX292:AX306)</f>
        <v>2417.6185534044625</v>
      </c>
      <c r="AY291" s="55">
        <f t="shared" ref="AY291" si="97">SUM(AY292:AY306)</f>
        <v>294</v>
      </c>
      <c r="AZ291" s="55">
        <f t="shared" ref="AZ291" si="98">SUM(AZ292:AZ306)</f>
        <v>0</v>
      </c>
      <c r="BA291" s="55">
        <f t="shared" ref="BA291" si="99">SUM(BA292:BA306)</f>
        <v>0</v>
      </c>
      <c r="BB291" s="55">
        <f t="shared" ref="BB291" si="100">SUM(BB292:BB306)</f>
        <v>-11.418211997363748</v>
      </c>
      <c r="BC291" s="55">
        <f t="shared" ref="BC291" si="101">SUM(BC292:BC306)</f>
        <v>2.2360150552322841E-3</v>
      </c>
      <c r="BD291" s="55">
        <f t="shared" ref="BD291" si="102">SUM(BD292:BD306)</f>
        <v>18.019400230414288</v>
      </c>
      <c r="BE291" s="55">
        <f t="shared" ref="BE291" si="103">SUM(BE292:BE306)</f>
        <v>5.278586611785094E-3</v>
      </c>
      <c r="BF291" s="55">
        <f t="shared" ref="BF291" si="104">SUM(BF292:BF306)</f>
        <v>0</v>
      </c>
      <c r="BG291" s="55">
        <f t="shared" ref="BG291" si="105">SUM(BG292:BG306)</f>
        <v>1000</v>
      </c>
      <c r="BH291" s="55">
        <f t="shared" ref="BH291" si="106">SUM(BH292:BH306)</f>
        <v>0</v>
      </c>
      <c r="BI291" s="55">
        <f t="shared" ref="BI291" si="107">SUM(BI292:BI306)</f>
        <v>0</v>
      </c>
      <c r="BJ291" s="55">
        <f t="shared" ref="BJ291" si="108">SUM(BJ292:BJ306)</f>
        <v>0</v>
      </c>
      <c r="BK291" s="78">
        <v>0.3</v>
      </c>
      <c r="BL291" s="41" t="s">
        <v>616</v>
      </c>
      <c r="BM291" s="45"/>
    </row>
    <row r="292" spans="1:65" x14ac:dyDescent="0.35">
      <c r="A292" s="45" t="str">
        <f>Database_Productkaarten[[#This Row],[Product]]&amp;", "&amp;Database_Productkaarten[[#This Row],[Levensfase]]</f>
        <v>AC Surf G.M. 30% PR - PCR 2.0, A1</v>
      </c>
      <c r="B292" s="41" t="s">
        <v>1360</v>
      </c>
      <c r="C292" s="41" t="s">
        <v>443</v>
      </c>
      <c r="D292" s="41" t="s">
        <v>471</v>
      </c>
      <c r="E292" s="41" t="s">
        <v>91</v>
      </c>
      <c r="F292" s="41" t="s">
        <v>19</v>
      </c>
      <c r="G292" s="45"/>
      <c r="H292" s="45"/>
      <c r="I292" s="45"/>
      <c r="J292" s="45"/>
      <c r="K292" s="45"/>
      <c r="L292" s="41">
        <v>2.35</v>
      </c>
      <c r="M292" s="291">
        <v>7.1569728190792148</v>
      </c>
      <c r="N292" s="45">
        <v>14</v>
      </c>
      <c r="O292" s="290">
        <v>5.5072686937398703E-3</v>
      </c>
      <c r="P292" s="290">
        <v>1.1928448997716801</v>
      </c>
      <c r="Q292" s="290">
        <v>57.849137115650201</v>
      </c>
      <c r="R292" s="290">
        <v>6.0027267443094598E-6</v>
      </c>
      <c r="S292" s="290">
        <v>0.119839298885761</v>
      </c>
      <c r="T292" s="290">
        <v>0.333175318006178</v>
      </c>
      <c r="U292" s="290">
        <v>2.8605085065727599E-2</v>
      </c>
      <c r="V292" s="290">
        <v>16.118366582807699</v>
      </c>
      <c r="W292" s="290">
        <v>1.68291837516981</v>
      </c>
      <c r="X292" s="290">
        <v>7278.4837374790804</v>
      </c>
      <c r="Y292" s="290">
        <v>0.22974969494050099</v>
      </c>
      <c r="Z292" s="290">
        <v>60.810915304634101</v>
      </c>
      <c r="AA292" s="290">
        <v>60.859757863236403</v>
      </c>
      <c r="AB292" s="290">
        <v>-6.0011216989127598E-2</v>
      </c>
      <c r="AC292" s="290">
        <v>3.71678583868435E-2</v>
      </c>
      <c r="AD292" s="290">
        <v>7.2434314684707201E-6</v>
      </c>
      <c r="AE292" s="290">
        <v>0.39041868682079001</v>
      </c>
      <c r="AF292" s="290">
        <v>1.25052684450262E-3</v>
      </c>
      <c r="AG292" s="290">
        <v>5.3134536509383302E-2</v>
      </c>
      <c r="AH292" s="290">
        <v>0.54462439297215604</v>
      </c>
      <c r="AI292" s="290">
        <v>0.36275894698997702</v>
      </c>
      <c r="AJ292" s="290">
        <v>5.5072246020964099E-3</v>
      </c>
      <c r="AK292" s="290">
        <v>2514.4215141826098</v>
      </c>
      <c r="AL292" s="290">
        <v>47.8829427478653</v>
      </c>
      <c r="AM292" s="290">
        <v>2.2897470902486099E-6</v>
      </c>
      <c r="AN292" s="290">
        <v>2.4922245727305401</v>
      </c>
      <c r="AO292" s="290">
        <v>2835.5794498076498</v>
      </c>
      <c r="AP292" s="290">
        <v>2.02604558035879E-8</v>
      </c>
      <c r="AQ292" s="290">
        <v>7.8695375956595101E-7</v>
      </c>
      <c r="AR292" s="290">
        <v>292.88640134731702</v>
      </c>
      <c r="AS292" s="290">
        <v>0</v>
      </c>
      <c r="AT292" s="290">
        <v>0</v>
      </c>
      <c r="AU292" s="290">
        <v>34.977761898614901</v>
      </c>
      <c r="AV292" s="290">
        <v>0</v>
      </c>
      <c r="AW292" s="290">
        <v>0</v>
      </c>
      <c r="AX292" s="290">
        <v>2677.2965098613399</v>
      </c>
      <c r="AY292" s="290">
        <v>294</v>
      </c>
      <c r="AZ292" s="290">
        <v>0</v>
      </c>
      <c r="BA292" s="290">
        <v>0</v>
      </c>
      <c r="BB292" s="290">
        <v>1.1782705593348199</v>
      </c>
      <c r="BC292" s="290">
        <v>1.0628554958660001E-3</v>
      </c>
      <c r="BD292" s="290">
        <v>4.24765262774417</v>
      </c>
      <c r="BE292" s="290">
        <v>2.4255566822762699E-3</v>
      </c>
      <c r="BF292" s="290">
        <v>0</v>
      </c>
      <c r="BG292" s="290">
        <v>0</v>
      </c>
      <c r="BH292" s="290">
        <v>0</v>
      </c>
      <c r="BI292" s="290">
        <v>0</v>
      </c>
      <c r="BJ292" s="290">
        <v>0</v>
      </c>
      <c r="BK292" s="78">
        <v>0.3</v>
      </c>
      <c r="BL292" s="41" t="s">
        <v>616</v>
      </c>
      <c r="BM292" s="45"/>
    </row>
    <row r="293" spans="1:65" x14ac:dyDescent="0.35">
      <c r="A293" s="45" t="str">
        <f>Database_Productkaarten[[#This Row],[Product]]&amp;", "&amp;Database_Productkaarten[[#This Row],[Levensfase]]</f>
        <v>AC Surf G.M. 30% PR - PCR 2.0, A2</v>
      </c>
      <c r="B293" s="41" t="s">
        <v>1360</v>
      </c>
      <c r="C293" s="41" t="s">
        <v>443</v>
      </c>
      <c r="D293" s="41" t="s">
        <v>471</v>
      </c>
      <c r="E293" s="41" t="s">
        <v>91</v>
      </c>
      <c r="F293" s="41" t="s">
        <v>20</v>
      </c>
      <c r="G293" s="45"/>
      <c r="H293" s="45"/>
      <c r="I293" s="45"/>
      <c r="J293" s="45"/>
      <c r="K293" s="45"/>
      <c r="L293" s="41">
        <v>2.35</v>
      </c>
      <c r="M293" s="291">
        <v>2.7624609024647073</v>
      </c>
      <c r="N293" s="45">
        <v>14</v>
      </c>
      <c r="O293" s="290">
        <v>2.4432568828345702E-4</v>
      </c>
      <c r="P293" s="290">
        <v>0.146529059652105</v>
      </c>
      <c r="Q293" s="290">
        <v>23.124138323017899</v>
      </c>
      <c r="R293" s="290">
        <v>3.4327538072829601E-6</v>
      </c>
      <c r="S293" s="290">
        <v>1.3648553651903801E-2</v>
      </c>
      <c r="T293" s="290">
        <v>0.15580461796554701</v>
      </c>
      <c r="U293" s="290">
        <v>3.4471940587116702E-2</v>
      </c>
      <c r="V293" s="290">
        <v>6.2455125343064299</v>
      </c>
      <c r="W293" s="290">
        <v>0.16228137510508001</v>
      </c>
      <c r="X293" s="290">
        <v>532.25913278396001</v>
      </c>
      <c r="Y293" s="290">
        <v>2.8562249599313399E-2</v>
      </c>
      <c r="Z293" s="290">
        <v>23.389771611534002</v>
      </c>
      <c r="AA293" s="290">
        <v>23.3178056059032</v>
      </c>
      <c r="AB293" s="290">
        <v>3.3770827466224798E-2</v>
      </c>
      <c r="AC293" s="290">
        <v>3.8195178164617399E-2</v>
      </c>
      <c r="AD293" s="290">
        <v>4.2699796780895796E-6</v>
      </c>
      <c r="AE293" s="290">
        <v>0.21659299181832201</v>
      </c>
      <c r="AF293" s="290">
        <v>2.7375947870377101E-4</v>
      </c>
      <c r="AG293" s="290">
        <v>9.1249095139150804E-2</v>
      </c>
      <c r="AH293" s="290">
        <v>1.0044462725757699</v>
      </c>
      <c r="AI293" s="290">
        <v>0.26118137804672797</v>
      </c>
      <c r="AJ293" s="290">
        <v>2.4431559003214998E-4</v>
      </c>
      <c r="AK293" s="290">
        <v>303.70408422957001</v>
      </c>
      <c r="AL293" s="290">
        <v>1.37205191321637</v>
      </c>
      <c r="AM293" s="290">
        <v>7.6572675344055697E-7</v>
      </c>
      <c r="AN293" s="290">
        <v>1.30940519055553</v>
      </c>
      <c r="AO293" s="290">
        <v>268.84139307331799</v>
      </c>
      <c r="AP293" s="290">
        <v>1.0931237417606999E-8</v>
      </c>
      <c r="AQ293" s="290">
        <v>2.0357443907408399E-7</v>
      </c>
      <c r="AR293" s="290">
        <v>237.69204270426101</v>
      </c>
      <c r="AS293" s="290">
        <v>0</v>
      </c>
      <c r="AT293" s="290">
        <v>0</v>
      </c>
      <c r="AU293" s="290">
        <v>6.5609476774045898</v>
      </c>
      <c r="AV293" s="290">
        <v>0</v>
      </c>
      <c r="AW293" s="290">
        <v>0</v>
      </c>
      <c r="AX293" s="290">
        <v>322.31151260754001</v>
      </c>
      <c r="AY293" s="290">
        <v>0</v>
      </c>
      <c r="AZ293" s="290">
        <v>0</v>
      </c>
      <c r="BA293" s="290">
        <v>0</v>
      </c>
      <c r="BB293" s="290">
        <v>5.4385069592512901E-2</v>
      </c>
      <c r="BC293" s="290">
        <v>7.8762336978531597E-4</v>
      </c>
      <c r="BD293" s="290">
        <v>4.5887980243316697</v>
      </c>
      <c r="BE293" s="290">
        <v>1.9727255777862301E-3</v>
      </c>
      <c r="BF293" s="290">
        <v>0</v>
      </c>
      <c r="BG293" s="290">
        <v>0</v>
      </c>
      <c r="BH293" s="290">
        <v>0</v>
      </c>
      <c r="BI293" s="290">
        <v>0</v>
      </c>
      <c r="BJ293" s="290">
        <v>0</v>
      </c>
      <c r="BK293" s="78">
        <v>0.3</v>
      </c>
      <c r="BL293" s="41" t="s">
        <v>616</v>
      </c>
      <c r="BM293" s="45"/>
    </row>
    <row r="294" spans="1:65" x14ac:dyDescent="0.35">
      <c r="A294" s="45" t="str">
        <f>Database_Productkaarten[[#This Row],[Product]]&amp;", "&amp;Database_Productkaarten[[#This Row],[Levensfase]]</f>
        <v>AC Surf G.M. 30% PR - PCR 2.0, A3</v>
      </c>
      <c r="B294" s="41" t="s">
        <v>1360</v>
      </c>
      <c r="C294" s="41" t="s">
        <v>443</v>
      </c>
      <c r="D294" s="41" t="s">
        <v>471</v>
      </c>
      <c r="E294" s="41" t="s">
        <v>91</v>
      </c>
      <c r="F294" s="41" t="s">
        <v>21</v>
      </c>
      <c r="G294" s="45"/>
      <c r="H294" s="45"/>
      <c r="I294" s="45"/>
      <c r="J294" s="45"/>
      <c r="K294" s="45"/>
      <c r="L294" s="41">
        <v>2.35</v>
      </c>
      <c r="M294" s="291">
        <v>1.72820944057466</v>
      </c>
      <c r="N294" s="45">
        <v>14</v>
      </c>
      <c r="O294" s="290">
        <v>2.13725651549994E-5</v>
      </c>
      <c r="P294" s="290">
        <v>0.20829809481216099</v>
      </c>
      <c r="Q294" s="290">
        <v>24.360387797750601</v>
      </c>
      <c r="R294" s="290">
        <v>2.7986646292167201E-6</v>
      </c>
      <c r="S294" s="290">
        <v>3.9172043077659998E-3</v>
      </c>
      <c r="T294" s="290">
        <v>2.3248424253432199E-2</v>
      </c>
      <c r="U294" s="290">
        <v>3.8699153281488599E-3</v>
      </c>
      <c r="V294" s="290">
        <v>3.6526757515564001</v>
      </c>
      <c r="W294" s="290">
        <v>2.51005599478114E-2</v>
      </c>
      <c r="X294" s="290">
        <v>102.33076359691501</v>
      </c>
      <c r="Y294" s="290">
        <v>2.3178693118005699E-2</v>
      </c>
      <c r="Z294" s="290">
        <v>24.716285636913799</v>
      </c>
      <c r="AA294" s="290">
        <v>24.664768053270699</v>
      </c>
      <c r="AB294" s="290">
        <v>4.9597595882074602E-2</v>
      </c>
      <c r="AC294" s="290">
        <v>1.9199877610172301E-3</v>
      </c>
      <c r="AD294" s="290">
        <v>3.1598966093486399E-6</v>
      </c>
      <c r="AE294" s="290">
        <v>2.9861968535005699E-2</v>
      </c>
      <c r="AF294" s="290">
        <v>2.4759672342827301E-4</v>
      </c>
      <c r="AG294" s="290">
        <v>8.3850685835084506E-3</v>
      </c>
      <c r="AH294" s="290">
        <v>9.4540827891292006E-2</v>
      </c>
      <c r="AI294" s="290">
        <v>2.89101179120104E-2</v>
      </c>
      <c r="AJ294" s="290">
        <v>2.1372269748918299E-5</v>
      </c>
      <c r="AK294" s="290">
        <v>383.83624233232501</v>
      </c>
      <c r="AL294" s="290">
        <v>0.51038532944047399</v>
      </c>
      <c r="AM294" s="290">
        <v>1.9718449522597899E-7</v>
      </c>
      <c r="AN294" s="290">
        <v>0.26865643538814699</v>
      </c>
      <c r="AO294" s="290">
        <v>73.674588587375297</v>
      </c>
      <c r="AP294" s="290">
        <v>2.9371232370517201E-9</v>
      </c>
      <c r="AQ294" s="290">
        <v>4.8786148438544597E-8</v>
      </c>
      <c r="AR294" s="290">
        <v>15.745879966544701</v>
      </c>
      <c r="AS294" s="290">
        <v>0</v>
      </c>
      <c r="AT294" s="290">
        <v>0</v>
      </c>
      <c r="AU294" s="290">
        <v>6.4453861421442999</v>
      </c>
      <c r="AV294" s="290">
        <v>0</v>
      </c>
      <c r="AW294" s="290">
        <v>0</v>
      </c>
      <c r="AX294" s="290">
        <v>423.49316380820102</v>
      </c>
      <c r="AY294" s="290">
        <v>0</v>
      </c>
      <c r="AZ294" s="290">
        <v>0</v>
      </c>
      <c r="BA294" s="290">
        <v>0</v>
      </c>
      <c r="BB294" s="290">
        <v>3.75785879272625E-2</v>
      </c>
      <c r="BC294" s="290">
        <v>4.6971385485893101E-4</v>
      </c>
      <c r="BD294" s="290">
        <v>0.27024292472864597</v>
      </c>
      <c r="BE294" s="290">
        <v>3.4670692388607502E-4</v>
      </c>
      <c r="BF294" s="290">
        <v>0</v>
      </c>
      <c r="BG294" s="290">
        <v>0</v>
      </c>
      <c r="BH294" s="290">
        <v>0</v>
      </c>
      <c r="BI294" s="290">
        <v>0</v>
      </c>
      <c r="BJ294" s="290">
        <v>0</v>
      </c>
      <c r="BK294" s="78">
        <v>0.3</v>
      </c>
      <c r="BL294" s="41" t="s">
        <v>616</v>
      </c>
      <c r="BM294" s="45"/>
    </row>
    <row r="295" spans="1:65" x14ac:dyDescent="0.35">
      <c r="A295" s="45" t="str">
        <f>Database_Productkaarten[[#This Row],[Product]]&amp;", "&amp;Database_Productkaarten[[#This Row],[Levensfase]]</f>
        <v>AC Surf G.M. 30% PR - PCR 2.0, A4</v>
      </c>
      <c r="B295" s="41" t="s">
        <v>1360</v>
      </c>
      <c r="C295" s="41" t="s">
        <v>443</v>
      </c>
      <c r="D295" s="41" t="s">
        <v>471</v>
      </c>
      <c r="E295" s="41" t="s">
        <v>91</v>
      </c>
      <c r="F295" s="41" t="s">
        <v>22</v>
      </c>
      <c r="G295" s="45"/>
      <c r="H295" s="45"/>
      <c r="I295" s="45"/>
      <c r="J295" s="45"/>
      <c r="K295" s="45"/>
      <c r="L295" s="41">
        <v>2.35</v>
      </c>
      <c r="M295" s="291">
        <v>0.37546048090943995</v>
      </c>
      <c r="N295" s="45">
        <v>14</v>
      </c>
      <c r="O295" s="290">
        <v>6.8533509000000002E-5</v>
      </c>
      <c r="P295" s="290">
        <v>2.9713889699999999E-2</v>
      </c>
      <c r="Q295" s="290">
        <v>3.9891474704999998</v>
      </c>
      <c r="R295" s="290">
        <v>7.557213E-7</v>
      </c>
      <c r="S295" s="290">
        <v>2.4773701499999998E-3</v>
      </c>
      <c r="T295" s="290">
        <v>1.36398132E-2</v>
      </c>
      <c r="U295" s="290">
        <v>2.5682192100000001E-3</v>
      </c>
      <c r="V295" s="290">
        <v>0.8608144794</v>
      </c>
      <c r="W295" s="290">
        <v>3.6189873900000002E-2</v>
      </c>
      <c r="X295" s="290">
        <v>97.376595929999993</v>
      </c>
      <c r="Y295" s="290">
        <v>4.8437180999999999E-3</v>
      </c>
      <c r="Z295" s="290">
        <v>4.0259382761999998</v>
      </c>
      <c r="AA295" s="290">
        <v>4.0229543298000001</v>
      </c>
      <c r="AB295" s="290">
        <v>1.9814632200000001E-3</v>
      </c>
      <c r="AC295" s="290">
        <v>1.0024609799999999E-3</v>
      </c>
      <c r="AD295" s="290">
        <v>9.4976262000000003E-7</v>
      </c>
      <c r="AE295" s="290">
        <v>1.7739576E-2</v>
      </c>
      <c r="AF295" s="290">
        <v>2.7841996800000001E-5</v>
      </c>
      <c r="AG295" s="290">
        <v>5.5484582100000001E-3</v>
      </c>
      <c r="AH295" s="290">
        <v>6.1385308800000003E-2</v>
      </c>
      <c r="AI295" s="290">
        <v>1.9235744999999999E-2</v>
      </c>
      <c r="AJ295" s="290">
        <v>6.8533397999999998E-5</v>
      </c>
      <c r="AK295" s="290">
        <v>62.400806729999999</v>
      </c>
      <c r="AL295" s="290">
        <v>0.212954166</v>
      </c>
      <c r="AM295" s="290">
        <v>2.9338876200000002E-7</v>
      </c>
      <c r="AN295" s="290">
        <v>0.26868483510000002</v>
      </c>
      <c r="AO295" s="290">
        <v>45.56587296</v>
      </c>
      <c r="AP295" s="290">
        <v>1.16371179E-9</v>
      </c>
      <c r="AQ295" s="290">
        <v>3.8268015899999999E-8</v>
      </c>
      <c r="AR295" s="290">
        <v>71.806844609999999</v>
      </c>
      <c r="AS295" s="290">
        <v>0</v>
      </c>
      <c r="AT295" s="290">
        <v>0</v>
      </c>
      <c r="AU295" s="290">
        <v>0.63474917099999995</v>
      </c>
      <c r="AV295" s="290">
        <v>0</v>
      </c>
      <c r="AW295" s="290">
        <v>0</v>
      </c>
      <c r="AX295" s="290">
        <v>66.265108560000002</v>
      </c>
      <c r="AY295" s="290">
        <v>0</v>
      </c>
      <c r="AZ295" s="290">
        <v>0</v>
      </c>
      <c r="BA295" s="290">
        <v>0</v>
      </c>
      <c r="BB295" s="290">
        <v>6.7467797999999999E-3</v>
      </c>
      <c r="BC295" s="290">
        <v>1.54707915E-4</v>
      </c>
      <c r="BD295" s="290">
        <v>5.4635493149999999</v>
      </c>
      <c r="BE295" s="290">
        <v>4.25149758E-4</v>
      </c>
      <c r="BF295" s="290">
        <v>0</v>
      </c>
      <c r="BG295" s="290">
        <v>0</v>
      </c>
      <c r="BH295" s="290">
        <v>0</v>
      </c>
      <c r="BI295" s="290">
        <v>0</v>
      </c>
      <c r="BJ295" s="290">
        <v>0</v>
      </c>
      <c r="BK295" s="78">
        <v>0.3</v>
      </c>
      <c r="BL295" s="41" t="s">
        <v>616</v>
      </c>
      <c r="BM295" s="45"/>
    </row>
    <row r="296" spans="1:65" x14ac:dyDescent="0.35">
      <c r="A296" s="45" t="str">
        <f>Database_Productkaarten[[#This Row],[Product]]&amp;", "&amp;Database_Productkaarten[[#This Row],[Levensfase]]</f>
        <v>AC Surf G.M. 30% PR - PCR 2.0, A5</v>
      </c>
      <c r="B296" s="41" t="s">
        <v>1360</v>
      </c>
      <c r="C296" s="41" t="s">
        <v>443</v>
      </c>
      <c r="D296" s="41" t="s">
        <v>471</v>
      </c>
      <c r="E296" s="41" t="s">
        <v>91</v>
      </c>
      <c r="F296" s="41" t="s">
        <v>23</v>
      </c>
      <c r="G296" s="45"/>
      <c r="H296" s="45"/>
      <c r="I296" s="45"/>
      <c r="J296" s="45"/>
      <c r="K296" s="45"/>
      <c r="L296" s="41">
        <v>2.35</v>
      </c>
      <c r="M296" s="291">
        <v>0.25970533328944417</v>
      </c>
      <c r="N296" s="45">
        <v>14</v>
      </c>
      <c r="O296" s="290">
        <v>2.9238192702336198E-6</v>
      </c>
      <c r="P296" s="290">
        <v>1.2437869009839699E-2</v>
      </c>
      <c r="Q296" s="290">
        <v>2.5295292158044198</v>
      </c>
      <c r="R296" s="290">
        <v>3.2687703926461799E-7</v>
      </c>
      <c r="S296" s="290">
        <v>9.4117069237233998E-4</v>
      </c>
      <c r="T296" s="290">
        <v>1.0497394447035501E-2</v>
      </c>
      <c r="U296" s="290">
        <v>2.4039520962731101E-3</v>
      </c>
      <c r="V296" s="290">
        <v>0.68877613966134299</v>
      </c>
      <c r="W296" s="290">
        <v>9.7024793875735496E-3</v>
      </c>
      <c r="X296" s="290">
        <v>33.711839780216202</v>
      </c>
      <c r="Y296" s="290">
        <v>1.1490061145542599E-3</v>
      </c>
      <c r="Z296" s="290">
        <v>2.5482276276019298</v>
      </c>
      <c r="AA296" s="290">
        <v>2.5474969808171801</v>
      </c>
      <c r="AB296" s="290">
        <v>5.81950307989873E-4</v>
      </c>
      <c r="AC296" s="290">
        <v>1.4869647676085001E-4</v>
      </c>
      <c r="AD296" s="290">
        <v>4.11877979769449E-7</v>
      </c>
      <c r="AE296" s="290">
        <v>1.4654717100391301E-2</v>
      </c>
      <c r="AF296" s="290">
        <v>6.9471842613085899E-6</v>
      </c>
      <c r="AG296" s="290">
        <v>6.3596059780874504E-3</v>
      </c>
      <c r="AH296" s="290">
        <v>6.9798399525328805E-2</v>
      </c>
      <c r="AI296" s="290">
        <v>1.82004994537374E-2</v>
      </c>
      <c r="AJ296" s="290">
        <v>2.92379632667407E-6</v>
      </c>
      <c r="AK296" s="290">
        <v>26.243144472483099</v>
      </c>
      <c r="AL296" s="290">
        <v>3.49515818847791E-2</v>
      </c>
      <c r="AM296" s="290">
        <v>5.4485692575873398E-8</v>
      </c>
      <c r="AN296" s="290">
        <v>0.112638013519801</v>
      </c>
      <c r="AO296" s="290">
        <v>15.7470627241676</v>
      </c>
      <c r="AP296" s="290">
        <v>5.5245137245815495E-10</v>
      </c>
      <c r="AQ296" s="290">
        <v>1.3239865413112201E-8</v>
      </c>
      <c r="AR296" s="290">
        <v>3.3519896116494099</v>
      </c>
      <c r="AS296" s="290">
        <v>0</v>
      </c>
      <c r="AT296" s="290">
        <v>0</v>
      </c>
      <c r="AU296" s="290">
        <v>0.144245360319008</v>
      </c>
      <c r="AV296" s="290">
        <v>0</v>
      </c>
      <c r="AW296" s="290">
        <v>0</v>
      </c>
      <c r="AX296" s="290">
        <v>27.8693894026664</v>
      </c>
      <c r="AY296" s="290">
        <v>0</v>
      </c>
      <c r="AZ296" s="290">
        <v>0</v>
      </c>
      <c r="BA296" s="290">
        <v>0</v>
      </c>
      <c r="BB296" s="290">
        <v>1.35659658066793E-3</v>
      </c>
      <c r="BC296" s="290">
        <v>7.1467090350123107E-5</v>
      </c>
      <c r="BD296" s="290">
        <v>3.1052769834831202E-2</v>
      </c>
      <c r="BE296" s="290">
        <v>1.8239126238351399E-4</v>
      </c>
      <c r="BF296" s="290">
        <v>0</v>
      </c>
      <c r="BG296" s="290">
        <v>0</v>
      </c>
      <c r="BH296" s="290">
        <v>0</v>
      </c>
      <c r="BI296" s="290">
        <v>0</v>
      </c>
      <c r="BJ296" s="290">
        <v>0</v>
      </c>
      <c r="BK296" s="78">
        <v>0.3</v>
      </c>
      <c r="BL296" s="41" t="s">
        <v>616</v>
      </c>
      <c r="BM296" s="45"/>
    </row>
    <row r="297" spans="1:65" x14ac:dyDescent="0.35">
      <c r="A297" s="45" t="str">
        <f>Database_Productkaarten[[#This Row],[Product]]&amp;", "&amp;Database_Productkaarten[[#This Row],[Levensfase]]</f>
        <v>AC Surf G.M. 30% PR - PCR 2.0, B1</v>
      </c>
      <c r="B297" s="41" t="s">
        <v>1360</v>
      </c>
      <c r="C297" s="41" t="s">
        <v>443</v>
      </c>
      <c r="D297" s="41" t="s">
        <v>471</v>
      </c>
      <c r="E297" s="41" t="s">
        <v>91</v>
      </c>
      <c r="F297" s="41" t="s">
        <v>24</v>
      </c>
      <c r="G297" s="45"/>
      <c r="H297" s="45"/>
      <c r="I297" s="45"/>
      <c r="J297" s="45"/>
      <c r="K297" s="45"/>
      <c r="L297" s="41">
        <v>2.35</v>
      </c>
      <c r="M297" s="291">
        <v>8.2079854524338774E-2</v>
      </c>
      <c r="N297" s="45">
        <v>14</v>
      </c>
      <c r="O297" s="290">
        <v>0</v>
      </c>
      <c r="P297" s="290">
        <v>0</v>
      </c>
      <c r="Q297" s="290">
        <v>0</v>
      </c>
      <c r="R297" s="290">
        <v>0</v>
      </c>
      <c r="S297" s="290">
        <v>0</v>
      </c>
      <c r="T297" s="290">
        <v>0</v>
      </c>
      <c r="U297" s="290">
        <v>0</v>
      </c>
      <c r="V297" s="290">
        <v>0.33065065287376499</v>
      </c>
      <c r="W297" s="290">
        <v>0.35447901498708101</v>
      </c>
      <c r="X297" s="290">
        <v>416.74823543935599</v>
      </c>
      <c r="Y297" s="290">
        <v>2.0169620253149699E-4</v>
      </c>
      <c r="Z297" s="290">
        <v>0</v>
      </c>
      <c r="AA297" s="290">
        <v>0</v>
      </c>
      <c r="AB297" s="290">
        <v>0</v>
      </c>
      <c r="AC297" s="290">
        <v>0</v>
      </c>
      <c r="AD297" s="290">
        <v>0</v>
      </c>
      <c r="AE297" s="290">
        <v>0</v>
      </c>
      <c r="AF297" s="290">
        <v>0</v>
      </c>
      <c r="AG297" s="290">
        <v>0</v>
      </c>
      <c r="AH297" s="290">
        <v>0</v>
      </c>
      <c r="AI297" s="290">
        <v>0</v>
      </c>
      <c r="AJ297" s="290">
        <v>0</v>
      </c>
      <c r="AK297" s="290">
        <v>0</v>
      </c>
      <c r="AL297" s="290">
        <v>0</v>
      </c>
      <c r="AM297" s="290">
        <v>0</v>
      </c>
      <c r="AN297" s="290">
        <v>0</v>
      </c>
      <c r="AO297" s="290">
        <v>2.4574834227146498</v>
      </c>
      <c r="AP297" s="290">
        <v>6.1425360401853599E-10</v>
      </c>
      <c r="AQ297" s="290">
        <v>3.6903212873143E-8</v>
      </c>
      <c r="AR297" s="290">
        <v>0</v>
      </c>
      <c r="AS297" s="290">
        <v>0</v>
      </c>
      <c r="AT297" s="290">
        <v>0</v>
      </c>
      <c r="AU297" s="290">
        <v>0</v>
      </c>
      <c r="AV297" s="290">
        <v>0</v>
      </c>
      <c r="AW297" s="290">
        <v>0</v>
      </c>
      <c r="AX297" s="290">
        <v>0</v>
      </c>
      <c r="AY297" s="290">
        <v>0</v>
      </c>
      <c r="AZ297" s="290">
        <v>0</v>
      </c>
      <c r="BA297" s="290">
        <v>0</v>
      </c>
      <c r="BB297" s="290">
        <v>0</v>
      </c>
      <c r="BC297" s="290">
        <v>0</v>
      </c>
      <c r="BD297" s="290">
        <v>0</v>
      </c>
      <c r="BE297" s="290">
        <v>0</v>
      </c>
      <c r="BF297" s="290">
        <v>0</v>
      </c>
      <c r="BG297" s="290">
        <v>0</v>
      </c>
      <c r="BH297" s="290">
        <v>0</v>
      </c>
      <c r="BI297" s="290">
        <v>0</v>
      </c>
      <c r="BJ297" s="290">
        <v>0</v>
      </c>
      <c r="BK297" s="78">
        <v>0.3</v>
      </c>
      <c r="BL297" s="41" t="s">
        <v>616</v>
      </c>
      <c r="BM297" s="45"/>
    </row>
    <row r="298" spans="1:65" x14ac:dyDescent="0.35">
      <c r="A298" s="45" t="str">
        <f>Database_Productkaarten[[#This Row],[Product]]&amp;", "&amp;Database_Productkaarten[[#This Row],[Levensfase]]</f>
        <v>AC Surf G.M. 30% PR - PCR 2.0, B2</v>
      </c>
      <c r="B298" s="41" t="s">
        <v>1360</v>
      </c>
      <c r="C298" s="41" t="s">
        <v>443</v>
      </c>
      <c r="D298" s="41" t="s">
        <v>471</v>
      </c>
      <c r="E298" s="41" t="s">
        <v>91</v>
      </c>
      <c r="F298" s="41" t="s">
        <v>604</v>
      </c>
      <c r="G298" s="45"/>
      <c r="H298" s="45"/>
      <c r="I298" s="45"/>
      <c r="J298" s="45"/>
      <c r="K298" s="45"/>
      <c r="L298" s="41">
        <v>2.35</v>
      </c>
      <c r="M298" s="291">
        <v>0</v>
      </c>
      <c r="N298" s="45">
        <v>14</v>
      </c>
      <c r="O298" s="290">
        <v>0</v>
      </c>
      <c r="P298" s="290">
        <v>0</v>
      </c>
      <c r="Q298" s="290">
        <v>0</v>
      </c>
      <c r="R298" s="290">
        <v>0</v>
      </c>
      <c r="S298" s="290">
        <v>0</v>
      </c>
      <c r="T298" s="290">
        <v>0</v>
      </c>
      <c r="U298" s="290">
        <v>0</v>
      </c>
      <c r="V298" s="290">
        <v>0</v>
      </c>
      <c r="W298" s="290">
        <v>0</v>
      </c>
      <c r="X298" s="290">
        <v>0</v>
      </c>
      <c r="Y298" s="290">
        <v>0</v>
      </c>
      <c r="Z298" s="290">
        <v>0</v>
      </c>
      <c r="AA298" s="290">
        <v>0</v>
      </c>
      <c r="AB298" s="290">
        <v>0</v>
      </c>
      <c r="AC298" s="290">
        <v>0</v>
      </c>
      <c r="AD298" s="290">
        <v>0</v>
      </c>
      <c r="AE298" s="290">
        <v>0</v>
      </c>
      <c r="AF298" s="290">
        <v>0</v>
      </c>
      <c r="AG298" s="290">
        <v>0</v>
      </c>
      <c r="AH298" s="290">
        <v>0</v>
      </c>
      <c r="AI298" s="290">
        <v>0</v>
      </c>
      <c r="AJ298" s="290">
        <v>0</v>
      </c>
      <c r="AK298" s="290">
        <v>0</v>
      </c>
      <c r="AL298" s="290">
        <v>0</v>
      </c>
      <c r="AM298" s="290">
        <v>0</v>
      </c>
      <c r="AN298" s="290">
        <v>0</v>
      </c>
      <c r="AO298" s="290">
        <v>0</v>
      </c>
      <c r="AP298" s="290">
        <v>0</v>
      </c>
      <c r="AQ298" s="290">
        <v>0</v>
      </c>
      <c r="AR298" s="290">
        <v>0</v>
      </c>
      <c r="AS298" s="290">
        <v>0</v>
      </c>
      <c r="AT298" s="290">
        <v>0</v>
      </c>
      <c r="AU298" s="290">
        <v>0</v>
      </c>
      <c r="AV298" s="290">
        <v>0</v>
      </c>
      <c r="AW298" s="290">
        <v>0</v>
      </c>
      <c r="AX298" s="290">
        <v>0</v>
      </c>
      <c r="AY298" s="290">
        <v>0</v>
      </c>
      <c r="AZ298" s="290">
        <v>0</v>
      </c>
      <c r="BA298" s="290">
        <v>0</v>
      </c>
      <c r="BB298" s="290">
        <v>0</v>
      </c>
      <c r="BC298" s="290">
        <v>0</v>
      </c>
      <c r="BD298" s="290">
        <v>0</v>
      </c>
      <c r="BE298" s="290">
        <v>0</v>
      </c>
      <c r="BF298" s="290">
        <v>0</v>
      </c>
      <c r="BG298" s="290">
        <v>0</v>
      </c>
      <c r="BH298" s="290">
        <v>0</v>
      </c>
      <c r="BI298" s="290">
        <v>0</v>
      </c>
      <c r="BJ298" s="290">
        <v>0</v>
      </c>
      <c r="BK298" s="78">
        <v>0.3</v>
      </c>
      <c r="BL298" s="41" t="s">
        <v>616</v>
      </c>
      <c r="BM298" s="45"/>
    </row>
    <row r="299" spans="1:65" x14ac:dyDescent="0.35">
      <c r="A299" s="45" t="str">
        <f>Database_Productkaarten[[#This Row],[Product]]&amp;", "&amp;Database_Productkaarten[[#This Row],[Levensfase]]</f>
        <v>AC Surf G.M. 30% PR - PCR 2.0, B3</v>
      </c>
      <c r="B299" s="41" t="s">
        <v>1360</v>
      </c>
      <c r="C299" s="41" t="s">
        <v>443</v>
      </c>
      <c r="D299" s="41" t="s">
        <v>471</v>
      </c>
      <c r="E299" s="41" t="s">
        <v>91</v>
      </c>
      <c r="F299" s="41" t="s">
        <v>602</v>
      </c>
      <c r="G299" s="45"/>
      <c r="H299" s="45"/>
      <c r="I299" s="45"/>
      <c r="J299" s="45"/>
      <c r="K299" s="45"/>
      <c r="L299" s="41">
        <v>2.35</v>
      </c>
      <c r="M299" s="291">
        <v>0</v>
      </c>
      <c r="N299" s="45">
        <v>14</v>
      </c>
      <c r="O299" s="290">
        <v>0</v>
      </c>
      <c r="P299" s="290">
        <v>0</v>
      </c>
      <c r="Q299" s="290">
        <v>0</v>
      </c>
      <c r="R299" s="290">
        <v>0</v>
      </c>
      <c r="S299" s="290">
        <v>0</v>
      </c>
      <c r="T299" s="290">
        <v>0</v>
      </c>
      <c r="U299" s="290">
        <v>0</v>
      </c>
      <c r="V299" s="290">
        <v>0</v>
      </c>
      <c r="W299" s="290">
        <v>0</v>
      </c>
      <c r="X299" s="290">
        <v>0</v>
      </c>
      <c r="Y299" s="290">
        <v>0</v>
      </c>
      <c r="Z299" s="290">
        <v>0</v>
      </c>
      <c r="AA299" s="290">
        <v>0</v>
      </c>
      <c r="AB299" s="290">
        <v>0</v>
      </c>
      <c r="AC299" s="290">
        <v>0</v>
      </c>
      <c r="AD299" s="290">
        <v>0</v>
      </c>
      <c r="AE299" s="290">
        <v>0</v>
      </c>
      <c r="AF299" s="290">
        <v>0</v>
      </c>
      <c r="AG299" s="290">
        <v>0</v>
      </c>
      <c r="AH299" s="290">
        <v>0</v>
      </c>
      <c r="AI299" s="290">
        <v>0</v>
      </c>
      <c r="AJ299" s="290">
        <v>0</v>
      </c>
      <c r="AK299" s="290">
        <v>0</v>
      </c>
      <c r="AL299" s="290">
        <v>0</v>
      </c>
      <c r="AM299" s="290">
        <v>0</v>
      </c>
      <c r="AN299" s="290">
        <v>0</v>
      </c>
      <c r="AO299" s="290">
        <v>0</v>
      </c>
      <c r="AP299" s="290">
        <v>0</v>
      </c>
      <c r="AQ299" s="290">
        <v>0</v>
      </c>
      <c r="AR299" s="290">
        <v>0</v>
      </c>
      <c r="AS299" s="290">
        <v>0</v>
      </c>
      <c r="AT299" s="290">
        <v>0</v>
      </c>
      <c r="AU299" s="290">
        <v>0</v>
      </c>
      <c r="AV299" s="290">
        <v>0</v>
      </c>
      <c r="AW299" s="290">
        <v>0</v>
      </c>
      <c r="AX299" s="290">
        <v>0</v>
      </c>
      <c r="AY299" s="290">
        <v>0</v>
      </c>
      <c r="AZ299" s="290">
        <v>0</v>
      </c>
      <c r="BA299" s="290">
        <v>0</v>
      </c>
      <c r="BB299" s="290">
        <v>0</v>
      </c>
      <c r="BC299" s="290">
        <v>0</v>
      </c>
      <c r="BD299" s="290">
        <v>0</v>
      </c>
      <c r="BE299" s="290">
        <v>0</v>
      </c>
      <c r="BF299" s="290">
        <v>0</v>
      </c>
      <c r="BG299" s="290">
        <v>0</v>
      </c>
      <c r="BH299" s="290">
        <v>0</v>
      </c>
      <c r="BI299" s="290">
        <v>0</v>
      </c>
      <c r="BJ299" s="290">
        <v>0</v>
      </c>
      <c r="BK299" s="78">
        <v>0.3</v>
      </c>
      <c r="BL299" s="41" t="s">
        <v>616</v>
      </c>
      <c r="BM299" s="45"/>
    </row>
    <row r="300" spans="1:65" x14ac:dyDescent="0.35">
      <c r="A300" s="45" t="str">
        <f>Database_Productkaarten[[#This Row],[Product]]&amp;", "&amp;Database_Productkaarten[[#This Row],[Levensfase]]</f>
        <v>AC Surf G.M. 30% PR - PCR 2.0, B4</v>
      </c>
      <c r="B300" s="41" t="s">
        <v>1360</v>
      </c>
      <c r="C300" s="41" t="s">
        <v>443</v>
      </c>
      <c r="D300" s="41" t="s">
        <v>471</v>
      </c>
      <c r="E300" s="41" t="s">
        <v>91</v>
      </c>
      <c r="F300" s="41" t="s">
        <v>50</v>
      </c>
      <c r="G300" s="45"/>
      <c r="H300" s="45"/>
      <c r="I300" s="45"/>
      <c r="J300" s="45"/>
      <c r="K300" s="45"/>
      <c r="L300" s="41">
        <v>2.35</v>
      </c>
      <c r="M300" s="291">
        <v>0</v>
      </c>
      <c r="N300" s="45">
        <v>14</v>
      </c>
      <c r="O300" s="290">
        <v>0</v>
      </c>
      <c r="P300" s="290">
        <v>0</v>
      </c>
      <c r="Q300" s="290">
        <v>0</v>
      </c>
      <c r="R300" s="290">
        <v>0</v>
      </c>
      <c r="S300" s="290">
        <v>0</v>
      </c>
      <c r="T300" s="290">
        <v>0</v>
      </c>
      <c r="U300" s="290">
        <v>0</v>
      </c>
      <c r="V300" s="290">
        <v>0</v>
      </c>
      <c r="W300" s="290">
        <v>0</v>
      </c>
      <c r="X300" s="290">
        <v>0</v>
      </c>
      <c r="Y300" s="290">
        <v>0</v>
      </c>
      <c r="Z300" s="290">
        <v>0</v>
      </c>
      <c r="AA300" s="290">
        <v>0</v>
      </c>
      <c r="AB300" s="290">
        <v>0</v>
      </c>
      <c r="AC300" s="290">
        <v>0</v>
      </c>
      <c r="AD300" s="290">
        <v>0</v>
      </c>
      <c r="AE300" s="290">
        <v>0</v>
      </c>
      <c r="AF300" s="290">
        <v>0</v>
      </c>
      <c r="AG300" s="290">
        <v>0</v>
      </c>
      <c r="AH300" s="290">
        <v>0</v>
      </c>
      <c r="AI300" s="290">
        <v>0</v>
      </c>
      <c r="AJ300" s="290">
        <v>0</v>
      </c>
      <c r="AK300" s="290">
        <v>0</v>
      </c>
      <c r="AL300" s="290">
        <v>0</v>
      </c>
      <c r="AM300" s="290">
        <v>0</v>
      </c>
      <c r="AN300" s="290">
        <v>0</v>
      </c>
      <c r="AO300" s="290">
        <v>0</v>
      </c>
      <c r="AP300" s="290">
        <v>0</v>
      </c>
      <c r="AQ300" s="290">
        <v>0</v>
      </c>
      <c r="AR300" s="290">
        <v>0</v>
      </c>
      <c r="AS300" s="290">
        <v>0</v>
      </c>
      <c r="AT300" s="290">
        <v>0</v>
      </c>
      <c r="AU300" s="290">
        <v>0</v>
      </c>
      <c r="AV300" s="290">
        <v>0</v>
      </c>
      <c r="AW300" s="290">
        <v>0</v>
      </c>
      <c r="AX300" s="290">
        <v>0</v>
      </c>
      <c r="AY300" s="290">
        <v>0</v>
      </c>
      <c r="AZ300" s="290">
        <v>0</v>
      </c>
      <c r="BA300" s="290">
        <v>0</v>
      </c>
      <c r="BB300" s="290">
        <v>0</v>
      </c>
      <c r="BC300" s="290">
        <v>0</v>
      </c>
      <c r="BD300" s="290">
        <v>0</v>
      </c>
      <c r="BE300" s="290">
        <v>0</v>
      </c>
      <c r="BF300" s="290">
        <v>0</v>
      </c>
      <c r="BG300" s="290">
        <v>0</v>
      </c>
      <c r="BH300" s="290">
        <v>0</v>
      </c>
      <c r="BI300" s="290">
        <v>0</v>
      </c>
      <c r="BJ300" s="290">
        <v>0</v>
      </c>
      <c r="BK300" s="78">
        <v>0.3</v>
      </c>
      <c r="BL300" s="41" t="s">
        <v>616</v>
      </c>
      <c r="BM300" s="45"/>
    </row>
    <row r="301" spans="1:65" x14ac:dyDescent="0.35">
      <c r="A301" s="45" t="str">
        <f>Database_Productkaarten[[#This Row],[Product]]&amp;", "&amp;Database_Productkaarten[[#This Row],[Levensfase]]</f>
        <v>AC Surf G.M. 30% PR - PCR 2.0, B5</v>
      </c>
      <c r="B301" s="41" t="s">
        <v>1360</v>
      </c>
      <c r="C301" s="41" t="s">
        <v>443</v>
      </c>
      <c r="D301" s="41" t="s">
        <v>471</v>
      </c>
      <c r="E301" s="41" t="s">
        <v>91</v>
      </c>
      <c r="F301" s="41" t="s">
        <v>1358</v>
      </c>
      <c r="G301" s="45"/>
      <c r="H301" s="45"/>
      <c r="I301" s="45"/>
      <c r="J301" s="45"/>
      <c r="K301" s="45"/>
      <c r="L301" s="41">
        <v>2.35</v>
      </c>
      <c r="M301" s="291">
        <v>0</v>
      </c>
      <c r="N301" s="45">
        <v>14</v>
      </c>
      <c r="O301" s="290">
        <v>0</v>
      </c>
      <c r="P301" s="290">
        <v>0</v>
      </c>
      <c r="Q301" s="290">
        <v>0</v>
      </c>
      <c r="R301" s="290">
        <v>0</v>
      </c>
      <c r="S301" s="290">
        <v>0</v>
      </c>
      <c r="T301" s="290">
        <v>0</v>
      </c>
      <c r="U301" s="290">
        <v>0</v>
      </c>
      <c r="V301" s="290">
        <v>0</v>
      </c>
      <c r="W301" s="290">
        <v>0</v>
      </c>
      <c r="X301" s="290">
        <v>0</v>
      </c>
      <c r="Y301" s="290">
        <v>0</v>
      </c>
      <c r="Z301" s="290">
        <v>0</v>
      </c>
      <c r="AA301" s="290">
        <v>0</v>
      </c>
      <c r="AB301" s="290">
        <v>0</v>
      </c>
      <c r="AC301" s="290">
        <v>0</v>
      </c>
      <c r="AD301" s="290">
        <v>0</v>
      </c>
      <c r="AE301" s="290">
        <v>0</v>
      </c>
      <c r="AF301" s="290">
        <v>0</v>
      </c>
      <c r="AG301" s="290">
        <v>0</v>
      </c>
      <c r="AH301" s="290">
        <v>0</v>
      </c>
      <c r="AI301" s="290">
        <v>0</v>
      </c>
      <c r="AJ301" s="290">
        <v>0</v>
      </c>
      <c r="AK301" s="290">
        <v>0</v>
      </c>
      <c r="AL301" s="290">
        <v>0</v>
      </c>
      <c r="AM301" s="290">
        <v>0</v>
      </c>
      <c r="AN301" s="290">
        <v>0</v>
      </c>
      <c r="AO301" s="290">
        <v>0</v>
      </c>
      <c r="AP301" s="290">
        <v>0</v>
      </c>
      <c r="AQ301" s="290">
        <v>0</v>
      </c>
      <c r="AR301" s="290">
        <v>0</v>
      </c>
      <c r="AS301" s="290">
        <v>0</v>
      </c>
      <c r="AT301" s="290">
        <v>0</v>
      </c>
      <c r="AU301" s="290">
        <v>0</v>
      </c>
      <c r="AV301" s="290">
        <v>0</v>
      </c>
      <c r="AW301" s="290">
        <v>0</v>
      </c>
      <c r="AX301" s="290">
        <v>0</v>
      </c>
      <c r="AY301" s="290">
        <v>0</v>
      </c>
      <c r="AZ301" s="290">
        <v>0</v>
      </c>
      <c r="BA301" s="290">
        <v>0</v>
      </c>
      <c r="BB301" s="290">
        <v>0</v>
      </c>
      <c r="BC301" s="290">
        <v>0</v>
      </c>
      <c r="BD301" s="290">
        <v>0</v>
      </c>
      <c r="BE301" s="290">
        <v>0</v>
      </c>
      <c r="BF301" s="290">
        <v>0</v>
      </c>
      <c r="BG301" s="290">
        <v>0</v>
      </c>
      <c r="BH301" s="290">
        <v>0</v>
      </c>
      <c r="BI301" s="290">
        <v>0</v>
      </c>
      <c r="BJ301" s="290">
        <v>0</v>
      </c>
      <c r="BK301" s="78">
        <v>0.3</v>
      </c>
      <c r="BL301" s="41" t="s">
        <v>616</v>
      </c>
      <c r="BM301" s="45"/>
    </row>
    <row r="302" spans="1:65" x14ac:dyDescent="0.35">
      <c r="A302" s="45" t="str">
        <f>Database_Productkaarten[[#This Row],[Product]]&amp;", "&amp;Database_Productkaarten[[#This Row],[Levensfase]]</f>
        <v>AC Surf G.M. 30% PR - PCR 2.0, C1</v>
      </c>
      <c r="B302" s="41" t="s">
        <v>1360</v>
      </c>
      <c r="C302" s="41" t="s">
        <v>443</v>
      </c>
      <c r="D302" s="41" t="s">
        <v>471</v>
      </c>
      <c r="E302" s="41" t="s">
        <v>91</v>
      </c>
      <c r="F302" s="41" t="s">
        <v>25</v>
      </c>
      <c r="G302" s="45"/>
      <c r="H302" s="45"/>
      <c r="I302" s="45"/>
      <c r="J302" s="45"/>
      <c r="K302" s="45"/>
      <c r="L302" s="41">
        <v>2.35</v>
      </c>
      <c r="M302" s="291">
        <v>0.13541602853131343</v>
      </c>
      <c r="N302" s="45">
        <v>14</v>
      </c>
      <c r="O302" s="290">
        <v>1.6635523434087801E-6</v>
      </c>
      <c r="P302" s="290">
        <v>7.0767185745639703E-3</v>
      </c>
      <c r="Q302" s="290">
        <v>1.4392148986473401</v>
      </c>
      <c r="R302" s="290">
        <v>1.8598176371952399E-7</v>
      </c>
      <c r="S302" s="290">
        <v>4.7349882836818702E-4</v>
      </c>
      <c r="T302" s="290">
        <v>4.1086089095212497E-3</v>
      </c>
      <c r="U302" s="290">
        <v>8.83113744431522E-4</v>
      </c>
      <c r="V302" s="290">
        <v>0.38738647330731701</v>
      </c>
      <c r="W302" s="290">
        <v>5.5203762032745903E-3</v>
      </c>
      <c r="X302" s="290">
        <v>19.1808743577092</v>
      </c>
      <c r="Y302" s="290">
        <v>6.5374485828087003E-4</v>
      </c>
      <c r="Z302" s="290">
        <v>1.4480810795838599</v>
      </c>
      <c r="AA302" s="290">
        <v>1.4476653667580499</v>
      </c>
      <c r="AB302" s="290">
        <v>3.3110965799423901E-4</v>
      </c>
      <c r="AC302" s="290">
        <v>8.4603167812207397E-5</v>
      </c>
      <c r="AD302" s="290">
        <v>2.3434436779985899E-7</v>
      </c>
      <c r="AE302" s="290">
        <v>5.5792397985000497E-3</v>
      </c>
      <c r="AF302" s="290">
        <v>3.9527082866066103E-6</v>
      </c>
      <c r="AG302" s="290">
        <v>2.1681682875333199E-3</v>
      </c>
      <c r="AH302" s="290">
        <v>2.3831205867868299E-2</v>
      </c>
      <c r="AI302" s="290">
        <v>6.5087102478182503E-3</v>
      </c>
      <c r="AJ302" s="290">
        <v>1.66353928931456E-6</v>
      </c>
      <c r="AK302" s="290">
        <v>14.931444268826599</v>
      </c>
      <c r="AL302" s="290">
        <v>1.9886244865477701E-2</v>
      </c>
      <c r="AM302" s="290">
        <v>2.3049580053518599E-8</v>
      </c>
      <c r="AN302" s="290">
        <v>6.4087145623334896E-2</v>
      </c>
      <c r="AO302" s="290">
        <v>8.9589317863358495</v>
      </c>
      <c r="AP302" s="290">
        <v>3.1432578088136199E-10</v>
      </c>
      <c r="AQ302" s="290">
        <v>6.3100664426983299E-9</v>
      </c>
      <c r="AR302" s="290">
        <v>1.9071665031798399</v>
      </c>
      <c r="AS302" s="290">
        <v>0</v>
      </c>
      <c r="AT302" s="290">
        <v>0</v>
      </c>
      <c r="AU302" s="290">
        <v>8.2070636043573203E-2</v>
      </c>
      <c r="AV302" s="290">
        <v>0</v>
      </c>
      <c r="AW302" s="290">
        <v>0</v>
      </c>
      <c r="AX302" s="290">
        <v>15.8567215566895</v>
      </c>
      <c r="AY302" s="290">
        <v>0</v>
      </c>
      <c r="AZ302" s="290">
        <v>0</v>
      </c>
      <c r="BA302" s="290">
        <v>0</v>
      </c>
      <c r="BB302" s="290">
        <v>7.7185667520761705E-4</v>
      </c>
      <c r="BC302" s="290">
        <v>4.0662310026794199E-5</v>
      </c>
      <c r="BD302" s="290">
        <v>1.7667955250852199E-2</v>
      </c>
      <c r="BE302" s="290">
        <v>1.03774338942344E-4</v>
      </c>
      <c r="BF302" s="290">
        <v>0</v>
      </c>
      <c r="BG302" s="290">
        <v>0</v>
      </c>
      <c r="BH302" s="290">
        <v>0</v>
      </c>
      <c r="BI302" s="290">
        <v>0</v>
      </c>
      <c r="BJ302" s="290">
        <v>0</v>
      </c>
      <c r="BK302" s="78">
        <v>0.3</v>
      </c>
      <c r="BL302" s="41" t="s">
        <v>616</v>
      </c>
      <c r="BM302" s="45"/>
    </row>
    <row r="303" spans="1:65" x14ac:dyDescent="0.35">
      <c r="A303" s="45" t="str">
        <f>Database_Productkaarten[[#This Row],[Product]]&amp;", "&amp;Database_Productkaarten[[#This Row],[Levensfase]]</f>
        <v>AC Surf G.M. 30% PR - PCR 2.0, C2</v>
      </c>
      <c r="B303" s="41" t="s">
        <v>1360</v>
      </c>
      <c r="C303" s="41" t="s">
        <v>443</v>
      </c>
      <c r="D303" s="41" t="s">
        <v>471</v>
      </c>
      <c r="E303" s="41" t="s">
        <v>91</v>
      </c>
      <c r="F303" s="41" t="s">
        <v>26</v>
      </c>
      <c r="G303" s="45"/>
      <c r="H303" s="45"/>
      <c r="I303" s="45"/>
      <c r="J303" s="45"/>
      <c r="K303" s="45"/>
      <c r="L303" s="41">
        <v>2.35</v>
      </c>
      <c r="M303" s="291">
        <v>0.31791357541832999</v>
      </c>
      <c r="N303" s="45">
        <v>14</v>
      </c>
      <c r="O303" s="290">
        <v>7.2195843000000002E-5</v>
      </c>
      <c r="P303" s="290">
        <v>2.5045429500000001E-2</v>
      </c>
      <c r="Q303" s="290">
        <v>3.2726104581</v>
      </c>
      <c r="R303" s="290">
        <v>6.2448211500000004E-7</v>
      </c>
      <c r="S303" s="290">
        <v>2.3663202E-3</v>
      </c>
      <c r="T303" s="290">
        <v>9.9103019999999993E-3</v>
      </c>
      <c r="U303" s="290">
        <v>1.66070541E-3</v>
      </c>
      <c r="V303" s="290">
        <v>0.89062466159999998</v>
      </c>
      <c r="W303" s="290">
        <v>3.5055542699999998E-2</v>
      </c>
      <c r="X303" s="290">
        <v>92.682047400000002</v>
      </c>
      <c r="Y303" s="290">
        <v>7.4868390000000003E-3</v>
      </c>
      <c r="Z303" s="290">
        <v>3.3150718431000001</v>
      </c>
      <c r="AA303" s="290">
        <v>3.3001817481</v>
      </c>
      <c r="AB303" s="290">
        <v>1.3607189190000001E-2</v>
      </c>
      <c r="AC303" s="290">
        <v>1.2829113599999999E-3</v>
      </c>
      <c r="AD303" s="290">
        <v>7.8107336699999998E-7</v>
      </c>
      <c r="AE303" s="290">
        <v>1.2482505E-2</v>
      </c>
      <c r="AF303" s="290">
        <v>3.4632532799999998E-5</v>
      </c>
      <c r="AG303" s="290">
        <v>2.8897329300000001E-3</v>
      </c>
      <c r="AH303" s="290">
        <v>3.3662059799999998E-2</v>
      </c>
      <c r="AI303" s="290">
        <v>1.2098522699999999E-2</v>
      </c>
      <c r="AJ303" s="290">
        <v>7.2195510000000004E-5</v>
      </c>
      <c r="AK303" s="290">
        <v>52.307882313</v>
      </c>
      <c r="AL303" s="290">
        <v>0.28570883850000001</v>
      </c>
      <c r="AM303" s="290">
        <v>2.8544027399999998E-7</v>
      </c>
      <c r="AN303" s="290">
        <v>0.22308385950000001</v>
      </c>
      <c r="AO303" s="290">
        <v>50.61443379</v>
      </c>
      <c r="AP303" s="290">
        <v>1.35209877E-9</v>
      </c>
      <c r="AQ303" s="290">
        <v>4.3221490799999998E-8</v>
      </c>
      <c r="AR303" s="290">
        <v>98.528772599999996</v>
      </c>
      <c r="AS303" s="290">
        <v>8.065825212</v>
      </c>
      <c r="AT303" s="290">
        <v>0</v>
      </c>
      <c r="AU303" s="290">
        <v>8.6963547624000004</v>
      </c>
      <c r="AV303" s="290">
        <v>0.70667511750000001</v>
      </c>
      <c r="AW303" s="290">
        <v>9.926829900000001E-4</v>
      </c>
      <c r="AX303" s="290">
        <v>55.561210727999999</v>
      </c>
      <c r="AY303" s="290">
        <v>0</v>
      </c>
      <c r="AZ303" s="290">
        <v>0</v>
      </c>
      <c r="BA303" s="290">
        <v>0</v>
      </c>
      <c r="BB303" s="290">
        <v>8.7338241000000007E-3</v>
      </c>
      <c r="BC303" s="290">
        <v>1.5376752299999999E-4</v>
      </c>
      <c r="BD303" s="290">
        <v>5.5583861609999996</v>
      </c>
      <c r="BE303" s="290">
        <v>3.4865666099999999E-4</v>
      </c>
      <c r="BF303" s="290">
        <v>0</v>
      </c>
      <c r="BG303" s="290">
        <v>0</v>
      </c>
      <c r="BH303" s="290">
        <v>0</v>
      </c>
      <c r="BI303" s="290">
        <v>0</v>
      </c>
      <c r="BJ303" s="290">
        <v>0</v>
      </c>
      <c r="BK303" s="78">
        <v>0.3</v>
      </c>
      <c r="BL303" s="41" t="s">
        <v>616</v>
      </c>
      <c r="BM303" s="45"/>
    </row>
    <row r="304" spans="1:65" x14ac:dyDescent="0.35">
      <c r="A304" s="45" t="str">
        <f>Database_Productkaarten[[#This Row],[Product]]&amp;", "&amp;Database_Productkaarten[[#This Row],[Levensfase]]</f>
        <v>AC Surf G.M. 30% PR - PCR 2.0, C3</v>
      </c>
      <c r="B304" s="41" t="s">
        <v>1360</v>
      </c>
      <c r="C304" s="41" t="s">
        <v>443</v>
      </c>
      <c r="D304" s="41" t="s">
        <v>471</v>
      </c>
      <c r="E304" s="41" t="s">
        <v>91</v>
      </c>
      <c r="F304" s="41" t="s">
        <v>27</v>
      </c>
      <c r="G304" s="45"/>
      <c r="H304" s="45"/>
      <c r="I304" s="45"/>
      <c r="J304" s="45"/>
      <c r="K304" s="45"/>
      <c r="L304" s="41">
        <v>2.35</v>
      </c>
      <c r="M304" s="291">
        <v>0.15929996450657533</v>
      </c>
      <c r="N304" s="45">
        <v>14</v>
      </c>
      <c r="O304" s="290">
        <v>1.86519505170076E-6</v>
      </c>
      <c r="P304" s="290">
        <v>7.9345026442080892E-3</v>
      </c>
      <c r="Q304" s="290">
        <v>1.61366518939248</v>
      </c>
      <c r="R304" s="290">
        <v>2.08525007806739E-7</v>
      </c>
      <c r="S304" s="290">
        <v>5.8559282689024195E-4</v>
      </c>
      <c r="T304" s="290">
        <v>5.7290955955232002E-3</v>
      </c>
      <c r="U304" s="290">
        <v>1.2820009407260901E-3</v>
      </c>
      <c r="V304" s="290">
        <v>0.43705340518396102</v>
      </c>
      <c r="W304" s="290">
        <v>6.1895127127624397E-3</v>
      </c>
      <c r="X304" s="290">
        <v>21.5058288253102</v>
      </c>
      <c r="Y304" s="290">
        <v>7.32986659284615E-4</v>
      </c>
      <c r="Z304" s="290">
        <v>1.62432602286675</v>
      </c>
      <c r="AA304" s="290">
        <v>1.6238599206075099</v>
      </c>
      <c r="AB304" s="290">
        <v>3.7124416199354001E-4</v>
      </c>
      <c r="AC304" s="290">
        <v>9.4858097243990196E-5</v>
      </c>
      <c r="AD304" s="290">
        <v>2.6274974571499303E-7</v>
      </c>
      <c r="AE304" s="290">
        <v>7.9167720468021601E-3</v>
      </c>
      <c r="AF304" s="290">
        <v>4.4318244425589198E-6</v>
      </c>
      <c r="AG304" s="290">
        <v>3.30426093602172E-3</v>
      </c>
      <c r="AH304" s="290">
        <v>3.6283310973059098E-2</v>
      </c>
      <c r="AI304" s="290">
        <v>9.6537099687646205E-3</v>
      </c>
      <c r="AJ304" s="290">
        <v>1.86518041529208E-6</v>
      </c>
      <c r="AK304" s="290">
        <v>16.741316301411601</v>
      </c>
      <c r="AL304" s="290">
        <v>2.22966987885659E-2</v>
      </c>
      <c r="AM304" s="290">
        <v>3.0576571299093999E-8</v>
      </c>
      <c r="AN304" s="290">
        <v>7.1855284486769394E-2</v>
      </c>
      <c r="AO304" s="290">
        <v>10.0456497862841</v>
      </c>
      <c r="AP304" s="290">
        <v>3.5242587553365099E-10</v>
      </c>
      <c r="AQ304" s="290">
        <v>7.5755651315496593E-9</v>
      </c>
      <c r="AR304" s="290">
        <v>2.13833820053497</v>
      </c>
      <c r="AS304" s="290">
        <v>0</v>
      </c>
      <c r="AT304" s="290">
        <v>0</v>
      </c>
      <c r="AU304" s="290">
        <v>9.2018591927642696E-2</v>
      </c>
      <c r="AV304" s="290">
        <v>0</v>
      </c>
      <c r="AW304" s="290">
        <v>0</v>
      </c>
      <c r="AX304" s="290">
        <v>17.7787484120458</v>
      </c>
      <c r="AY304" s="290">
        <v>0</v>
      </c>
      <c r="AZ304" s="290">
        <v>0</v>
      </c>
      <c r="BA304" s="290">
        <v>0</v>
      </c>
      <c r="BB304" s="290">
        <v>8.6541506008126605E-4</v>
      </c>
      <c r="BC304" s="290">
        <v>4.5591074878526798E-5</v>
      </c>
      <c r="BD304" s="290">
        <v>1.98095255842889E-2</v>
      </c>
      <c r="BE304" s="290">
        <v>1.16353046692931E-4</v>
      </c>
      <c r="BF304" s="290">
        <v>0</v>
      </c>
      <c r="BG304" s="290">
        <v>1000</v>
      </c>
      <c r="BH304" s="290">
        <v>0</v>
      </c>
      <c r="BI304" s="290">
        <v>0</v>
      </c>
      <c r="BJ304" s="290">
        <v>0</v>
      </c>
      <c r="BK304" s="78">
        <v>0.3</v>
      </c>
      <c r="BL304" s="41" t="s">
        <v>616</v>
      </c>
      <c r="BM304" s="45"/>
    </row>
    <row r="305" spans="1:65" x14ac:dyDescent="0.35">
      <c r="A305" s="45" t="str">
        <f>Database_Productkaarten[[#This Row],[Product]]&amp;", "&amp;Database_Productkaarten[[#This Row],[Levensfase]]</f>
        <v>AC Surf G.M. 30% PR - PCR 2.0, C4</v>
      </c>
      <c r="B305" s="41" t="s">
        <v>1360</v>
      </c>
      <c r="C305" s="41" t="s">
        <v>443</v>
      </c>
      <c r="D305" s="41" t="s">
        <v>471</v>
      </c>
      <c r="E305" s="41" t="s">
        <v>91</v>
      </c>
      <c r="F305" s="41" t="s">
        <v>28</v>
      </c>
      <c r="G305" s="45"/>
      <c r="H305" s="45"/>
      <c r="I305" s="45"/>
      <c r="J305" s="45"/>
      <c r="K305" s="45"/>
      <c r="L305" s="41">
        <v>2.35</v>
      </c>
      <c r="M305" s="291">
        <v>0</v>
      </c>
      <c r="N305" s="45">
        <v>14</v>
      </c>
      <c r="O305" s="290">
        <v>0</v>
      </c>
      <c r="P305" s="290">
        <v>0</v>
      </c>
      <c r="Q305" s="290">
        <v>0</v>
      </c>
      <c r="R305" s="290">
        <v>0</v>
      </c>
      <c r="S305" s="290">
        <v>0</v>
      </c>
      <c r="T305" s="290">
        <v>0</v>
      </c>
      <c r="U305" s="290">
        <v>0</v>
      </c>
      <c r="V305" s="290">
        <v>0</v>
      </c>
      <c r="W305" s="290">
        <v>0</v>
      </c>
      <c r="X305" s="290">
        <v>0</v>
      </c>
      <c r="Y305" s="290">
        <v>0</v>
      </c>
      <c r="Z305" s="290">
        <v>0</v>
      </c>
      <c r="AA305" s="290">
        <v>0</v>
      </c>
      <c r="AB305" s="290">
        <v>0</v>
      </c>
      <c r="AC305" s="290">
        <v>0</v>
      </c>
      <c r="AD305" s="290">
        <v>0</v>
      </c>
      <c r="AE305" s="290">
        <v>0</v>
      </c>
      <c r="AF305" s="290">
        <v>0</v>
      </c>
      <c r="AG305" s="290">
        <v>0</v>
      </c>
      <c r="AH305" s="290">
        <v>0</v>
      </c>
      <c r="AI305" s="290">
        <v>0</v>
      </c>
      <c r="AJ305" s="290">
        <v>0</v>
      </c>
      <c r="AK305" s="290">
        <v>0</v>
      </c>
      <c r="AL305" s="290">
        <v>0</v>
      </c>
      <c r="AM305" s="290">
        <v>0</v>
      </c>
      <c r="AN305" s="290">
        <v>0</v>
      </c>
      <c r="AO305" s="290">
        <v>0</v>
      </c>
      <c r="AP305" s="290">
        <v>0</v>
      </c>
      <c r="AQ305" s="290">
        <v>0</v>
      </c>
      <c r="AR305" s="290">
        <v>0</v>
      </c>
      <c r="AS305" s="290">
        <v>0</v>
      </c>
      <c r="AT305" s="290">
        <v>0</v>
      </c>
      <c r="AU305" s="290">
        <v>0</v>
      </c>
      <c r="AV305" s="290">
        <v>0</v>
      </c>
      <c r="AW305" s="290">
        <v>0</v>
      </c>
      <c r="AX305" s="290">
        <v>0</v>
      </c>
      <c r="AY305" s="290">
        <v>0</v>
      </c>
      <c r="AZ305" s="290">
        <v>0</v>
      </c>
      <c r="BA305" s="290">
        <v>0</v>
      </c>
      <c r="BB305" s="290">
        <v>0</v>
      </c>
      <c r="BC305" s="290">
        <v>0</v>
      </c>
      <c r="BD305" s="290">
        <v>0</v>
      </c>
      <c r="BE305" s="290">
        <v>0</v>
      </c>
      <c r="BF305" s="290">
        <v>0</v>
      </c>
      <c r="BG305" s="290">
        <v>0</v>
      </c>
      <c r="BH305" s="290">
        <v>0</v>
      </c>
      <c r="BI305" s="290">
        <v>0</v>
      </c>
      <c r="BJ305" s="290">
        <v>0</v>
      </c>
      <c r="BK305" s="78">
        <v>0.3</v>
      </c>
      <c r="BL305" s="41" t="s">
        <v>616</v>
      </c>
      <c r="BM305" s="45"/>
    </row>
    <row r="306" spans="1:65" x14ac:dyDescent="0.35">
      <c r="A306" s="45" t="str">
        <f>Database_Productkaarten[[#This Row],[Product]]&amp;", "&amp;Database_Productkaarten[[#This Row],[Levensfase]]</f>
        <v>AC Surf G.M. 30% PR - PCR 2.0, D1</v>
      </c>
      <c r="B306" s="41" t="s">
        <v>1360</v>
      </c>
      <c r="C306" s="41" t="s">
        <v>443</v>
      </c>
      <c r="D306" s="41" t="s">
        <v>471</v>
      </c>
      <c r="E306" s="41" t="s">
        <v>91</v>
      </c>
      <c r="F306" s="41" t="s">
        <v>51</v>
      </c>
      <c r="G306" s="45"/>
      <c r="H306" s="45"/>
      <c r="I306" s="45"/>
      <c r="J306" s="45"/>
      <c r="K306" s="45"/>
      <c r="L306" s="41">
        <v>2.35</v>
      </c>
      <c r="M306" s="291">
        <v>-3.0837985097773593</v>
      </c>
      <c r="N306" s="45">
        <v>14</v>
      </c>
      <c r="O306" s="290">
        <v>-3.4621402220471698E-4</v>
      </c>
      <c r="P306" s="290">
        <v>-0.526383839394157</v>
      </c>
      <c r="Q306" s="290">
        <v>-22.9286111796205</v>
      </c>
      <c r="R306" s="290">
        <v>-1.96601260045906E-6</v>
      </c>
      <c r="S306" s="290">
        <v>-5.6613809629709903E-2</v>
      </c>
      <c r="T306" s="290">
        <v>-0.161969081271856</v>
      </c>
      <c r="U306" s="290">
        <v>-1.5452458048823401E-2</v>
      </c>
      <c r="V306" s="290">
        <v>-6.2839722596109198</v>
      </c>
      <c r="W306" s="290">
        <v>-0.81599332059607199</v>
      </c>
      <c r="X306" s="290">
        <v>-3563.7284910871199</v>
      </c>
      <c r="Y306" s="290">
        <v>-0.10743238323118801</v>
      </c>
      <c r="Z306" s="290">
        <v>-6.1419472161645299</v>
      </c>
      <c r="AA306" s="290">
        <v>-6.0685420777144401</v>
      </c>
      <c r="AB306" s="290">
        <v>-6.5925696182667901E-2</v>
      </c>
      <c r="AC306" s="290">
        <v>-7.47944226743333E-3</v>
      </c>
      <c r="AD306" s="290">
        <v>-8.0455335577048201E-7</v>
      </c>
      <c r="AE306" s="290">
        <v>-5.9339702925579503E-2</v>
      </c>
      <c r="AF306" s="290">
        <v>-2.5934097475313302E-4</v>
      </c>
      <c r="AG306" s="290">
        <v>-1.7528680667748601E-2</v>
      </c>
      <c r="AH306" s="290">
        <v>-0.22058039170025801</v>
      </c>
      <c r="AI306" s="290">
        <v>-5.4423012944349397E-2</v>
      </c>
      <c r="AJ306" s="290">
        <v>-3.43819729308192E-4</v>
      </c>
      <c r="AK306" s="290">
        <v>-88.493988502382095</v>
      </c>
      <c r="AL306" s="290">
        <v>-21.688448384532801</v>
      </c>
      <c r="AM306" s="290">
        <v>-8.38232259420884E-7</v>
      </c>
      <c r="AN306" s="290">
        <v>-0.47356623858416702</v>
      </c>
      <c r="AO306" s="290">
        <v>-805.26957513749198</v>
      </c>
      <c r="AP306" s="290">
        <v>-4.4782876736904498E-9</v>
      </c>
      <c r="AQ306" s="290">
        <v>-1.02328514435138E-7</v>
      </c>
      <c r="AR306" s="290">
        <v>-993.65865387436997</v>
      </c>
      <c r="AS306" s="290">
        <v>0</v>
      </c>
      <c r="AT306" s="290">
        <v>0</v>
      </c>
      <c r="AU306" s="290">
        <v>-11.4814492833403</v>
      </c>
      <c r="AV306" s="290">
        <v>0</v>
      </c>
      <c r="AW306" s="290">
        <v>0</v>
      </c>
      <c r="AX306" s="290">
        <v>-1188.8138115320201</v>
      </c>
      <c r="AY306" s="290">
        <v>0</v>
      </c>
      <c r="AZ306" s="290">
        <v>0</v>
      </c>
      <c r="BA306" s="290">
        <v>0</v>
      </c>
      <c r="BB306" s="290">
        <v>-12.7069206864343</v>
      </c>
      <c r="BC306" s="290">
        <v>-5.50373578533407E-4</v>
      </c>
      <c r="BD306" s="290">
        <v>-2.1777590730601699</v>
      </c>
      <c r="BE306" s="290">
        <v>-6.4272763918226999E-4</v>
      </c>
      <c r="BF306" s="290">
        <v>0</v>
      </c>
      <c r="BG306" s="290">
        <v>0</v>
      </c>
      <c r="BH306" s="290">
        <v>0</v>
      </c>
      <c r="BI306" s="290">
        <v>0</v>
      </c>
      <c r="BJ306" s="290">
        <v>0</v>
      </c>
      <c r="BK306" s="78">
        <v>0.3</v>
      </c>
      <c r="BL306" s="41" t="s">
        <v>616</v>
      </c>
      <c r="BM306" s="45"/>
    </row>
    <row r="307" spans="1:65" x14ac:dyDescent="0.35">
      <c r="A307" s="45" t="str">
        <f>Database_Productkaarten[[#This Row],[Product]]&amp;", "&amp;Database_Productkaarten[[#This Row],[Levensfase]]</f>
        <v>AC surf rood, met penbitumen - PCR 2.0, Totaal</v>
      </c>
      <c r="B307" s="45" t="s">
        <v>1361</v>
      </c>
      <c r="C307" s="41" t="s">
        <v>443</v>
      </c>
      <c r="D307" s="41" t="s">
        <v>471</v>
      </c>
      <c r="E307" s="41" t="s">
        <v>91</v>
      </c>
      <c r="F307" s="41" t="s">
        <v>16</v>
      </c>
      <c r="G307" s="45"/>
      <c r="H307" s="45"/>
      <c r="I307" s="45"/>
      <c r="J307" s="45"/>
      <c r="K307" s="45"/>
      <c r="L307" s="41">
        <v>2.35</v>
      </c>
      <c r="M307" s="54">
        <f>SUM(M308:M322)</f>
        <v>22.086689433913797</v>
      </c>
      <c r="N307" s="45">
        <v>14</v>
      </c>
      <c r="O307" s="55">
        <f>SUM(O308:O322)</f>
        <v>1.3546093117971614E-2</v>
      </c>
      <c r="P307" s="55">
        <f t="shared" ref="P307" si="109">SUM(P308:P322)</f>
        <v>1.7150303031880156</v>
      </c>
      <c r="Q307" s="55">
        <f t="shared" ref="Q307" si="110">SUM(Q308:Q322)</f>
        <v>179.30281560349013</v>
      </c>
      <c r="R307" s="55">
        <f t="shared" ref="R307" si="111">SUM(R308:R322)</f>
        <v>2.1215041302164443E-5</v>
      </c>
      <c r="S307" s="55">
        <f t="shared" ref="S307" si="112">SUM(S308:S322)</f>
        <v>0.14621897372561898</v>
      </c>
      <c r="T307" s="55">
        <f t="shared" ref="T307" si="113">SUM(T308:T322)</f>
        <v>1.0765540511007279</v>
      </c>
      <c r="U307" s="55">
        <f t="shared" ref="U307" si="114">SUM(U308:U322)</f>
        <v>0.14132240440255658</v>
      </c>
      <c r="V307" s="55">
        <f t="shared" ref="V307" si="115">SUM(V308:V322)</f>
        <v>62.334595126596248</v>
      </c>
      <c r="W307" s="55">
        <f t="shared" ref="W307" si="116">SUM(W308:W322)</f>
        <v>5.0502255442574597</v>
      </c>
      <c r="X307" s="55">
        <f t="shared" ref="X307" si="117">SUM(X308:X322)</f>
        <v>11890.668458186301</v>
      </c>
      <c r="Y307" s="55">
        <f t="shared" ref="Y307" si="118">SUM(Y308:Y322)</f>
        <v>0.3849502345681754</v>
      </c>
      <c r="Z307" s="55">
        <f t="shared" ref="Z307" si="119">SUM(Z308:Z322)</f>
        <v>211.71586764953514</v>
      </c>
      <c r="AA307" s="55">
        <f t="shared" ref="AA307" si="120">SUM(AA308:AA322)</f>
        <v>211.14387126585814</v>
      </c>
      <c r="AB307" s="55">
        <f t="shared" ref="AB307" si="121">SUM(AB308:AB322)</f>
        <v>0.45954071277816277</v>
      </c>
      <c r="AC307" s="55">
        <f t="shared" ref="AC307" si="122">SUM(AC308:AC322)</f>
        <v>0.15139165424913217</v>
      </c>
      <c r="AD307" s="55">
        <f t="shared" ref="AD307" si="123">SUM(AD308:AD322)</f>
        <v>2.6448449090262121E-5</v>
      </c>
      <c r="AE307" s="55">
        <f t="shared" ref="AE307" si="124">SUM(AE308:AE322)</f>
        <v>1.5237160121995195</v>
      </c>
      <c r="AF307" s="55">
        <f t="shared" ref="AF307" si="125">SUM(AF308:AF322)</f>
        <v>4.4914193679934352E-3</v>
      </c>
      <c r="AG307" s="55">
        <f t="shared" ref="AG307" si="126">SUM(AG308:AG322)</f>
        <v>0.26434873461662312</v>
      </c>
      <c r="AH307" s="55">
        <f t="shared" ref="AH307" si="127">SUM(AH308:AH322)</f>
        <v>3.1333961827439674</v>
      </c>
      <c r="AI307" s="55">
        <f t="shared" ref="AI307" si="128">SUM(AI308:AI322)</f>
        <v>1.0701242290457704</v>
      </c>
      <c r="AJ307" s="55">
        <f t="shared" ref="AJ307" si="129">SUM(AJ308:AJ322)</f>
        <v>1.354939542807016E-2</v>
      </c>
      <c r="AK307" s="55">
        <f t="shared" ref="AK307" si="130">SUM(AK308:AK322)</f>
        <v>4878.647877525993</v>
      </c>
      <c r="AL307" s="55">
        <f t="shared" ref="AL307" si="131">SUM(AL308:AL322)</f>
        <v>105.376554133365</v>
      </c>
      <c r="AM307" s="55">
        <f t="shared" ref="AM307" si="132">SUM(AM308:AM322)</f>
        <v>9.4433814025709783E-6</v>
      </c>
      <c r="AN307" s="55">
        <f t="shared" ref="AN307" si="133">SUM(AN308:AN322)</f>
        <v>6.5329891883327038</v>
      </c>
      <c r="AO307" s="55">
        <f t="shared" ref="AO307" si="134">SUM(AO308:AO322)</f>
        <v>7107.7889400844288</v>
      </c>
      <c r="AP307" s="55">
        <f t="shared" ref="AP307" si="135">SUM(AP308:AP322)</f>
        <v>1.1964276026877953E-7</v>
      </c>
      <c r="AQ307" s="55">
        <f t="shared" ref="AQ307" si="136">SUM(AQ308:AQ322)</f>
        <v>3.3866416100385983E-6</v>
      </c>
      <c r="AR307" s="55">
        <f t="shared" ref="AR307" si="137">SUM(AR308:AR322)</f>
        <v>1410.6662612706371</v>
      </c>
      <c r="AS307" s="55">
        <f t="shared" ref="AS307" si="138">SUM(AS308:AS322)</f>
        <v>8.065825212</v>
      </c>
      <c r="AT307" s="55">
        <f t="shared" ref="AT307" si="139">SUM(AT308:AT322)</f>
        <v>0</v>
      </c>
      <c r="AU307" s="55">
        <f t="shared" ref="AU307" si="140">SUM(AU308:AU322)</f>
        <v>105.76723875619722</v>
      </c>
      <c r="AV307" s="55">
        <f t="shared" ref="AV307" si="141">SUM(AV308:AV322)</f>
        <v>0.70667511750000001</v>
      </c>
      <c r="AW307" s="55">
        <f t="shared" ref="AW307" si="142">SUM(AW308:AW322)</f>
        <v>9.926829900000001E-4</v>
      </c>
      <c r="AX307" s="55">
        <f t="shared" ref="AX307" si="143">SUM(AX308:AX322)</f>
        <v>3662.6346447685701</v>
      </c>
      <c r="AY307" s="55">
        <f t="shared" ref="AY307" si="144">SUM(AY308:AY322)</f>
        <v>0</v>
      </c>
      <c r="AZ307" s="55">
        <f t="shared" ref="AZ307" si="145">SUM(AZ308:AZ322)</f>
        <v>0</v>
      </c>
      <c r="BA307" s="55">
        <f t="shared" ref="BA307" si="146">SUM(BA308:BA322)</f>
        <v>0</v>
      </c>
      <c r="BB307" s="55">
        <f t="shared" ref="BB307" si="147">SUM(BB308:BB322)</f>
        <v>-14.602023908353154</v>
      </c>
      <c r="BC307" s="55">
        <f t="shared" ref="BC307" si="148">SUM(BC308:BC322)</f>
        <v>4.4144988930639607E-3</v>
      </c>
      <c r="BD307" s="55">
        <f t="shared" ref="BD307" si="149">SUM(BD308:BD322)</f>
        <v>39.426063682478578</v>
      </c>
      <c r="BE307" s="55">
        <f t="shared" ref="BE307" si="150">SUM(BE308:BE322)</f>
        <v>6.9456693344664864E-3</v>
      </c>
      <c r="BF307" s="55">
        <f t="shared" ref="BF307" si="151">SUM(BF308:BF322)</f>
        <v>0</v>
      </c>
      <c r="BG307" s="55">
        <f t="shared" ref="BG307" si="152">SUM(BG308:BG322)</f>
        <v>1000</v>
      </c>
      <c r="BH307" s="55">
        <f t="shared" ref="BH307" si="153">SUM(BH308:BH322)</f>
        <v>0</v>
      </c>
      <c r="BI307" s="55">
        <f t="shared" ref="BI307" si="154">SUM(BI308:BI322)</f>
        <v>0</v>
      </c>
      <c r="BJ307" s="55">
        <f t="shared" ref="BJ307" si="155">SUM(BJ308:BJ322)</f>
        <v>0</v>
      </c>
      <c r="BK307" s="78">
        <v>0</v>
      </c>
      <c r="BL307" s="41" t="s">
        <v>616</v>
      </c>
      <c r="BM307" s="45"/>
    </row>
    <row r="308" spans="1:65" x14ac:dyDescent="0.35">
      <c r="A308" s="45" t="str">
        <f>Database_Productkaarten[[#This Row],[Product]]&amp;", "&amp;Database_Productkaarten[[#This Row],[Levensfase]]</f>
        <v>AC surf rood, met penbitumen - PCR 2.0, A1</v>
      </c>
      <c r="B308" s="45" t="s">
        <v>1361</v>
      </c>
      <c r="C308" s="41" t="s">
        <v>443</v>
      </c>
      <c r="D308" s="41" t="s">
        <v>471</v>
      </c>
      <c r="E308" s="41" t="s">
        <v>91</v>
      </c>
      <c r="F308" s="41" t="s">
        <v>19</v>
      </c>
      <c r="G308" s="45"/>
      <c r="H308" s="45"/>
      <c r="I308" s="45"/>
      <c r="J308" s="45"/>
      <c r="K308" s="45"/>
      <c r="L308" s="41">
        <v>2.35</v>
      </c>
      <c r="M308" s="291">
        <v>20.03759244342482</v>
      </c>
      <c r="N308" s="45">
        <v>14</v>
      </c>
      <c r="O308" s="290">
        <v>1.3492627771307299E-2</v>
      </c>
      <c r="P308" s="290">
        <v>2.01091736208343</v>
      </c>
      <c r="Q308" s="290">
        <v>150.10855180977401</v>
      </c>
      <c r="R308" s="290">
        <v>1.5240065052943401E-5</v>
      </c>
      <c r="S308" s="290">
        <v>0.198660184213903</v>
      </c>
      <c r="T308" s="290">
        <v>1.03202258999851</v>
      </c>
      <c r="U308" s="290">
        <v>0.113580848257067</v>
      </c>
      <c r="V308" s="290">
        <v>55.058325424719399</v>
      </c>
      <c r="W308" s="290">
        <v>5.3525763423564001</v>
      </c>
      <c r="X308" s="290">
        <v>15166.366708743701</v>
      </c>
      <c r="Y308" s="290">
        <v>0.46167400837526801</v>
      </c>
      <c r="Z308" s="290">
        <v>158.013585042969</v>
      </c>
      <c r="AA308" s="290">
        <v>157.468953216741</v>
      </c>
      <c r="AB308" s="290">
        <v>0.45579109432356302</v>
      </c>
      <c r="AC308" s="290">
        <v>0.127776731904757</v>
      </c>
      <c r="AD308" s="290">
        <v>1.69527694943531E-5</v>
      </c>
      <c r="AE308" s="290">
        <v>1.2441261486976001</v>
      </c>
      <c r="AF308" s="290">
        <v>4.2348189190356102E-3</v>
      </c>
      <c r="AG308" s="290">
        <v>0.16347498724544199</v>
      </c>
      <c r="AH308" s="290">
        <v>2.05495496478974</v>
      </c>
      <c r="AI308" s="290">
        <v>0.770231460125821</v>
      </c>
      <c r="AJ308" s="290">
        <v>1.3492547398630201E-2</v>
      </c>
      <c r="AK308" s="290">
        <v>4115.7646698377303</v>
      </c>
      <c r="AL308" s="290">
        <v>133.60243964680299</v>
      </c>
      <c r="AM308" s="290">
        <v>8.4763971823959201E-6</v>
      </c>
      <c r="AN308" s="290">
        <v>4.7023800787435803</v>
      </c>
      <c r="AO308" s="290">
        <v>7733.2388680651902</v>
      </c>
      <c r="AP308" s="290">
        <v>1.06400406135103E-7</v>
      </c>
      <c r="AQ308" s="290">
        <v>3.0547558731421502E-6</v>
      </c>
      <c r="AR308" s="290">
        <v>2363.9728948506799</v>
      </c>
      <c r="AS308" s="290">
        <v>0</v>
      </c>
      <c r="AT308" s="290">
        <v>0</v>
      </c>
      <c r="AU308" s="290">
        <v>99.216061884088305</v>
      </c>
      <c r="AV308" s="290">
        <v>0</v>
      </c>
      <c r="AW308" s="290">
        <v>0</v>
      </c>
      <c r="AX308" s="290">
        <v>4388.6103071064899</v>
      </c>
      <c r="AY308" s="290">
        <v>0</v>
      </c>
      <c r="AZ308" s="290">
        <v>0</v>
      </c>
      <c r="BA308" s="290">
        <v>0</v>
      </c>
      <c r="BB308" s="290">
        <v>3.2848129150113401</v>
      </c>
      <c r="BC308" s="290">
        <v>3.44607985454919E-3</v>
      </c>
      <c r="BD308" s="290">
        <v>20.751133723382001</v>
      </c>
      <c r="BE308" s="290">
        <v>4.0454887832290596E-3</v>
      </c>
      <c r="BF308" s="290">
        <v>0</v>
      </c>
      <c r="BG308" s="290">
        <v>0</v>
      </c>
      <c r="BH308" s="290">
        <v>0</v>
      </c>
      <c r="BI308" s="290">
        <v>0</v>
      </c>
      <c r="BJ308" s="290">
        <v>0</v>
      </c>
      <c r="BK308" s="78">
        <v>0</v>
      </c>
      <c r="BL308" s="41" t="s">
        <v>616</v>
      </c>
      <c r="BM308" s="45"/>
    </row>
    <row r="309" spans="1:65" x14ac:dyDescent="0.35">
      <c r="A309" s="45" t="str">
        <f>Database_Productkaarten[[#This Row],[Product]]&amp;", "&amp;Database_Productkaarten[[#This Row],[Levensfase]]</f>
        <v>AC surf rood, met penbitumen - PCR 2.0, A2</v>
      </c>
      <c r="B309" s="45" t="s">
        <v>1361</v>
      </c>
      <c r="C309" s="41" t="s">
        <v>443</v>
      </c>
      <c r="D309" s="41" t="s">
        <v>471</v>
      </c>
      <c r="E309" s="41" t="s">
        <v>91</v>
      </c>
      <c r="F309" s="41" t="s">
        <v>20</v>
      </c>
      <c r="G309" s="45"/>
      <c r="H309" s="45"/>
      <c r="I309" s="45"/>
      <c r="J309" s="45"/>
      <c r="K309" s="45"/>
      <c r="L309" s="41">
        <v>2.35</v>
      </c>
      <c r="M309" s="291">
        <v>3.3695195353397596</v>
      </c>
      <c r="N309" s="45">
        <v>14</v>
      </c>
      <c r="O309" s="290">
        <v>3.7328660314562499E-4</v>
      </c>
      <c r="P309" s="290">
        <v>0.16788846863874701</v>
      </c>
      <c r="Q309" s="290">
        <v>25.3726102449147</v>
      </c>
      <c r="R309" s="290">
        <v>4.0188286045780402E-6</v>
      </c>
      <c r="S309" s="290">
        <v>1.7118457616652299E-2</v>
      </c>
      <c r="T309" s="290">
        <v>0.20669220482435499</v>
      </c>
      <c r="U309" s="290">
        <v>3.6863233381127E-2</v>
      </c>
      <c r="V309" s="290">
        <v>8.8026229583899305</v>
      </c>
      <c r="W309" s="290">
        <v>0.223948183772161</v>
      </c>
      <c r="X309" s="290">
        <v>800.54510267011403</v>
      </c>
      <c r="Y309" s="290">
        <v>3.4378673350778599E-2</v>
      </c>
      <c r="Z309" s="290">
        <v>25.6352654735127</v>
      </c>
      <c r="AA309" s="290">
        <v>25.581049586950002</v>
      </c>
      <c r="AB309" s="290">
        <v>2.4660408035166798E-2</v>
      </c>
      <c r="AC309" s="290">
        <v>2.9555478527618299E-2</v>
      </c>
      <c r="AD309" s="290">
        <v>5.0206803819121697E-6</v>
      </c>
      <c r="AE309" s="290">
        <v>0.27525384946646497</v>
      </c>
      <c r="AF309" s="290">
        <v>2.6653838867339103E-4</v>
      </c>
      <c r="AG309" s="290">
        <v>9.7091616005812606E-2</v>
      </c>
      <c r="AH309" s="290">
        <v>1.0714944749117099</v>
      </c>
      <c r="AI309" s="290">
        <v>0.28276835508456299</v>
      </c>
      <c r="AJ309" s="290">
        <v>3.7327875092756102E-4</v>
      </c>
      <c r="AK309" s="290">
        <v>348.24861558171898</v>
      </c>
      <c r="AL309" s="290">
        <v>1.3566024069462199</v>
      </c>
      <c r="AM309" s="290">
        <v>1.26994335484266E-6</v>
      </c>
      <c r="AN309" s="290">
        <v>1.4866828919966</v>
      </c>
      <c r="AO309" s="290">
        <v>300.48829344295598</v>
      </c>
      <c r="AP309" s="290">
        <v>1.20150356474664E-8</v>
      </c>
      <c r="AQ309" s="290">
        <v>2.6309084255299398E-7</v>
      </c>
      <c r="AR309" s="290">
        <v>259.40264986134099</v>
      </c>
      <c r="AS309" s="290">
        <v>0</v>
      </c>
      <c r="AT309" s="290">
        <v>0</v>
      </c>
      <c r="AU309" s="290">
        <v>5.9493329567995001</v>
      </c>
      <c r="AV309" s="290">
        <v>0</v>
      </c>
      <c r="AW309" s="290">
        <v>0</v>
      </c>
      <c r="AX309" s="290">
        <v>369.651134706253</v>
      </c>
      <c r="AY309" s="290">
        <v>0</v>
      </c>
      <c r="AZ309" s="290">
        <v>0</v>
      </c>
      <c r="BA309" s="290">
        <v>0</v>
      </c>
      <c r="BB309" s="290">
        <v>5.1260868549893798E-2</v>
      </c>
      <c r="BC309" s="290">
        <v>8.3687085366688596E-4</v>
      </c>
      <c r="BD309" s="290">
        <v>10.3843694114207</v>
      </c>
      <c r="BE309" s="290">
        <v>2.28654481150947E-3</v>
      </c>
      <c r="BF309" s="290">
        <v>0</v>
      </c>
      <c r="BG309" s="290">
        <v>0</v>
      </c>
      <c r="BH309" s="290">
        <v>0</v>
      </c>
      <c r="BI309" s="290">
        <v>0</v>
      </c>
      <c r="BJ309" s="290">
        <v>0</v>
      </c>
      <c r="BK309" s="78">
        <v>0</v>
      </c>
      <c r="BL309" s="41" t="s">
        <v>616</v>
      </c>
      <c r="BM309" s="45"/>
    </row>
    <row r="310" spans="1:65" x14ac:dyDescent="0.35">
      <c r="A310" s="45" t="str">
        <f>Database_Productkaarten[[#This Row],[Product]]&amp;", "&amp;Database_Productkaarten[[#This Row],[Levensfase]]</f>
        <v>AC surf rood, met penbitumen - PCR 2.0, A3</v>
      </c>
      <c r="B310" s="45" t="s">
        <v>1361</v>
      </c>
      <c r="C310" s="41" t="s">
        <v>443</v>
      </c>
      <c r="D310" s="41" t="s">
        <v>471</v>
      </c>
      <c r="E310" s="41" t="s">
        <v>91</v>
      </c>
      <c r="F310" s="41" t="s">
        <v>21</v>
      </c>
      <c r="G310" s="45"/>
      <c r="H310" s="45"/>
      <c r="I310" s="45"/>
      <c r="J310" s="45"/>
      <c r="K310" s="45"/>
      <c r="L310" s="41">
        <v>2.35</v>
      </c>
      <c r="M310" s="291">
        <v>1.6815137603378565</v>
      </c>
      <c r="N310" s="45">
        <v>14</v>
      </c>
      <c r="O310" s="290">
        <v>2.33849588943861E-5</v>
      </c>
      <c r="P310" s="290">
        <v>0.19960223737851701</v>
      </c>
      <c r="Q310" s="290">
        <v>23.454272674084201</v>
      </c>
      <c r="R310" s="290">
        <v>2.6392808042848099E-6</v>
      </c>
      <c r="S310" s="290">
        <v>3.78591122635815E-3</v>
      </c>
      <c r="T310" s="290">
        <v>2.3372004142148399E-2</v>
      </c>
      <c r="U310" s="290">
        <v>3.9676656794029102E-3</v>
      </c>
      <c r="V310" s="290">
        <v>3.6334239866800799</v>
      </c>
      <c r="W310" s="290">
        <v>2.61327693935757E-2</v>
      </c>
      <c r="X310" s="290">
        <v>106.652056410283</v>
      </c>
      <c r="Y310" s="290">
        <v>2.59111829258836E-2</v>
      </c>
      <c r="Z310" s="290">
        <v>23.8050142170271</v>
      </c>
      <c r="AA310" s="290">
        <v>23.747378765364999</v>
      </c>
      <c r="AB310" s="290">
        <v>5.5595427055878603E-2</v>
      </c>
      <c r="AC310" s="290">
        <v>2.0400246061344899E-3</v>
      </c>
      <c r="AD310" s="290">
        <v>2.9747851068484401E-6</v>
      </c>
      <c r="AE310" s="290">
        <v>3.0013774637882101E-2</v>
      </c>
      <c r="AF310" s="290">
        <v>2.7959430526432199E-4</v>
      </c>
      <c r="AG310" s="290">
        <v>8.3400645445631198E-3</v>
      </c>
      <c r="AH310" s="290">
        <v>9.4423272814494905E-2</v>
      </c>
      <c r="AI310" s="290">
        <v>2.8513646848488099E-2</v>
      </c>
      <c r="AJ310" s="290">
        <v>2.3384638810364502E-5</v>
      </c>
      <c r="AK310" s="290">
        <v>367.35558991307801</v>
      </c>
      <c r="AL310" s="290">
        <v>0.56189641902260201</v>
      </c>
      <c r="AM310" s="290">
        <v>1.9739779911938301E-7</v>
      </c>
      <c r="AN310" s="290">
        <v>0.274350785697207</v>
      </c>
      <c r="AO310" s="290">
        <v>80.197722161822995</v>
      </c>
      <c r="AP310" s="290">
        <v>2.95051528065096E-9</v>
      </c>
      <c r="AQ310" s="290">
        <v>5.1953582460757299E-8</v>
      </c>
      <c r="AR310" s="290">
        <v>17.006123180250601</v>
      </c>
      <c r="AS310" s="290">
        <v>0</v>
      </c>
      <c r="AT310" s="290">
        <v>0</v>
      </c>
      <c r="AU310" s="290">
        <v>7.2150814431540597</v>
      </c>
      <c r="AV310" s="290">
        <v>0</v>
      </c>
      <c r="AW310" s="290">
        <v>0</v>
      </c>
      <c r="AX310" s="290">
        <v>404.91427764892802</v>
      </c>
      <c r="AY310" s="290">
        <v>0</v>
      </c>
      <c r="AZ310" s="290">
        <v>0</v>
      </c>
      <c r="BA310" s="290">
        <v>0</v>
      </c>
      <c r="BB310" s="290">
        <v>4.1899063666436497E-2</v>
      </c>
      <c r="BC310" s="290">
        <v>4.4491824741930302E-4</v>
      </c>
      <c r="BD310" s="290">
        <v>0.28473938764136703</v>
      </c>
      <c r="BE310" s="290">
        <v>3.4768976034573297E-4</v>
      </c>
      <c r="BF310" s="290">
        <v>0</v>
      </c>
      <c r="BG310" s="290">
        <v>0</v>
      </c>
      <c r="BH310" s="290">
        <v>0</v>
      </c>
      <c r="BI310" s="290">
        <v>0</v>
      </c>
      <c r="BJ310" s="290">
        <v>0</v>
      </c>
      <c r="BK310" s="78">
        <v>0</v>
      </c>
      <c r="BL310" s="41" t="s">
        <v>616</v>
      </c>
      <c r="BM310" s="45"/>
    </row>
    <row r="311" spans="1:65" x14ac:dyDescent="0.35">
      <c r="A311" s="45" t="str">
        <f>Database_Productkaarten[[#This Row],[Product]]&amp;", "&amp;Database_Productkaarten[[#This Row],[Levensfase]]</f>
        <v>AC surf rood, met penbitumen - PCR 2.0, A4</v>
      </c>
      <c r="B311" s="45" t="s">
        <v>1361</v>
      </c>
      <c r="C311" s="41" t="s">
        <v>443</v>
      </c>
      <c r="D311" s="41" t="s">
        <v>471</v>
      </c>
      <c r="E311" s="41" t="s">
        <v>91</v>
      </c>
      <c r="F311" s="41" t="s">
        <v>22</v>
      </c>
      <c r="G311" s="45"/>
      <c r="H311" s="45"/>
      <c r="I311" s="45"/>
      <c r="J311" s="45"/>
      <c r="K311" s="45"/>
      <c r="L311" s="41">
        <v>2.35</v>
      </c>
      <c r="M311" s="291">
        <v>0.37546048090943995</v>
      </c>
      <c r="N311" s="45">
        <v>14</v>
      </c>
      <c r="O311" s="290">
        <v>6.8533509000000002E-5</v>
      </c>
      <c r="P311" s="290">
        <v>2.9713889699999999E-2</v>
      </c>
      <c r="Q311" s="290">
        <v>3.9891474704999998</v>
      </c>
      <c r="R311" s="290">
        <v>7.557213E-7</v>
      </c>
      <c r="S311" s="290">
        <v>2.4773701499999998E-3</v>
      </c>
      <c r="T311" s="290">
        <v>1.36398132E-2</v>
      </c>
      <c r="U311" s="290">
        <v>2.5682192100000001E-3</v>
      </c>
      <c r="V311" s="290">
        <v>0.8608144794</v>
      </c>
      <c r="W311" s="290">
        <v>3.6189873900000002E-2</v>
      </c>
      <c r="X311" s="290">
        <v>97.376595929999993</v>
      </c>
      <c r="Y311" s="290">
        <v>4.8437180999999999E-3</v>
      </c>
      <c r="Z311" s="290">
        <v>4.0259382761999998</v>
      </c>
      <c r="AA311" s="290">
        <v>4.0229543298000001</v>
      </c>
      <c r="AB311" s="290">
        <v>1.9814632200000001E-3</v>
      </c>
      <c r="AC311" s="290">
        <v>1.0024609799999999E-3</v>
      </c>
      <c r="AD311" s="290">
        <v>9.4976262000000003E-7</v>
      </c>
      <c r="AE311" s="290">
        <v>1.7739576E-2</v>
      </c>
      <c r="AF311" s="290">
        <v>2.7841996800000001E-5</v>
      </c>
      <c r="AG311" s="290">
        <v>5.5484582100000001E-3</v>
      </c>
      <c r="AH311" s="290">
        <v>6.1385308800000003E-2</v>
      </c>
      <c r="AI311" s="290">
        <v>1.9235744999999999E-2</v>
      </c>
      <c r="AJ311" s="290">
        <v>6.8533397999999998E-5</v>
      </c>
      <c r="AK311" s="290">
        <v>62.400806729999999</v>
      </c>
      <c r="AL311" s="290">
        <v>0.212954166</v>
      </c>
      <c r="AM311" s="290">
        <v>2.9338876200000002E-7</v>
      </c>
      <c r="AN311" s="290">
        <v>0.26868483510000002</v>
      </c>
      <c r="AO311" s="290">
        <v>45.56587296</v>
      </c>
      <c r="AP311" s="290">
        <v>1.16371179E-9</v>
      </c>
      <c r="AQ311" s="290">
        <v>3.8268015899999999E-8</v>
      </c>
      <c r="AR311" s="290">
        <v>71.806844609999999</v>
      </c>
      <c r="AS311" s="290">
        <v>0</v>
      </c>
      <c r="AT311" s="290">
        <v>0</v>
      </c>
      <c r="AU311" s="290">
        <v>0.63474917099999995</v>
      </c>
      <c r="AV311" s="290">
        <v>0</v>
      </c>
      <c r="AW311" s="290">
        <v>0</v>
      </c>
      <c r="AX311" s="290">
        <v>66.265108560000002</v>
      </c>
      <c r="AY311" s="290">
        <v>0</v>
      </c>
      <c r="AZ311" s="290">
        <v>0</v>
      </c>
      <c r="BA311" s="290">
        <v>0</v>
      </c>
      <c r="BB311" s="290">
        <v>6.7467797999999999E-3</v>
      </c>
      <c r="BC311" s="290">
        <v>1.54707915E-4</v>
      </c>
      <c r="BD311" s="290">
        <v>5.4635493149999999</v>
      </c>
      <c r="BE311" s="290">
        <v>4.25149758E-4</v>
      </c>
      <c r="BF311" s="290">
        <v>0</v>
      </c>
      <c r="BG311" s="290">
        <v>0</v>
      </c>
      <c r="BH311" s="290">
        <v>0</v>
      </c>
      <c r="BI311" s="290">
        <v>0</v>
      </c>
      <c r="BJ311" s="290">
        <v>0</v>
      </c>
      <c r="BK311" s="78">
        <v>0</v>
      </c>
      <c r="BL311" s="41" t="s">
        <v>616</v>
      </c>
      <c r="BM311" s="45"/>
    </row>
    <row r="312" spans="1:65" x14ac:dyDescent="0.35">
      <c r="A312" s="45" t="str">
        <f>Database_Productkaarten[[#This Row],[Product]]&amp;", "&amp;Database_Productkaarten[[#This Row],[Levensfase]]</f>
        <v>AC surf rood, met penbitumen - PCR 2.0, A5</v>
      </c>
      <c r="B312" s="45" t="s">
        <v>1361</v>
      </c>
      <c r="C312" s="41" t="s">
        <v>443</v>
      </c>
      <c r="D312" s="41" t="s">
        <v>471</v>
      </c>
      <c r="E312" s="41" t="s">
        <v>91</v>
      </c>
      <c r="F312" s="41" t="s">
        <v>23</v>
      </c>
      <c r="G312" s="45"/>
      <c r="H312" s="45"/>
      <c r="I312" s="45"/>
      <c r="J312" s="45"/>
      <c r="K312" s="45"/>
      <c r="L312" s="41">
        <v>2.35</v>
      </c>
      <c r="M312" s="291">
        <v>0.25970533364895826</v>
      </c>
      <c r="N312" s="45">
        <v>14</v>
      </c>
      <c r="O312" s="290">
        <v>2.9238193009951299E-6</v>
      </c>
      <c r="P312" s="290">
        <v>1.2437869088134801E-2</v>
      </c>
      <c r="Q312" s="290">
        <v>2.5295292173160902</v>
      </c>
      <c r="R312" s="290">
        <v>3.2687704143202798E-7</v>
      </c>
      <c r="S312" s="290">
        <v>9.4117069521297396E-4</v>
      </c>
      <c r="T312" s="290">
        <v>1.04973944644685E-2</v>
      </c>
      <c r="U312" s="290">
        <v>2.4039520989896199E-3</v>
      </c>
      <c r="V312" s="290">
        <v>0.68877614131187204</v>
      </c>
      <c r="W312" s="290">
        <v>9.7024794481253996E-3</v>
      </c>
      <c r="X312" s="290">
        <v>33.711839989285899</v>
      </c>
      <c r="Y312" s="290">
        <v>1.14900611789572E-3</v>
      </c>
      <c r="Z312" s="290">
        <v>2.54822762914932</v>
      </c>
      <c r="AA312" s="290">
        <v>2.5474969823626701</v>
      </c>
      <c r="AB312" s="290">
        <v>5.8195031043270702E-4</v>
      </c>
      <c r="AC312" s="290">
        <v>1.4869647622315201E-4</v>
      </c>
      <c r="AD312" s="290">
        <v>4.1187798250998598E-7</v>
      </c>
      <c r="AE312" s="290">
        <v>1.4654717120868899E-2</v>
      </c>
      <c r="AF312" s="290">
        <v>6.9471843033608797E-6</v>
      </c>
      <c r="AG312" s="290">
        <v>6.3596059808253298E-3</v>
      </c>
      <c r="AH312" s="290">
        <v>6.9798399555789994E-2</v>
      </c>
      <c r="AI312" s="290">
        <v>1.82004994663327E-2</v>
      </c>
      <c r="AJ312" s="290">
        <v>2.9237963574354898E-6</v>
      </c>
      <c r="AK312" s="290">
        <v>26.243144640263999</v>
      </c>
      <c r="AL312" s="290">
        <v>3.49515819165322E-2</v>
      </c>
      <c r="AM312" s="290">
        <v>5.4485692658538302E-8</v>
      </c>
      <c r="AN312" s="290">
        <v>0.11263801424094499</v>
      </c>
      <c r="AO312" s="290">
        <v>15.7470628147061</v>
      </c>
      <c r="AP312" s="290">
        <v>5.5245137463924401E-10</v>
      </c>
      <c r="AQ312" s="290">
        <v>1.32398654454107E-8</v>
      </c>
      <c r="AR312" s="290">
        <v>3.35198963145133</v>
      </c>
      <c r="AS312" s="290">
        <v>0</v>
      </c>
      <c r="AT312" s="290">
        <v>0</v>
      </c>
      <c r="AU312" s="290">
        <v>0.14424535995787399</v>
      </c>
      <c r="AV312" s="290">
        <v>0</v>
      </c>
      <c r="AW312" s="290">
        <v>0</v>
      </c>
      <c r="AX312" s="290">
        <v>27.869389580856499</v>
      </c>
      <c r="AY312" s="290">
        <v>0</v>
      </c>
      <c r="AZ312" s="290">
        <v>0</v>
      </c>
      <c r="BA312" s="290">
        <v>0</v>
      </c>
      <c r="BB312" s="290">
        <v>1.3565965821263899E-3</v>
      </c>
      <c r="BC312" s="290">
        <v>7.1467090724506899E-5</v>
      </c>
      <c r="BD312" s="290">
        <v>3.1052769848688499E-2</v>
      </c>
      <c r="BE312" s="290">
        <v>1.8239126358313899E-4</v>
      </c>
      <c r="BF312" s="290">
        <v>0</v>
      </c>
      <c r="BG312" s="290">
        <v>0</v>
      </c>
      <c r="BH312" s="290">
        <v>0</v>
      </c>
      <c r="BI312" s="290">
        <v>0</v>
      </c>
      <c r="BJ312" s="290">
        <v>0</v>
      </c>
      <c r="BK312" s="78">
        <v>0</v>
      </c>
      <c r="BL312" s="41" t="s">
        <v>616</v>
      </c>
      <c r="BM312" s="45"/>
    </row>
    <row r="313" spans="1:65" x14ac:dyDescent="0.35">
      <c r="A313" s="45" t="str">
        <f>Database_Productkaarten[[#This Row],[Product]]&amp;", "&amp;Database_Productkaarten[[#This Row],[Levensfase]]</f>
        <v>AC surf rood, met penbitumen - PCR 2.0, B1</v>
      </c>
      <c r="B313" s="45" t="s">
        <v>1361</v>
      </c>
      <c r="C313" s="41" t="s">
        <v>443</v>
      </c>
      <c r="D313" s="41" t="s">
        <v>471</v>
      </c>
      <c r="E313" s="41" t="s">
        <v>91</v>
      </c>
      <c r="F313" s="41" t="s">
        <v>24</v>
      </c>
      <c r="G313" s="45"/>
      <c r="H313" s="45"/>
      <c r="I313" s="45"/>
      <c r="J313" s="45"/>
      <c r="K313" s="45"/>
      <c r="L313" s="41">
        <v>2.35</v>
      </c>
      <c r="M313" s="291">
        <v>0.11825486639676779</v>
      </c>
      <c r="N313" s="45">
        <v>14</v>
      </c>
      <c r="O313" s="290">
        <v>0</v>
      </c>
      <c r="P313" s="290">
        <v>0</v>
      </c>
      <c r="Q313" s="290">
        <v>0</v>
      </c>
      <c r="R313" s="290">
        <v>0</v>
      </c>
      <c r="S313" s="290">
        <v>0</v>
      </c>
      <c r="T313" s="290">
        <v>0</v>
      </c>
      <c r="U313" s="290">
        <v>0</v>
      </c>
      <c r="V313" s="290">
        <v>0.47637814426189901</v>
      </c>
      <c r="W313" s="290">
        <v>0.51070836809688902</v>
      </c>
      <c r="X313" s="290">
        <v>600.42146990351</v>
      </c>
      <c r="Y313" s="290">
        <v>2.9058966565328201E-4</v>
      </c>
      <c r="Z313" s="290">
        <v>0</v>
      </c>
      <c r="AA313" s="290">
        <v>0</v>
      </c>
      <c r="AB313" s="290">
        <v>0</v>
      </c>
      <c r="AC313" s="290">
        <v>0</v>
      </c>
      <c r="AD313" s="290">
        <v>0</v>
      </c>
      <c r="AE313" s="290">
        <v>0</v>
      </c>
      <c r="AF313" s="290">
        <v>0</v>
      </c>
      <c r="AG313" s="290">
        <v>0</v>
      </c>
      <c r="AH313" s="290">
        <v>0</v>
      </c>
      <c r="AI313" s="290">
        <v>0</v>
      </c>
      <c r="AJ313" s="290">
        <v>0</v>
      </c>
      <c r="AK313" s="290">
        <v>0</v>
      </c>
      <c r="AL313" s="290">
        <v>0</v>
      </c>
      <c r="AM313" s="290">
        <v>0</v>
      </c>
      <c r="AN313" s="290">
        <v>0</v>
      </c>
      <c r="AO313" s="290">
        <v>3.5405688217834199</v>
      </c>
      <c r="AP313" s="290">
        <v>8.8497327752214597E-10</v>
      </c>
      <c r="AQ313" s="290">
        <v>5.3167546814193901E-8</v>
      </c>
      <c r="AR313" s="290">
        <v>0</v>
      </c>
      <c r="AS313" s="290">
        <v>0</v>
      </c>
      <c r="AT313" s="290">
        <v>0</v>
      </c>
      <c r="AU313" s="290">
        <v>0</v>
      </c>
      <c r="AV313" s="290">
        <v>0</v>
      </c>
      <c r="AW313" s="290">
        <v>0</v>
      </c>
      <c r="AX313" s="290">
        <v>0</v>
      </c>
      <c r="AY313" s="290">
        <v>0</v>
      </c>
      <c r="AZ313" s="290">
        <v>0</v>
      </c>
      <c r="BA313" s="290">
        <v>0</v>
      </c>
      <c r="BB313" s="290">
        <v>0</v>
      </c>
      <c r="BC313" s="290">
        <v>0</v>
      </c>
      <c r="BD313" s="290">
        <v>0</v>
      </c>
      <c r="BE313" s="290">
        <v>0</v>
      </c>
      <c r="BF313" s="290">
        <v>0</v>
      </c>
      <c r="BG313" s="290">
        <v>0</v>
      </c>
      <c r="BH313" s="290">
        <v>0</v>
      </c>
      <c r="BI313" s="290">
        <v>0</v>
      </c>
      <c r="BJ313" s="290">
        <v>0</v>
      </c>
      <c r="BK313" s="78">
        <v>0</v>
      </c>
      <c r="BL313" s="41" t="s">
        <v>616</v>
      </c>
      <c r="BM313" s="45"/>
    </row>
    <row r="314" spans="1:65" x14ac:dyDescent="0.35">
      <c r="A314" s="45" t="str">
        <f>Database_Productkaarten[[#This Row],[Product]]&amp;", "&amp;Database_Productkaarten[[#This Row],[Levensfase]]</f>
        <v>AC surf rood, met penbitumen - PCR 2.0, B2</v>
      </c>
      <c r="B314" s="45" t="s">
        <v>1361</v>
      </c>
      <c r="C314" s="41" t="s">
        <v>443</v>
      </c>
      <c r="D314" s="41" t="s">
        <v>471</v>
      </c>
      <c r="E314" s="41" t="s">
        <v>91</v>
      </c>
      <c r="F314" s="41" t="s">
        <v>604</v>
      </c>
      <c r="G314" s="45"/>
      <c r="H314" s="45"/>
      <c r="I314" s="45"/>
      <c r="J314" s="45"/>
      <c r="K314" s="45"/>
      <c r="L314" s="41">
        <v>2.35</v>
      </c>
      <c r="M314" s="291">
        <v>0</v>
      </c>
      <c r="N314" s="45">
        <v>14</v>
      </c>
      <c r="O314" s="290">
        <v>0</v>
      </c>
      <c r="P314" s="290">
        <v>0</v>
      </c>
      <c r="Q314" s="290">
        <v>0</v>
      </c>
      <c r="R314" s="290">
        <v>0</v>
      </c>
      <c r="S314" s="290">
        <v>0</v>
      </c>
      <c r="T314" s="290">
        <v>0</v>
      </c>
      <c r="U314" s="290">
        <v>0</v>
      </c>
      <c r="V314" s="290">
        <v>0</v>
      </c>
      <c r="W314" s="290">
        <v>0</v>
      </c>
      <c r="X314" s="290">
        <v>0</v>
      </c>
      <c r="Y314" s="290">
        <v>0</v>
      </c>
      <c r="Z314" s="290">
        <v>0</v>
      </c>
      <c r="AA314" s="290">
        <v>0</v>
      </c>
      <c r="AB314" s="290">
        <v>0</v>
      </c>
      <c r="AC314" s="290">
        <v>0</v>
      </c>
      <c r="AD314" s="290">
        <v>0</v>
      </c>
      <c r="AE314" s="290">
        <v>0</v>
      </c>
      <c r="AF314" s="290">
        <v>0</v>
      </c>
      <c r="AG314" s="290">
        <v>0</v>
      </c>
      <c r="AH314" s="290">
        <v>0</v>
      </c>
      <c r="AI314" s="290">
        <v>0</v>
      </c>
      <c r="AJ314" s="290">
        <v>0</v>
      </c>
      <c r="AK314" s="290">
        <v>0</v>
      </c>
      <c r="AL314" s="290">
        <v>0</v>
      </c>
      <c r="AM314" s="290">
        <v>0</v>
      </c>
      <c r="AN314" s="290">
        <v>0</v>
      </c>
      <c r="AO314" s="290">
        <v>0</v>
      </c>
      <c r="AP314" s="290">
        <v>0</v>
      </c>
      <c r="AQ314" s="290">
        <v>0</v>
      </c>
      <c r="AR314" s="290">
        <v>0</v>
      </c>
      <c r="AS314" s="290">
        <v>0</v>
      </c>
      <c r="AT314" s="290">
        <v>0</v>
      </c>
      <c r="AU314" s="290">
        <v>0</v>
      </c>
      <c r="AV314" s="290">
        <v>0</v>
      </c>
      <c r="AW314" s="290">
        <v>0</v>
      </c>
      <c r="AX314" s="290">
        <v>0</v>
      </c>
      <c r="AY314" s="290">
        <v>0</v>
      </c>
      <c r="AZ314" s="290">
        <v>0</v>
      </c>
      <c r="BA314" s="290">
        <v>0</v>
      </c>
      <c r="BB314" s="290">
        <v>0</v>
      </c>
      <c r="BC314" s="290">
        <v>0</v>
      </c>
      <c r="BD314" s="290">
        <v>0</v>
      </c>
      <c r="BE314" s="290">
        <v>0</v>
      </c>
      <c r="BF314" s="290">
        <v>0</v>
      </c>
      <c r="BG314" s="290">
        <v>0</v>
      </c>
      <c r="BH314" s="290">
        <v>0</v>
      </c>
      <c r="BI314" s="290">
        <v>0</v>
      </c>
      <c r="BJ314" s="290">
        <v>0</v>
      </c>
      <c r="BK314" s="78">
        <v>0</v>
      </c>
      <c r="BL314" s="41" t="s">
        <v>616</v>
      </c>
      <c r="BM314" s="45"/>
    </row>
    <row r="315" spans="1:65" x14ac:dyDescent="0.35">
      <c r="A315" s="45" t="str">
        <f>Database_Productkaarten[[#This Row],[Product]]&amp;", "&amp;Database_Productkaarten[[#This Row],[Levensfase]]</f>
        <v>AC surf rood, met penbitumen - PCR 2.0, B3</v>
      </c>
      <c r="B315" s="45" t="s">
        <v>1361</v>
      </c>
      <c r="C315" s="41" t="s">
        <v>443</v>
      </c>
      <c r="D315" s="41" t="s">
        <v>471</v>
      </c>
      <c r="E315" s="41" t="s">
        <v>91</v>
      </c>
      <c r="F315" s="41" t="s">
        <v>602</v>
      </c>
      <c r="G315" s="45"/>
      <c r="H315" s="45"/>
      <c r="I315" s="45"/>
      <c r="J315" s="45"/>
      <c r="K315" s="45"/>
      <c r="L315" s="41">
        <v>2.35</v>
      </c>
      <c r="M315" s="291">
        <v>0</v>
      </c>
      <c r="N315" s="45">
        <v>14</v>
      </c>
      <c r="O315" s="290">
        <v>0</v>
      </c>
      <c r="P315" s="290">
        <v>0</v>
      </c>
      <c r="Q315" s="290">
        <v>0</v>
      </c>
      <c r="R315" s="290">
        <v>0</v>
      </c>
      <c r="S315" s="290">
        <v>0</v>
      </c>
      <c r="T315" s="290">
        <v>0</v>
      </c>
      <c r="U315" s="290">
        <v>0</v>
      </c>
      <c r="V315" s="290">
        <v>0</v>
      </c>
      <c r="W315" s="290">
        <v>0</v>
      </c>
      <c r="X315" s="290">
        <v>0</v>
      </c>
      <c r="Y315" s="290">
        <v>0</v>
      </c>
      <c r="Z315" s="290">
        <v>0</v>
      </c>
      <c r="AA315" s="290">
        <v>0</v>
      </c>
      <c r="AB315" s="290">
        <v>0</v>
      </c>
      <c r="AC315" s="290">
        <v>0</v>
      </c>
      <c r="AD315" s="290">
        <v>0</v>
      </c>
      <c r="AE315" s="290">
        <v>0</v>
      </c>
      <c r="AF315" s="290">
        <v>0</v>
      </c>
      <c r="AG315" s="290">
        <v>0</v>
      </c>
      <c r="AH315" s="290">
        <v>0</v>
      </c>
      <c r="AI315" s="290">
        <v>0</v>
      </c>
      <c r="AJ315" s="290">
        <v>0</v>
      </c>
      <c r="AK315" s="290">
        <v>0</v>
      </c>
      <c r="AL315" s="290">
        <v>0</v>
      </c>
      <c r="AM315" s="290">
        <v>0</v>
      </c>
      <c r="AN315" s="290">
        <v>0</v>
      </c>
      <c r="AO315" s="290">
        <v>0</v>
      </c>
      <c r="AP315" s="290">
        <v>0</v>
      </c>
      <c r="AQ315" s="290">
        <v>0</v>
      </c>
      <c r="AR315" s="290">
        <v>0</v>
      </c>
      <c r="AS315" s="290">
        <v>0</v>
      </c>
      <c r="AT315" s="290">
        <v>0</v>
      </c>
      <c r="AU315" s="290">
        <v>0</v>
      </c>
      <c r="AV315" s="290">
        <v>0</v>
      </c>
      <c r="AW315" s="290">
        <v>0</v>
      </c>
      <c r="AX315" s="290">
        <v>0</v>
      </c>
      <c r="AY315" s="290">
        <v>0</v>
      </c>
      <c r="AZ315" s="290">
        <v>0</v>
      </c>
      <c r="BA315" s="290">
        <v>0</v>
      </c>
      <c r="BB315" s="290">
        <v>0</v>
      </c>
      <c r="BC315" s="290">
        <v>0</v>
      </c>
      <c r="BD315" s="290">
        <v>0</v>
      </c>
      <c r="BE315" s="290">
        <v>0</v>
      </c>
      <c r="BF315" s="290">
        <v>0</v>
      </c>
      <c r="BG315" s="290">
        <v>0</v>
      </c>
      <c r="BH315" s="290">
        <v>0</v>
      </c>
      <c r="BI315" s="290">
        <v>0</v>
      </c>
      <c r="BJ315" s="290">
        <v>0</v>
      </c>
      <c r="BK315" s="78">
        <v>0</v>
      </c>
      <c r="BL315" s="41" t="s">
        <v>616</v>
      </c>
      <c r="BM315" s="45"/>
    </row>
    <row r="316" spans="1:65" x14ac:dyDescent="0.35">
      <c r="A316" s="45" t="str">
        <f>Database_Productkaarten[[#This Row],[Product]]&amp;", "&amp;Database_Productkaarten[[#This Row],[Levensfase]]</f>
        <v>AC surf rood, met penbitumen - PCR 2.0, B4</v>
      </c>
      <c r="B316" s="45" t="s">
        <v>1361</v>
      </c>
      <c r="C316" s="41" t="s">
        <v>443</v>
      </c>
      <c r="D316" s="41" t="s">
        <v>471</v>
      </c>
      <c r="E316" s="41" t="s">
        <v>91</v>
      </c>
      <c r="F316" s="41" t="s">
        <v>50</v>
      </c>
      <c r="G316" s="45"/>
      <c r="H316" s="45"/>
      <c r="I316" s="45"/>
      <c r="J316" s="45"/>
      <c r="K316" s="45"/>
      <c r="L316" s="41">
        <v>2.35</v>
      </c>
      <c r="M316" s="291">
        <v>0</v>
      </c>
      <c r="N316" s="45">
        <v>14</v>
      </c>
      <c r="O316" s="290">
        <v>0</v>
      </c>
      <c r="P316" s="290">
        <v>0</v>
      </c>
      <c r="Q316" s="290">
        <v>0</v>
      </c>
      <c r="R316" s="290">
        <v>0</v>
      </c>
      <c r="S316" s="290">
        <v>0</v>
      </c>
      <c r="T316" s="290">
        <v>0</v>
      </c>
      <c r="U316" s="290">
        <v>0</v>
      </c>
      <c r="V316" s="290">
        <v>0</v>
      </c>
      <c r="W316" s="290">
        <v>0</v>
      </c>
      <c r="X316" s="290">
        <v>0</v>
      </c>
      <c r="Y316" s="290">
        <v>0</v>
      </c>
      <c r="Z316" s="290">
        <v>0</v>
      </c>
      <c r="AA316" s="290">
        <v>0</v>
      </c>
      <c r="AB316" s="290">
        <v>0</v>
      </c>
      <c r="AC316" s="290">
        <v>0</v>
      </c>
      <c r="AD316" s="290">
        <v>0</v>
      </c>
      <c r="AE316" s="290">
        <v>0</v>
      </c>
      <c r="AF316" s="290">
        <v>0</v>
      </c>
      <c r="AG316" s="290">
        <v>0</v>
      </c>
      <c r="AH316" s="290">
        <v>0</v>
      </c>
      <c r="AI316" s="290">
        <v>0</v>
      </c>
      <c r="AJ316" s="290">
        <v>0</v>
      </c>
      <c r="AK316" s="290">
        <v>0</v>
      </c>
      <c r="AL316" s="290">
        <v>0</v>
      </c>
      <c r="AM316" s="290">
        <v>0</v>
      </c>
      <c r="AN316" s="290">
        <v>0</v>
      </c>
      <c r="AO316" s="290">
        <v>0</v>
      </c>
      <c r="AP316" s="290">
        <v>0</v>
      </c>
      <c r="AQ316" s="290">
        <v>0</v>
      </c>
      <c r="AR316" s="290">
        <v>0</v>
      </c>
      <c r="AS316" s="290">
        <v>0</v>
      </c>
      <c r="AT316" s="290">
        <v>0</v>
      </c>
      <c r="AU316" s="290">
        <v>0</v>
      </c>
      <c r="AV316" s="290">
        <v>0</v>
      </c>
      <c r="AW316" s="290">
        <v>0</v>
      </c>
      <c r="AX316" s="290">
        <v>0</v>
      </c>
      <c r="AY316" s="290">
        <v>0</v>
      </c>
      <c r="AZ316" s="290">
        <v>0</v>
      </c>
      <c r="BA316" s="290">
        <v>0</v>
      </c>
      <c r="BB316" s="290">
        <v>0</v>
      </c>
      <c r="BC316" s="290">
        <v>0</v>
      </c>
      <c r="BD316" s="290">
        <v>0</v>
      </c>
      <c r="BE316" s="290">
        <v>0</v>
      </c>
      <c r="BF316" s="290">
        <v>0</v>
      </c>
      <c r="BG316" s="290">
        <v>0</v>
      </c>
      <c r="BH316" s="290">
        <v>0</v>
      </c>
      <c r="BI316" s="290">
        <v>0</v>
      </c>
      <c r="BJ316" s="290">
        <v>0</v>
      </c>
      <c r="BK316" s="78">
        <v>0</v>
      </c>
      <c r="BL316" s="41" t="s">
        <v>616</v>
      </c>
      <c r="BM316" s="45"/>
    </row>
    <row r="317" spans="1:65" x14ac:dyDescent="0.35">
      <c r="A317" s="45" t="str">
        <f>Database_Productkaarten[[#This Row],[Product]]&amp;", "&amp;Database_Productkaarten[[#This Row],[Levensfase]]</f>
        <v>AC surf rood, met penbitumen - PCR 2.0, B5</v>
      </c>
      <c r="B317" s="45" t="s">
        <v>1361</v>
      </c>
      <c r="C317" s="41" t="s">
        <v>443</v>
      </c>
      <c r="D317" s="41" t="s">
        <v>471</v>
      </c>
      <c r="E317" s="41" t="s">
        <v>91</v>
      </c>
      <c r="F317" s="41" t="s">
        <v>1358</v>
      </c>
      <c r="G317" s="45"/>
      <c r="H317" s="45"/>
      <c r="I317" s="45"/>
      <c r="J317" s="45"/>
      <c r="K317" s="45"/>
      <c r="L317" s="41">
        <v>2.35</v>
      </c>
      <c r="M317" s="291">
        <v>0</v>
      </c>
      <c r="N317" s="45">
        <v>14</v>
      </c>
      <c r="O317" s="290">
        <v>0</v>
      </c>
      <c r="P317" s="290">
        <v>0</v>
      </c>
      <c r="Q317" s="290">
        <v>0</v>
      </c>
      <c r="R317" s="290">
        <v>0</v>
      </c>
      <c r="S317" s="290">
        <v>0</v>
      </c>
      <c r="T317" s="290">
        <v>0</v>
      </c>
      <c r="U317" s="290">
        <v>0</v>
      </c>
      <c r="V317" s="290">
        <v>0</v>
      </c>
      <c r="W317" s="290">
        <v>0</v>
      </c>
      <c r="X317" s="290">
        <v>0</v>
      </c>
      <c r="Y317" s="290">
        <v>0</v>
      </c>
      <c r="Z317" s="290">
        <v>0</v>
      </c>
      <c r="AA317" s="290">
        <v>0</v>
      </c>
      <c r="AB317" s="290">
        <v>0</v>
      </c>
      <c r="AC317" s="290">
        <v>0</v>
      </c>
      <c r="AD317" s="290">
        <v>0</v>
      </c>
      <c r="AE317" s="290">
        <v>0</v>
      </c>
      <c r="AF317" s="290">
        <v>0</v>
      </c>
      <c r="AG317" s="290">
        <v>0</v>
      </c>
      <c r="AH317" s="290">
        <v>0</v>
      </c>
      <c r="AI317" s="290">
        <v>0</v>
      </c>
      <c r="AJ317" s="290">
        <v>0</v>
      </c>
      <c r="AK317" s="290">
        <v>0</v>
      </c>
      <c r="AL317" s="290">
        <v>0</v>
      </c>
      <c r="AM317" s="290">
        <v>0</v>
      </c>
      <c r="AN317" s="290">
        <v>0</v>
      </c>
      <c r="AO317" s="290">
        <v>0</v>
      </c>
      <c r="AP317" s="290">
        <v>0</v>
      </c>
      <c r="AQ317" s="290">
        <v>0</v>
      </c>
      <c r="AR317" s="290">
        <v>0</v>
      </c>
      <c r="AS317" s="290">
        <v>0</v>
      </c>
      <c r="AT317" s="290">
        <v>0</v>
      </c>
      <c r="AU317" s="290">
        <v>0</v>
      </c>
      <c r="AV317" s="290">
        <v>0</v>
      </c>
      <c r="AW317" s="290">
        <v>0</v>
      </c>
      <c r="AX317" s="290">
        <v>0</v>
      </c>
      <c r="AY317" s="290">
        <v>0</v>
      </c>
      <c r="AZ317" s="290">
        <v>0</v>
      </c>
      <c r="BA317" s="290">
        <v>0</v>
      </c>
      <c r="BB317" s="290">
        <v>0</v>
      </c>
      <c r="BC317" s="290">
        <v>0</v>
      </c>
      <c r="BD317" s="290">
        <v>0</v>
      </c>
      <c r="BE317" s="290">
        <v>0</v>
      </c>
      <c r="BF317" s="290">
        <v>0</v>
      </c>
      <c r="BG317" s="290">
        <v>0</v>
      </c>
      <c r="BH317" s="290">
        <v>0</v>
      </c>
      <c r="BI317" s="290">
        <v>0</v>
      </c>
      <c r="BJ317" s="290">
        <v>0</v>
      </c>
      <c r="BK317" s="78">
        <v>0</v>
      </c>
      <c r="BL317" s="41" t="s">
        <v>616</v>
      </c>
      <c r="BM317" s="45"/>
    </row>
    <row r="318" spans="1:65" x14ac:dyDescent="0.35">
      <c r="A318" s="45" t="str">
        <f>Database_Productkaarten[[#This Row],[Product]]&amp;", "&amp;Database_Productkaarten[[#This Row],[Levensfase]]</f>
        <v>AC surf rood, met penbitumen - PCR 2.0, C1</v>
      </c>
      <c r="B318" s="45" t="s">
        <v>1361</v>
      </c>
      <c r="C318" s="41" t="s">
        <v>443</v>
      </c>
      <c r="D318" s="41" t="s">
        <v>471</v>
      </c>
      <c r="E318" s="41" t="s">
        <v>91</v>
      </c>
      <c r="F318" s="41" t="s">
        <v>25</v>
      </c>
      <c r="G318" s="45"/>
      <c r="H318" s="45"/>
      <c r="I318" s="45"/>
      <c r="J318" s="45"/>
      <c r="K318" s="45"/>
      <c r="L318" s="41">
        <v>2.35</v>
      </c>
      <c r="M318" s="291">
        <v>0.13541602873586453</v>
      </c>
      <c r="N318" s="45">
        <v>14</v>
      </c>
      <c r="O318" s="290">
        <v>1.66355236091102E-6</v>
      </c>
      <c r="P318" s="290">
        <v>7.0767186191111903E-3</v>
      </c>
      <c r="Q318" s="290">
        <v>1.4392148995074301</v>
      </c>
      <c r="R318" s="290">
        <v>1.8598176495270599E-7</v>
      </c>
      <c r="S318" s="290">
        <v>4.7349882998440899E-4</v>
      </c>
      <c r="T318" s="290">
        <v>4.10860891943999E-3</v>
      </c>
      <c r="U318" s="290">
        <v>8.8311374597711898E-4</v>
      </c>
      <c r="V318" s="290">
        <v>0.38738647424641198</v>
      </c>
      <c r="W318" s="290">
        <v>5.5203762377265203E-3</v>
      </c>
      <c r="X318" s="290">
        <v>19.180874476662598</v>
      </c>
      <c r="Y318" s="290">
        <v>6.5374486018204695E-4</v>
      </c>
      <c r="Z318" s="290">
        <v>1.4480810804642701</v>
      </c>
      <c r="AA318" s="290">
        <v>1.4476653676373801</v>
      </c>
      <c r="AB318" s="290">
        <v>3.3110965938412098E-4</v>
      </c>
      <c r="AC318" s="290">
        <v>8.46031675062762E-5</v>
      </c>
      <c r="AD318" s="290">
        <v>2.3434436935912999E-7</v>
      </c>
      <c r="AE318" s="290">
        <v>5.5792398101510996E-3</v>
      </c>
      <c r="AF318" s="290">
        <v>3.9527083105329101E-6</v>
      </c>
      <c r="AG318" s="290">
        <v>2.1681682890910799E-3</v>
      </c>
      <c r="AH318" s="290">
        <v>2.3831205885199699E-2</v>
      </c>
      <c r="AI318" s="290">
        <v>6.5087102549844997E-3</v>
      </c>
      <c r="AJ318" s="290">
        <v>1.6635393068167499E-6</v>
      </c>
      <c r="AK318" s="290">
        <v>14.9314443642882</v>
      </c>
      <c r="AL318" s="290">
        <v>1.98862448835442E-2</v>
      </c>
      <c r="AM318" s="290">
        <v>2.3049580100552101E-8</v>
      </c>
      <c r="AN318" s="290">
        <v>6.4087146033641296E-2</v>
      </c>
      <c r="AO318" s="290">
        <v>8.9589318378491196</v>
      </c>
      <c r="AP318" s="290">
        <v>3.14325782122329E-10</v>
      </c>
      <c r="AQ318" s="290">
        <v>6.3100664610750596E-9</v>
      </c>
      <c r="AR318" s="290">
        <v>1.90716651444644</v>
      </c>
      <c r="AS318" s="290">
        <v>0</v>
      </c>
      <c r="AT318" s="290">
        <v>0</v>
      </c>
      <c r="AU318" s="290">
        <v>8.2070635838100703E-2</v>
      </c>
      <c r="AV318" s="290">
        <v>0</v>
      </c>
      <c r="AW318" s="290">
        <v>0</v>
      </c>
      <c r="AX318" s="290">
        <v>15.8567216580735</v>
      </c>
      <c r="AY318" s="290">
        <v>0</v>
      </c>
      <c r="AZ318" s="290">
        <v>0</v>
      </c>
      <c r="BA318" s="290">
        <v>0</v>
      </c>
      <c r="BB318" s="290">
        <v>7.7185667603743005E-4</v>
      </c>
      <c r="BC318" s="290">
        <v>4.0662310239805699E-5</v>
      </c>
      <c r="BD318" s="290">
        <v>1.7667955258736601E-2</v>
      </c>
      <c r="BE318" s="290">
        <v>1.03774339624889E-4</v>
      </c>
      <c r="BF318" s="290">
        <v>0</v>
      </c>
      <c r="BG318" s="290">
        <v>0</v>
      </c>
      <c r="BH318" s="290">
        <v>0</v>
      </c>
      <c r="BI318" s="290">
        <v>0</v>
      </c>
      <c r="BJ318" s="290">
        <v>0</v>
      </c>
      <c r="BK318" s="78">
        <v>0</v>
      </c>
      <c r="BL318" s="41" t="s">
        <v>616</v>
      </c>
      <c r="BM318" s="45"/>
    </row>
    <row r="319" spans="1:65" x14ac:dyDescent="0.35">
      <c r="A319" s="45" t="str">
        <f>Database_Productkaarten[[#This Row],[Product]]&amp;", "&amp;Database_Productkaarten[[#This Row],[Levensfase]]</f>
        <v>AC surf rood, met penbitumen - PCR 2.0, C2</v>
      </c>
      <c r="B319" s="45" t="s">
        <v>1361</v>
      </c>
      <c r="C319" s="41" t="s">
        <v>443</v>
      </c>
      <c r="D319" s="41" t="s">
        <v>471</v>
      </c>
      <c r="E319" s="41" t="s">
        <v>91</v>
      </c>
      <c r="F319" s="41" t="s">
        <v>26</v>
      </c>
      <c r="G319" s="45"/>
      <c r="H319" s="45"/>
      <c r="I319" s="45"/>
      <c r="J319" s="45"/>
      <c r="K319" s="45"/>
      <c r="L319" s="41">
        <v>2.35</v>
      </c>
      <c r="M319" s="291">
        <v>0.31791357541832999</v>
      </c>
      <c r="N319" s="45">
        <v>14</v>
      </c>
      <c r="O319" s="290">
        <v>7.2195843000000002E-5</v>
      </c>
      <c r="P319" s="290">
        <v>2.5045429500000001E-2</v>
      </c>
      <c r="Q319" s="290">
        <v>3.2726104581</v>
      </c>
      <c r="R319" s="290">
        <v>6.2448211500000004E-7</v>
      </c>
      <c r="S319" s="290">
        <v>2.3663202E-3</v>
      </c>
      <c r="T319" s="290">
        <v>9.9103019999999993E-3</v>
      </c>
      <c r="U319" s="290">
        <v>1.66070541E-3</v>
      </c>
      <c r="V319" s="290">
        <v>0.89062466159999998</v>
      </c>
      <c r="W319" s="290">
        <v>3.5055542699999998E-2</v>
      </c>
      <c r="X319" s="290">
        <v>92.682047400000002</v>
      </c>
      <c r="Y319" s="290">
        <v>7.4868390000000003E-3</v>
      </c>
      <c r="Z319" s="290">
        <v>3.3150718431000001</v>
      </c>
      <c r="AA319" s="290">
        <v>3.3001817481</v>
      </c>
      <c r="AB319" s="290">
        <v>1.3607189190000001E-2</v>
      </c>
      <c r="AC319" s="290">
        <v>1.2829113599999999E-3</v>
      </c>
      <c r="AD319" s="290">
        <v>7.8107336699999998E-7</v>
      </c>
      <c r="AE319" s="290">
        <v>1.2482505E-2</v>
      </c>
      <c r="AF319" s="290">
        <v>3.4632532799999998E-5</v>
      </c>
      <c r="AG319" s="290">
        <v>2.8897329300000001E-3</v>
      </c>
      <c r="AH319" s="290">
        <v>3.3662059799999998E-2</v>
      </c>
      <c r="AI319" s="290">
        <v>1.2098522699999999E-2</v>
      </c>
      <c r="AJ319" s="290">
        <v>7.2195510000000004E-5</v>
      </c>
      <c r="AK319" s="290">
        <v>52.307882313</v>
      </c>
      <c r="AL319" s="290">
        <v>0.28570883850000001</v>
      </c>
      <c r="AM319" s="290">
        <v>2.8544027399999998E-7</v>
      </c>
      <c r="AN319" s="290">
        <v>0.22308385950000001</v>
      </c>
      <c r="AO319" s="290">
        <v>50.61443379</v>
      </c>
      <c r="AP319" s="290">
        <v>1.35209877E-9</v>
      </c>
      <c r="AQ319" s="290">
        <v>4.3221490799999998E-8</v>
      </c>
      <c r="AR319" s="290">
        <v>98.528772599999996</v>
      </c>
      <c r="AS319" s="290">
        <v>8.065825212</v>
      </c>
      <c r="AT319" s="290">
        <v>0</v>
      </c>
      <c r="AU319" s="290">
        <v>8.6963547624000004</v>
      </c>
      <c r="AV319" s="290">
        <v>0.70667511750000001</v>
      </c>
      <c r="AW319" s="290">
        <v>9.926829900000001E-4</v>
      </c>
      <c r="AX319" s="290">
        <v>55.561210727999999</v>
      </c>
      <c r="AY319" s="290">
        <v>0</v>
      </c>
      <c r="AZ319" s="290">
        <v>0</v>
      </c>
      <c r="BA319" s="290">
        <v>0</v>
      </c>
      <c r="BB319" s="290">
        <v>8.7338241000000007E-3</v>
      </c>
      <c r="BC319" s="290">
        <v>1.5376752299999999E-4</v>
      </c>
      <c r="BD319" s="290">
        <v>5.5583861609999996</v>
      </c>
      <c r="BE319" s="290">
        <v>3.4865666099999999E-4</v>
      </c>
      <c r="BF319" s="290">
        <v>0</v>
      </c>
      <c r="BG319" s="290">
        <v>0</v>
      </c>
      <c r="BH319" s="290">
        <v>0</v>
      </c>
      <c r="BI319" s="290">
        <v>0</v>
      </c>
      <c r="BJ319" s="290">
        <v>0</v>
      </c>
      <c r="BK319" s="78">
        <v>0</v>
      </c>
      <c r="BL319" s="41" t="s">
        <v>616</v>
      </c>
      <c r="BM319" s="45"/>
    </row>
    <row r="320" spans="1:65" x14ac:dyDescent="0.35">
      <c r="A320" s="45" t="str">
        <f>Database_Productkaarten[[#This Row],[Product]]&amp;", "&amp;Database_Productkaarten[[#This Row],[Levensfase]]</f>
        <v>AC surf rood, met penbitumen - PCR 2.0, C3</v>
      </c>
      <c r="B320" s="45" t="s">
        <v>1361</v>
      </c>
      <c r="C320" s="41" t="s">
        <v>443</v>
      </c>
      <c r="D320" s="41" t="s">
        <v>471</v>
      </c>
      <c r="E320" s="41" t="s">
        <v>91</v>
      </c>
      <c r="F320" s="41" t="s">
        <v>27</v>
      </c>
      <c r="G320" s="45"/>
      <c r="H320" s="45"/>
      <c r="I320" s="45"/>
      <c r="J320" s="45"/>
      <c r="K320" s="45"/>
      <c r="L320" s="41">
        <v>2.35</v>
      </c>
      <c r="M320" s="291">
        <v>0.15929996473591981</v>
      </c>
      <c r="N320" s="45">
        <v>14</v>
      </c>
      <c r="O320" s="290">
        <v>1.8651950713244801E-6</v>
      </c>
      <c r="P320" s="290">
        <v>7.9345026941549691E-3</v>
      </c>
      <c r="Q320" s="290">
        <v>1.61366519035681</v>
      </c>
      <c r="R320" s="290">
        <v>2.08525009189398E-7</v>
      </c>
      <c r="S320" s="290">
        <v>5.85592828702369E-4</v>
      </c>
      <c r="T320" s="290">
        <v>5.7290956066442201E-3</v>
      </c>
      <c r="U320" s="290">
        <v>1.28200094245903E-3</v>
      </c>
      <c r="V320" s="290">
        <v>0.43705340623688499</v>
      </c>
      <c r="W320" s="290">
        <v>6.1895127513903504E-3</v>
      </c>
      <c r="X320" s="290">
        <v>21.505828958682301</v>
      </c>
      <c r="Y320" s="290">
        <v>7.3298666141623605E-4</v>
      </c>
      <c r="Z320" s="290">
        <v>1.6243260238538799</v>
      </c>
      <c r="AA320" s="290">
        <v>1.62385992159343</v>
      </c>
      <c r="AB320" s="290">
        <v>3.7124416355189703E-4</v>
      </c>
      <c r="AC320" s="290">
        <v>9.4858096900976398E-5</v>
      </c>
      <c r="AD320" s="290">
        <v>2.6274974746326702E-7</v>
      </c>
      <c r="AE320" s="290">
        <v>7.9167720598654692E-3</v>
      </c>
      <c r="AF320" s="290">
        <v>4.4318244693854002E-6</v>
      </c>
      <c r="AG320" s="290">
        <v>3.3042609377682999E-3</v>
      </c>
      <c r="AH320" s="290">
        <v>3.6283310992491297E-2</v>
      </c>
      <c r="AI320" s="290">
        <v>9.6537099767995006E-3</v>
      </c>
      <c r="AJ320" s="290">
        <v>1.8651804349157501E-6</v>
      </c>
      <c r="AK320" s="290">
        <v>16.741316408444298</v>
      </c>
      <c r="AL320" s="290">
        <v>2.22966988088222E-2</v>
      </c>
      <c r="AM320" s="290">
        <v>3.0576571351828497E-8</v>
      </c>
      <c r="AN320" s="290">
        <v>7.1855284946809997E-2</v>
      </c>
      <c r="AO320" s="290">
        <v>10.045649844041399</v>
      </c>
      <c r="AP320" s="290">
        <v>3.5242587692503702E-10</v>
      </c>
      <c r="AQ320" s="290">
        <v>7.5755651521538797E-9</v>
      </c>
      <c r="AR320" s="290">
        <v>2.1383382131672199</v>
      </c>
      <c r="AS320" s="290">
        <v>0</v>
      </c>
      <c r="AT320" s="290">
        <v>0</v>
      </c>
      <c r="AU320" s="290">
        <v>9.2018591697264202E-2</v>
      </c>
      <c r="AV320" s="290">
        <v>0</v>
      </c>
      <c r="AW320" s="290">
        <v>0</v>
      </c>
      <c r="AX320" s="290">
        <v>17.7787485257188</v>
      </c>
      <c r="AY320" s="290">
        <v>0</v>
      </c>
      <c r="AZ320" s="290">
        <v>0</v>
      </c>
      <c r="BA320" s="290">
        <v>0</v>
      </c>
      <c r="BB320" s="290">
        <v>8.6541506101166395E-4</v>
      </c>
      <c r="BC320" s="290">
        <v>4.55910751173578E-5</v>
      </c>
      <c r="BD320" s="290">
        <v>1.9809525593128902E-2</v>
      </c>
      <c r="BE320" s="290">
        <v>1.16353047458209E-4</v>
      </c>
      <c r="BF320" s="290">
        <v>0</v>
      </c>
      <c r="BG320" s="290">
        <v>1000</v>
      </c>
      <c r="BH320" s="290">
        <v>0</v>
      </c>
      <c r="BI320" s="290">
        <v>0</v>
      </c>
      <c r="BJ320" s="290">
        <v>0</v>
      </c>
      <c r="BK320" s="78">
        <v>0</v>
      </c>
      <c r="BL320" s="41" t="s">
        <v>616</v>
      </c>
      <c r="BM320" s="45"/>
    </row>
    <row r="321" spans="1:65" x14ac:dyDescent="0.35">
      <c r="A321" s="45" t="str">
        <f>Database_Productkaarten[[#This Row],[Product]]&amp;", "&amp;Database_Productkaarten[[#This Row],[Levensfase]]</f>
        <v>AC surf rood, met penbitumen - PCR 2.0, C4</v>
      </c>
      <c r="B321" s="45" t="s">
        <v>1361</v>
      </c>
      <c r="C321" s="41" t="s">
        <v>443</v>
      </c>
      <c r="D321" s="41" t="s">
        <v>471</v>
      </c>
      <c r="E321" s="41" t="s">
        <v>91</v>
      </c>
      <c r="F321" s="41" t="s">
        <v>28</v>
      </c>
      <c r="G321" s="45"/>
      <c r="H321" s="45"/>
      <c r="I321" s="45"/>
      <c r="J321" s="45"/>
      <c r="K321" s="45"/>
      <c r="L321" s="41">
        <v>2.35</v>
      </c>
      <c r="M321" s="291">
        <v>0</v>
      </c>
      <c r="N321" s="45">
        <v>14</v>
      </c>
      <c r="O321" s="290">
        <v>0</v>
      </c>
      <c r="P321" s="290">
        <v>0</v>
      </c>
      <c r="Q321" s="290">
        <v>0</v>
      </c>
      <c r="R321" s="290">
        <v>0</v>
      </c>
      <c r="S321" s="290">
        <v>0</v>
      </c>
      <c r="T321" s="290">
        <v>0</v>
      </c>
      <c r="U321" s="290">
        <v>0</v>
      </c>
      <c r="V321" s="290">
        <v>0</v>
      </c>
      <c r="W321" s="290">
        <v>0</v>
      </c>
      <c r="X321" s="290">
        <v>0</v>
      </c>
      <c r="Y321" s="290">
        <v>0</v>
      </c>
      <c r="Z321" s="290">
        <v>0</v>
      </c>
      <c r="AA321" s="290">
        <v>0</v>
      </c>
      <c r="AB321" s="290">
        <v>0</v>
      </c>
      <c r="AC321" s="290">
        <v>0</v>
      </c>
      <c r="AD321" s="290">
        <v>0</v>
      </c>
      <c r="AE321" s="290">
        <v>0</v>
      </c>
      <c r="AF321" s="290">
        <v>0</v>
      </c>
      <c r="AG321" s="290">
        <v>0</v>
      </c>
      <c r="AH321" s="290">
        <v>0</v>
      </c>
      <c r="AI321" s="290">
        <v>0</v>
      </c>
      <c r="AJ321" s="290">
        <v>0</v>
      </c>
      <c r="AK321" s="290">
        <v>0</v>
      </c>
      <c r="AL321" s="290">
        <v>0</v>
      </c>
      <c r="AM321" s="290">
        <v>0</v>
      </c>
      <c r="AN321" s="290">
        <v>0</v>
      </c>
      <c r="AO321" s="290">
        <v>0</v>
      </c>
      <c r="AP321" s="290">
        <v>0</v>
      </c>
      <c r="AQ321" s="290">
        <v>0</v>
      </c>
      <c r="AR321" s="290">
        <v>0</v>
      </c>
      <c r="AS321" s="290">
        <v>0</v>
      </c>
      <c r="AT321" s="290">
        <v>0</v>
      </c>
      <c r="AU321" s="290">
        <v>0</v>
      </c>
      <c r="AV321" s="290">
        <v>0</v>
      </c>
      <c r="AW321" s="290">
        <v>0</v>
      </c>
      <c r="AX321" s="290">
        <v>0</v>
      </c>
      <c r="AY321" s="290">
        <v>0</v>
      </c>
      <c r="AZ321" s="290">
        <v>0</v>
      </c>
      <c r="BA321" s="290">
        <v>0</v>
      </c>
      <c r="BB321" s="290">
        <v>0</v>
      </c>
      <c r="BC321" s="290">
        <v>0</v>
      </c>
      <c r="BD321" s="290">
        <v>0</v>
      </c>
      <c r="BE321" s="290">
        <v>0</v>
      </c>
      <c r="BF321" s="290">
        <v>0</v>
      </c>
      <c r="BG321" s="290">
        <v>0</v>
      </c>
      <c r="BH321" s="290">
        <v>0</v>
      </c>
      <c r="BI321" s="290">
        <v>0</v>
      </c>
      <c r="BJ321" s="290">
        <v>0</v>
      </c>
      <c r="BK321" s="78">
        <v>0</v>
      </c>
      <c r="BL321" s="41" t="s">
        <v>616</v>
      </c>
      <c r="BM321" s="45"/>
    </row>
    <row r="322" spans="1:65" x14ac:dyDescent="0.35">
      <c r="A322" s="45" t="str">
        <f>Database_Productkaarten[[#This Row],[Product]]&amp;", "&amp;Database_Productkaarten[[#This Row],[Levensfase]]</f>
        <v>AC surf rood, met penbitumen - PCR 2.0, D1</v>
      </c>
      <c r="B322" s="45" t="s">
        <v>1361</v>
      </c>
      <c r="C322" s="41" t="s">
        <v>443</v>
      </c>
      <c r="D322" s="41" t="s">
        <v>471</v>
      </c>
      <c r="E322" s="41" t="s">
        <v>91</v>
      </c>
      <c r="F322" s="41" t="s">
        <v>51</v>
      </c>
      <c r="G322" s="45"/>
      <c r="H322" s="45"/>
      <c r="I322" s="45"/>
      <c r="J322" s="45"/>
      <c r="K322" s="45"/>
      <c r="L322" s="41">
        <v>2.35</v>
      </c>
      <c r="M322" s="291">
        <v>-4.3679865550339212</v>
      </c>
      <c r="N322" s="45">
        <v>14</v>
      </c>
      <c r="O322" s="290">
        <v>-4.9038813410892505E-4</v>
      </c>
      <c r="P322" s="290">
        <v>-0.74558617451407905</v>
      </c>
      <c r="Q322" s="290">
        <v>-32.476786361063098</v>
      </c>
      <c r="R322" s="290">
        <v>-2.7847203902159399E-6</v>
      </c>
      <c r="S322" s="290">
        <v>-8.0189532035194203E-2</v>
      </c>
      <c r="T322" s="290">
        <v>-0.229417962054838</v>
      </c>
      <c r="U322" s="290">
        <v>-2.18873343224661E-2</v>
      </c>
      <c r="V322" s="290">
        <v>-8.9008105502502506</v>
      </c>
      <c r="W322" s="290">
        <v>-1.15579790439881</v>
      </c>
      <c r="X322" s="290">
        <v>-5047.7740662959404</v>
      </c>
      <c r="Y322" s="290">
        <v>-0.15217051448890201</v>
      </c>
      <c r="Z322" s="290">
        <v>-8.6996419367411697</v>
      </c>
      <c r="AA322" s="290">
        <v>-8.5956686526913408</v>
      </c>
      <c r="AB322" s="290">
        <v>-9.3379173179814506E-2</v>
      </c>
      <c r="AC322" s="290">
        <v>-1.0594110870008E-2</v>
      </c>
      <c r="AD322" s="290">
        <v>-1.13959397918397E-6</v>
      </c>
      <c r="AE322" s="290">
        <v>-8.4050570593312904E-2</v>
      </c>
      <c r="AF322" s="290">
        <v>-3.6733849166316801E-4</v>
      </c>
      <c r="AG322" s="290">
        <v>-2.48281595268793E-2</v>
      </c>
      <c r="AH322" s="290">
        <v>-0.31243681480545799</v>
      </c>
      <c r="AI322" s="290">
        <v>-7.7086420411218201E-2</v>
      </c>
      <c r="AJ322" s="290">
        <v>-4.8699678439713401E-4</v>
      </c>
      <c r="AK322" s="290">
        <v>-125.345592262531</v>
      </c>
      <c r="AL322" s="290">
        <v>-30.720181869515699</v>
      </c>
      <c r="AM322" s="290">
        <v>-1.1872978138979001E-6</v>
      </c>
      <c r="AN322" s="290">
        <v>-0.67077370792608004</v>
      </c>
      <c r="AO322" s="290">
        <v>-1140.6084636539199</v>
      </c>
      <c r="AP322" s="290">
        <v>-6.3431836656495896E-9</v>
      </c>
      <c r="AQ322" s="290">
        <v>-1.4494123869013599E-7</v>
      </c>
      <c r="AR322" s="290">
        <v>-1407.4485181907</v>
      </c>
      <c r="AS322" s="290">
        <v>0</v>
      </c>
      <c r="AT322" s="290">
        <v>0</v>
      </c>
      <c r="AU322" s="290">
        <v>-16.262676048737902</v>
      </c>
      <c r="AV322" s="290">
        <v>0</v>
      </c>
      <c r="AW322" s="290">
        <v>0</v>
      </c>
      <c r="AX322" s="290">
        <v>-1683.87225374575</v>
      </c>
      <c r="AY322" s="290">
        <v>0</v>
      </c>
      <c r="AZ322" s="290">
        <v>0</v>
      </c>
      <c r="BA322" s="290">
        <v>0</v>
      </c>
      <c r="BB322" s="290">
        <v>-17.9984712278</v>
      </c>
      <c r="BC322" s="290">
        <v>-7.7956597665308899E-4</v>
      </c>
      <c r="BD322" s="290">
        <v>-3.0846445666660398</v>
      </c>
      <c r="BE322" s="290">
        <v>-9.1037909028401302E-4</v>
      </c>
      <c r="BF322" s="290">
        <v>0</v>
      </c>
      <c r="BG322" s="290">
        <v>0</v>
      </c>
      <c r="BH322" s="290">
        <v>0</v>
      </c>
      <c r="BI322" s="290">
        <v>0</v>
      </c>
      <c r="BJ322" s="290">
        <v>0</v>
      </c>
      <c r="BK322" s="78">
        <v>0</v>
      </c>
      <c r="BL322" s="41" t="s">
        <v>616</v>
      </c>
      <c r="BM322" s="45"/>
    </row>
    <row r="323" spans="1:65" x14ac:dyDescent="0.35">
      <c r="A323" s="45" t="str">
        <f>Database_Productkaarten[[#This Row],[Product]]&amp;", "&amp;Database_Productkaarten[[#This Row],[Levensfase]]</f>
        <v>AC surf rood, met blank bindmiddel - PCR 2.0, Totaal</v>
      </c>
      <c r="B323" s="45" t="s">
        <v>1362</v>
      </c>
      <c r="C323" s="41" t="s">
        <v>443</v>
      </c>
      <c r="D323" s="41" t="s">
        <v>471</v>
      </c>
      <c r="E323" s="41" t="s">
        <v>91</v>
      </c>
      <c r="F323" s="41" t="s">
        <v>16</v>
      </c>
      <c r="G323" s="45"/>
      <c r="H323" s="45"/>
      <c r="I323" s="45"/>
      <c r="J323" s="45"/>
      <c r="K323" s="45"/>
      <c r="L323" s="41">
        <v>2.35</v>
      </c>
      <c r="M323" s="54">
        <f>SUM(M324:M338)</f>
        <v>43.524338340417586</v>
      </c>
      <c r="N323" s="45">
        <v>14</v>
      </c>
      <c r="O323" s="55">
        <f>SUM(O324:O338)</f>
        <v>7.5612610182526369E-3</v>
      </c>
      <c r="P323" s="55">
        <f t="shared" ref="P323" si="156">SUM(P324:P338)</f>
        <v>2.4135089473619438</v>
      </c>
      <c r="Q323" s="55">
        <f t="shared" ref="Q323" si="157">SUM(Q324:Q338)</f>
        <v>270.06373135803403</v>
      </c>
      <c r="R323" s="55">
        <f t="shared" ref="R323" si="158">SUM(R324:R338)</f>
        <v>5.6828567988855085E-5</v>
      </c>
      <c r="S323" s="55">
        <f t="shared" ref="S323" si="159">SUM(S324:S338)</f>
        <v>0.21351869136741675</v>
      </c>
      <c r="T323" s="55">
        <f t="shared" ref="T323" si="160">SUM(T324:T338)</f>
        <v>1.1621166741472777</v>
      </c>
      <c r="U323" s="55">
        <f t="shared" ref="U323" si="161">SUM(U324:U338)</f>
        <v>0.28354710940997535</v>
      </c>
      <c r="V323" s="55">
        <f t="shared" ref="V323" si="162">SUM(V324:V338)</f>
        <v>235.94424293978511</v>
      </c>
      <c r="W323" s="55">
        <f t="shared" ref="W323" si="163">SUM(W324:W338)</f>
        <v>3.3193145671875204</v>
      </c>
      <c r="X323" s="55">
        <f t="shared" ref="X323" si="164">SUM(X324:X338)</f>
        <v>6508.6447523637253</v>
      </c>
      <c r="Y323" s="55">
        <f t="shared" ref="Y323" si="165">SUM(Y324:Y338)</f>
        <v>0.32036402148328813</v>
      </c>
      <c r="Z323" s="55">
        <f t="shared" ref="Z323" si="166">SUM(Z324:Z338)</f>
        <v>299.49406717662833</v>
      </c>
      <c r="AA323" s="55">
        <f t="shared" ref="AA323" si="167">SUM(AA324:AA338)</f>
        <v>298.58230090297855</v>
      </c>
      <c r="AB323" s="55">
        <f t="shared" ref="AB323" si="168">SUM(AB324:AB338)</f>
        <v>0.75613276424801068</v>
      </c>
      <c r="AC323" s="55">
        <f t="shared" ref="AC323" si="169">SUM(AC324:AC338)</f>
        <v>0.15563349275207297</v>
      </c>
      <c r="AD323" s="55">
        <f t="shared" ref="AD323" si="170">SUM(AD324:AD338)</f>
        <v>6.3409045132009528E-5</v>
      </c>
      <c r="AE323" s="55">
        <f t="shared" ref="AE323" si="171">SUM(AE324:AE338)</f>
        <v>1.5763116936743686</v>
      </c>
      <c r="AF323" s="55">
        <f t="shared" ref="AF323" si="172">SUM(AF324:AF338)</f>
        <v>6.7001123050503273E-3</v>
      </c>
      <c r="AG323" s="55">
        <f t="shared" ref="AG323" si="173">SUM(AG324:AG338)</f>
        <v>0.30762844821176422</v>
      </c>
      <c r="AH323" s="55">
        <f t="shared" ref="AH323" si="174">SUM(AH324:AH338)</f>
        <v>3.5436909271829249</v>
      </c>
      <c r="AI323" s="55">
        <f t="shared" ref="AI323" si="175">SUM(AI324:AI338)</f>
        <v>1.2587435586500439</v>
      </c>
      <c r="AJ323" s="55">
        <f t="shared" ref="AJ323" si="176">SUM(AJ324:AJ338)</f>
        <v>7.5636557394964943E-3</v>
      </c>
      <c r="AK323" s="55">
        <f t="shared" ref="AK323" si="177">SUM(AK324:AK338)</f>
        <v>5814.9343457656978</v>
      </c>
      <c r="AL323" s="55">
        <f t="shared" ref="AL323" si="178">SUM(AL324:AL338)</f>
        <v>119.98391136529602</v>
      </c>
      <c r="AM323" s="55">
        <f t="shared" ref="AM323" si="179">SUM(AM324:AM338)</f>
        <v>1.2740554780881524E-5</v>
      </c>
      <c r="AN323" s="55">
        <f t="shared" ref="AN323" si="180">SUM(AN324:AN338)</f>
        <v>14.288432908977272</v>
      </c>
      <c r="AO323" s="55">
        <f t="shared" ref="AO323" si="181">SUM(AO324:AO338)</f>
        <v>8566.6392674946892</v>
      </c>
      <c r="AP323" s="55">
        <f t="shared" ref="AP323" si="182">SUM(AP324:AP338)</f>
        <v>2.0201552358907633E-7</v>
      </c>
      <c r="AQ323" s="55">
        <f t="shared" ref="AQ323" si="183">SUM(AQ324:AQ338)</f>
        <v>6.4484342057148935E-6</v>
      </c>
      <c r="AR323" s="55">
        <f t="shared" ref="AR323" si="184">SUM(AR324:AR338)</f>
        <v>2052.8575789651377</v>
      </c>
      <c r="AS323" s="55">
        <f t="shared" ref="AS323" si="185">SUM(AS324:AS338)</f>
        <v>8.065825212</v>
      </c>
      <c r="AT323" s="55">
        <f t="shared" ref="AT323" si="186">SUM(AT324:AT338)</f>
        <v>0</v>
      </c>
      <c r="AU323" s="55">
        <f t="shared" ref="AU323" si="187">SUM(AU324:AU338)</f>
        <v>181.23033988600702</v>
      </c>
      <c r="AV323" s="55">
        <f t="shared" ref="AV323" si="188">SUM(AV324:AV338)</f>
        <v>0.70667511750000001</v>
      </c>
      <c r="AW323" s="55">
        <f t="shared" ref="AW323" si="189">SUM(AW324:AW338)</f>
        <v>9.926829900000001E-4</v>
      </c>
      <c r="AX323" s="55">
        <f t="shared" ref="AX323" si="190">SUM(AX324:AX338)</f>
        <v>5120.3390929182024</v>
      </c>
      <c r="AY323" s="55">
        <f t="shared" ref="AY323" si="191">SUM(AY324:AY338)</f>
        <v>0</v>
      </c>
      <c r="AZ323" s="55">
        <f t="shared" ref="AZ323" si="192">SUM(AZ324:AZ338)</f>
        <v>0</v>
      </c>
      <c r="BA323" s="55">
        <f t="shared" ref="BA323" si="193">SUM(BA324:BA338)</f>
        <v>0</v>
      </c>
      <c r="BB323" s="55">
        <f t="shared" ref="BB323" si="194">SUM(BB324:BB338)</f>
        <v>-9.1399056271727677</v>
      </c>
      <c r="BC323" s="55">
        <f t="shared" ref="BC323" si="195">SUM(BC324:BC338)</f>
        <v>6.9415727114026876E-3</v>
      </c>
      <c r="BD323" s="55">
        <f t="shared" ref="BD323" si="196">SUM(BD324:BD338)</f>
        <v>39.469239601827169</v>
      </c>
      <c r="BE323" s="55">
        <f t="shared" ref="BE323" si="197">SUM(BE324:BE338)</f>
        <v>1.9148687085077325E-2</v>
      </c>
      <c r="BF323" s="55">
        <f t="shared" ref="BF323" si="198">SUM(BF324:BF338)</f>
        <v>0</v>
      </c>
      <c r="BG323" s="55">
        <f t="shared" ref="BG323" si="199">SUM(BG324:BG338)</f>
        <v>1000</v>
      </c>
      <c r="BH323" s="55">
        <f t="shared" ref="BH323" si="200">SUM(BH324:BH338)</f>
        <v>0</v>
      </c>
      <c r="BI323" s="55">
        <f t="shared" ref="BI323" si="201">SUM(BI324:BI338)</f>
        <v>0</v>
      </c>
      <c r="BJ323" s="55">
        <f t="shared" ref="BJ323" si="202">SUM(BJ324:BJ338)</f>
        <v>0</v>
      </c>
      <c r="BK323" s="78">
        <v>0</v>
      </c>
      <c r="BL323" s="41" t="s">
        <v>616</v>
      </c>
      <c r="BM323" s="45"/>
    </row>
    <row r="324" spans="1:65" x14ac:dyDescent="0.35">
      <c r="A324" s="45" t="str">
        <f>Database_Productkaarten[[#This Row],[Product]]&amp;", "&amp;Database_Productkaarten[[#This Row],[Levensfase]]</f>
        <v>AC surf rood, met blank bindmiddel - PCR 2.0, A1</v>
      </c>
      <c r="B324" s="45" t="s">
        <v>1362</v>
      </c>
      <c r="C324" s="41" t="s">
        <v>443</v>
      </c>
      <c r="D324" s="41" t="s">
        <v>471</v>
      </c>
      <c r="E324" s="41" t="s">
        <v>91</v>
      </c>
      <c r="F324" s="41" t="s">
        <v>19</v>
      </c>
      <c r="G324" s="45"/>
      <c r="H324" s="45"/>
      <c r="I324" s="45"/>
      <c r="J324" s="45"/>
      <c r="K324" s="45"/>
      <c r="L324" s="41">
        <v>2.35</v>
      </c>
      <c r="M324" s="291">
        <v>40.454523586146678</v>
      </c>
      <c r="N324" s="45">
        <v>14</v>
      </c>
      <c r="O324" s="290">
        <v>7.45255093554108E-3</v>
      </c>
      <c r="P324" s="290">
        <v>2.5084580365434999</v>
      </c>
      <c r="Q324" s="290">
        <v>233.337590190957</v>
      </c>
      <c r="R324" s="290">
        <v>5.0278681620456199E-5</v>
      </c>
      <c r="S324" s="290">
        <v>0.244324446872178</v>
      </c>
      <c r="T324" s="290">
        <v>1.0602682428122201</v>
      </c>
      <c r="U324" s="290">
        <v>0.25105569475824302</v>
      </c>
      <c r="V324" s="290">
        <v>227.02032798145299</v>
      </c>
      <c r="W324" s="290">
        <v>3.3110870329506801</v>
      </c>
      <c r="X324" s="290">
        <v>8417.3552146094007</v>
      </c>
      <c r="Y324" s="290">
        <v>0.35782089259858602</v>
      </c>
      <c r="Z324" s="290">
        <v>245.09287259228799</v>
      </c>
      <c r="AA324" s="290">
        <v>244.23086841854899</v>
      </c>
      <c r="AB324" s="290">
        <v>0.73174213419100598</v>
      </c>
      <c r="AC324" s="290">
        <v>0.13026203954837201</v>
      </c>
      <c r="AD324" s="290">
        <v>5.3860037069453602E-5</v>
      </c>
      <c r="AE324" s="290">
        <v>1.2835157056091899</v>
      </c>
      <c r="AF324" s="290">
        <v>6.3928272466249499E-3</v>
      </c>
      <c r="AG324" s="290">
        <v>0.20295735072778001</v>
      </c>
      <c r="AH324" s="290">
        <v>2.4137618491723498</v>
      </c>
      <c r="AI324" s="290">
        <v>0.94769318402782199</v>
      </c>
      <c r="AJ324" s="290">
        <v>7.4525317998899504E-3</v>
      </c>
      <c r="AK324" s="290">
        <v>5040.2158237261301</v>
      </c>
      <c r="AL324" s="290">
        <v>156.67904485901499</v>
      </c>
      <c r="AM324" s="290">
        <v>1.16721772138543E-5</v>
      </c>
      <c r="AN324" s="290">
        <v>12.378970981120601</v>
      </c>
      <c r="AO324" s="290">
        <v>8902.2217516778492</v>
      </c>
      <c r="AP324" s="290">
        <v>1.8817721901458501E-7</v>
      </c>
      <c r="AQ324" s="290">
        <v>6.1141707740678896E-6</v>
      </c>
      <c r="AR324" s="290">
        <v>2635.3157247957702</v>
      </c>
      <c r="AS324" s="290">
        <v>0</v>
      </c>
      <c r="AT324" s="290">
        <v>0</v>
      </c>
      <c r="AU324" s="290">
        <v>171.24813385290301</v>
      </c>
      <c r="AV324" s="290">
        <v>0</v>
      </c>
      <c r="AW324" s="290">
        <v>0</v>
      </c>
      <c r="AX324" s="290">
        <v>5390.4793942737097</v>
      </c>
      <c r="AY324" s="290">
        <v>0</v>
      </c>
      <c r="AZ324" s="290">
        <v>0</v>
      </c>
      <c r="BA324" s="290">
        <v>0</v>
      </c>
      <c r="BB324" s="290">
        <v>4.0091204710621096</v>
      </c>
      <c r="BC324" s="290">
        <v>5.8091527785037499E-3</v>
      </c>
      <c r="BD324" s="290">
        <v>21.081752026485301</v>
      </c>
      <c r="BE324" s="290">
        <v>1.6136291901317198E-2</v>
      </c>
      <c r="BF324" s="290">
        <v>0</v>
      </c>
      <c r="BG324" s="290">
        <v>0</v>
      </c>
      <c r="BH324" s="290">
        <v>0</v>
      </c>
      <c r="BI324" s="290">
        <v>0</v>
      </c>
      <c r="BJ324" s="290">
        <v>0</v>
      </c>
      <c r="BK324" s="78">
        <v>0</v>
      </c>
      <c r="BL324" s="41" t="s">
        <v>616</v>
      </c>
      <c r="BM324" s="45"/>
    </row>
    <row r="325" spans="1:65" x14ac:dyDescent="0.35">
      <c r="A325" s="45" t="str">
        <f>Database_Productkaarten[[#This Row],[Product]]&amp;", "&amp;Database_Productkaarten[[#This Row],[Levensfase]]</f>
        <v>AC surf rood, met blank bindmiddel - PCR 2.0, A2</v>
      </c>
      <c r="B325" s="45" t="s">
        <v>1362</v>
      </c>
      <c r="C325" s="41" t="s">
        <v>443</v>
      </c>
      <c r="D325" s="41" t="s">
        <v>471</v>
      </c>
      <c r="E325" s="41" t="s">
        <v>91</v>
      </c>
      <c r="F325" s="41" t="s">
        <v>20</v>
      </c>
      <c r="G325" s="45"/>
      <c r="H325" s="45"/>
      <c r="I325" s="45"/>
      <c r="J325" s="45"/>
      <c r="K325" s="45"/>
      <c r="L325" s="41">
        <v>2.35</v>
      </c>
      <c r="M325" s="291">
        <v>3.2797604854371198</v>
      </c>
      <c r="N325" s="45">
        <v>14</v>
      </c>
      <c r="O325" s="290">
        <v>3.4825448000623999E-4</v>
      </c>
      <c r="P325" s="290">
        <v>0.16168302962502801</v>
      </c>
      <c r="Q325" s="290">
        <v>24.570742274402299</v>
      </c>
      <c r="R325" s="290">
        <v>3.8688501906888998E-6</v>
      </c>
      <c r="S325" s="290">
        <v>1.6675291689712501E-2</v>
      </c>
      <c r="T325" s="290">
        <v>0.20501264723754101</v>
      </c>
      <c r="U325" s="290">
        <v>3.6435602835895899E-2</v>
      </c>
      <c r="V325" s="290">
        <v>8.4386422097073694</v>
      </c>
      <c r="W325" s="290">
        <v>0.212686241782548</v>
      </c>
      <c r="X325" s="290">
        <v>760.14139232112404</v>
      </c>
      <c r="Y325" s="290">
        <v>3.3136292376240398E-2</v>
      </c>
      <c r="Z325" s="290">
        <v>24.826333979183001</v>
      </c>
      <c r="AA325" s="290">
        <v>24.772288960960299</v>
      </c>
      <c r="AB325" s="290">
        <v>2.4470088110264802E-2</v>
      </c>
      <c r="AC325" s="290">
        <v>2.95749301124099E-2</v>
      </c>
      <c r="AD325" s="290">
        <v>4.83219990379531E-6</v>
      </c>
      <c r="AE325" s="290">
        <v>0.27298753624598798</v>
      </c>
      <c r="AF325" s="290">
        <v>2.5840386423627601E-4</v>
      </c>
      <c r="AG325" s="290">
        <v>9.6232852310224506E-2</v>
      </c>
      <c r="AH325" s="290">
        <v>1.06205595434929</v>
      </c>
      <c r="AI325" s="290">
        <v>0.27967617094559499</v>
      </c>
      <c r="AJ325" s="290">
        <v>3.4824662464206E-4</v>
      </c>
      <c r="AK325" s="290">
        <v>335.43296047646999</v>
      </c>
      <c r="AL325" s="290">
        <v>1.31198204861729</v>
      </c>
      <c r="AM325" s="290">
        <v>1.1804826783863099E-6</v>
      </c>
      <c r="AN325" s="290">
        <v>1.4334335701715399</v>
      </c>
      <c r="AO325" s="290">
        <v>288.849604041058</v>
      </c>
      <c r="AP325" s="290">
        <v>1.16775342170943E-8</v>
      </c>
      <c r="AQ325" s="290">
        <v>2.4931188763575801E-7</v>
      </c>
      <c r="AR325" s="290">
        <v>247.46749641076801</v>
      </c>
      <c r="AS325" s="290">
        <v>0</v>
      </c>
      <c r="AT325" s="290">
        <v>0</v>
      </c>
      <c r="AU325" s="290">
        <v>5.8120043186141501</v>
      </c>
      <c r="AV325" s="290">
        <v>0</v>
      </c>
      <c r="AW325" s="290">
        <v>0</v>
      </c>
      <c r="AX325" s="290">
        <v>356.04311834500999</v>
      </c>
      <c r="AY325" s="290">
        <v>0</v>
      </c>
      <c r="AZ325" s="290">
        <v>0</v>
      </c>
      <c r="BA325" s="290">
        <v>0</v>
      </c>
      <c r="BB325" s="290">
        <v>4.9820011985594298E-2</v>
      </c>
      <c r="BC325" s="290">
        <v>8.0332610111392803E-4</v>
      </c>
      <c r="BD325" s="290">
        <v>9.3777223111032004</v>
      </c>
      <c r="BE325" s="290">
        <v>2.2024739846519198E-3</v>
      </c>
      <c r="BF325" s="290">
        <v>0</v>
      </c>
      <c r="BG325" s="290">
        <v>0</v>
      </c>
      <c r="BH325" s="290">
        <v>0</v>
      </c>
      <c r="BI325" s="290">
        <v>0</v>
      </c>
      <c r="BJ325" s="290">
        <v>0</v>
      </c>
      <c r="BK325" s="78">
        <v>0</v>
      </c>
      <c r="BL325" s="41" t="s">
        <v>616</v>
      </c>
      <c r="BM325" s="45"/>
    </row>
    <row r="326" spans="1:65" x14ac:dyDescent="0.35">
      <c r="A326" s="45" t="str">
        <f>Database_Productkaarten[[#This Row],[Product]]&amp;", "&amp;Database_Productkaarten[[#This Row],[Levensfase]]</f>
        <v>AC surf rood, met blank bindmiddel - PCR 2.0, A3</v>
      </c>
      <c r="B326" s="45" t="s">
        <v>1362</v>
      </c>
      <c r="C326" s="41" t="s">
        <v>443</v>
      </c>
      <c r="D326" s="41" t="s">
        <v>471</v>
      </c>
      <c r="E326" s="41" t="s">
        <v>91</v>
      </c>
      <c r="F326" s="41" t="s">
        <v>21</v>
      </c>
      <c r="G326" s="45"/>
      <c r="H326" s="45"/>
      <c r="I326" s="45"/>
      <c r="J326" s="45"/>
      <c r="K326" s="45"/>
      <c r="L326" s="41">
        <v>2.35</v>
      </c>
      <c r="M326" s="291">
        <v>1.6946320820129672</v>
      </c>
      <c r="N326" s="45">
        <v>14</v>
      </c>
      <c r="O326" s="290">
        <v>2.3297942560165799E-5</v>
      </c>
      <c r="P326" s="290">
        <v>0.20163086983595699</v>
      </c>
      <c r="Q326" s="290">
        <v>23.6798293971842</v>
      </c>
      <c r="R326" s="290">
        <v>2.6706489476309799E-6</v>
      </c>
      <c r="S326" s="290">
        <v>3.8188593385687902E-3</v>
      </c>
      <c r="T326" s="290">
        <v>2.34731469141072E-2</v>
      </c>
      <c r="U326" s="290">
        <v>3.9757107753382098E-3</v>
      </c>
      <c r="V326" s="290">
        <v>3.6442086398471498</v>
      </c>
      <c r="W326" s="290">
        <v>2.61542984790155E-2</v>
      </c>
      <c r="X326" s="290">
        <v>106.749004424522</v>
      </c>
      <c r="Y326" s="290">
        <v>2.57635924348221E-2</v>
      </c>
      <c r="Z326" s="290">
        <v>24.033058648034299</v>
      </c>
      <c r="AA326" s="290">
        <v>23.9757535281326</v>
      </c>
      <c r="AB326" s="290">
        <v>5.5266649534704899E-2</v>
      </c>
      <c r="AC326" s="290">
        <v>2.0384703670165102E-3</v>
      </c>
      <c r="AD326" s="290">
        <v>3.0106730819229198E-6</v>
      </c>
      <c r="AE326" s="290">
        <v>3.01424548162081E-2</v>
      </c>
      <c r="AF326" s="290">
        <v>2.7774050590900399E-4</v>
      </c>
      <c r="AG326" s="290">
        <v>8.3813474838671798E-3</v>
      </c>
      <c r="AH326" s="290">
        <v>9.4852445897240997E-2</v>
      </c>
      <c r="AI326" s="290">
        <v>2.86847240247672E-2</v>
      </c>
      <c r="AJ326" s="290">
        <v>2.3297623342349001E-5</v>
      </c>
      <c r="AK326" s="290">
        <v>371.13608454242802</v>
      </c>
      <c r="AL326" s="290">
        <v>0.55950969194864897</v>
      </c>
      <c r="AM326" s="290">
        <v>1.97870279736264E-7</v>
      </c>
      <c r="AN326" s="290">
        <v>0.27514870629532501</v>
      </c>
      <c r="AO326" s="290">
        <v>79.932868534075396</v>
      </c>
      <c r="AP326" s="290">
        <v>2.9633658074958402E-9</v>
      </c>
      <c r="AQ326" s="290">
        <v>5.1890855858408502E-8</v>
      </c>
      <c r="AR326" s="290">
        <v>16.963086578856</v>
      </c>
      <c r="AS326" s="290">
        <v>0</v>
      </c>
      <c r="AT326" s="290">
        <v>0</v>
      </c>
      <c r="AU326" s="290">
        <v>7.1732553246092898</v>
      </c>
      <c r="AV326" s="290">
        <v>0</v>
      </c>
      <c r="AW326" s="290">
        <v>0</v>
      </c>
      <c r="AX326" s="290">
        <v>409.12654572207202</v>
      </c>
      <c r="AY326" s="290">
        <v>0</v>
      </c>
      <c r="AZ326" s="290">
        <v>0</v>
      </c>
      <c r="BA326" s="290">
        <v>0</v>
      </c>
      <c r="BB326" s="290">
        <v>4.16714704441742E-2</v>
      </c>
      <c r="BC326" s="290">
        <v>4.4996637592279798E-4</v>
      </c>
      <c r="BD326" s="290">
        <v>0.28475139152359302</v>
      </c>
      <c r="BE326" s="290">
        <v>3.4931941697684802E-4</v>
      </c>
      <c r="BF326" s="290">
        <v>0</v>
      </c>
      <c r="BG326" s="290">
        <v>0</v>
      </c>
      <c r="BH326" s="290">
        <v>0</v>
      </c>
      <c r="BI326" s="290">
        <v>0</v>
      </c>
      <c r="BJ326" s="290">
        <v>0</v>
      </c>
      <c r="BK326" s="78">
        <v>0</v>
      </c>
      <c r="BL326" s="41" t="s">
        <v>616</v>
      </c>
      <c r="BM326" s="45"/>
    </row>
    <row r="327" spans="1:65" x14ac:dyDescent="0.35">
      <c r="A327" s="45" t="str">
        <f>Database_Productkaarten[[#This Row],[Product]]&amp;", "&amp;Database_Productkaarten[[#This Row],[Levensfase]]</f>
        <v>AC surf rood, met blank bindmiddel - PCR 2.0, A4</v>
      </c>
      <c r="B327" s="45" t="s">
        <v>1362</v>
      </c>
      <c r="C327" s="41" t="s">
        <v>443</v>
      </c>
      <c r="D327" s="41" t="s">
        <v>471</v>
      </c>
      <c r="E327" s="41" t="s">
        <v>91</v>
      </c>
      <c r="F327" s="41" t="s">
        <v>22</v>
      </c>
      <c r="G327" s="45"/>
      <c r="H327" s="45"/>
      <c r="I327" s="45"/>
      <c r="J327" s="45"/>
      <c r="K327" s="45"/>
      <c r="L327" s="41">
        <v>2.35</v>
      </c>
      <c r="M327" s="291">
        <v>0.37546048090943995</v>
      </c>
      <c r="N327" s="45">
        <v>14</v>
      </c>
      <c r="O327" s="290">
        <v>6.8533509000000002E-5</v>
      </c>
      <c r="P327" s="290">
        <v>2.9713889699999999E-2</v>
      </c>
      <c r="Q327" s="290">
        <v>3.9891474704999998</v>
      </c>
      <c r="R327" s="290">
        <v>7.557213E-7</v>
      </c>
      <c r="S327" s="290">
        <v>2.4773701499999998E-3</v>
      </c>
      <c r="T327" s="290">
        <v>1.36398132E-2</v>
      </c>
      <c r="U327" s="290">
        <v>2.5682192100000001E-3</v>
      </c>
      <c r="V327" s="290">
        <v>0.8608144794</v>
      </c>
      <c r="W327" s="290">
        <v>3.6189873900000002E-2</v>
      </c>
      <c r="X327" s="290">
        <v>97.376595929999993</v>
      </c>
      <c r="Y327" s="290">
        <v>4.8437180999999999E-3</v>
      </c>
      <c r="Z327" s="290">
        <v>4.0259382761999998</v>
      </c>
      <c r="AA327" s="290">
        <v>4.0229543298000001</v>
      </c>
      <c r="AB327" s="290">
        <v>1.9814632200000001E-3</v>
      </c>
      <c r="AC327" s="290">
        <v>1.0024609799999999E-3</v>
      </c>
      <c r="AD327" s="290">
        <v>9.4976262000000003E-7</v>
      </c>
      <c r="AE327" s="290">
        <v>1.7739576E-2</v>
      </c>
      <c r="AF327" s="290">
        <v>2.7841996800000001E-5</v>
      </c>
      <c r="AG327" s="290">
        <v>5.5484582100000001E-3</v>
      </c>
      <c r="AH327" s="290">
        <v>6.1385308800000003E-2</v>
      </c>
      <c r="AI327" s="290">
        <v>1.9235744999999999E-2</v>
      </c>
      <c r="AJ327" s="290">
        <v>6.8533397999999998E-5</v>
      </c>
      <c r="AK327" s="290">
        <v>62.400806729999999</v>
      </c>
      <c r="AL327" s="290">
        <v>0.212954166</v>
      </c>
      <c r="AM327" s="290">
        <v>2.9338876200000002E-7</v>
      </c>
      <c r="AN327" s="290">
        <v>0.26868483510000002</v>
      </c>
      <c r="AO327" s="290">
        <v>45.56587296</v>
      </c>
      <c r="AP327" s="290">
        <v>1.16371179E-9</v>
      </c>
      <c r="AQ327" s="290">
        <v>3.8268015899999999E-8</v>
      </c>
      <c r="AR327" s="290">
        <v>71.806844609999999</v>
      </c>
      <c r="AS327" s="290">
        <v>0</v>
      </c>
      <c r="AT327" s="290">
        <v>0</v>
      </c>
      <c r="AU327" s="290">
        <v>0.63474917099999995</v>
      </c>
      <c r="AV327" s="290">
        <v>0</v>
      </c>
      <c r="AW327" s="290">
        <v>0</v>
      </c>
      <c r="AX327" s="290">
        <v>66.265108560000002</v>
      </c>
      <c r="AY327" s="290">
        <v>0</v>
      </c>
      <c r="AZ327" s="290">
        <v>0</v>
      </c>
      <c r="BA327" s="290">
        <v>0</v>
      </c>
      <c r="BB327" s="290">
        <v>6.7467797999999999E-3</v>
      </c>
      <c r="BC327" s="290">
        <v>1.54707915E-4</v>
      </c>
      <c r="BD327" s="290">
        <v>5.4635493149999999</v>
      </c>
      <c r="BE327" s="290">
        <v>4.25149758E-4</v>
      </c>
      <c r="BF327" s="290">
        <v>0</v>
      </c>
      <c r="BG327" s="290">
        <v>0</v>
      </c>
      <c r="BH327" s="290">
        <v>0</v>
      </c>
      <c r="BI327" s="290">
        <v>0</v>
      </c>
      <c r="BJ327" s="290">
        <v>0</v>
      </c>
      <c r="BK327" s="78">
        <v>0</v>
      </c>
      <c r="BL327" s="41" t="s">
        <v>616</v>
      </c>
      <c r="BM327" s="45"/>
    </row>
    <row r="328" spans="1:65" x14ac:dyDescent="0.35">
      <c r="A328" s="45" t="str">
        <f>Database_Productkaarten[[#This Row],[Product]]&amp;", "&amp;Database_Productkaarten[[#This Row],[Levensfase]]</f>
        <v>AC surf rood, met blank bindmiddel - PCR 2.0, A5</v>
      </c>
      <c r="B328" s="45" t="s">
        <v>1362</v>
      </c>
      <c r="C328" s="41" t="s">
        <v>443</v>
      </c>
      <c r="D328" s="41" t="s">
        <v>471</v>
      </c>
      <c r="E328" s="41" t="s">
        <v>91</v>
      </c>
      <c r="F328" s="41" t="s">
        <v>23</v>
      </c>
      <c r="G328" s="45"/>
      <c r="H328" s="45"/>
      <c r="I328" s="45"/>
      <c r="J328" s="45"/>
      <c r="K328" s="45"/>
      <c r="L328" s="41">
        <v>2.35</v>
      </c>
      <c r="M328" s="291">
        <v>0.25970533389165884</v>
      </c>
      <c r="N328" s="45">
        <v>14</v>
      </c>
      <c r="O328" s="290">
        <v>2.9238192915063199E-6</v>
      </c>
      <c r="P328" s="290">
        <v>1.24378690995773E-2</v>
      </c>
      <c r="Q328" s="290">
        <v>2.5295292180725801</v>
      </c>
      <c r="R328" s="290">
        <v>3.2687704163110999E-7</v>
      </c>
      <c r="S328" s="290">
        <v>9.41170695911211E-4</v>
      </c>
      <c r="T328" s="290">
        <v>1.04973944694028E-2</v>
      </c>
      <c r="U328" s="290">
        <v>2.40395209926291E-3</v>
      </c>
      <c r="V328" s="290">
        <v>0.688776143249339</v>
      </c>
      <c r="W328" s="290">
        <v>9.7024794599566509E-3</v>
      </c>
      <c r="X328" s="290">
        <v>33.711840032408297</v>
      </c>
      <c r="Y328" s="290">
        <v>1.1490061246999599E-3</v>
      </c>
      <c r="Z328" s="290">
        <v>2.54822762994249</v>
      </c>
      <c r="AA328" s="290">
        <v>2.5474969831504999</v>
      </c>
      <c r="AB328" s="290">
        <v>5.8195031542883E-4</v>
      </c>
      <c r="AC328" s="290">
        <v>1.48696476561169E-4</v>
      </c>
      <c r="AD328" s="290">
        <v>4.1187798275656003E-7</v>
      </c>
      <c r="AE328" s="290">
        <v>1.4654717126520399E-2</v>
      </c>
      <c r="AF328" s="290">
        <v>6.9471842894863301E-6</v>
      </c>
      <c r="AG328" s="290">
        <v>6.3596059812636796E-3</v>
      </c>
      <c r="AH328" s="290">
        <v>6.9798399560504598E-2</v>
      </c>
      <c r="AI328" s="290">
        <v>1.8200499468558201E-2</v>
      </c>
      <c r="AJ328" s="290">
        <v>2.9237963479465498E-6</v>
      </c>
      <c r="AK328" s="290">
        <v>26.243144659798102</v>
      </c>
      <c r="AL328" s="290">
        <v>3.4951582060356999E-2</v>
      </c>
      <c r="AM328" s="290">
        <v>5.4485692763622003E-8</v>
      </c>
      <c r="AN328" s="290">
        <v>0.112638014261606</v>
      </c>
      <c r="AO328" s="290">
        <v>15.747062856182101</v>
      </c>
      <c r="AP328" s="290">
        <v>5.5245137874318595E-10</v>
      </c>
      <c r="AQ328" s="290">
        <v>1.3239865481235901E-8</v>
      </c>
      <c r="AR328" s="290">
        <v>3.3519896355243799</v>
      </c>
      <c r="AS328" s="290">
        <v>0</v>
      </c>
      <c r="AT328" s="290">
        <v>0</v>
      </c>
      <c r="AU328" s="290">
        <v>0.144245360474268</v>
      </c>
      <c r="AV328" s="290">
        <v>0</v>
      </c>
      <c r="AW328" s="290">
        <v>0</v>
      </c>
      <c r="AX328" s="290">
        <v>27.869389601727899</v>
      </c>
      <c r="AY328" s="290">
        <v>0</v>
      </c>
      <c r="AZ328" s="290">
        <v>0</v>
      </c>
      <c r="BA328" s="290">
        <v>0</v>
      </c>
      <c r="BB328" s="290">
        <v>1.3565965867842001E-3</v>
      </c>
      <c r="BC328" s="290">
        <v>7.1467091013573494E-5</v>
      </c>
      <c r="BD328" s="290">
        <v>3.1052770121103201E-2</v>
      </c>
      <c r="BE328" s="290">
        <v>1.82391263598584E-4</v>
      </c>
      <c r="BF328" s="290">
        <v>0</v>
      </c>
      <c r="BG328" s="290">
        <v>0</v>
      </c>
      <c r="BH328" s="290">
        <v>0</v>
      </c>
      <c r="BI328" s="290">
        <v>0</v>
      </c>
      <c r="BJ328" s="290">
        <v>0</v>
      </c>
      <c r="BK328" s="78">
        <v>0</v>
      </c>
      <c r="BL328" s="41" t="s">
        <v>616</v>
      </c>
      <c r="BM328" s="45"/>
    </row>
    <row r="329" spans="1:65" x14ac:dyDescent="0.35">
      <c r="A329" s="45" t="str">
        <f>Database_Productkaarten[[#This Row],[Product]]&amp;", "&amp;Database_Productkaarten[[#This Row],[Levensfase]]</f>
        <v>AC surf rood, met blank bindmiddel - PCR 2.0, B1</v>
      </c>
      <c r="B329" s="45" t="s">
        <v>1362</v>
      </c>
      <c r="C329" s="41" t="s">
        <v>443</v>
      </c>
      <c r="D329" s="41" t="s">
        <v>471</v>
      </c>
      <c r="E329" s="41" t="s">
        <v>91</v>
      </c>
      <c r="F329" s="41" t="s">
        <v>24</v>
      </c>
      <c r="G329" s="45"/>
      <c r="H329" s="45"/>
      <c r="I329" s="45"/>
      <c r="J329" s="45"/>
      <c r="K329" s="45"/>
      <c r="L329" s="41">
        <v>2.35</v>
      </c>
      <c r="M329" s="291">
        <v>0.11825486639676779</v>
      </c>
      <c r="N329" s="45">
        <v>14</v>
      </c>
      <c r="O329" s="290">
        <v>0</v>
      </c>
      <c r="P329" s="290">
        <v>0</v>
      </c>
      <c r="Q329" s="290">
        <v>0</v>
      </c>
      <c r="R329" s="290">
        <v>0</v>
      </c>
      <c r="S329" s="290">
        <v>0</v>
      </c>
      <c r="T329" s="290">
        <v>0</v>
      </c>
      <c r="U329" s="290">
        <v>0</v>
      </c>
      <c r="V329" s="290">
        <v>0.47637814426189901</v>
      </c>
      <c r="W329" s="290">
        <v>0.51070836809688902</v>
      </c>
      <c r="X329" s="290">
        <v>600.42146990351</v>
      </c>
      <c r="Y329" s="290">
        <v>2.9058966565328201E-4</v>
      </c>
      <c r="Z329" s="290">
        <v>0</v>
      </c>
      <c r="AA329" s="290">
        <v>0</v>
      </c>
      <c r="AB329" s="290">
        <v>0</v>
      </c>
      <c r="AC329" s="290">
        <v>0</v>
      </c>
      <c r="AD329" s="290">
        <v>0</v>
      </c>
      <c r="AE329" s="290">
        <v>0</v>
      </c>
      <c r="AF329" s="290">
        <v>0</v>
      </c>
      <c r="AG329" s="290">
        <v>0</v>
      </c>
      <c r="AH329" s="290">
        <v>0</v>
      </c>
      <c r="AI329" s="290">
        <v>0</v>
      </c>
      <c r="AJ329" s="290">
        <v>0</v>
      </c>
      <c r="AK329" s="290">
        <v>0</v>
      </c>
      <c r="AL329" s="290">
        <v>0</v>
      </c>
      <c r="AM329" s="290">
        <v>0</v>
      </c>
      <c r="AN329" s="290">
        <v>0</v>
      </c>
      <c r="AO329" s="290">
        <v>3.5405688217834199</v>
      </c>
      <c r="AP329" s="290">
        <v>8.8497327752214597E-10</v>
      </c>
      <c r="AQ329" s="290">
        <v>5.3167546814193901E-8</v>
      </c>
      <c r="AR329" s="290">
        <v>0</v>
      </c>
      <c r="AS329" s="290">
        <v>0</v>
      </c>
      <c r="AT329" s="290">
        <v>0</v>
      </c>
      <c r="AU329" s="290">
        <v>0</v>
      </c>
      <c r="AV329" s="290">
        <v>0</v>
      </c>
      <c r="AW329" s="290">
        <v>0</v>
      </c>
      <c r="AX329" s="290">
        <v>0</v>
      </c>
      <c r="AY329" s="290">
        <v>0</v>
      </c>
      <c r="AZ329" s="290">
        <v>0</v>
      </c>
      <c r="BA329" s="290">
        <v>0</v>
      </c>
      <c r="BB329" s="290">
        <v>0</v>
      </c>
      <c r="BC329" s="290">
        <v>0</v>
      </c>
      <c r="BD329" s="290">
        <v>0</v>
      </c>
      <c r="BE329" s="290">
        <v>0</v>
      </c>
      <c r="BF329" s="290">
        <v>0</v>
      </c>
      <c r="BG329" s="290">
        <v>0</v>
      </c>
      <c r="BH329" s="290">
        <v>0</v>
      </c>
      <c r="BI329" s="290">
        <v>0</v>
      </c>
      <c r="BJ329" s="290">
        <v>0</v>
      </c>
      <c r="BK329" s="78">
        <v>0</v>
      </c>
      <c r="BL329" s="41" t="s">
        <v>616</v>
      </c>
      <c r="BM329" s="45"/>
    </row>
    <row r="330" spans="1:65" x14ac:dyDescent="0.35">
      <c r="A330" s="45" t="str">
        <f>Database_Productkaarten[[#This Row],[Product]]&amp;", "&amp;Database_Productkaarten[[#This Row],[Levensfase]]</f>
        <v>AC surf rood, met blank bindmiddel - PCR 2.0, B2</v>
      </c>
      <c r="B330" s="45" t="s">
        <v>1362</v>
      </c>
      <c r="C330" s="41" t="s">
        <v>443</v>
      </c>
      <c r="D330" s="41" t="s">
        <v>471</v>
      </c>
      <c r="E330" s="41" t="s">
        <v>91</v>
      </c>
      <c r="F330" s="41" t="s">
        <v>604</v>
      </c>
      <c r="G330" s="45"/>
      <c r="H330" s="45"/>
      <c r="I330" s="45"/>
      <c r="J330" s="45"/>
      <c r="K330" s="45"/>
      <c r="L330" s="41">
        <v>2.35</v>
      </c>
      <c r="M330" s="291">
        <v>0</v>
      </c>
      <c r="N330" s="45">
        <v>14</v>
      </c>
      <c r="O330" s="290">
        <v>0</v>
      </c>
      <c r="P330" s="290">
        <v>0</v>
      </c>
      <c r="Q330" s="290">
        <v>0</v>
      </c>
      <c r="R330" s="290">
        <v>0</v>
      </c>
      <c r="S330" s="290">
        <v>0</v>
      </c>
      <c r="T330" s="290">
        <v>0</v>
      </c>
      <c r="U330" s="290">
        <v>0</v>
      </c>
      <c r="V330" s="290">
        <v>0</v>
      </c>
      <c r="W330" s="290">
        <v>0</v>
      </c>
      <c r="X330" s="290">
        <v>0</v>
      </c>
      <c r="Y330" s="290">
        <v>0</v>
      </c>
      <c r="Z330" s="290">
        <v>0</v>
      </c>
      <c r="AA330" s="290">
        <v>0</v>
      </c>
      <c r="AB330" s="290">
        <v>0</v>
      </c>
      <c r="AC330" s="290">
        <v>0</v>
      </c>
      <c r="AD330" s="290">
        <v>0</v>
      </c>
      <c r="AE330" s="290">
        <v>0</v>
      </c>
      <c r="AF330" s="290">
        <v>0</v>
      </c>
      <c r="AG330" s="290">
        <v>0</v>
      </c>
      <c r="AH330" s="290">
        <v>0</v>
      </c>
      <c r="AI330" s="290">
        <v>0</v>
      </c>
      <c r="AJ330" s="290">
        <v>0</v>
      </c>
      <c r="AK330" s="290">
        <v>0</v>
      </c>
      <c r="AL330" s="290">
        <v>0</v>
      </c>
      <c r="AM330" s="290">
        <v>0</v>
      </c>
      <c r="AN330" s="290">
        <v>0</v>
      </c>
      <c r="AO330" s="290">
        <v>0</v>
      </c>
      <c r="AP330" s="290">
        <v>0</v>
      </c>
      <c r="AQ330" s="290">
        <v>0</v>
      </c>
      <c r="AR330" s="290">
        <v>0</v>
      </c>
      <c r="AS330" s="290">
        <v>0</v>
      </c>
      <c r="AT330" s="290">
        <v>0</v>
      </c>
      <c r="AU330" s="290">
        <v>0</v>
      </c>
      <c r="AV330" s="290">
        <v>0</v>
      </c>
      <c r="AW330" s="290">
        <v>0</v>
      </c>
      <c r="AX330" s="290">
        <v>0</v>
      </c>
      <c r="AY330" s="290">
        <v>0</v>
      </c>
      <c r="AZ330" s="290">
        <v>0</v>
      </c>
      <c r="BA330" s="290">
        <v>0</v>
      </c>
      <c r="BB330" s="290">
        <v>0</v>
      </c>
      <c r="BC330" s="290">
        <v>0</v>
      </c>
      <c r="BD330" s="290">
        <v>0</v>
      </c>
      <c r="BE330" s="290">
        <v>0</v>
      </c>
      <c r="BF330" s="290">
        <v>0</v>
      </c>
      <c r="BG330" s="290">
        <v>0</v>
      </c>
      <c r="BH330" s="290">
        <v>0</v>
      </c>
      <c r="BI330" s="290">
        <v>0</v>
      </c>
      <c r="BJ330" s="290">
        <v>0</v>
      </c>
      <c r="BK330" s="78">
        <v>0</v>
      </c>
      <c r="BL330" s="41" t="s">
        <v>616</v>
      </c>
      <c r="BM330" s="45"/>
    </row>
    <row r="331" spans="1:65" x14ac:dyDescent="0.35">
      <c r="A331" s="45" t="str">
        <f>Database_Productkaarten[[#This Row],[Product]]&amp;", "&amp;Database_Productkaarten[[#This Row],[Levensfase]]</f>
        <v>AC surf rood, met blank bindmiddel - PCR 2.0, B3</v>
      </c>
      <c r="B331" s="45" t="s">
        <v>1362</v>
      </c>
      <c r="C331" s="41" t="s">
        <v>443</v>
      </c>
      <c r="D331" s="41" t="s">
        <v>471</v>
      </c>
      <c r="E331" s="41" t="s">
        <v>91</v>
      </c>
      <c r="F331" s="41" t="s">
        <v>602</v>
      </c>
      <c r="G331" s="45"/>
      <c r="H331" s="45"/>
      <c r="I331" s="45"/>
      <c r="J331" s="45"/>
      <c r="K331" s="45"/>
      <c r="L331" s="41">
        <v>2.35</v>
      </c>
      <c r="M331" s="291">
        <v>0</v>
      </c>
      <c r="N331" s="45">
        <v>14</v>
      </c>
      <c r="O331" s="290">
        <v>0</v>
      </c>
      <c r="P331" s="290">
        <v>0</v>
      </c>
      <c r="Q331" s="290">
        <v>0</v>
      </c>
      <c r="R331" s="290">
        <v>0</v>
      </c>
      <c r="S331" s="290">
        <v>0</v>
      </c>
      <c r="T331" s="290">
        <v>0</v>
      </c>
      <c r="U331" s="290">
        <v>0</v>
      </c>
      <c r="V331" s="290">
        <v>0</v>
      </c>
      <c r="W331" s="290">
        <v>0</v>
      </c>
      <c r="X331" s="290">
        <v>0</v>
      </c>
      <c r="Y331" s="290">
        <v>0</v>
      </c>
      <c r="Z331" s="290">
        <v>0</v>
      </c>
      <c r="AA331" s="290">
        <v>0</v>
      </c>
      <c r="AB331" s="290">
        <v>0</v>
      </c>
      <c r="AC331" s="290">
        <v>0</v>
      </c>
      <c r="AD331" s="290">
        <v>0</v>
      </c>
      <c r="AE331" s="290">
        <v>0</v>
      </c>
      <c r="AF331" s="290">
        <v>0</v>
      </c>
      <c r="AG331" s="290">
        <v>0</v>
      </c>
      <c r="AH331" s="290">
        <v>0</v>
      </c>
      <c r="AI331" s="290">
        <v>0</v>
      </c>
      <c r="AJ331" s="290">
        <v>0</v>
      </c>
      <c r="AK331" s="290">
        <v>0</v>
      </c>
      <c r="AL331" s="290">
        <v>0</v>
      </c>
      <c r="AM331" s="290">
        <v>0</v>
      </c>
      <c r="AN331" s="290">
        <v>0</v>
      </c>
      <c r="AO331" s="290">
        <v>0</v>
      </c>
      <c r="AP331" s="290">
        <v>0</v>
      </c>
      <c r="AQ331" s="290">
        <v>0</v>
      </c>
      <c r="AR331" s="290">
        <v>0</v>
      </c>
      <c r="AS331" s="290">
        <v>0</v>
      </c>
      <c r="AT331" s="290">
        <v>0</v>
      </c>
      <c r="AU331" s="290">
        <v>0</v>
      </c>
      <c r="AV331" s="290">
        <v>0</v>
      </c>
      <c r="AW331" s="290">
        <v>0</v>
      </c>
      <c r="AX331" s="290">
        <v>0</v>
      </c>
      <c r="AY331" s="290">
        <v>0</v>
      </c>
      <c r="AZ331" s="290">
        <v>0</v>
      </c>
      <c r="BA331" s="290">
        <v>0</v>
      </c>
      <c r="BB331" s="290">
        <v>0</v>
      </c>
      <c r="BC331" s="290">
        <v>0</v>
      </c>
      <c r="BD331" s="290">
        <v>0</v>
      </c>
      <c r="BE331" s="290">
        <v>0</v>
      </c>
      <c r="BF331" s="290">
        <v>0</v>
      </c>
      <c r="BG331" s="290">
        <v>0</v>
      </c>
      <c r="BH331" s="290">
        <v>0</v>
      </c>
      <c r="BI331" s="290">
        <v>0</v>
      </c>
      <c r="BJ331" s="290">
        <v>0</v>
      </c>
      <c r="BK331" s="78">
        <v>0</v>
      </c>
      <c r="BL331" s="41" t="s">
        <v>616</v>
      </c>
      <c r="BM331" s="45"/>
    </row>
    <row r="332" spans="1:65" x14ac:dyDescent="0.35">
      <c r="A332" s="45" t="str">
        <f>Database_Productkaarten[[#This Row],[Product]]&amp;", "&amp;Database_Productkaarten[[#This Row],[Levensfase]]</f>
        <v>AC surf rood, met blank bindmiddel - PCR 2.0, B4</v>
      </c>
      <c r="B332" s="45" t="s">
        <v>1362</v>
      </c>
      <c r="C332" s="41" t="s">
        <v>443</v>
      </c>
      <c r="D332" s="41" t="s">
        <v>471</v>
      </c>
      <c r="E332" s="41" t="s">
        <v>91</v>
      </c>
      <c r="F332" s="41" t="s">
        <v>50</v>
      </c>
      <c r="G332" s="45"/>
      <c r="H332" s="45"/>
      <c r="I332" s="45"/>
      <c r="J332" s="45"/>
      <c r="K332" s="45"/>
      <c r="L332" s="41">
        <v>2.35</v>
      </c>
      <c r="M332" s="291">
        <v>0</v>
      </c>
      <c r="N332" s="45">
        <v>14</v>
      </c>
      <c r="O332" s="290">
        <v>0</v>
      </c>
      <c r="P332" s="290">
        <v>0</v>
      </c>
      <c r="Q332" s="290">
        <v>0</v>
      </c>
      <c r="R332" s="290">
        <v>0</v>
      </c>
      <c r="S332" s="290">
        <v>0</v>
      </c>
      <c r="T332" s="290">
        <v>0</v>
      </c>
      <c r="U332" s="290">
        <v>0</v>
      </c>
      <c r="V332" s="290">
        <v>0</v>
      </c>
      <c r="W332" s="290">
        <v>0</v>
      </c>
      <c r="X332" s="290">
        <v>0</v>
      </c>
      <c r="Y332" s="290">
        <v>0</v>
      </c>
      <c r="Z332" s="290">
        <v>0</v>
      </c>
      <c r="AA332" s="290">
        <v>0</v>
      </c>
      <c r="AB332" s="290">
        <v>0</v>
      </c>
      <c r="AC332" s="290">
        <v>0</v>
      </c>
      <c r="AD332" s="290">
        <v>0</v>
      </c>
      <c r="AE332" s="290">
        <v>0</v>
      </c>
      <c r="AF332" s="290">
        <v>0</v>
      </c>
      <c r="AG332" s="290">
        <v>0</v>
      </c>
      <c r="AH332" s="290">
        <v>0</v>
      </c>
      <c r="AI332" s="290">
        <v>0</v>
      </c>
      <c r="AJ332" s="290">
        <v>0</v>
      </c>
      <c r="AK332" s="290">
        <v>0</v>
      </c>
      <c r="AL332" s="290">
        <v>0</v>
      </c>
      <c r="AM332" s="290">
        <v>0</v>
      </c>
      <c r="AN332" s="290">
        <v>0</v>
      </c>
      <c r="AO332" s="290">
        <v>0</v>
      </c>
      <c r="AP332" s="290">
        <v>0</v>
      </c>
      <c r="AQ332" s="290">
        <v>0</v>
      </c>
      <c r="AR332" s="290">
        <v>0</v>
      </c>
      <c r="AS332" s="290">
        <v>0</v>
      </c>
      <c r="AT332" s="290">
        <v>0</v>
      </c>
      <c r="AU332" s="290">
        <v>0</v>
      </c>
      <c r="AV332" s="290">
        <v>0</v>
      </c>
      <c r="AW332" s="290">
        <v>0</v>
      </c>
      <c r="AX332" s="290">
        <v>0</v>
      </c>
      <c r="AY332" s="290">
        <v>0</v>
      </c>
      <c r="AZ332" s="290">
        <v>0</v>
      </c>
      <c r="BA332" s="290">
        <v>0</v>
      </c>
      <c r="BB332" s="290">
        <v>0</v>
      </c>
      <c r="BC332" s="290">
        <v>0</v>
      </c>
      <c r="BD332" s="290">
        <v>0</v>
      </c>
      <c r="BE332" s="290">
        <v>0</v>
      </c>
      <c r="BF332" s="290">
        <v>0</v>
      </c>
      <c r="BG332" s="290">
        <v>0</v>
      </c>
      <c r="BH332" s="290">
        <v>0</v>
      </c>
      <c r="BI332" s="290">
        <v>0</v>
      </c>
      <c r="BJ332" s="290">
        <v>0</v>
      </c>
      <c r="BK332" s="78">
        <v>0</v>
      </c>
      <c r="BL332" s="41" t="s">
        <v>616</v>
      </c>
      <c r="BM332" s="45"/>
    </row>
    <row r="333" spans="1:65" x14ac:dyDescent="0.35">
      <c r="A333" s="45" t="str">
        <f>Database_Productkaarten[[#This Row],[Product]]&amp;", "&amp;Database_Productkaarten[[#This Row],[Levensfase]]</f>
        <v>AC surf rood, met blank bindmiddel - PCR 2.0, B5</v>
      </c>
      <c r="B333" s="45" t="s">
        <v>1362</v>
      </c>
      <c r="C333" s="41" t="s">
        <v>443</v>
      </c>
      <c r="D333" s="41" t="s">
        <v>471</v>
      </c>
      <c r="E333" s="41" t="s">
        <v>91</v>
      </c>
      <c r="F333" s="41" t="s">
        <v>1358</v>
      </c>
      <c r="G333" s="45"/>
      <c r="H333" s="45"/>
      <c r="I333" s="45"/>
      <c r="J333" s="45"/>
      <c r="K333" s="45"/>
      <c r="L333" s="41">
        <v>2.35</v>
      </c>
      <c r="M333" s="291">
        <v>0</v>
      </c>
      <c r="N333" s="45">
        <v>14</v>
      </c>
      <c r="O333" s="290">
        <v>0</v>
      </c>
      <c r="P333" s="290">
        <v>0</v>
      </c>
      <c r="Q333" s="290">
        <v>0</v>
      </c>
      <c r="R333" s="290">
        <v>0</v>
      </c>
      <c r="S333" s="290">
        <v>0</v>
      </c>
      <c r="T333" s="290">
        <v>0</v>
      </c>
      <c r="U333" s="290">
        <v>0</v>
      </c>
      <c r="V333" s="290">
        <v>0</v>
      </c>
      <c r="W333" s="290">
        <v>0</v>
      </c>
      <c r="X333" s="290">
        <v>0</v>
      </c>
      <c r="Y333" s="290">
        <v>0</v>
      </c>
      <c r="Z333" s="290">
        <v>0</v>
      </c>
      <c r="AA333" s="290">
        <v>0</v>
      </c>
      <c r="AB333" s="290">
        <v>0</v>
      </c>
      <c r="AC333" s="290">
        <v>0</v>
      </c>
      <c r="AD333" s="290">
        <v>0</v>
      </c>
      <c r="AE333" s="290">
        <v>0</v>
      </c>
      <c r="AF333" s="290">
        <v>0</v>
      </c>
      <c r="AG333" s="290">
        <v>0</v>
      </c>
      <c r="AH333" s="290">
        <v>0</v>
      </c>
      <c r="AI333" s="290">
        <v>0</v>
      </c>
      <c r="AJ333" s="290">
        <v>0</v>
      </c>
      <c r="AK333" s="290">
        <v>0</v>
      </c>
      <c r="AL333" s="290">
        <v>0</v>
      </c>
      <c r="AM333" s="290">
        <v>0</v>
      </c>
      <c r="AN333" s="290">
        <v>0</v>
      </c>
      <c r="AO333" s="290">
        <v>0</v>
      </c>
      <c r="AP333" s="290">
        <v>0</v>
      </c>
      <c r="AQ333" s="290">
        <v>0</v>
      </c>
      <c r="AR333" s="290">
        <v>0</v>
      </c>
      <c r="AS333" s="290">
        <v>0</v>
      </c>
      <c r="AT333" s="290">
        <v>0</v>
      </c>
      <c r="AU333" s="290">
        <v>0</v>
      </c>
      <c r="AV333" s="290">
        <v>0</v>
      </c>
      <c r="AW333" s="290">
        <v>0</v>
      </c>
      <c r="AX333" s="290">
        <v>0</v>
      </c>
      <c r="AY333" s="290">
        <v>0</v>
      </c>
      <c r="AZ333" s="290">
        <v>0</v>
      </c>
      <c r="BA333" s="290">
        <v>0</v>
      </c>
      <c r="BB333" s="290">
        <v>0</v>
      </c>
      <c r="BC333" s="290">
        <v>0</v>
      </c>
      <c r="BD333" s="290">
        <v>0</v>
      </c>
      <c r="BE333" s="290">
        <v>0</v>
      </c>
      <c r="BF333" s="290">
        <v>0</v>
      </c>
      <c r="BG333" s="290">
        <v>0</v>
      </c>
      <c r="BH333" s="290">
        <v>0</v>
      </c>
      <c r="BI333" s="290">
        <v>0</v>
      </c>
      <c r="BJ333" s="290">
        <v>0</v>
      </c>
      <c r="BK333" s="78">
        <v>0</v>
      </c>
      <c r="BL333" s="41" t="s">
        <v>616</v>
      </c>
      <c r="BM333" s="45"/>
    </row>
    <row r="334" spans="1:65" x14ac:dyDescent="0.35">
      <c r="A334" s="45" t="str">
        <f>Database_Productkaarten[[#This Row],[Product]]&amp;", "&amp;Database_Productkaarten[[#This Row],[Levensfase]]</f>
        <v>AC surf rood, met blank bindmiddel - PCR 2.0, C1</v>
      </c>
      <c r="B334" s="45" t="s">
        <v>1362</v>
      </c>
      <c r="C334" s="41" t="s">
        <v>443</v>
      </c>
      <c r="D334" s="41" t="s">
        <v>471</v>
      </c>
      <c r="E334" s="41" t="s">
        <v>91</v>
      </c>
      <c r="F334" s="41" t="s">
        <v>25</v>
      </c>
      <c r="G334" s="45"/>
      <c r="H334" s="45"/>
      <c r="I334" s="45"/>
      <c r="J334" s="45"/>
      <c r="K334" s="45"/>
      <c r="L334" s="41">
        <v>2.35</v>
      </c>
      <c r="M334" s="291">
        <v>0.13541602887395304</v>
      </c>
      <c r="N334" s="45">
        <v>14</v>
      </c>
      <c r="O334" s="290">
        <v>1.66355235551222E-6</v>
      </c>
      <c r="P334" s="290">
        <v>7.0767186256215798E-3</v>
      </c>
      <c r="Q334" s="290">
        <v>1.43921489993785</v>
      </c>
      <c r="R334" s="290">
        <v>1.85981765065976E-7</v>
      </c>
      <c r="S334" s="290">
        <v>4.73498830381683E-4</v>
      </c>
      <c r="T334" s="290">
        <v>4.1086089222474604E-3</v>
      </c>
      <c r="U334" s="290">
        <v>8.8311374613261201E-4</v>
      </c>
      <c r="V334" s="290">
        <v>0.38738647534876403</v>
      </c>
      <c r="W334" s="290">
        <v>5.5203762444581096E-3</v>
      </c>
      <c r="X334" s="290">
        <v>19.180874501197799</v>
      </c>
      <c r="Y334" s="290">
        <v>6.5374486405342998E-4</v>
      </c>
      <c r="Z334" s="290">
        <v>1.44808108091556</v>
      </c>
      <c r="AA334" s="290">
        <v>1.44766536808563</v>
      </c>
      <c r="AB334" s="290">
        <v>3.3110966222674702E-4</v>
      </c>
      <c r="AC334" s="290">
        <v>8.4603167698596196E-5</v>
      </c>
      <c r="AD334" s="290">
        <v>2.3434436949942199E-7</v>
      </c>
      <c r="AE334" s="290">
        <v>5.5792398133666203E-3</v>
      </c>
      <c r="AF334" s="290">
        <v>3.9527083026387604E-6</v>
      </c>
      <c r="AG334" s="290">
        <v>2.1681682893404798E-3</v>
      </c>
      <c r="AH334" s="290">
        <v>2.3831205887882099E-2</v>
      </c>
      <c r="AI334" s="290">
        <v>6.5087102562507498E-3</v>
      </c>
      <c r="AJ334" s="290">
        <v>1.66353930141786E-6</v>
      </c>
      <c r="AK334" s="290">
        <v>14.9314443754023</v>
      </c>
      <c r="AL334" s="290">
        <v>1.9886244965375499E-2</v>
      </c>
      <c r="AM334" s="290">
        <v>2.30495801603411E-8</v>
      </c>
      <c r="AN334" s="290">
        <v>6.4087146045396406E-2</v>
      </c>
      <c r="AO334" s="290">
        <v>8.9589318614475495</v>
      </c>
      <c r="AP334" s="290">
        <v>3.1432578445733E-10</v>
      </c>
      <c r="AQ334" s="290">
        <v>6.3100664814583202E-9</v>
      </c>
      <c r="AR334" s="290">
        <v>1.9071665167638701</v>
      </c>
      <c r="AS334" s="290">
        <v>0</v>
      </c>
      <c r="AT334" s="290">
        <v>0</v>
      </c>
      <c r="AU334" s="290">
        <v>8.2070636131910804E-2</v>
      </c>
      <c r="AV334" s="290">
        <v>0</v>
      </c>
      <c r="AW334" s="290">
        <v>0</v>
      </c>
      <c r="AX334" s="290">
        <v>15.8567216699486</v>
      </c>
      <c r="AY334" s="290">
        <v>0</v>
      </c>
      <c r="AZ334" s="290">
        <v>0</v>
      </c>
      <c r="BA334" s="290">
        <v>0</v>
      </c>
      <c r="BB334" s="290">
        <v>7.7185667868756103E-4</v>
      </c>
      <c r="BC334" s="290">
        <v>4.0662310404274602E-5</v>
      </c>
      <c r="BD334" s="290">
        <v>1.7667955413731101E-2</v>
      </c>
      <c r="BE334" s="290">
        <v>1.03774339633677E-4</v>
      </c>
      <c r="BF334" s="290">
        <v>0</v>
      </c>
      <c r="BG334" s="290">
        <v>0</v>
      </c>
      <c r="BH334" s="290">
        <v>0</v>
      </c>
      <c r="BI334" s="290">
        <v>0</v>
      </c>
      <c r="BJ334" s="290">
        <v>0</v>
      </c>
      <c r="BK334" s="78">
        <v>0</v>
      </c>
      <c r="BL334" s="41" t="s">
        <v>616</v>
      </c>
      <c r="BM334" s="45"/>
    </row>
    <row r="335" spans="1:65" x14ac:dyDescent="0.35">
      <c r="A335" s="45" t="str">
        <f>Database_Productkaarten[[#This Row],[Product]]&amp;", "&amp;Database_Productkaarten[[#This Row],[Levensfase]]</f>
        <v>AC surf rood, met blank bindmiddel - PCR 2.0, C2</v>
      </c>
      <c r="B335" s="45" t="s">
        <v>1362</v>
      </c>
      <c r="C335" s="41" t="s">
        <v>443</v>
      </c>
      <c r="D335" s="41" t="s">
        <v>471</v>
      </c>
      <c r="E335" s="41" t="s">
        <v>91</v>
      </c>
      <c r="F335" s="41" t="s">
        <v>26</v>
      </c>
      <c r="G335" s="45"/>
      <c r="H335" s="45"/>
      <c r="I335" s="45"/>
      <c r="J335" s="45"/>
      <c r="K335" s="45"/>
      <c r="L335" s="41">
        <v>2.35</v>
      </c>
      <c r="M335" s="291">
        <v>0.31791357541832999</v>
      </c>
      <c r="N335" s="45">
        <v>14</v>
      </c>
      <c r="O335" s="290">
        <v>7.2195843000000002E-5</v>
      </c>
      <c r="P335" s="290">
        <v>2.5045429500000001E-2</v>
      </c>
      <c r="Q335" s="290">
        <v>3.2726104581</v>
      </c>
      <c r="R335" s="290">
        <v>6.2448211500000004E-7</v>
      </c>
      <c r="S335" s="290">
        <v>2.3663202E-3</v>
      </c>
      <c r="T335" s="290">
        <v>9.9103019999999993E-3</v>
      </c>
      <c r="U335" s="290">
        <v>1.66070541E-3</v>
      </c>
      <c r="V335" s="290">
        <v>0.89062466159999998</v>
      </c>
      <c r="W335" s="290">
        <v>3.5055542699999998E-2</v>
      </c>
      <c r="X335" s="290">
        <v>92.682047400000002</v>
      </c>
      <c r="Y335" s="290">
        <v>7.4868390000000003E-3</v>
      </c>
      <c r="Z335" s="290">
        <v>3.3150718431000001</v>
      </c>
      <c r="AA335" s="290">
        <v>3.3001817481</v>
      </c>
      <c r="AB335" s="290">
        <v>1.3607189190000001E-2</v>
      </c>
      <c r="AC335" s="290">
        <v>1.2829113599999999E-3</v>
      </c>
      <c r="AD335" s="290">
        <v>7.8107336699999998E-7</v>
      </c>
      <c r="AE335" s="290">
        <v>1.2482505E-2</v>
      </c>
      <c r="AF335" s="290">
        <v>3.4632532799999998E-5</v>
      </c>
      <c r="AG335" s="290">
        <v>2.8897329300000001E-3</v>
      </c>
      <c r="AH335" s="290">
        <v>3.3662059799999998E-2</v>
      </c>
      <c r="AI335" s="290">
        <v>1.2098522699999999E-2</v>
      </c>
      <c r="AJ335" s="290">
        <v>7.2195510000000004E-5</v>
      </c>
      <c r="AK335" s="290">
        <v>52.307882313</v>
      </c>
      <c r="AL335" s="290">
        <v>0.28570883850000001</v>
      </c>
      <c r="AM335" s="290">
        <v>2.8544027399999998E-7</v>
      </c>
      <c r="AN335" s="290">
        <v>0.22308385950000001</v>
      </c>
      <c r="AO335" s="290">
        <v>50.61443379</v>
      </c>
      <c r="AP335" s="290">
        <v>1.35209877E-9</v>
      </c>
      <c r="AQ335" s="290">
        <v>4.3221490799999998E-8</v>
      </c>
      <c r="AR335" s="290">
        <v>98.528772599999996</v>
      </c>
      <c r="AS335" s="290">
        <v>8.065825212</v>
      </c>
      <c r="AT335" s="290">
        <v>0</v>
      </c>
      <c r="AU335" s="290">
        <v>8.6963547624000004</v>
      </c>
      <c r="AV335" s="290">
        <v>0.70667511750000001</v>
      </c>
      <c r="AW335" s="290">
        <v>9.926829900000001E-4</v>
      </c>
      <c r="AX335" s="290">
        <v>55.561210727999999</v>
      </c>
      <c r="AY335" s="290">
        <v>0</v>
      </c>
      <c r="AZ335" s="290">
        <v>0</v>
      </c>
      <c r="BA335" s="290">
        <v>0</v>
      </c>
      <c r="BB335" s="290">
        <v>8.7338241000000007E-3</v>
      </c>
      <c r="BC335" s="290">
        <v>1.5376752299999999E-4</v>
      </c>
      <c r="BD335" s="290">
        <v>5.5583861609999996</v>
      </c>
      <c r="BE335" s="290">
        <v>3.4865666099999999E-4</v>
      </c>
      <c r="BF335" s="290">
        <v>0</v>
      </c>
      <c r="BG335" s="290">
        <v>0</v>
      </c>
      <c r="BH335" s="290">
        <v>0</v>
      </c>
      <c r="BI335" s="290">
        <v>0</v>
      </c>
      <c r="BJ335" s="290">
        <v>0</v>
      </c>
      <c r="BK335" s="78">
        <v>0</v>
      </c>
      <c r="BL335" s="41" t="s">
        <v>616</v>
      </c>
      <c r="BM335" s="45"/>
    </row>
    <row r="336" spans="1:65" x14ac:dyDescent="0.35">
      <c r="A336" s="45" t="str">
        <f>Database_Productkaarten[[#This Row],[Product]]&amp;", "&amp;Database_Productkaarten[[#This Row],[Levensfase]]</f>
        <v>AC surf rood, met blank bindmiddel - PCR 2.0, C3</v>
      </c>
      <c r="B336" s="45" t="s">
        <v>1362</v>
      </c>
      <c r="C336" s="41" t="s">
        <v>443</v>
      </c>
      <c r="D336" s="41" t="s">
        <v>471</v>
      </c>
      <c r="E336" s="41" t="s">
        <v>91</v>
      </c>
      <c r="F336" s="41" t="s">
        <v>27</v>
      </c>
      <c r="G336" s="45"/>
      <c r="H336" s="45"/>
      <c r="I336" s="45"/>
      <c r="J336" s="45"/>
      <c r="K336" s="45"/>
      <c r="L336" s="41">
        <v>2.35</v>
      </c>
      <c r="M336" s="291">
        <v>0.15929996489074674</v>
      </c>
      <c r="N336" s="45">
        <v>14</v>
      </c>
      <c r="O336" s="290">
        <v>1.8651950652712701E-6</v>
      </c>
      <c r="P336" s="290">
        <v>7.9345027014544999E-3</v>
      </c>
      <c r="Q336" s="290">
        <v>1.61366519083941</v>
      </c>
      <c r="R336" s="290">
        <v>2.0852500931639799E-7</v>
      </c>
      <c r="S336" s="290">
        <v>5.8559282914780002E-4</v>
      </c>
      <c r="T336" s="290">
        <v>5.7290956097919704E-3</v>
      </c>
      <c r="U336" s="290">
        <v>1.28200094263337E-3</v>
      </c>
      <c r="V336" s="290">
        <v>0.43705340747285598</v>
      </c>
      <c r="W336" s="290">
        <v>6.1895127589378903E-3</v>
      </c>
      <c r="X336" s="290">
        <v>21.505828986191499</v>
      </c>
      <c r="Y336" s="290">
        <v>7.3298666575687501E-4</v>
      </c>
      <c r="Z336" s="290">
        <v>1.6243260243598701</v>
      </c>
      <c r="AA336" s="290">
        <v>1.6238599220960099</v>
      </c>
      <c r="AB336" s="290">
        <v>3.7124416673908203E-4</v>
      </c>
      <c r="AC336" s="290">
        <v>9.4858097116608001E-5</v>
      </c>
      <c r="AD336" s="290">
        <v>2.62749747620564E-7</v>
      </c>
      <c r="AE336" s="290">
        <v>7.9167720634707398E-3</v>
      </c>
      <c r="AF336" s="290">
        <v>4.4318244605343802E-6</v>
      </c>
      <c r="AG336" s="290">
        <v>3.30426093804793E-3</v>
      </c>
      <c r="AH336" s="290">
        <v>3.6283310995498898E-2</v>
      </c>
      <c r="AI336" s="290">
        <v>9.6537099782192295E-3</v>
      </c>
      <c r="AJ336" s="290">
        <v>1.8651804288624501E-6</v>
      </c>
      <c r="AK336" s="290">
        <v>16.741316420905701</v>
      </c>
      <c r="AL336" s="290">
        <v>2.2296698900572499E-2</v>
      </c>
      <c r="AM336" s="290">
        <v>3.0576571418864703E-8</v>
      </c>
      <c r="AN336" s="290">
        <v>7.1855284959989899E-2</v>
      </c>
      <c r="AO336" s="290">
        <v>10.0456498705003</v>
      </c>
      <c r="AP336" s="290">
        <v>3.5242587954306801E-10</v>
      </c>
      <c r="AQ336" s="290">
        <v>7.5755651750078394E-9</v>
      </c>
      <c r="AR336" s="290">
        <v>2.1383382157655499</v>
      </c>
      <c r="AS336" s="290">
        <v>0</v>
      </c>
      <c r="AT336" s="290">
        <v>0</v>
      </c>
      <c r="AU336" s="290">
        <v>9.2018592026687898E-2</v>
      </c>
      <c r="AV336" s="290">
        <v>0</v>
      </c>
      <c r="AW336" s="290">
        <v>0</v>
      </c>
      <c r="AX336" s="290">
        <v>17.778748539033302</v>
      </c>
      <c r="AY336" s="290">
        <v>0</v>
      </c>
      <c r="AZ336" s="290">
        <v>0</v>
      </c>
      <c r="BA336" s="290">
        <v>0</v>
      </c>
      <c r="BB336" s="290">
        <v>8.6541506398302398E-4</v>
      </c>
      <c r="BC336" s="290">
        <v>4.5591075301762402E-5</v>
      </c>
      <c r="BD336" s="290">
        <v>1.9809525766910599E-2</v>
      </c>
      <c r="BE336" s="290">
        <v>1.1635304746806199E-4</v>
      </c>
      <c r="BF336" s="290">
        <v>0</v>
      </c>
      <c r="BG336" s="290">
        <v>1000</v>
      </c>
      <c r="BH336" s="290">
        <v>0</v>
      </c>
      <c r="BI336" s="290">
        <v>0</v>
      </c>
      <c r="BJ336" s="290">
        <v>0</v>
      </c>
      <c r="BK336" s="78">
        <v>0</v>
      </c>
      <c r="BL336" s="41" t="s">
        <v>616</v>
      </c>
      <c r="BM336" s="45"/>
    </row>
    <row r="337" spans="1:65" x14ac:dyDescent="0.35">
      <c r="A337" s="45" t="str">
        <f>Database_Productkaarten[[#This Row],[Product]]&amp;", "&amp;Database_Productkaarten[[#This Row],[Levensfase]]</f>
        <v>AC surf rood, met blank bindmiddel - PCR 2.0, C4</v>
      </c>
      <c r="B337" s="45" t="s">
        <v>1362</v>
      </c>
      <c r="C337" s="41" t="s">
        <v>443</v>
      </c>
      <c r="D337" s="41" t="s">
        <v>471</v>
      </c>
      <c r="E337" s="41" t="s">
        <v>91</v>
      </c>
      <c r="F337" s="41" t="s">
        <v>28</v>
      </c>
      <c r="G337" s="45"/>
      <c r="H337" s="45"/>
      <c r="I337" s="45"/>
      <c r="J337" s="45"/>
      <c r="K337" s="45"/>
      <c r="L337" s="41">
        <v>2.35</v>
      </c>
      <c r="M337" s="291">
        <v>0</v>
      </c>
      <c r="N337" s="45">
        <v>14</v>
      </c>
      <c r="O337" s="290">
        <v>0</v>
      </c>
      <c r="P337" s="290">
        <v>0</v>
      </c>
      <c r="Q337" s="290">
        <v>0</v>
      </c>
      <c r="R337" s="290">
        <v>0</v>
      </c>
      <c r="S337" s="290">
        <v>0</v>
      </c>
      <c r="T337" s="290">
        <v>0</v>
      </c>
      <c r="U337" s="290">
        <v>0</v>
      </c>
      <c r="V337" s="290">
        <v>0</v>
      </c>
      <c r="W337" s="290">
        <v>0</v>
      </c>
      <c r="X337" s="290">
        <v>0</v>
      </c>
      <c r="Y337" s="290">
        <v>0</v>
      </c>
      <c r="Z337" s="290">
        <v>0</v>
      </c>
      <c r="AA337" s="290">
        <v>0</v>
      </c>
      <c r="AB337" s="290">
        <v>0</v>
      </c>
      <c r="AC337" s="290">
        <v>0</v>
      </c>
      <c r="AD337" s="290">
        <v>0</v>
      </c>
      <c r="AE337" s="290">
        <v>0</v>
      </c>
      <c r="AF337" s="290">
        <v>0</v>
      </c>
      <c r="AG337" s="290">
        <v>0</v>
      </c>
      <c r="AH337" s="290">
        <v>0</v>
      </c>
      <c r="AI337" s="290">
        <v>0</v>
      </c>
      <c r="AJ337" s="290">
        <v>0</v>
      </c>
      <c r="AK337" s="290">
        <v>0</v>
      </c>
      <c r="AL337" s="290">
        <v>0</v>
      </c>
      <c r="AM337" s="290">
        <v>0</v>
      </c>
      <c r="AN337" s="290">
        <v>0</v>
      </c>
      <c r="AO337" s="290">
        <v>0</v>
      </c>
      <c r="AP337" s="290">
        <v>0</v>
      </c>
      <c r="AQ337" s="290">
        <v>0</v>
      </c>
      <c r="AR337" s="290">
        <v>0</v>
      </c>
      <c r="AS337" s="290">
        <v>0</v>
      </c>
      <c r="AT337" s="290">
        <v>0</v>
      </c>
      <c r="AU337" s="290">
        <v>0</v>
      </c>
      <c r="AV337" s="290">
        <v>0</v>
      </c>
      <c r="AW337" s="290">
        <v>0</v>
      </c>
      <c r="AX337" s="290">
        <v>0</v>
      </c>
      <c r="AY337" s="290">
        <v>0</v>
      </c>
      <c r="AZ337" s="290">
        <v>0</v>
      </c>
      <c r="BA337" s="290">
        <v>0</v>
      </c>
      <c r="BB337" s="290">
        <v>0</v>
      </c>
      <c r="BC337" s="290">
        <v>0</v>
      </c>
      <c r="BD337" s="290">
        <v>0</v>
      </c>
      <c r="BE337" s="290">
        <v>0</v>
      </c>
      <c r="BF337" s="290">
        <v>0</v>
      </c>
      <c r="BG337" s="290">
        <v>0</v>
      </c>
      <c r="BH337" s="290">
        <v>0</v>
      </c>
      <c r="BI337" s="290">
        <v>0</v>
      </c>
      <c r="BJ337" s="290">
        <v>0</v>
      </c>
      <c r="BK337" s="78">
        <v>0</v>
      </c>
      <c r="BL337" s="41" t="s">
        <v>616</v>
      </c>
      <c r="BM337" s="45"/>
    </row>
    <row r="338" spans="1:65" x14ac:dyDescent="0.35">
      <c r="A338" s="45" t="str">
        <f>Database_Productkaarten[[#This Row],[Product]]&amp;", "&amp;Database_Productkaarten[[#This Row],[Levensfase]]</f>
        <v>AC surf rood, met blank bindmiddel - PCR 2.0, D1</v>
      </c>
      <c r="B338" s="45" t="s">
        <v>1362</v>
      </c>
      <c r="C338" s="41" t="s">
        <v>443</v>
      </c>
      <c r="D338" s="41" t="s">
        <v>471</v>
      </c>
      <c r="E338" s="41" t="s">
        <v>91</v>
      </c>
      <c r="F338" s="41" t="s">
        <v>51</v>
      </c>
      <c r="G338" s="45"/>
      <c r="H338" s="45"/>
      <c r="I338" s="45"/>
      <c r="J338" s="45"/>
      <c r="K338" s="45"/>
      <c r="L338" s="41">
        <v>2.35</v>
      </c>
      <c r="M338" s="291">
        <v>-3.2706280635600846</v>
      </c>
      <c r="N338" s="45">
        <v>14</v>
      </c>
      <c r="O338" s="290">
        <v>-4.1002425856713801E-4</v>
      </c>
      <c r="P338" s="290">
        <v>-0.54047139826919399</v>
      </c>
      <c r="Q338" s="290">
        <v>-24.368597741959299</v>
      </c>
      <c r="R338" s="290">
        <v>-2.0912000009344802E-6</v>
      </c>
      <c r="S338" s="290">
        <v>-5.8143859238483198E-2</v>
      </c>
      <c r="T338" s="290">
        <v>-0.170522577018033</v>
      </c>
      <c r="U338" s="290">
        <v>-1.6717890367530699E-2</v>
      </c>
      <c r="V338" s="290">
        <v>-6.8999692025552397</v>
      </c>
      <c r="W338" s="290">
        <v>-0.83397915918496501</v>
      </c>
      <c r="X338" s="290">
        <v>-3640.4795157446301</v>
      </c>
      <c r="Y338" s="290">
        <v>-0.111513640346524</v>
      </c>
      <c r="Z338" s="290">
        <v>-7.4198428973948598</v>
      </c>
      <c r="AA338" s="290">
        <v>-7.33876835589541</v>
      </c>
      <c r="AB338" s="290">
        <v>-7.2219064142359804E-2</v>
      </c>
      <c r="AC338" s="290">
        <v>-8.8554773571018295E-3</v>
      </c>
      <c r="AD338" s="290">
        <v>-9.3367301003883295E-7</v>
      </c>
      <c r="AE338" s="290">
        <v>-6.8706813000375094E-2</v>
      </c>
      <c r="AF338" s="290">
        <v>-3.06665558372563E-4</v>
      </c>
      <c r="AG338" s="290">
        <v>-2.0213328658759501E-2</v>
      </c>
      <c r="AH338" s="290">
        <v>-0.25193960727984099</v>
      </c>
      <c r="AI338" s="290">
        <v>-6.3007707751168304E-2</v>
      </c>
      <c r="AJ338" s="290">
        <v>-4.0760173245609301E-4</v>
      </c>
      <c r="AK338" s="290">
        <v>-104.475117478436</v>
      </c>
      <c r="AL338" s="290">
        <v>-39.142422764711199</v>
      </c>
      <c r="AM338" s="290">
        <v>-9.969162714381769E-7</v>
      </c>
      <c r="AN338" s="290">
        <v>-0.53946948847718501</v>
      </c>
      <c r="AO338" s="290">
        <v>-838.83747691820702</v>
      </c>
      <c r="AP338" s="290">
        <v>-5.4225823303645397E-9</v>
      </c>
      <c r="AQ338" s="290">
        <v>-1.2872186249905901E-7</v>
      </c>
      <c r="AR338" s="290">
        <v>-1024.62184039831</v>
      </c>
      <c r="AS338" s="290">
        <v>0</v>
      </c>
      <c r="AT338" s="290">
        <v>0</v>
      </c>
      <c r="AU338" s="290">
        <v>-12.6524921321523</v>
      </c>
      <c r="AV338" s="290">
        <v>0</v>
      </c>
      <c r="AW338" s="290">
        <v>0</v>
      </c>
      <c r="AX338" s="290">
        <v>-1218.6411445213</v>
      </c>
      <c r="AY338" s="290">
        <v>0</v>
      </c>
      <c r="AZ338" s="290">
        <v>0</v>
      </c>
      <c r="BA338" s="290">
        <v>0</v>
      </c>
      <c r="BB338" s="290">
        <v>-13.258992052894101</v>
      </c>
      <c r="BC338" s="290">
        <v>-5.8706845885739896E-4</v>
      </c>
      <c r="BD338" s="290">
        <v>-2.3654518545866701</v>
      </c>
      <c r="BE338" s="290">
        <v>-7.1572328756896401E-4</v>
      </c>
      <c r="BF338" s="290">
        <v>0</v>
      </c>
      <c r="BG338" s="290">
        <v>0</v>
      </c>
      <c r="BH338" s="290">
        <v>0</v>
      </c>
      <c r="BI338" s="290">
        <v>0</v>
      </c>
      <c r="BJ338" s="290">
        <v>0</v>
      </c>
      <c r="BK338" s="78">
        <v>0</v>
      </c>
      <c r="BL338" s="41" t="s">
        <v>616</v>
      </c>
      <c r="BM338" s="45"/>
    </row>
    <row r="339" spans="1:65" x14ac:dyDescent="0.35">
      <c r="A339" s="45" t="str">
        <f>Database_Productkaarten[[#This Row],[Product]]&amp;", "&amp;Database_Productkaarten[[#This Row],[Levensfase]]</f>
        <v>AC bin/base 50% PR - PCR 2.0, Totaal</v>
      </c>
      <c r="B339" s="41" t="s">
        <v>1366</v>
      </c>
      <c r="C339" s="41" t="s">
        <v>443</v>
      </c>
      <c r="D339" s="41" t="s">
        <v>470</v>
      </c>
      <c r="E339" s="41" t="s">
        <v>91</v>
      </c>
      <c r="F339" s="41" t="s">
        <v>16</v>
      </c>
      <c r="G339" s="45"/>
      <c r="H339" s="45"/>
      <c r="I339" s="45"/>
      <c r="J339" s="45"/>
      <c r="K339" s="45"/>
      <c r="L339" s="45">
        <v>2.37</v>
      </c>
      <c r="M339" s="54">
        <f>SUM(M340:M354)</f>
        <v>4.8932677945196845</v>
      </c>
      <c r="N339" s="45">
        <v>45</v>
      </c>
      <c r="O339" s="55">
        <f>SUM(O340:O354)</f>
        <v>3.9064086130183247E-4</v>
      </c>
      <c r="P339" s="55">
        <f t="shared" ref="P339" si="203">SUM(P340:P354)</f>
        <v>0.45344573820146317</v>
      </c>
      <c r="Q339" s="55">
        <f t="shared" ref="Q339" si="204">SUM(Q340:Q354)</f>
        <v>53.662194006786009</v>
      </c>
      <c r="R339" s="55">
        <f t="shared" ref="R339" si="205">SUM(R340:R354)</f>
        <v>7.0820007555450517E-6</v>
      </c>
      <c r="S339" s="55">
        <f t="shared" ref="S339" si="206">SUM(S340:S354)</f>
        <v>2.6691828696719426E-2</v>
      </c>
      <c r="T339" s="55">
        <f t="shared" ref="T339" si="207">SUM(T340:T354)</f>
        <v>0.16481476138917547</v>
      </c>
      <c r="U339" s="55">
        <f t="shared" ref="U339" si="208">SUM(U340:U354)</f>
        <v>3.0591900715117026E-2</v>
      </c>
      <c r="V339" s="55">
        <f t="shared" ref="V339" si="209">SUM(V340:V354)</f>
        <v>11.221472829531121</v>
      </c>
      <c r="W339" s="55">
        <f t="shared" ref="W339" si="210">SUM(W340:W354)</f>
        <v>0.34149047839798274</v>
      </c>
      <c r="X339" s="55">
        <f t="shared" ref="X339" si="211">SUM(X340:X354)</f>
        <v>1252.0707446548136</v>
      </c>
      <c r="Y339" s="55">
        <f t="shared" ref="Y339" si="212">SUM(Y340:Y354)</f>
        <v>6.6294344104326525E-2</v>
      </c>
      <c r="Z339" s="55">
        <f t="shared" ref="Z339" si="213">SUM(Z340:Z354)</f>
        <v>68.572483296979186</v>
      </c>
      <c r="AA339" s="55">
        <f t="shared" ref="AA339" si="214">SUM(AA340:AA354)</f>
        <v>68.457333143117893</v>
      </c>
      <c r="AB339" s="55">
        <f t="shared" ref="AB339" si="215">SUM(AB340:AB354)</f>
        <v>9.5577907304769033E-2</v>
      </c>
      <c r="AC339" s="55">
        <f t="shared" ref="AC339" si="216">SUM(AC340:AC354)</f>
        <v>3.213222990646078E-2</v>
      </c>
      <c r="AD339" s="55">
        <f t="shared" ref="AD339" si="217">SUM(AD340:AD354)</f>
        <v>9.7269707012241687E-6</v>
      </c>
      <c r="AE339" s="55">
        <f t="shared" ref="AE339" si="218">SUM(AE340:AE354)</f>
        <v>0.32155347978907345</v>
      </c>
      <c r="AF339" s="55">
        <f t="shared" ref="AF339" si="219">SUM(AF340:AF354)</f>
        <v>6.0156175897172772E-4</v>
      </c>
      <c r="AG339" s="55">
        <f t="shared" ref="AG339" si="220">SUM(AG340:AG354)</f>
        <v>8.7083374454648699E-2</v>
      </c>
      <c r="AH339" s="55">
        <f t="shared" ref="AH339" si="221">SUM(AH340:AH354)</f>
        <v>0.92113767656407775</v>
      </c>
      <c r="AI339" s="55">
        <f t="shared" ref="AI339" si="222">SUM(AI340:AI354)</f>
        <v>0.3497202567045759</v>
      </c>
      <c r="AJ339" s="55">
        <f t="shared" ref="AJ339" si="223">SUM(AJ340:AJ354)</f>
        <v>3.9245494728980739E-4</v>
      </c>
      <c r="AK339" s="55">
        <f t="shared" ref="AK339" si="224">SUM(AK340:AK354)</f>
        <v>1690.5893391091411</v>
      </c>
      <c r="AL339" s="55">
        <f t="shared" ref="AL339" si="225">SUM(AL340:AL354)</f>
        <v>13.142724268864852</v>
      </c>
      <c r="AM339" s="55">
        <f t="shared" ref="AM339" si="226">SUM(AM340:AM354)</f>
        <v>1.607821716217475E-6</v>
      </c>
      <c r="AN339" s="55">
        <f t="shared" ref="AN339" si="227">SUM(AN340:AN354)</f>
        <v>2.0730763482836347</v>
      </c>
      <c r="AO339" s="55">
        <f t="shared" ref="AO339" si="228">SUM(AO340:AO354)</f>
        <v>1043.9794805963143</v>
      </c>
      <c r="AP339" s="55">
        <f t="shared" ref="AP339" si="229">SUM(AP340:AP354)</f>
        <v>1.6605603486810738E-8</v>
      </c>
      <c r="AQ339" s="55">
        <f t="shared" ref="AQ339" si="230">SUM(AQ340:AQ354)</f>
        <v>5.0677395982535181E-7</v>
      </c>
      <c r="AR339" s="55">
        <f t="shared" ref="AR339" si="231">SUM(AR340:AR354)</f>
        <v>-96.330497414178353</v>
      </c>
      <c r="AS339" s="55">
        <f t="shared" ref="AS339" si="232">SUM(AS340:AS354)</f>
        <v>8.065825212</v>
      </c>
      <c r="AT339" s="55">
        <f t="shared" ref="AT339" si="233">SUM(AT340:AT354)</f>
        <v>0</v>
      </c>
      <c r="AU339" s="55">
        <f t="shared" ref="AU339" si="234">SUM(AU340:AU354)</f>
        <v>18.701406420671752</v>
      </c>
      <c r="AV339" s="55">
        <f t="shared" ref="AV339" si="235">SUM(AV340:AV354)</f>
        <v>0.70667511750000001</v>
      </c>
      <c r="AW339" s="55">
        <f t="shared" ref="AW339" si="236">SUM(AW340:AW354)</f>
        <v>9.926829900000001E-4</v>
      </c>
      <c r="AX339" s="55">
        <f t="shared" ref="AX339" si="237">SUM(AX340:AX354)</f>
        <v>971.46932466974954</v>
      </c>
      <c r="AY339" s="55">
        <f t="shared" ref="AY339" si="238">SUM(AY340:AY354)</f>
        <v>501</v>
      </c>
      <c r="AZ339" s="55">
        <f t="shared" ref="AZ339" si="239">SUM(AZ340:AZ354)</f>
        <v>0</v>
      </c>
      <c r="BA339" s="55">
        <f t="shared" ref="BA339" si="240">SUM(BA340:BA354)</f>
        <v>0</v>
      </c>
      <c r="BB339" s="55">
        <f t="shared" ref="BB339" si="241">SUM(BB340:BB354)</f>
        <v>-9.0230379681378086</v>
      </c>
      <c r="BC339" s="55">
        <f t="shared" ref="BC339" si="242">SUM(BC340:BC354)</f>
        <v>1.4700370461475183E-3</v>
      </c>
      <c r="BD339" s="55">
        <f t="shared" ref="BD339" si="243">SUM(BD340:BD354)</f>
        <v>15.020734697583148</v>
      </c>
      <c r="BE339" s="55">
        <f t="shared" ref="BE339" si="244">SUM(BE340:BE354)</f>
        <v>2.6540464028300885E-3</v>
      </c>
      <c r="BF339" s="55">
        <f t="shared" ref="BF339" si="245">SUM(BF340:BF354)</f>
        <v>0</v>
      </c>
      <c r="BG339" s="55">
        <f t="shared" ref="BG339" si="246">SUM(BG340:BG354)</f>
        <v>1000</v>
      </c>
      <c r="BH339" s="55">
        <f t="shared" ref="BH339" si="247">SUM(BH340:BH354)</f>
        <v>0</v>
      </c>
      <c r="BI339" s="55">
        <f t="shared" ref="BI339" si="248">SUM(BI340:BI354)</f>
        <v>0</v>
      </c>
      <c r="BJ339" s="55">
        <f t="shared" ref="BJ339" si="249">SUM(BJ340:BJ354)</f>
        <v>0</v>
      </c>
      <c r="BK339" s="78">
        <v>0.5</v>
      </c>
      <c r="BL339" s="41" t="s">
        <v>616</v>
      </c>
      <c r="BM339" s="45"/>
    </row>
    <row r="340" spans="1:65" x14ac:dyDescent="0.35">
      <c r="A340" s="45" t="str">
        <f>Database_Productkaarten[[#This Row],[Product]]&amp;", "&amp;Database_Productkaarten[[#This Row],[Levensfase]]</f>
        <v>AC bin/base 50% PR - PCR 2.0, A1</v>
      </c>
      <c r="B340" s="41" t="s">
        <v>1366</v>
      </c>
      <c r="C340" s="41" t="s">
        <v>443</v>
      </c>
      <c r="D340" s="41" t="s">
        <v>470</v>
      </c>
      <c r="E340" s="41" t="s">
        <v>91</v>
      </c>
      <c r="F340" s="41" t="s">
        <v>19</v>
      </c>
      <c r="G340" s="45"/>
      <c r="H340" s="45"/>
      <c r="I340" s="45"/>
      <c r="J340" s="45"/>
      <c r="K340" s="45"/>
      <c r="L340" s="45">
        <v>2.37</v>
      </c>
      <c r="M340" s="291">
        <v>2.7740951495482511</v>
      </c>
      <c r="N340" s="45">
        <v>45</v>
      </c>
      <c r="O340" s="290">
        <v>3.2750851091353003E-4</v>
      </c>
      <c r="P340" s="290">
        <v>0.48876942043413002</v>
      </c>
      <c r="Q340" s="290">
        <v>21.474959546248002</v>
      </c>
      <c r="R340" s="290">
        <v>1.73837041783756E-6</v>
      </c>
      <c r="S340" s="290">
        <v>5.1840390148508698E-2</v>
      </c>
      <c r="T340" s="290">
        <v>0.13968796205134701</v>
      </c>
      <c r="U340" s="290">
        <v>1.17641763411966E-2</v>
      </c>
      <c r="V340" s="290">
        <v>5.4741577833958601</v>
      </c>
      <c r="W340" s="290">
        <v>0.75937566035092197</v>
      </c>
      <c r="X340" s="290">
        <v>3323.2535184148201</v>
      </c>
      <c r="Y340" s="290">
        <v>9.9141246021614907E-2</v>
      </c>
      <c r="Z340" s="290">
        <v>22.870132635704699</v>
      </c>
      <c r="AA340" s="290">
        <v>22.8019563328209</v>
      </c>
      <c r="AB340" s="290">
        <v>6.7105406108054905E-2</v>
      </c>
      <c r="AC340" s="290">
        <v>1.3630896775809601E-2</v>
      </c>
      <c r="AD340" s="290">
        <v>2.1091717437771199E-6</v>
      </c>
      <c r="AE340" s="290">
        <v>0.164401123378981</v>
      </c>
      <c r="AF340" s="290">
        <v>3.6628791544495202E-4</v>
      </c>
      <c r="AG340" s="290">
        <v>2.43280350908394E-2</v>
      </c>
      <c r="AH340" s="290">
        <v>0.24555617534993501</v>
      </c>
      <c r="AI340" s="290">
        <v>0.15977542278378801</v>
      </c>
      <c r="AJ340" s="290">
        <v>3.2748761025284799E-4</v>
      </c>
      <c r="AK340" s="290">
        <v>1036.0822239338499</v>
      </c>
      <c r="AL340" s="290">
        <v>27.315931849049701</v>
      </c>
      <c r="AM340" s="290">
        <v>8.7679819479842398E-7</v>
      </c>
      <c r="AN340" s="290">
        <v>0.68757003201841804</v>
      </c>
      <c r="AO340" s="290">
        <v>1250.5866516823401</v>
      </c>
      <c r="AP340" s="290">
        <v>7.3851475358664202E-9</v>
      </c>
      <c r="AQ340" s="290">
        <v>3.1505523213096202E-7</v>
      </c>
      <c r="AR340" s="290">
        <v>269.67786925939703</v>
      </c>
      <c r="AS340" s="290">
        <v>0</v>
      </c>
      <c r="AT340" s="290">
        <v>0</v>
      </c>
      <c r="AU340" s="290">
        <v>8.7222627538642303</v>
      </c>
      <c r="AV340" s="290">
        <v>0</v>
      </c>
      <c r="AW340" s="290">
        <v>0</v>
      </c>
      <c r="AX340" s="290">
        <v>1102.5157309388001</v>
      </c>
      <c r="AY340" s="290">
        <v>501</v>
      </c>
      <c r="AZ340" s="290">
        <v>0</v>
      </c>
      <c r="BA340" s="290">
        <v>0</v>
      </c>
      <c r="BB340" s="290">
        <v>0.65094897128599205</v>
      </c>
      <c r="BC340" s="290">
        <v>5.1245506786644704E-4</v>
      </c>
      <c r="BD340" s="290">
        <v>2.4107530906329</v>
      </c>
      <c r="BE340" s="290">
        <v>5.0600725283806499E-4</v>
      </c>
      <c r="BF340" s="290">
        <v>0</v>
      </c>
      <c r="BG340" s="290">
        <v>0</v>
      </c>
      <c r="BH340" s="290">
        <v>0</v>
      </c>
      <c r="BI340" s="290">
        <v>0</v>
      </c>
      <c r="BJ340" s="290">
        <v>0</v>
      </c>
      <c r="BK340" s="78">
        <v>0.5</v>
      </c>
      <c r="BL340" s="41" t="s">
        <v>616</v>
      </c>
      <c r="BM340" s="45"/>
    </row>
    <row r="341" spans="1:65" x14ac:dyDescent="0.35">
      <c r="A341" s="45" t="str">
        <f>Database_Productkaarten[[#This Row],[Product]]&amp;", "&amp;Database_Productkaarten[[#This Row],[Levensfase]]</f>
        <v>AC bin/base 50% PR - PCR 2.0, A2</v>
      </c>
      <c r="B341" s="41" t="s">
        <v>1366</v>
      </c>
      <c r="C341" s="41" t="s">
        <v>443</v>
      </c>
      <c r="D341" s="41" t="s">
        <v>470</v>
      </c>
      <c r="E341" s="41" t="s">
        <v>91</v>
      </c>
      <c r="F341" s="41" t="s">
        <v>20</v>
      </c>
      <c r="G341" s="45"/>
      <c r="H341" s="45"/>
      <c r="I341" s="45"/>
      <c r="J341" s="45"/>
      <c r="K341" s="45"/>
      <c r="L341" s="45">
        <v>2.37</v>
      </c>
      <c r="M341" s="291">
        <v>1.4653902547148507</v>
      </c>
      <c r="N341" s="45">
        <v>45</v>
      </c>
      <c r="O341" s="290">
        <v>1.39223781196203E-4</v>
      </c>
      <c r="P341" s="290">
        <v>7.8348909750853998E-2</v>
      </c>
      <c r="Q341" s="290">
        <v>12.260806480351899</v>
      </c>
      <c r="R341" s="290">
        <v>1.83881057853449E-6</v>
      </c>
      <c r="S341" s="290">
        <v>7.2451912276389396E-3</v>
      </c>
      <c r="T341" s="290">
        <v>8.1098385479695598E-2</v>
      </c>
      <c r="U341" s="290">
        <v>1.7872703615385999E-2</v>
      </c>
      <c r="V341" s="290">
        <v>3.40895880752272</v>
      </c>
      <c r="W341" s="290">
        <v>8.94502334776245E-2</v>
      </c>
      <c r="X341" s="290">
        <v>295.90157509641398</v>
      </c>
      <c r="Y341" s="290">
        <v>1.53075151870424E-2</v>
      </c>
      <c r="Z341" s="290">
        <v>12.400224917334199</v>
      </c>
      <c r="AA341" s="290">
        <v>12.363537563961801</v>
      </c>
      <c r="AB341" s="290">
        <v>1.7263748979387799E-2</v>
      </c>
      <c r="AC341" s="290">
        <v>1.9423604393015399E-2</v>
      </c>
      <c r="AD341" s="290">
        <v>2.28851421723856E-6</v>
      </c>
      <c r="AE341" s="290">
        <v>0.112569260083619</v>
      </c>
      <c r="AF341" s="290">
        <v>1.4407597428140601E-4</v>
      </c>
      <c r="AG341" s="290">
        <v>4.7164306266147198E-2</v>
      </c>
      <c r="AH341" s="290">
        <v>0.51919552919183498</v>
      </c>
      <c r="AI341" s="290">
        <v>0.135377890939677</v>
      </c>
      <c r="AJ341" s="290">
        <v>1.3921864442483401E-4</v>
      </c>
      <c r="AK341" s="290">
        <v>162.3696118853</v>
      </c>
      <c r="AL341" s="290">
        <v>0.724301734799358</v>
      </c>
      <c r="AM341" s="290">
        <v>4.43103851787307E-7</v>
      </c>
      <c r="AN341" s="290">
        <v>0.69885413483224401</v>
      </c>
      <c r="AO341" s="290">
        <v>143.79490933053199</v>
      </c>
      <c r="AP341" s="290">
        <v>5.7748239525369304E-9</v>
      </c>
      <c r="AQ341" s="290">
        <v>1.1183265193400099E-7</v>
      </c>
      <c r="AR341" s="290">
        <v>127.908507080391</v>
      </c>
      <c r="AS341" s="290">
        <v>0</v>
      </c>
      <c r="AT341" s="290">
        <v>0</v>
      </c>
      <c r="AU341" s="290">
        <v>3.4184511377505098</v>
      </c>
      <c r="AV341" s="290">
        <v>0</v>
      </c>
      <c r="AW341" s="290">
        <v>0</v>
      </c>
      <c r="AX341" s="290">
        <v>172.322136809846</v>
      </c>
      <c r="AY341" s="290">
        <v>0</v>
      </c>
      <c r="AZ341" s="290">
        <v>0</v>
      </c>
      <c r="BA341" s="290">
        <v>0</v>
      </c>
      <c r="BB341" s="290">
        <v>2.85133229127871E-2</v>
      </c>
      <c r="BC341" s="290">
        <v>4.2050522584460501E-4</v>
      </c>
      <c r="BD341" s="290">
        <v>2.9279950902130198</v>
      </c>
      <c r="BE341" s="290">
        <v>1.05537804396727E-3</v>
      </c>
      <c r="BF341" s="290">
        <v>0</v>
      </c>
      <c r="BG341" s="290">
        <v>0</v>
      </c>
      <c r="BH341" s="290">
        <v>0</v>
      </c>
      <c r="BI341" s="290">
        <v>0</v>
      </c>
      <c r="BJ341" s="290">
        <v>0</v>
      </c>
      <c r="BK341" s="78">
        <v>0.5</v>
      </c>
      <c r="BL341" s="41" t="s">
        <v>616</v>
      </c>
      <c r="BM341" s="45"/>
    </row>
    <row r="342" spans="1:65" x14ac:dyDescent="0.35">
      <c r="A342" s="45" t="str">
        <f>Database_Productkaarten[[#This Row],[Product]]&amp;", "&amp;Database_Productkaarten[[#This Row],[Levensfase]]</f>
        <v>AC bin/base 50% PR - PCR 2.0, A3</v>
      </c>
      <c r="B342" s="41" t="s">
        <v>1366</v>
      </c>
      <c r="C342" s="41" t="s">
        <v>443</v>
      </c>
      <c r="D342" s="41" t="s">
        <v>470</v>
      </c>
      <c r="E342" s="41" t="s">
        <v>91</v>
      </c>
      <c r="F342" s="41" t="s">
        <v>21</v>
      </c>
      <c r="G342" s="45"/>
      <c r="H342" s="45"/>
      <c r="I342" s="45"/>
      <c r="J342" s="45"/>
      <c r="K342" s="45"/>
      <c r="L342" s="45">
        <v>2.37</v>
      </c>
      <c r="M342" s="291">
        <v>1.6691827309115628</v>
      </c>
      <c r="N342" s="45">
        <v>45</v>
      </c>
      <c r="O342" s="290">
        <v>1.75221471812503E-5</v>
      </c>
      <c r="P342" s="290">
        <v>0.20284439429617501</v>
      </c>
      <c r="Q342" s="290">
        <v>23.6026624250125</v>
      </c>
      <c r="R342" s="290">
        <v>2.7764265033234102E-6</v>
      </c>
      <c r="S342" s="290">
        <v>3.80386090478894E-3</v>
      </c>
      <c r="T342" s="290">
        <v>2.1588482274775202E-2</v>
      </c>
      <c r="U342" s="290">
        <v>3.5188368837801298E-3</v>
      </c>
      <c r="V342" s="290">
        <v>3.55647192692998</v>
      </c>
      <c r="W342" s="290">
        <v>2.2241138790628799E-2</v>
      </c>
      <c r="X342" s="290">
        <v>90.268805783170507</v>
      </c>
      <c r="Y342" s="290">
        <v>1.8343986774449601E-2</v>
      </c>
      <c r="Z342" s="290">
        <v>23.9381513125353</v>
      </c>
      <c r="AA342" s="290">
        <v>23.8974598546077</v>
      </c>
      <c r="AB342" s="290">
        <v>3.9049750662162201E-2</v>
      </c>
      <c r="AC342" s="290">
        <v>1.6417072653309001E-3</v>
      </c>
      <c r="AD342" s="290">
        <v>3.1413355944547199E-6</v>
      </c>
      <c r="AE342" s="290">
        <v>2.7763589444059902E-2</v>
      </c>
      <c r="AF342" s="290">
        <v>1.9265988312221801E-4</v>
      </c>
      <c r="AG342" s="290">
        <v>7.9453280378262402E-3</v>
      </c>
      <c r="AH342" s="290">
        <v>8.9096596140603404E-2</v>
      </c>
      <c r="AI342" s="290">
        <v>2.7610949722309999E-2</v>
      </c>
      <c r="AJ342" s="290">
        <v>1.7521901678027301E-5</v>
      </c>
      <c r="AK342" s="290">
        <v>374.358851798579</v>
      </c>
      <c r="AL342" s="290">
        <v>0.413957004318808</v>
      </c>
      <c r="AM342" s="290">
        <v>1.9033705044398901E-7</v>
      </c>
      <c r="AN342" s="290">
        <v>0.24380320062670299</v>
      </c>
      <c r="AO342" s="290">
        <v>60.963504578344903</v>
      </c>
      <c r="AP342" s="290">
        <v>2.73197506392119E-9</v>
      </c>
      <c r="AQ342" s="290">
        <v>4.1733387882570097E-8</v>
      </c>
      <c r="AR342" s="290">
        <v>13.181442438659801</v>
      </c>
      <c r="AS342" s="290">
        <v>0</v>
      </c>
      <c r="AT342" s="290">
        <v>0</v>
      </c>
      <c r="AU342" s="290">
        <v>5.0869073521177004</v>
      </c>
      <c r="AV342" s="290">
        <v>0</v>
      </c>
      <c r="AW342" s="290">
        <v>0</v>
      </c>
      <c r="AX342" s="290">
        <v>413.47140232975698</v>
      </c>
      <c r="AY342" s="290">
        <v>0</v>
      </c>
      <c r="AZ342" s="290">
        <v>0</v>
      </c>
      <c r="BA342" s="290">
        <v>0</v>
      </c>
      <c r="BB342" s="290">
        <v>2.9857069165504499E-2</v>
      </c>
      <c r="BC342" s="290">
        <v>4.64006666666618E-4</v>
      </c>
      <c r="BD342" s="290">
        <v>0.233966253145449</v>
      </c>
      <c r="BE342" s="290">
        <v>3.22473392759947E-4</v>
      </c>
      <c r="BF342" s="290">
        <v>0</v>
      </c>
      <c r="BG342" s="290">
        <v>0</v>
      </c>
      <c r="BH342" s="290">
        <v>0</v>
      </c>
      <c r="BI342" s="290">
        <v>0</v>
      </c>
      <c r="BJ342" s="290">
        <v>0</v>
      </c>
      <c r="BK342" s="78">
        <v>0.5</v>
      </c>
      <c r="BL342" s="41" t="s">
        <v>616</v>
      </c>
      <c r="BM342" s="45"/>
    </row>
    <row r="343" spans="1:65" x14ac:dyDescent="0.35">
      <c r="A343" s="45" t="str">
        <f>Database_Productkaarten[[#This Row],[Product]]&amp;", "&amp;Database_Productkaarten[[#This Row],[Levensfase]]</f>
        <v>AC bin/base 50% PR - PCR 2.0, A4</v>
      </c>
      <c r="B343" s="41" t="s">
        <v>1366</v>
      </c>
      <c r="C343" s="41" t="s">
        <v>443</v>
      </c>
      <c r="D343" s="41" t="s">
        <v>470</v>
      </c>
      <c r="E343" s="41" t="s">
        <v>91</v>
      </c>
      <c r="F343" s="41" t="s">
        <v>22</v>
      </c>
      <c r="G343" s="45"/>
      <c r="H343" s="45"/>
      <c r="I343" s="45"/>
      <c r="J343" s="45"/>
      <c r="K343" s="45"/>
      <c r="L343" s="45">
        <v>2.37</v>
      </c>
      <c r="M343" s="291">
        <v>0.37546048090943995</v>
      </c>
      <c r="N343" s="45">
        <v>45</v>
      </c>
      <c r="O343" s="290">
        <v>6.8533509000000002E-5</v>
      </c>
      <c r="P343" s="290">
        <v>2.9713889699999999E-2</v>
      </c>
      <c r="Q343" s="290">
        <v>3.9891474704999998</v>
      </c>
      <c r="R343" s="290">
        <v>7.557213E-7</v>
      </c>
      <c r="S343" s="290">
        <v>2.4773701499999998E-3</v>
      </c>
      <c r="T343" s="290">
        <v>1.36398132E-2</v>
      </c>
      <c r="U343" s="290">
        <v>2.5682192100000001E-3</v>
      </c>
      <c r="V343" s="290">
        <v>0.8608144794</v>
      </c>
      <c r="W343" s="290">
        <v>3.6189873900000002E-2</v>
      </c>
      <c r="X343" s="290">
        <v>97.376595929999993</v>
      </c>
      <c r="Y343" s="290">
        <v>4.8437180999999999E-3</v>
      </c>
      <c r="Z343" s="290">
        <v>4.0259382761999998</v>
      </c>
      <c r="AA343" s="290">
        <v>4.0229543298000001</v>
      </c>
      <c r="AB343" s="290">
        <v>1.9814632200000001E-3</v>
      </c>
      <c r="AC343" s="290">
        <v>1.0024609799999999E-3</v>
      </c>
      <c r="AD343" s="290">
        <v>9.4976262000000003E-7</v>
      </c>
      <c r="AE343" s="290">
        <v>1.7739576E-2</v>
      </c>
      <c r="AF343" s="290">
        <v>2.7841996800000001E-5</v>
      </c>
      <c r="AG343" s="290">
        <v>5.5484582100000001E-3</v>
      </c>
      <c r="AH343" s="290">
        <v>6.1385308800000003E-2</v>
      </c>
      <c r="AI343" s="290">
        <v>1.9235744999999999E-2</v>
      </c>
      <c r="AJ343" s="290">
        <v>6.8533397999999998E-5</v>
      </c>
      <c r="AK343" s="290">
        <v>62.400806729999999</v>
      </c>
      <c r="AL343" s="290">
        <v>0.212954166</v>
      </c>
      <c r="AM343" s="290">
        <v>2.9338876200000002E-7</v>
      </c>
      <c r="AN343" s="290">
        <v>0.26868483510000002</v>
      </c>
      <c r="AO343" s="290">
        <v>45.56587296</v>
      </c>
      <c r="AP343" s="290">
        <v>1.16371179E-9</v>
      </c>
      <c r="AQ343" s="290">
        <v>3.8268015899999999E-8</v>
      </c>
      <c r="AR343" s="290">
        <v>71.806844609999999</v>
      </c>
      <c r="AS343" s="290">
        <v>0</v>
      </c>
      <c r="AT343" s="290">
        <v>0</v>
      </c>
      <c r="AU343" s="290">
        <v>0.63474917099999995</v>
      </c>
      <c r="AV343" s="290">
        <v>0</v>
      </c>
      <c r="AW343" s="290">
        <v>0</v>
      </c>
      <c r="AX343" s="290">
        <v>66.265108560000002</v>
      </c>
      <c r="AY343" s="290">
        <v>0</v>
      </c>
      <c r="AZ343" s="290">
        <v>0</v>
      </c>
      <c r="BA343" s="290">
        <v>0</v>
      </c>
      <c r="BB343" s="290">
        <v>6.7467797999999999E-3</v>
      </c>
      <c r="BC343" s="290">
        <v>1.54707915E-4</v>
      </c>
      <c r="BD343" s="290">
        <v>5.4635493149999999</v>
      </c>
      <c r="BE343" s="290">
        <v>4.25149758E-4</v>
      </c>
      <c r="BF343" s="290">
        <v>0</v>
      </c>
      <c r="BG343" s="290">
        <v>0</v>
      </c>
      <c r="BH343" s="290">
        <v>0</v>
      </c>
      <c r="BI343" s="290">
        <v>0</v>
      </c>
      <c r="BJ343" s="290">
        <v>0</v>
      </c>
      <c r="BK343" s="78">
        <v>0.5</v>
      </c>
      <c r="BL343" s="41" t="s">
        <v>616</v>
      </c>
      <c r="BM343" s="45"/>
    </row>
    <row r="344" spans="1:65" x14ac:dyDescent="0.35">
      <c r="A344" s="45" t="str">
        <f>Database_Productkaarten[[#This Row],[Product]]&amp;", "&amp;Database_Productkaarten[[#This Row],[Levensfase]]</f>
        <v>AC bin/base 50% PR - PCR 2.0, A5</v>
      </c>
      <c r="B344" s="41" t="s">
        <v>1366</v>
      </c>
      <c r="C344" s="41" t="s">
        <v>443</v>
      </c>
      <c r="D344" s="41" t="s">
        <v>470</v>
      </c>
      <c r="E344" s="41" t="s">
        <v>91</v>
      </c>
      <c r="F344" s="41" t="s">
        <v>23</v>
      </c>
      <c r="G344" s="45"/>
      <c r="H344" s="45"/>
      <c r="I344" s="45"/>
      <c r="J344" s="45"/>
      <c r="K344" s="45"/>
      <c r="L344" s="45">
        <v>2.37</v>
      </c>
      <c r="M344" s="291">
        <v>0.14177533127618935</v>
      </c>
      <c r="N344" s="45">
        <v>45</v>
      </c>
      <c r="O344" s="290">
        <v>1.6131416714689599E-6</v>
      </c>
      <c r="P344" s="290">
        <v>6.8622725952800102E-3</v>
      </c>
      <c r="Q344" s="290">
        <v>1.39560232681359</v>
      </c>
      <c r="R344" s="290">
        <v>1.80345953791279E-7</v>
      </c>
      <c r="S344" s="290">
        <v>5.1654444148408905E-4</v>
      </c>
      <c r="T344" s="290">
        <v>5.5620934986418003E-3</v>
      </c>
      <c r="U344" s="290">
        <v>1.2666295717526899E-3</v>
      </c>
      <c r="V344" s="290">
        <v>0.37946512669385002</v>
      </c>
      <c r="W344" s="290">
        <v>5.3530921075864704E-3</v>
      </c>
      <c r="X344" s="290">
        <v>18.5996358535537</v>
      </c>
      <c r="Y344" s="290">
        <v>6.3393441074713298E-4</v>
      </c>
      <c r="Z344" s="290">
        <v>1.4061400511337501</v>
      </c>
      <c r="AA344" s="290">
        <v>1.4057369356633</v>
      </c>
      <c r="AB344" s="290">
        <v>3.2107603494744099E-4</v>
      </c>
      <c r="AC344" s="290">
        <v>8.2039435495729002E-5</v>
      </c>
      <c r="AD344" s="290">
        <v>2.2724302470551701E-7</v>
      </c>
      <c r="AE344" s="290">
        <v>7.7455939988716003E-3</v>
      </c>
      <c r="AF344" s="290">
        <v>3.8329292479681096E-6</v>
      </c>
      <c r="AG344" s="290">
        <v>3.3301407895062998E-3</v>
      </c>
      <c r="AH344" s="290">
        <v>3.65535048593379E-2</v>
      </c>
      <c r="AI344" s="290">
        <v>9.5750220949219807E-3</v>
      </c>
      <c r="AJ344" s="290">
        <v>1.6131290129532501E-6</v>
      </c>
      <c r="AK344" s="290">
        <v>14.478976342411899</v>
      </c>
      <c r="AL344" s="290">
        <v>1.9283631399492501E-2</v>
      </c>
      <c r="AM344" s="290">
        <v>2.9438644917987999E-8</v>
      </c>
      <c r="AN344" s="290">
        <v>6.2145111108775401E-2</v>
      </c>
      <c r="AO344" s="290">
        <v>8.6879180918054804</v>
      </c>
      <c r="AP344" s="290">
        <v>3.0480075914693101E-10</v>
      </c>
      <c r="AQ344" s="290">
        <v>7.4560899513887093E-9</v>
      </c>
      <c r="AR344" s="290">
        <v>1.8493735889060301</v>
      </c>
      <c r="AS344" s="290">
        <v>0</v>
      </c>
      <c r="AT344" s="290">
        <v>0</v>
      </c>
      <c r="AU344" s="290">
        <v>7.9583646875925201E-2</v>
      </c>
      <c r="AV344" s="290">
        <v>0</v>
      </c>
      <c r="AW344" s="290">
        <v>0</v>
      </c>
      <c r="AX344" s="290">
        <v>15.3762149296575</v>
      </c>
      <c r="AY344" s="290">
        <v>0</v>
      </c>
      <c r="AZ344" s="290">
        <v>0</v>
      </c>
      <c r="BA344" s="290">
        <v>0</v>
      </c>
      <c r="BB344" s="290">
        <v>7.4846707954374101E-4</v>
      </c>
      <c r="BC344" s="290">
        <v>3.9430118883656602E-5</v>
      </c>
      <c r="BD344" s="290">
        <v>1.7132562793932E-2</v>
      </c>
      <c r="BE344" s="290">
        <v>1.0062966228481601E-4</v>
      </c>
      <c r="BF344" s="290">
        <v>0</v>
      </c>
      <c r="BG344" s="290">
        <v>0</v>
      </c>
      <c r="BH344" s="290">
        <v>0</v>
      </c>
      <c r="BI344" s="290">
        <v>0</v>
      </c>
      <c r="BJ344" s="290">
        <v>0</v>
      </c>
      <c r="BK344" s="78">
        <v>0.5</v>
      </c>
      <c r="BL344" s="41" t="s">
        <v>616</v>
      </c>
      <c r="BM344" s="45"/>
    </row>
    <row r="345" spans="1:65" x14ac:dyDescent="0.35">
      <c r="A345" s="45" t="str">
        <f>Database_Productkaarten[[#This Row],[Product]]&amp;", "&amp;Database_Productkaarten[[#This Row],[Levensfase]]</f>
        <v>AC bin/base 50% PR - PCR 2.0, B1</v>
      </c>
      <c r="B345" s="41" t="s">
        <v>1366</v>
      </c>
      <c r="C345" s="41" t="s">
        <v>443</v>
      </c>
      <c r="D345" s="41" t="s">
        <v>470</v>
      </c>
      <c r="E345" s="41" t="s">
        <v>91</v>
      </c>
      <c r="F345" s="41" t="s">
        <v>24</v>
      </c>
      <c r="G345" s="45"/>
      <c r="H345" s="45"/>
      <c r="I345" s="45"/>
      <c r="J345" s="45"/>
      <c r="K345" s="45"/>
      <c r="L345" s="45">
        <v>2.37</v>
      </c>
      <c r="M345" s="291">
        <v>0</v>
      </c>
      <c r="N345" s="45">
        <v>45</v>
      </c>
      <c r="O345" s="290">
        <v>0</v>
      </c>
      <c r="P345" s="290">
        <v>0</v>
      </c>
      <c r="Q345" s="290">
        <v>0</v>
      </c>
      <c r="R345" s="290">
        <v>0</v>
      </c>
      <c r="S345" s="290">
        <v>0</v>
      </c>
      <c r="T345" s="290">
        <v>0</v>
      </c>
      <c r="U345" s="290">
        <v>0</v>
      </c>
      <c r="V345" s="290">
        <v>0</v>
      </c>
      <c r="W345" s="290">
        <v>0</v>
      </c>
      <c r="X345" s="290">
        <v>0</v>
      </c>
      <c r="Y345" s="290">
        <v>0</v>
      </c>
      <c r="Z345" s="290">
        <v>0</v>
      </c>
      <c r="AA345" s="290">
        <v>0</v>
      </c>
      <c r="AB345" s="290">
        <v>0</v>
      </c>
      <c r="AC345" s="290">
        <v>0</v>
      </c>
      <c r="AD345" s="290">
        <v>0</v>
      </c>
      <c r="AE345" s="290">
        <v>0</v>
      </c>
      <c r="AF345" s="290">
        <v>0</v>
      </c>
      <c r="AG345" s="290">
        <v>0</v>
      </c>
      <c r="AH345" s="290">
        <v>0</v>
      </c>
      <c r="AI345" s="290">
        <v>0</v>
      </c>
      <c r="AJ345" s="290">
        <v>0</v>
      </c>
      <c r="AK345" s="290">
        <v>0</v>
      </c>
      <c r="AL345" s="290">
        <v>0</v>
      </c>
      <c r="AM345" s="290">
        <v>0</v>
      </c>
      <c r="AN345" s="290">
        <v>0</v>
      </c>
      <c r="AO345" s="290">
        <v>0</v>
      </c>
      <c r="AP345" s="290">
        <v>0</v>
      </c>
      <c r="AQ345" s="290">
        <v>0</v>
      </c>
      <c r="AR345" s="290">
        <v>0</v>
      </c>
      <c r="AS345" s="290">
        <v>0</v>
      </c>
      <c r="AT345" s="290">
        <v>0</v>
      </c>
      <c r="AU345" s="290">
        <v>0</v>
      </c>
      <c r="AV345" s="290">
        <v>0</v>
      </c>
      <c r="AW345" s="290">
        <v>0</v>
      </c>
      <c r="AX345" s="290">
        <v>0</v>
      </c>
      <c r="AY345" s="290">
        <v>0</v>
      </c>
      <c r="AZ345" s="290">
        <v>0</v>
      </c>
      <c r="BA345" s="290">
        <v>0</v>
      </c>
      <c r="BB345" s="290">
        <v>0</v>
      </c>
      <c r="BC345" s="290">
        <v>0</v>
      </c>
      <c r="BD345" s="290">
        <v>0</v>
      </c>
      <c r="BE345" s="290">
        <v>0</v>
      </c>
      <c r="BF345" s="290">
        <v>0</v>
      </c>
      <c r="BG345" s="290">
        <v>0</v>
      </c>
      <c r="BH345" s="290">
        <v>0</v>
      </c>
      <c r="BI345" s="290">
        <v>0</v>
      </c>
      <c r="BJ345" s="290">
        <v>0</v>
      </c>
      <c r="BK345" s="78">
        <v>0.5</v>
      </c>
      <c r="BL345" s="41" t="s">
        <v>616</v>
      </c>
      <c r="BM345" s="45"/>
    </row>
    <row r="346" spans="1:65" x14ac:dyDescent="0.35">
      <c r="A346" s="45" t="str">
        <f>Database_Productkaarten[[#This Row],[Product]]&amp;", "&amp;Database_Productkaarten[[#This Row],[Levensfase]]</f>
        <v>AC bin/base 50% PR - PCR 2.0, B2</v>
      </c>
      <c r="B346" s="41" t="s">
        <v>1366</v>
      </c>
      <c r="C346" s="41" t="s">
        <v>443</v>
      </c>
      <c r="D346" s="41" t="s">
        <v>470</v>
      </c>
      <c r="E346" s="41" t="s">
        <v>91</v>
      </c>
      <c r="F346" s="41" t="s">
        <v>604</v>
      </c>
      <c r="G346" s="45"/>
      <c r="H346" s="45"/>
      <c r="I346" s="45"/>
      <c r="J346" s="45"/>
      <c r="K346" s="45"/>
      <c r="L346" s="45">
        <v>2.37</v>
      </c>
      <c r="M346" s="291">
        <v>0</v>
      </c>
      <c r="N346" s="45">
        <v>45</v>
      </c>
      <c r="O346" s="290">
        <v>0</v>
      </c>
      <c r="P346" s="290">
        <v>0</v>
      </c>
      <c r="Q346" s="290">
        <v>0</v>
      </c>
      <c r="R346" s="290">
        <v>0</v>
      </c>
      <c r="S346" s="290">
        <v>0</v>
      </c>
      <c r="T346" s="290">
        <v>0</v>
      </c>
      <c r="U346" s="290">
        <v>0</v>
      </c>
      <c r="V346" s="290">
        <v>0</v>
      </c>
      <c r="W346" s="290">
        <v>0</v>
      </c>
      <c r="X346" s="290">
        <v>0</v>
      </c>
      <c r="Y346" s="290">
        <v>0</v>
      </c>
      <c r="Z346" s="290">
        <v>0</v>
      </c>
      <c r="AA346" s="290">
        <v>0</v>
      </c>
      <c r="AB346" s="290">
        <v>0</v>
      </c>
      <c r="AC346" s="290">
        <v>0</v>
      </c>
      <c r="AD346" s="290">
        <v>0</v>
      </c>
      <c r="AE346" s="290">
        <v>0</v>
      </c>
      <c r="AF346" s="290">
        <v>0</v>
      </c>
      <c r="AG346" s="290">
        <v>0</v>
      </c>
      <c r="AH346" s="290">
        <v>0</v>
      </c>
      <c r="AI346" s="290">
        <v>0</v>
      </c>
      <c r="AJ346" s="290">
        <v>0</v>
      </c>
      <c r="AK346" s="290">
        <v>0</v>
      </c>
      <c r="AL346" s="290">
        <v>0</v>
      </c>
      <c r="AM346" s="290">
        <v>0</v>
      </c>
      <c r="AN346" s="290">
        <v>0</v>
      </c>
      <c r="AO346" s="290">
        <v>0</v>
      </c>
      <c r="AP346" s="290">
        <v>0</v>
      </c>
      <c r="AQ346" s="290">
        <v>0</v>
      </c>
      <c r="AR346" s="290">
        <v>0</v>
      </c>
      <c r="AS346" s="290">
        <v>0</v>
      </c>
      <c r="AT346" s="290">
        <v>0</v>
      </c>
      <c r="AU346" s="290">
        <v>0</v>
      </c>
      <c r="AV346" s="290">
        <v>0</v>
      </c>
      <c r="AW346" s="290">
        <v>0</v>
      </c>
      <c r="AX346" s="290">
        <v>0</v>
      </c>
      <c r="AY346" s="290">
        <v>0</v>
      </c>
      <c r="AZ346" s="290">
        <v>0</v>
      </c>
      <c r="BA346" s="290">
        <v>0</v>
      </c>
      <c r="BB346" s="290">
        <v>0</v>
      </c>
      <c r="BC346" s="290">
        <v>0</v>
      </c>
      <c r="BD346" s="290">
        <v>0</v>
      </c>
      <c r="BE346" s="290">
        <v>0</v>
      </c>
      <c r="BF346" s="290">
        <v>0</v>
      </c>
      <c r="BG346" s="290">
        <v>0</v>
      </c>
      <c r="BH346" s="290">
        <v>0</v>
      </c>
      <c r="BI346" s="290">
        <v>0</v>
      </c>
      <c r="BJ346" s="290">
        <v>0</v>
      </c>
      <c r="BK346" s="78">
        <v>0.5</v>
      </c>
      <c r="BL346" s="41" t="s">
        <v>616</v>
      </c>
      <c r="BM346" s="45"/>
    </row>
    <row r="347" spans="1:65" x14ac:dyDescent="0.35">
      <c r="A347" s="45" t="str">
        <f>Database_Productkaarten[[#This Row],[Product]]&amp;", "&amp;Database_Productkaarten[[#This Row],[Levensfase]]</f>
        <v>AC bin/base 50% PR - PCR 2.0, B3</v>
      </c>
      <c r="B347" s="41" t="s">
        <v>1366</v>
      </c>
      <c r="C347" s="41" t="s">
        <v>443</v>
      </c>
      <c r="D347" s="41" t="s">
        <v>470</v>
      </c>
      <c r="E347" s="41" t="s">
        <v>91</v>
      </c>
      <c r="F347" s="41" t="s">
        <v>602</v>
      </c>
      <c r="G347" s="45"/>
      <c r="H347" s="45"/>
      <c r="I347" s="45"/>
      <c r="J347" s="45"/>
      <c r="K347" s="45"/>
      <c r="L347" s="45">
        <v>2.37</v>
      </c>
      <c r="M347" s="291">
        <v>0</v>
      </c>
      <c r="N347" s="45">
        <v>45</v>
      </c>
      <c r="O347" s="290">
        <v>0</v>
      </c>
      <c r="P347" s="290">
        <v>0</v>
      </c>
      <c r="Q347" s="290">
        <v>0</v>
      </c>
      <c r="R347" s="290">
        <v>0</v>
      </c>
      <c r="S347" s="290">
        <v>0</v>
      </c>
      <c r="T347" s="290">
        <v>0</v>
      </c>
      <c r="U347" s="290">
        <v>0</v>
      </c>
      <c r="V347" s="290">
        <v>0</v>
      </c>
      <c r="W347" s="290">
        <v>0</v>
      </c>
      <c r="X347" s="290">
        <v>0</v>
      </c>
      <c r="Y347" s="290">
        <v>0</v>
      </c>
      <c r="Z347" s="290">
        <v>0</v>
      </c>
      <c r="AA347" s="290">
        <v>0</v>
      </c>
      <c r="AB347" s="290">
        <v>0</v>
      </c>
      <c r="AC347" s="290">
        <v>0</v>
      </c>
      <c r="AD347" s="290">
        <v>0</v>
      </c>
      <c r="AE347" s="290">
        <v>0</v>
      </c>
      <c r="AF347" s="290">
        <v>0</v>
      </c>
      <c r="AG347" s="290">
        <v>0</v>
      </c>
      <c r="AH347" s="290">
        <v>0</v>
      </c>
      <c r="AI347" s="290">
        <v>0</v>
      </c>
      <c r="AJ347" s="290">
        <v>0</v>
      </c>
      <c r="AK347" s="290">
        <v>0</v>
      </c>
      <c r="AL347" s="290">
        <v>0</v>
      </c>
      <c r="AM347" s="290">
        <v>0</v>
      </c>
      <c r="AN347" s="290">
        <v>0</v>
      </c>
      <c r="AO347" s="290">
        <v>0</v>
      </c>
      <c r="AP347" s="290">
        <v>0</v>
      </c>
      <c r="AQ347" s="290">
        <v>0</v>
      </c>
      <c r="AR347" s="290">
        <v>0</v>
      </c>
      <c r="AS347" s="290">
        <v>0</v>
      </c>
      <c r="AT347" s="290">
        <v>0</v>
      </c>
      <c r="AU347" s="290">
        <v>0</v>
      </c>
      <c r="AV347" s="290">
        <v>0</v>
      </c>
      <c r="AW347" s="290">
        <v>0</v>
      </c>
      <c r="AX347" s="290">
        <v>0</v>
      </c>
      <c r="AY347" s="290">
        <v>0</v>
      </c>
      <c r="AZ347" s="290">
        <v>0</v>
      </c>
      <c r="BA347" s="290">
        <v>0</v>
      </c>
      <c r="BB347" s="290">
        <v>0</v>
      </c>
      <c r="BC347" s="290">
        <v>0</v>
      </c>
      <c r="BD347" s="290">
        <v>0</v>
      </c>
      <c r="BE347" s="290">
        <v>0</v>
      </c>
      <c r="BF347" s="290">
        <v>0</v>
      </c>
      <c r="BG347" s="290">
        <v>0</v>
      </c>
      <c r="BH347" s="290">
        <v>0</v>
      </c>
      <c r="BI347" s="290">
        <v>0</v>
      </c>
      <c r="BJ347" s="290">
        <v>0</v>
      </c>
      <c r="BK347" s="78">
        <v>0.5</v>
      </c>
      <c r="BL347" s="41" t="s">
        <v>616</v>
      </c>
      <c r="BM347" s="45"/>
    </row>
    <row r="348" spans="1:65" x14ac:dyDescent="0.35">
      <c r="A348" s="45" t="str">
        <f>Database_Productkaarten[[#This Row],[Product]]&amp;", "&amp;Database_Productkaarten[[#This Row],[Levensfase]]</f>
        <v>AC bin/base 50% PR - PCR 2.0, B4</v>
      </c>
      <c r="B348" s="41" t="s">
        <v>1366</v>
      </c>
      <c r="C348" s="41" t="s">
        <v>443</v>
      </c>
      <c r="D348" s="41" t="s">
        <v>470</v>
      </c>
      <c r="E348" s="41" t="s">
        <v>91</v>
      </c>
      <c r="F348" s="41" t="s">
        <v>50</v>
      </c>
      <c r="G348" s="45"/>
      <c r="H348" s="45"/>
      <c r="I348" s="45"/>
      <c r="J348" s="45"/>
      <c r="K348" s="45"/>
      <c r="L348" s="45">
        <v>2.37</v>
      </c>
      <c r="M348" s="291">
        <v>0</v>
      </c>
      <c r="N348" s="45">
        <v>45</v>
      </c>
      <c r="O348" s="290">
        <v>0</v>
      </c>
      <c r="P348" s="290">
        <v>0</v>
      </c>
      <c r="Q348" s="290">
        <v>0</v>
      </c>
      <c r="R348" s="290">
        <v>0</v>
      </c>
      <c r="S348" s="290">
        <v>0</v>
      </c>
      <c r="T348" s="290">
        <v>0</v>
      </c>
      <c r="U348" s="290">
        <v>0</v>
      </c>
      <c r="V348" s="290">
        <v>0</v>
      </c>
      <c r="W348" s="290">
        <v>0</v>
      </c>
      <c r="X348" s="290">
        <v>0</v>
      </c>
      <c r="Y348" s="290">
        <v>0</v>
      </c>
      <c r="Z348" s="290">
        <v>0</v>
      </c>
      <c r="AA348" s="290">
        <v>0</v>
      </c>
      <c r="AB348" s="290">
        <v>0</v>
      </c>
      <c r="AC348" s="290">
        <v>0</v>
      </c>
      <c r="AD348" s="290">
        <v>0</v>
      </c>
      <c r="AE348" s="290">
        <v>0</v>
      </c>
      <c r="AF348" s="290">
        <v>0</v>
      </c>
      <c r="AG348" s="290">
        <v>0</v>
      </c>
      <c r="AH348" s="290">
        <v>0</v>
      </c>
      <c r="AI348" s="290">
        <v>0</v>
      </c>
      <c r="AJ348" s="290">
        <v>0</v>
      </c>
      <c r="AK348" s="290">
        <v>0</v>
      </c>
      <c r="AL348" s="290">
        <v>0</v>
      </c>
      <c r="AM348" s="290">
        <v>0</v>
      </c>
      <c r="AN348" s="290">
        <v>0</v>
      </c>
      <c r="AO348" s="290">
        <v>0</v>
      </c>
      <c r="AP348" s="290">
        <v>0</v>
      </c>
      <c r="AQ348" s="290">
        <v>0</v>
      </c>
      <c r="AR348" s="290">
        <v>0</v>
      </c>
      <c r="AS348" s="290">
        <v>0</v>
      </c>
      <c r="AT348" s="290">
        <v>0</v>
      </c>
      <c r="AU348" s="290">
        <v>0</v>
      </c>
      <c r="AV348" s="290">
        <v>0</v>
      </c>
      <c r="AW348" s="290">
        <v>0</v>
      </c>
      <c r="AX348" s="290">
        <v>0</v>
      </c>
      <c r="AY348" s="290">
        <v>0</v>
      </c>
      <c r="AZ348" s="290">
        <v>0</v>
      </c>
      <c r="BA348" s="290">
        <v>0</v>
      </c>
      <c r="BB348" s="290">
        <v>0</v>
      </c>
      <c r="BC348" s="290">
        <v>0</v>
      </c>
      <c r="BD348" s="290">
        <v>0</v>
      </c>
      <c r="BE348" s="290">
        <v>0</v>
      </c>
      <c r="BF348" s="290">
        <v>0</v>
      </c>
      <c r="BG348" s="290">
        <v>0</v>
      </c>
      <c r="BH348" s="290">
        <v>0</v>
      </c>
      <c r="BI348" s="290">
        <v>0</v>
      </c>
      <c r="BJ348" s="290">
        <v>0</v>
      </c>
      <c r="BK348" s="78">
        <v>0.5</v>
      </c>
      <c r="BL348" s="41" t="s">
        <v>616</v>
      </c>
      <c r="BM348" s="45"/>
    </row>
    <row r="349" spans="1:65" x14ac:dyDescent="0.35">
      <c r="A349" s="45" t="str">
        <f>Database_Productkaarten[[#This Row],[Product]]&amp;", "&amp;Database_Productkaarten[[#This Row],[Levensfase]]</f>
        <v>AC bin/base 50% PR - PCR 2.0, B5</v>
      </c>
      <c r="B349" s="41" t="s">
        <v>1366</v>
      </c>
      <c r="C349" s="41" t="s">
        <v>443</v>
      </c>
      <c r="D349" s="41" t="s">
        <v>470</v>
      </c>
      <c r="E349" s="41" t="s">
        <v>91</v>
      </c>
      <c r="F349" s="41" t="s">
        <v>1358</v>
      </c>
      <c r="G349" s="45"/>
      <c r="H349" s="45"/>
      <c r="I349" s="45"/>
      <c r="J349" s="45"/>
      <c r="K349" s="45"/>
      <c r="L349" s="45">
        <v>2.37</v>
      </c>
      <c r="M349" s="291">
        <v>0</v>
      </c>
      <c r="N349" s="45">
        <v>45</v>
      </c>
      <c r="O349" s="290">
        <v>0</v>
      </c>
      <c r="P349" s="290">
        <v>0</v>
      </c>
      <c r="Q349" s="290">
        <v>0</v>
      </c>
      <c r="R349" s="290">
        <v>0</v>
      </c>
      <c r="S349" s="290">
        <v>0</v>
      </c>
      <c r="T349" s="290">
        <v>0</v>
      </c>
      <c r="U349" s="290">
        <v>0</v>
      </c>
      <c r="V349" s="290">
        <v>0</v>
      </c>
      <c r="W349" s="290">
        <v>0</v>
      </c>
      <c r="X349" s="290">
        <v>0</v>
      </c>
      <c r="Y349" s="290">
        <v>0</v>
      </c>
      <c r="Z349" s="290">
        <v>0</v>
      </c>
      <c r="AA349" s="290">
        <v>0</v>
      </c>
      <c r="AB349" s="290">
        <v>0</v>
      </c>
      <c r="AC349" s="290">
        <v>0</v>
      </c>
      <c r="AD349" s="290">
        <v>0</v>
      </c>
      <c r="AE349" s="290">
        <v>0</v>
      </c>
      <c r="AF349" s="290">
        <v>0</v>
      </c>
      <c r="AG349" s="290">
        <v>0</v>
      </c>
      <c r="AH349" s="290">
        <v>0</v>
      </c>
      <c r="AI349" s="290">
        <v>0</v>
      </c>
      <c r="AJ349" s="290">
        <v>0</v>
      </c>
      <c r="AK349" s="290">
        <v>0</v>
      </c>
      <c r="AL349" s="290">
        <v>0</v>
      </c>
      <c r="AM349" s="290">
        <v>0</v>
      </c>
      <c r="AN349" s="290">
        <v>0</v>
      </c>
      <c r="AO349" s="290">
        <v>0</v>
      </c>
      <c r="AP349" s="290">
        <v>0</v>
      </c>
      <c r="AQ349" s="290">
        <v>0</v>
      </c>
      <c r="AR349" s="290">
        <v>0</v>
      </c>
      <c r="AS349" s="290">
        <v>0</v>
      </c>
      <c r="AT349" s="290">
        <v>0</v>
      </c>
      <c r="AU349" s="290">
        <v>0</v>
      </c>
      <c r="AV349" s="290">
        <v>0</v>
      </c>
      <c r="AW349" s="290">
        <v>0</v>
      </c>
      <c r="AX349" s="290">
        <v>0</v>
      </c>
      <c r="AY349" s="290">
        <v>0</v>
      </c>
      <c r="AZ349" s="290">
        <v>0</v>
      </c>
      <c r="BA349" s="290">
        <v>0</v>
      </c>
      <c r="BB349" s="290">
        <v>0</v>
      </c>
      <c r="BC349" s="290">
        <v>0</v>
      </c>
      <c r="BD349" s="290">
        <v>0</v>
      </c>
      <c r="BE349" s="290">
        <v>0</v>
      </c>
      <c r="BF349" s="290">
        <v>0</v>
      </c>
      <c r="BG349" s="290">
        <v>0</v>
      </c>
      <c r="BH349" s="290">
        <v>0</v>
      </c>
      <c r="BI349" s="290">
        <v>0</v>
      </c>
      <c r="BJ349" s="290">
        <v>0</v>
      </c>
      <c r="BK349" s="78">
        <v>0.5</v>
      </c>
      <c r="BL349" s="41" t="s">
        <v>616</v>
      </c>
      <c r="BM349" s="45"/>
    </row>
    <row r="350" spans="1:65" x14ac:dyDescent="0.35">
      <c r="A350" s="45" t="str">
        <f>Database_Productkaarten[[#This Row],[Product]]&amp;", "&amp;Database_Productkaarten[[#This Row],[Levensfase]]</f>
        <v>AC bin/base 50% PR - PCR 2.0, C1</v>
      </c>
      <c r="B350" s="41" t="s">
        <v>1366</v>
      </c>
      <c r="C350" s="41" t="s">
        <v>443</v>
      </c>
      <c r="D350" s="41" t="s">
        <v>470</v>
      </c>
      <c r="E350" s="41" t="s">
        <v>91</v>
      </c>
      <c r="F350" s="41" t="s">
        <v>25</v>
      </c>
      <c r="G350" s="45"/>
      <c r="H350" s="45"/>
      <c r="I350" s="45"/>
      <c r="J350" s="45"/>
      <c r="K350" s="45"/>
      <c r="L350" s="45">
        <v>2.37</v>
      </c>
      <c r="M350" s="291">
        <v>0.31586755498759506</v>
      </c>
      <c r="N350" s="45">
        <v>45</v>
      </c>
      <c r="O350" s="290">
        <v>3.8816221469721803E-6</v>
      </c>
      <c r="P350" s="290">
        <v>1.6512343432392499E-2</v>
      </c>
      <c r="Q350" s="290">
        <v>3.3581680988952098</v>
      </c>
      <c r="R350" s="290">
        <v>4.3395745131026602E-7</v>
      </c>
      <c r="S350" s="290">
        <v>1.10377739732131E-3</v>
      </c>
      <c r="T350" s="290">
        <v>9.5713374811089401E-3</v>
      </c>
      <c r="U350" s="290">
        <v>2.0565904070304602E-3</v>
      </c>
      <c r="V350" s="290">
        <v>0.90386476593207798</v>
      </c>
      <c r="W350" s="290">
        <v>1.2880877883879999E-2</v>
      </c>
      <c r="X350" s="290">
        <v>44.755373772613702</v>
      </c>
      <c r="Y350" s="290">
        <v>1.52540467586029E-3</v>
      </c>
      <c r="Z350" s="290">
        <v>3.3788329847905798</v>
      </c>
      <c r="AA350" s="290">
        <v>3.3778629881898299</v>
      </c>
      <c r="AB350" s="290">
        <v>7.7258920909228305E-4</v>
      </c>
      <c r="AC350" s="290">
        <v>1.9740739166159801E-4</v>
      </c>
      <c r="AD350" s="290">
        <v>5.4680352819764898E-7</v>
      </c>
      <c r="AE350" s="290">
        <v>1.2995409559787899E-2</v>
      </c>
      <c r="AF350" s="290">
        <v>9.2229860029232798E-6</v>
      </c>
      <c r="AG350" s="290">
        <v>5.04706517475119E-3</v>
      </c>
      <c r="AH350" s="290">
        <v>5.5474797067799897E-2</v>
      </c>
      <c r="AI350" s="290">
        <v>1.5154086355910401E-2</v>
      </c>
      <c r="AJ350" s="290">
        <v>3.8815916874187598E-6</v>
      </c>
      <c r="AK350" s="290">
        <v>34.840036823928699</v>
      </c>
      <c r="AL350" s="290">
        <v>4.6401238055028798E-2</v>
      </c>
      <c r="AM350" s="290">
        <v>5.3732471761418201E-8</v>
      </c>
      <c r="AN350" s="290">
        <v>0.149536673605491</v>
      </c>
      <c r="AO350" s="290">
        <v>20.9041618496978</v>
      </c>
      <c r="AP350" s="290">
        <v>7.3342682669729701E-10</v>
      </c>
      <c r="AQ350" s="290">
        <v>1.47076762285959E-8</v>
      </c>
      <c r="AR350" s="290">
        <v>4.4500551983051402</v>
      </c>
      <c r="AS350" s="290">
        <v>0</v>
      </c>
      <c r="AT350" s="290">
        <v>0</v>
      </c>
      <c r="AU350" s="290">
        <v>0.19149815029519501</v>
      </c>
      <c r="AV350" s="290">
        <v>0</v>
      </c>
      <c r="AW350" s="290">
        <v>0</v>
      </c>
      <c r="AX350" s="290">
        <v>36.999017174488401</v>
      </c>
      <c r="AY350" s="290">
        <v>0</v>
      </c>
      <c r="AZ350" s="290">
        <v>0</v>
      </c>
      <c r="BA350" s="290">
        <v>0</v>
      </c>
      <c r="BB350" s="290">
        <v>1.80099891015212E-3</v>
      </c>
      <c r="BC350" s="290">
        <v>9.4878723563798594E-5</v>
      </c>
      <c r="BD350" s="290">
        <v>4.1225229222898799E-2</v>
      </c>
      <c r="BE350" s="290">
        <v>2.4214012487283799E-4</v>
      </c>
      <c r="BF350" s="290">
        <v>0</v>
      </c>
      <c r="BG350" s="290">
        <v>0</v>
      </c>
      <c r="BH350" s="290">
        <v>0</v>
      </c>
      <c r="BI350" s="290">
        <v>0</v>
      </c>
      <c r="BJ350" s="290">
        <v>0</v>
      </c>
      <c r="BK350" s="78">
        <v>0.5</v>
      </c>
      <c r="BL350" s="41" t="s">
        <v>616</v>
      </c>
      <c r="BM350" s="45"/>
    </row>
    <row r="351" spans="1:65" x14ac:dyDescent="0.35">
      <c r="A351" s="45" t="str">
        <f>Database_Productkaarten[[#This Row],[Product]]&amp;", "&amp;Database_Productkaarten[[#This Row],[Levensfase]]</f>
        <v>AC bin/base 50% PR - PCR 2.0, C2</v>
      </c>
      <c r="B351" s="41" t="s">
        <v>1366</v>
      </c>
      <c r="C351" s="41" t="s">
        <v>443</v>
      </c>
      <c r="D351" s="41" t="s">
        <v>470</v>
      </c>
      <c r="E351" s="41" t="s">
        <v>91</v>
      </c>
      <c r="F351" s="41" t="s">
        <v>26</v>
      </c>
      <c r="G351" s="45"/>
      <c r="H351" s="45"/>
      <c r="I351" s="45"/>
      <c r="J351" s="45"/>
      <c r="K351" s="45"/>
      <c r="L351" s="45">
        <v>2.37</v>
      </c>
      <c r="M351" s="291">
        <v>0.31791357541832999</v>
      </c>
      <c r="N351" s="45">
        <v>45</v>
      </c>
      <c r="O351" s="290">
        <v>7.2195843000000002E-5</v>
      </c>
      <c r="P351" s="290">
        <v>2.5045429500000001E-2</v>
      </c>
      <c r="Q351" s="290">
        <v>3.2726104581</v>
      </c>
      <c r="R351" s="290">
        <v>6.2448211500000004E-7</v>
      </c>
      <c r="S351" s="290">
        <v>2.3663202E-3</v>
      </c>
      <c r="T351" s="290">
        <v>9.9103019999999993E-3</v>
      </c>
      <c r="U351" s="290">
        <v>1.66070541E-3</v>
      </c>
      <c r="V351" s="290">
        <v>0.89062466159999998</v>
      </c>
      <c r="W351" s="290">
        <v>3.5055542699999998E-2</v>
      </c>
      <c r="X351" s="290">
        <v>92.682047400000002</v>
      </c>
      <c r="Y351" s="290">
        <v>7.4868390000000003E-3</v>
      </c>
      <c r="Z351" s="290">
        <v>3.3150718431000001</v>
      </c>
      <c r="AA351" s="290">
        <v>3.3001817481</v>
      </c>
      <c r="AB351" s="290">
        <v>1.3607189190000001E-2</v>
      </c>
      <c r="AC351" s="290">
        <v>1.2829113599999999E-3</v>
      </c>
      <c r="AD351" s="290">
        <v>7.8107336699999998E-7</v>
      </c>
      <c r="AE351" s="290">
        <v>1.2482505E-2</v>
      </c>
      <c r="AF351" s="290">
        <v>3.4632532799999998E-5</v>
      </c>
      <c r="AG351" s="290">
        <v>2.8897329300000001E-3</v>
      </c>
      <c r="AH351" s="290">
        <v>3.3662059799999998E-2</v>
      </c>
      <c r="AI351" s="290">
        <v>1.2098522699999999E-2</v>
      </c>
      <c r="AJ351" s="290">
        <v>7.2195510000000004E-5</v>
      </c>
      <c r="AK351" s="290">
        <v>52.307882313</v>
      </c>
      <c r="AL351" s="290">
        <v>0.28570883850000001</v>
      </c>
      <c r="AM351" s="290">
        <v>2.8544027399999998E-7</v>
      </c>
      <c r="AN351" s="290">
        <v>0.22308385950000001</v>
      </c>
      <c r="AO351" s="290">
        <v>50.61443379</v>
      </c>
      <c r="AP351" s="290">
        <v>1.35209877E-9</v>
      </c>
      <c r="AQ351" s="290">
        <v>4.3221490799999998E-8</v>
      </c>
      <c r="AR351" s="290">
        <v>98.528772599999996</v>
      </c>
      <c r="AS351" s="290">
        <v>8.065825212</v>
      </c>
      <c r="AT351" s="290">
        <v>0</v>
      </c>
      <c r="AU351" s="290">
        <v>8.6963547624000004</v>
      </c>
      <c r="AV351" s="290">
        <v>0.70667511750000001</v>
      </c>
      <c r="AW351" s="290">
        <v>9.926829900000001E-4</v>
      </c>
      <c r="AX351" s="290">
        <v>55.561210727999999</v>
      </c>
      <c r="AY351" s="290">
        <v>0</v>
      </c>
      <c r="AZ351" s="290">
        <v>0</v>
      </c>
      <c r="BA351" s="290">
        <v>0</v>
      </c>
      <c r="BB351" s="290">
        <v>8.7338241000000007E-3</v>
      </c>
      <c r="BC351" s="290">
        <v>1.5376752299999999E-4</v>
      </c>
      <c r="BD351" s="290">
        <v>5.5583861609999996</v>
      </c>
      <c r="BE351" s="290">
        <v>3.4865666099999999E-4</v>
      </c>
      <c r="BF351" s="290">
        <v>0</v>
      </c>
      <c r="BG351" s="290">
        <v>0</v>
      </c>
      <c r="BH351" s="290">
        <v>0</v>
      </c>
      <c r="BI351" s="290">
        <v>0</v>
      </c>
      <c r="BJ351" s="290">
        <v>0</v>
      </c>
      <c r="BK351" s="78">
        <v>0.5</v>
      </c>
      <c r="BL351" s="41" t="s">
        <v>616</v>
      </c>
      <c r="BM351" s="45"/>
    </row>
    <row r="352" spans="1:65" x14ac:dyDescent="0.35">
      <c r="A352" s="45" t="str">
        <f>Database_Productkaarten[[#This Row],[Product]]&amp;", "&amp;Database_Productkaarten[[#This Row],[Levensfase]]</f>
        <v>AC bin/base 50% PR - PCR 2.0, C3</v>
      </c>
      <c r="B352" s="41" t="s">
        <v>1366</v>
      </c>
      <c r="C352" s="41" t="s">
        <v>443</v>
      </c>
      <c r="D352" s="41" t="s">
        <v>470</v>
      </c>
      <c r="E352" s="41" t="s">
        <v>91</v>
      </c>
      <c r="F352" s="41" t="s">
        <v>27</v>
      </c>
      <c r="G352" s="45"/>
      <c r="H352" s="45"/>
      <c r="I352" s="45"/>
      <c r="J352" s="45"/>
      <c r="K352" s="45"/>
      <c r="L352" s="45">
        <v>2.37</v>
      </c>
      <c r="M352" s="291">
        <v>0.15929996477807531</v>
      </c>
      <c r="N352" s="45">
        <v>45</v>
      </c>
      <c r="O352" s="290">
        <v>1.8651950576359899E-6</v>
      </c>
      <c r="P352" s="290">
        <v>7.9345026882925093E-3</v>
      </c>
      <c r="Q352" s="290">
        <v>1.61366519037822</v>
      </c>
      <c r="R352" s="290">
        <v>2.08525009071167E-7</v>
      </c>
      <c r="S352" s="290">
        <v>5.8559282883023395E-4</v>
      </c>
      <c r="T352" s="290">
        <v>5.7290956078049696E-3</v>
      </c>
      <c r="U352" s="290">
        <v>1.28200094233915E-3</v>
      </c>
      <c r="V352" s="290">
        <v>0.437053406664765</v>
      </c>
      <c r="W352" s="290">
        <v>6.18951274939686E-3</v>
      </c>
      <c r="X352" s="290">
        <v>21.505828955671401</v>
      </c>
      <c r="Y352" s="290">
        <v>7.3298666242637301E-4</v>
      </c>
      <c r="Z352" s="290">
        <v>1.6243260238734001</v>
      </c>
      <c r="AA352" s="290">
        <v>1.6238599216106999</v>
      </c>
      <c r="AB352" s="290">
        <v>3.7124416540798002E-4</v>
      </c>
      <c r="AC352" s="290">
        <v>9.4858097291936706E-5</v>
      </c>
      <c r="AD352" s="290">
        <v>2.62749747315753E-7</v>
      </c>
      <c r="AE352" s="290">
        <v>7.9167720611958703E-3</v>
      </c>
      <c r="AF352" s="290">
        <v>4.43182444296314E-6</v>
      </c>
      <c r="AG352" s="290">
        <v>3.3042609378669701E-3</v>
      </c>
      <c r="AH352" s="290">
        <v>3.6283310993612802E-2</v>
      </c>
      <c r="AI352" s="290">
        <v>9.6537099772543208E-3</v>
      </c>
      <c r="AJ352" s="290">
        <v>1.8651804212272E-6</v>
      </c>
      <c r="AK352" s="290">
        <v>16.741316395913799</v>
      </c>
      <c r="AL352" s="290">
        <v>2.2296698805663099E-2</v>
      </c>
      <c r="AM352" s="290">
        <v>3.05765713839256E-8</v>
      </c>
      <c r="AN352" s="290">
        <v>7.1855284719521503E-2</v>
      </c>
      <c r="AO352" s="290">
        <v>10.0456498445331</v>
      </c>
      <c r="AP352" s="290">
        <v>3.52425877763638E-10</v>
      </c>
      <c r="AQ352" s="290">
        <v>7.5755651574687798E-9</v>
      </c>
      <c r="AR352" s="290">
        <v>2.1383382121726</v>
      </c>
      <c r="AS352" s="290">
        <v>0</v>
      </c>
      <c r="AT352" s="290">
        <v>0</v>
      </c>
      <c r="AU352" s="290">
        <v>9.2018591700288296E-2</v>
      </c>
      <c r="AV352" s="290">
        <v>0</v>
      </c>
      <c r="AW352" s="290">
        <v>0</v>
      </c>
      <c r="AX352" s="290">
        <v>17.778748512416499</v>
      </c>
      <c r="AY352" s="290">
        <v>0</v>
      </c>
      <c r="AZ352" s="290">
        <v>0</v>
      </c>
      <c r="BA352" s="290">
        <v>0</v>
      </c>
      <c r="BB352" s="290">
        <v>8.6541506072244901E-4</v>
      </c>
      <c r="BC352" s="290">
        <v>4.5591074959227903E-5</v>
      </c>
      <c r="BD352" s="290">
        <v>1.98095257304838E-2</v>
      </c>
      <c r="BE352" s="290">
        <v>1.16353047016818E-4</v>
      </c>
      <c r="BF352" s="290">
        <v>0</v>
      </c>
      <c r="BG352" s="290">
        <v>1000</v>
      </c>
      <c r="BH352" s="290">
        <v>0</v>
      </c>
      <c r="BI352" s="290">
        <v>0</v>
      </c>
      <c r="BJ352" s="290">
        <v>0</v>
      </c>
      <c r="BK352" s="78">
        <v>0.5</v>
      </c>
      <c r="BL352" s="41" t="s">
        <v>616</v>
      </c>
      <c r="BM352" s="45"/>
    </row>
    <row r="353" spans="1:65" x14ac:dyDescent="0.35">
      <c r="A353" s="45" t="str">
        <f>Database_Productkaarten[[#This Row],[Product]]&amp;", "&amp;Database_Productkaarten[[#This Row],[Levensfase]]</f>
        <v>AC bin/base 50% PR - PCR 2.0, C4</v>
      </c>
      <c r="B353" s="41" t="s">
        <v>1366</v>
      </c>
      <c r="C353" s="41" t="s">
        <v>443</v>
      </c>
      <c r="D353" s="41" t="s">
        <v>470</v>
      </c>
      <c r="E353" s="41" t="s">
        <v>91</v>
      </c>
      <c r="F353" s="41" t="s">
        <v>28</v>
      </c>
      <c r="G353" s="45"/>
      <c r="H353" s="45"/>
      <c r="I353" s="45"/>
      <c r="J353" s="45"/>
      <c r="K353" s="45"/>
      <c r="L353" s="45">
        <v>2.37</v>
      </c>
      <c r="M353" s="291">
        <v>0</v>
      </c>
      <c r="N353" s="45">
        <v>45</v>
      </c>
      <c r="O353" s="290">
        <v>0</v>
      </c>
      <c r="P353" s="290">
        <v>0</v>
      </c>
      <c r="Q353" s="290">
        <v>0</v>
      </c>
      <c r="R353" s="290">
        <v>0</v>
      </c>
      <c r="S353" s="290">
        <v>0</v>
      </c>
      <c r="T353" s="290">
        <v>0</v>
      </c>
      <c r="U353" s="290">
        <v>0</v>
      </c>
      <c r="V353" s="290">
        <v>0</v>
      </c>
      <c r="W353" s="290">
        <v>0</v>
      </c>
      <c r="X353" s="290">
        <v>0</v>
      </c>
      <c r="Y353" s="290">
        <v>0</v>
      </c>
      <c r="Z353" s="290">
        <v>0</v>
      </c>
      <c r="AA353" s="290">
        <v>0</v>
      </c>
      <c r="AB353" s="290">
        <v>0</v>
      </c>
      <c r="AC353" s="290">
        <v>0</v>
      </c>
      <c r="AD353" s="290">
        <v>0</v>
      </c>
      <c r="AE353" s="290">
        <v>0</v>
      </c>
      <c r="AF353" s="290">
        <v>0</v>
      </c>
      <c r="AG353" s="290">
        <v>0</v>
      </c>
      <c r="AH353" s="290">
        <v>0</v>
      </c>
      <c r="AI353" s="290">
        <v>0</v>
      </c>
      <c r="AJ353" s="290">
        <v>0</v>
      </c>
      <c r="AK353" s="290">
        <v>0</v>
      </c>
      <c r="AL353" s="290">
        <v>0</v>
      </c>
      <c r="AM353" s="290">
        <v>0</v>
      </c>
      <c r="AN353" s="290">
        <v>0</v>
      </c>
      <c r="AO353" s="290">
        <v>0</v>
      </c>
      <c r="AP353" s="290">
        <v>0</v>
      </c>
      <c r="AQ353" s="290">
        <v>0</v>
      </c>
      <c r="AR353" s="290">
        <v>0</v>
      </c>
      <c r="AS353" s="290">
        <v>0</v>
      </c>
      <c r="AT353" s="290">
        <v>0</v>
      </c>
      <c r="AU353" s="290">
        <v>0</v>
      </c>
      <c r="AV353" s="290">
        <v>0</v>
      </c>
      <c r="AW353" s="290">
        <v>0</v>
      </c>
      <c r="AX353" s="290">
        <v>0</v>
      </c>
      <c r="AY353" s="290">
        <v>0</v>
      </c>
      <c r="AZ353" s="290">
        <v>0</v>
      </c>
      <c r="BA353" s="290">
        <v>0</v>
      </c>
      <c r="BB353" s="290">
        <v>0</v>
      </c>
      <c r="BC353" s="290">
        <v>0</v>
      </c>
      <c r="BD353" s="290">
        <v>0</v>
      </c>
      <c r="BE353" s="290">
        <v>0</v>
      </c>
      <c r="BF353" s="290">
        <v>0</v>
      </c>
      <c r="BG353" s="290">
        <v>0</v>
      </c>
      <c r="BH353" s="290">
        <v>0</v>
      </c>
      <c r="BI353" s="290">
        <v>0</v>
      </c>
      <c r="BJ353" s="290">
        <v>0</v>
      </c>
      <c r="BK353" s="78">
        <v>0.5</v>
      </c>
      <c r="BL353" s="41" t="s">
        <v>616</v>
      </c>
      <c r="BM353" s="45"/>
    </row>
    <row r="354" spans="1:65" x14ac:dyDescent="0.35">
      <c r="A354" s="45" t="str">
        <f>Database_Productkaarten[[#This Row],[Product]]&amp;", "&amp;Database_Productkaarten[[#This Row],[Levensfase]]</f>
        <v>AC bin/base 50% PR - PCR 2.0, D1</v>
      </c>
      <c r="B354" s="41" t="s">
        <v>1366</v>
      </c>
      <c r="C354" s="41" t="s">
        <v>443</v>
      </c>
      <c r="D354" s="41" t="s">
        <v>470</v>
      </c>
      <c r="E354" s="41" t="s">
        <v>91</v>
      </c>
      <c r="F354" s="41" t="s">
        <v>51</v>
      </c>
      <c r="G354" s="45"/>
      <c r="H354" s="45"/>
      <c r="I354" s="45"/>
      <c r="J354" s="45"/>
      <c r="K354" s="45"/>
      <c r="L354" s="45">
        <v>2.37</v>
      </c>
      <c r="M354" s="291">
        <v>-2.3257172480246089</v>
      </c>
      <c r="N354" s="45">
        <v>45</v>
      </c>
      <c r="O354" s="290">
        <v>-2.41702888865228E-4</v>
      </c>
      <c r="P354" s="290">
        <v>-0.40258542419566101</v>
      </c>
      <c r="Q354" s="290">
        <v>-17.305427989513401</v>
      </c>
      <c r="R354" s="290">
        <v>-1.4746385733231201E-6</v>
      </c>
      <c r="S354" s="290">
        <v>-4.3247218601852801E-2</v>
      </c>
      <c r="T354" s="290">
        <v>-0.121972710204198</v>
      </c>
      <c r="U354" s="290">
        <v>-1.1397961666368001E-2</v>
      </c>
      <c r="V354" s="290">
        <v>-4.6899381286081301</v>
      </c>
      <c r="W354" s="290">
        <v>-0.62524545356205596</v>
      </c>
      <c r="X354" s="290">
        <v>-2732.27263655143</v>
      </c>
      <c r="Y354" s="290">
        <v>-8.1721286727814202E-2</v>
      </c>
      <c r="Z354" s="290">
        <v>-4.3863347476927501</v>
      </c>
      <c r="AA354" s="290">
        <v>-4.3362165316363397</v>
      </c>
      <c r="AB354" s="290">
        <v>-4.4894560264283602E-2</v>
      </c>
      <c r="AC354" s="290">
        <v>-5.2236557921443803E-3</v>
      </c>
      <c r="AD354" s="290">
        <v>-5.7968314146515203E-7</v>
      </c>
      <c r="AE354" s="290">
        <v>-4.2060349737441799E-2</v>
      </c>
      <c r="AF354" s="290">
        <v>-1.8142428317070299E-4</v>
      </c>
      <c r="AG354" s="290">
        <v>-1.2473952982288599E-2</v>
      </c>
      <c r="AH354" s="290">
        <v>-0.15606960563904601</v>
      </c>
      <c r="AI354" s="290">
        <v>-3.87610928692858E-2</v>
      </c>
      <c r="AJ354" s="290">
        <v>-2.3986201818750101E-4</v>
      </c>
      <c r="AK354" s="290">
        <v>-62.990367113842296</v>
      </c>
      <c r="AL354" s="290">
        <v>-15.898110892063199</v>
      </c>
      <c r="AM354" s="290">
        <v>-5.9499410487557703E-7</v>
      </c>
      <c r="AN354" s="290">
        <v>-0.33245678322751798</v>
      </c>
      <c r="AO354" s="290">
        <v>-547.18362153093904</v>
      </c>
      <c r="AP354" s="290">
        <v>-3.1928070891216702E-9</v>
      </c>
      <c r="AQ354" s="290">
        <v>-7.3076150159634596E-8</v>
      </c>
      <c r="AR354" s="290">
        <v>-685.87170040200999</v>
      </c>
      <c r="AS354" s="290">
        <v>0</v>
      </c>
      <c r="AT354" s="290">
        <v>0</v>
      </c>
      <c r="AU354" s="290">
        <v>-8.2204191453320998</v>
      </c>
      <c r="AV354" s="290">
        <v>0</v>
      </c>
      <c r="AW354" s="290">
        <v>0</v>
      </c>
      <c r="AX354" s="290">
        <v>-908.82024531321599</v>
      </c>
      <c r="AY354" s="290">
        <v>0</v>
      </c>
      <c r="AZ354" s="290">
        <v>0</v>
      </c>
      <c r="BA354" s="290">
        <v>0</v>
      </c>
      <c r="BB354" s="290">
        <v>-9.7512528164525101</v>
      </c>
      <c r="BC354" s="290">
        <v>-4.1530526963683498E-4</v>
      </c>
      <c r="BD354" s="290">
        <v>-1.65208253015554</v>
      </c>
      <c r="BE354" s="290">
        <v>-4.6274153990966501E-4</v>
      </c>
      <c r="BF354" s="290">
        <v>0</v>
      </c>
      <c r="BG354" s="290">
        <v>0</v>
      </c>
      <c r="BH354" s="290">
        <v>0</v>
      </c>
      <c r="BI354" s="290">
        <v>0</v>
      </c>
      <c r="BJ354" s="290">
        <v>0</v>
      </c>
      <c r="BK354" s="78">
        <v>0.5</v>
      </c>
      <c r="BL354" s="41" t="s">
        <v>616</v>
      </c>
      <c r="BM354" s="45"/>
    </row>
    <row r="355" spans="1:65" x14ac:dyDescent="0.35">
      <c r="A355" s="45" t="str">
        <f>Database_Productkaarten[[#This Row],[Product]]&amp;", "&amp;Database_Productkaarten[[#This Row],[Levensfase]]</f>
        <v>AC bin/base 50% PR G.M. - PCR 2.0, Totaal</v>
      </c>
      <c r="B355" s="41" t="s">
        <v>1377</v>
      </c>
      <c r="C355" s="41" t="s">
        <v>443</v>
      </c>
      <c r="D355" s="41" t="s">
        <v>470</v>
      </c>
      <c r="E355" s="41" t="s">
        <v>91</v>
      </c>
      <c r="F355" s="41" t="s">
        <v>16</v>
      </c>
      <c r="G355" s="45"/>
      <c r="H355" s="45"/>
      <c r="I355" s="45"/>
      <c r="J355" s="45"/>
      <c r="K355" s="45"/>
      <c r="L355" s="45">
        <v>2.37</v>
      </c>
      <c r="M355" s="54">
        <f>SUM(M356:M370)</f>
        <v>5.4737844077074467</v>
      </c>
      <c r="N355" s="45">
        <v>45</v>
      </c>
      <c r="O355" s="55">
        <f>SUM(O356:O370)</f>
        <v>2.522175072365066E-3</v>
      </c>
      <c r="P355" s="55">
        <f t="shared" ref="P355" si="250">SUM(P356:P370)</f>
        <v>0.49640993850401133</v>
      </c>
      <c r="Q355" s="55">
        <f t="shared" ref="Q355" si="251">SUM(Q356:Q370)</f>
        <v>59.074984096178909</v>
      </c>
      <c r="R355" s="55">
        <f t="shared" ref="R355" si="252">SUM(R356:R370)</f>
        <v>8.1847563019697932E-6</v>
      </c>
      <c r="S355" s="55">
        <f t="shared" ref="S355" si="253">SUM(S356:S370)</f>
        <v>2.8639473630257622E-2</v>
      </c>
      <c r="T355" s="55">
        <f t="shared" ref="T355" si="254">SUM(T356:T370)</f>
        <v>0.18304862415858897</v>
      </c>
      <c r="U355" s="55">
        <f t="shared" ref="U355" si="255">SUM(U356:U370)</f>
        <v>3.3530692954460734E-2</v>
      </c>
      <c r="V355" s="55">
        <f t="shared" ref="V355" si="256">SUM(V356:V370)</f>
        <v>13.548209064990708</v>
      </c>
      <c r="W355" s="55">
        <f t="shared" ref="W355" si="257">SUM(W356:W370)</f>
        <v>0.32915769387350347</v>
      </c>
      <c r="X355" s="55">
        <f t="shared" ref="X355" si="258">SUM(X356:X370)</f>
        <v>1152.7790448868172</v>
      </c>
      <c r="Y355" s="55">
        <f t="shared" ref="Y355" si="259">SUM(Y356:Y370)</f>
        <v>7.0323173302528325E-2</v>
      </c>
      <c r="Z355" s="55">
        <f t="shared" ref="Z355" si="260">SUM(Z356:Z370)</f>
        <v>73.910241266691443</v>
      </c>
      <c r="AA355" s="55">
        <f t="shared" ref="AA355" si="261">SUM(AA356:AA370)</f>
        <v>73.881554653497659</v>
      </c>
      <c r="AB355" s="55">
        <f t="shared" ref="AB355" si="262">SUM(AB356:AB370)</f>
        <v>3.9429658447533433E-3</v>
      </c>
      <c r="AC355" s="55">
        <f t="shared" ref="AC355" si="263">SUM(AC356:AC370)</f>
        <v>3.6047630698834904E-2</v>
      </c>
      <c r="AD355" s="55">
        <f t="shared" ref="AD355" si="264">SUM(AD356:AD370)</f>
        <v>1.1052257945016788E-5</v>
      </c>
      <c r="AE355" s="55">
        <f t="shared" ref="AE355" si="265">SUM(AE356:AE370)</f>
        <v>0.34413717368930052</v>
      </c>
      <c r="AF355" s="55">
        <f t="shared" ref="AF355" si="266">SUM(AF356:AF370)</f>
        <v>8.2838138916730179E-4</v>
      </c>
      <c r="AG355" s="55">
        <f t="shared" ref="AG355" si="267">SUM(AG356:AG370)</f>
        <v>9.1493292220228825E-2</v>
      </c>
      <c r="AH355" s="55">
        <f t="shared" ref="AH355" si="268">SUM(AH356:AH370)</f>
        <v>0.97561319990659401</v>
      </c>
      <c r="AI355" s="55">
        <f t="shared" ref="AI355" si="269">SUM(AI356:AI370)</f>
        <v>0.36535231308334049</v>
      </c>
      <c r="AJ355" s="55">
        <f t="shared" ref="AJ355" si="270">SUM(AJ356:AJ370)</f>
        <v>2.5239906783229705E-3</v>
      </c>
      <c r="AK355" s="55">
        <f t="shared" ref="AK355" si="271">SUM(AK356:AK370)</f>
        <v>1772.9916154199564</v>
      </c>
      <c r="AL355" s="55">
        <f t="shared" ref="AL355" si="272">SUM(AL356:AL370)</f>
        <v>15.330543479682847</v>
      </c>
      <c r="AM355" s="55">
        <f t="shared" ref="AM355" si="273">SUM(AM356:AM370)</f>
        <v>1.9765361910051332E-6</v>
      </c>
      <c r="AN355" s="55">
        <f t="shared" ref="AN355" si="274">SUM(AN356:AN370)</f>
        <v>2.5642876773457948</v>
      </c>
      <c r="AO355" s="55">
        <f t="shared" ref="AO355" si="275">SUM(AO356:AO370)</f>
        <v>1066.519981451233</v>
      </c>
      <c r="AP355" s="55">
        <f t="shared" ref="AP355" si="276">SUM(AP356:AP370)</f>
        <v>1.9472952461602512E-8</v>
      </c>
      <c r="AQ355" s="55">
        <f t="shared" ref="AQ355" si="277">SUM(AQ356:AQ370)</f>
        <v>5.6450175232543054E-7</v>
      </c>
      <c r="AR355" s="55">
        <f t="shared" ref="AR355" si="278">SUM(AR356:AR370)</f>
        <v>-63.685841207612384</v>
      </c>
      <c r="AS355" s="55">
        <f t="shared" ref="AS355" si="279">SUM(AS356:AS370)</f>
        <v>8.065825212</v>
      </c>
      <c r="AT355" s="55">
        <f t="shared" ref="AT355" si="280">SUM(AT356:AT370)</f>
        <v>0</v>
      </c>
      <c r="AU355" s="55">
        <f t="shared" ref="AU355" si="281">SUM(AU356:AU370)</f>
        <v>25.893074504305282</v>
      </c>
      <c r="AV355" s="55">
        <f t="shared" ref="AV355" si="282">SUM(AV356:AV370)</f>
        <v>0.70667511750000001</v>
      </c>
      <c r="AW355" s="55">
        <f t="shared" ref="AW355" si="283">SUM(AW356:AW370)</f>
        <v>9.926829900000001E-4</v>
      </c>
      <c r="AX355" s="55">
        <f t="shared" ref="AX355" si="284">SUM(AX356:AX370)</f>
        <v>1059.8085646548052</v>
      </c>
      <c r="AY355" s="55">
        <f t="shared" ref="AY355" si="285">SUM(AY356:AY370)</f>
        <v>501</v>
      </c>
      <c r="AZ355" s="55">
        <f t="shared" ref="AZ355" si="286">SUM(AZ356:AZ370)</f>
        <v>0</v>
      </c>
      <c r="BA355" s="55">
        <f t="shared" ref="BA355" si="287">SUM(BA356:BA370)</f>
        <v>0</v>
      </c>
      <c r="BB355" s="55">
        <f t="shared" ref="BB355" si="288">SUM(BB356:BB370)</f>
        <v>-8.9575367840201103</v>
      </c>
      <c r="BC355" s="55">
        <f t="shared" ref="BC355" si="289">SUM(BC356:BC370)</f>
        <v>1.5581792519869255E-3</v>
      </c>
      <c r="BD355" s="55">
        <f t="shared" ref="BD355" si="290">SUM(BD356:BD370)</f>
        <v>15.688918938215313</v>
      </c>
      <c r="BE355" s="55">
        <f t="shared" ref="BE355" si="291">SUM(BE356:BE370)</f>
        <v>3.3356866921435799E-3</v>
      </c>
      <c r="BF355" s="55">
        <f t="shared" ref="BF355" si="292">SUM(BF356:BF370)</f>
        <v>0</v>
      </c>
      <c r="BG355" s="55">
        <f t="shared" ref="BG355" si="293">SUM(BG356:BG370)</f>
        <v>1000</v>
      </c>
      <c r="BH355" s="55">
        <f t="shared" ref="BH355" si="294">SUM(BH356:BH370)</f>
        <v>0</v>
      </c>
      <c r="BI355" s="55">
        <f t="shared" ref="BI355" si="295">SUM(BI356:BI370)</f>
        <v>0</v>
      </c>
      <c r="BJ355" s="55">
        <f t="shared" ref="BJ355" si="296">SUM(BJ356:BJ370)</f>
        <v>0</v>
      </c>
      <c r="BK355" s="78">
        <v>0.5</v>
      </c>
      <c r="BL355" s="41" t="s">
        <v>616</v>
      </c>
      <c r="BM355" s="45"/>
    </row>
    <row r="356" spans="1:65" x14ac:dyDescent="0.35">
      <c r="A356" s="45" t="str">
        <f>Database_Productkaarten[[#This Row],[Product]]&amp;", "&amp;Database_Productkaarten[[#This Row],[Levensfase]]</f>
        <v>AC bin/base 50% PR G.M. - PCR 2.0, A1</v>
      </c>
      <c r="B356" s="41" t="s">
        <v>1377</v>
      </c>
      <c r="C356" s="41" t="s">
        <v>443</v>
      </c>
      <c r="D356" s="41" t="s">
        <v>470</v>
      </c>
      <c r="E356" s="41" t="s">
        <v>91</v>
      </c>
      <c r="F356" s="41" t="s">
        <v>19</v>
      </c>
      <c r="G356" s="45"/>
      <c r="H356" s="45"/>
      <c r="I356" s="45"/>
      <c r="J356" s="45"/>
      <c r="K356" s="45"/>
      <c r="L356" s="45">
        <v>2.37</v>
      </c>
      <c r="M356" s="291">
        <v>3.3868702647197693</v>
      </c>
      <c r="N356" s="45">
        <v>45</v>
      </c>
      <c r="O356" s="290">
        <v>2.4658813897512799E-3</v>
      </c>
      <c r="P356" s="290">
        <v>0.53370176376517098</v>
      </c>
      <c r="Q356" s="290">
        <v>27.155397141957199</v>
      </c>
      <c r="R356" s="290">
        <v>2.8886102677123999E-6</v>
      </c>
      <c r="S356" s="290">
        <v>5.3949530602910502E-2</v>
      </c>
      <c r="T356" s="290">
        <v>0.15909864350853301</v>
      </c>
      <c r="U356" s="290">
        <v>1.4934165613422101E-2</v>
      </c>
      <c r="V356" s="290">
        <v>7.91358001226636</v>
      </c>
      <c r="W356" s="290">
        <v>0.75033263288920904</v>
      </c>
      <c r="X356" s="290">
        <v>3235.7951914489099</v>
      </c>
      <c r="Y356" s="290">
        <v>0.103568351546642</v>
      </c>
      <c r="Z356" s="290">
        <v>28.478022201856799</v>
      </c>
      <c r="AA356" s="290">
        <v>28.496085757341</v>
      </c>
      <c r="AB356" s="290">
        <v>-2.4404756247065802E-2</v>
      </c>
      <c r="AC356" s="290">
        <v>1.76452007627994E-2</v>
      </c>
      <c r="AD356" s="290">
        <v>3.4940340979101702E-6</v>
      </c>
      <c r="AE356" s="290">
        <v>0.188550212406465</v>
      </c>
      <c r="AF356" s="290">
        <v>5.9583027911598596E-4</v>
      </c>
      <c r="AG356" s="290">
        <v>2.9289560582435498E-2</v>
      </c>
      <c r="AH356" s="290">
        <v>0.30611323829755599</v>
      </c>
      <c r="AI356" s="290">
        <v>0.177143802445936</v>
      </c>
      <c r="AJ356" s="290">
        <v>2.4658619823102498E-3</v>
      </c>
      <c r="AK356" s="290">
        <v>1122.5552466486699</v>
      </c>
      <c r="AL356" s="290">
        <v>29.518312544002601</v>
      </c>
      <c r="AM356" s="290">
        <v>1.2697512275190799E-6</v>
      </c>
      <c r="AN356" s="290">
        <v>1.1958371922711799</v>
      </c>
      <c r="AO356" s="290">
        <v>1276.7571222910899</v>
      </c>
      <c r="AP356" s="290">
        <v>1.03702739814281E-8</v>
      </c>
      <c r="AQ356" s="290">
        <v>3.76753015117147E-7</v>
      </c>
      <c r="AR356" s="290">
        <v>305.85283575892299</v>
      </c>
      <c r="AS356" s="290">
        <v>0</v>
      </c>
      <c r="AT356" s="290">
        <v>0</v>
      </c>
      <c r="AU356" s="290">
        <v>15.964891742422701</v>
      </c>
      <c r="AV356" s="290">
        <v>0</v>
      </c>
      <c r="AW356" s="290">
        <v>0</v>
      </c>
      <c r="AX356" s="290">
        <v>1195.1769555472599</v>
      </c>
      <c r="AY356" s="290">
        <v>501</v>
      </c>
      <c r="AZ356" s="290">
        <v>0</v>
      </c>
      <c r="BA356" s="290">
        <v>0</v>
      </c>
      <c r="BB356" s="290">
        <v>0.71694595880289302</v>
      </c>
      <c r="BC356" s="290">
        <v>6.1091286010553998E-4</v>
      </c>
      <c r="BD356" s="290">
        <v>3.33715721192124</v>
      </c>
      <c r="BE356" s="290">
        <v>1.2143784772268101E-3</v>
      </c>
      <c r="BF356" s="290">
        <v>0</v>
      </c>
      <c r="BG356" s="290">
        <v>0</v>
      </c>
      <c r="BH356" s="290">
        <v>0</v>
      </c>
      <c r="BI356" s="290">
        <v>0</v>
      </c>
      <c r="BJ356" s="290">
        <v>0</v>
      </c>
      <c r="BK356" s="78">
        <v>0.5</v>
      </c>
      <c r="BL356" s="41" t="s">
        <v>616</v>
      </c>
      <c r="BM356" s="45"/>
    </row>
    <row r="357" spans="1:65" x14ac:dyDescent="0.35">
      <c r="A357" s="45" t="str">
        <f>Database_Productkaarten[[#This Row],[Product]]&amp;", "&amp;Database_Productkaarten[[#This Row],[Levensfase]]</f>
        <v>AC bin/base 50% PR G.M. - PCR 2.0, A2</v>
      </c>
      <c r="B357" s="41" t="s">
        <v>1377</v>
      </c>
      <c r="C357" s="41" t="s">
        <v>443</v>
      </c>
      <c r="D357" s="41" t="s">
        <v>470</v>
      </c>
      <c r="E357" s="41" t="s">
        <v>91</v>
      </c>
      <c r="F357" s="41" t="s">
        <v>20</v>
      </c>
      <c r="G357" s="45"/>
      <c r="H357" s="45"/>
      <c r="I357" s="45"/>
      <c r="J357" s="45"/>
      <c r="K357" s="45"/>
      <c r="L357" s="45">
        <v>2.37</v>
      </c>
      <c r="M357" s="291">
        <v>1.4331317519874223</v>
      </c>
      <c r="N357" s="45">
        <v>45</v>
      </c>
      <c r="O357" s="290">
        <v>1.3238511310425201E-4</v>
      </c>
      <c r="P357" s="290">
        <v>7.6380766641097997E-2</v>
      </c>
      <c r="Q357" s="290">
        <v>11.993158972815101</v>
      </c>
      <c r="R357" s="290">
        <v>1.79132627335581E-6</v>
      </c>
      <c r="S357" s="290">
        <v>7.0836957018398199E-3</v>
      </c>
      <c r="T357" s="290">
        <v>7.9921566762222299E-2</v>
      </c>
      <c r="U357" s="290">
        <v>1.7641506577342501E-2</v>
      </c>
      <c r="V357" s="290">
        <v>3.2962728091506501</v>
      </c>
      <c r="W357" s="290">
        <v>8.6160476268544298E-2</v>
      </c>
      <c r="X357" s="290">
        <v>284.06820185164497</v>
      </c>
      <c r="Y357" s="290">
        <v>1.49092388727216E-2</v>
      </c>
      <c r="Z357" s="290">
        <v>12.130093319878799</v>
      </c>
      <c r="AA357" s="290">
        <v>12.093629648552501</v>
      </c>
      <c r="AB357" s="290">
        <v>1.7138970118527899E-2</v>
      </c>
      <c r="AC357" s="290">
        <v>1.9324701207707001E-2</v>
      </c>
      <c r="AD357" s="290">
        <v>2.2289391040821901E-6</v>
      </c>
      <c r="AE357" s="290">
        <v>0.111003864916244</v>
      </c>
      <c r="AF357" s="290">
        <v>1.4135324217894499E-4</v>
      </c>
      <c r="AG357" s="290">
        <v>4.66126985235297E-2</v>
      </c>
      <c r="AH357" s="290">
        <v>0.51311398941197495</v>
      </c>
      <c r="AI357" s="290">
        <v>0.13364156760304799</v>
      </c>
      <c r="AJ357" s="290">
        <v>1.3238000308316101E-4</v>
      </c>
      <c r="AK357" s="290">
        <v>158.29886516759399</v>
      </c>
      <c r="AL357" s="290">
        <v>0.70974025409445196</v>
      </c>
      <c r="AM357" s="290">
        <v>4.18865292735581E-7</v>
      </c>
      <c r="AN357" s="290">
        <v>0.68179830171162703</v>
      </c>
      <c r="AO357" s="290">
        <v>140.16493951610599</v>
      </c>
      <c r="AP357" s="290">
        <v>5.6570464778667302E-9</v>
      </c>
      <c r="AQ357" s="290">
        <v>1.07862661528545E-7</v>
      </c>
      <c r="AR357" s="290">
        <v>124.378196879737</v>
      </c>
      <c r="AS357" s="290">
        <v>0</v>
      </c>
      <c r="AT357" s="290">
        <v>0</v>
      </c>
      <c r="AU357" s="290">
        <v>3.3674902308219798</v>
      </c>
      <c r="AV357" s="290">
        <v>0</v>
      </c>
      <c r="AW357" s="290">
        <v>0</v>
      </c>
      <c r="AX357" s="290">
        <v>168.000151857932</v>
      </c>
      <c r="AY357" s="290">
        <v>0</v>
      </c>
      <c r="AZ357" s="290">
        <v>0</v>
      </c>
      <c r="BA357" s="290">
        <v>0</v>
      </c>
      <c r="BB357" s="290">
        <v>2.8017519544063799E-2</v>
      </c>
      <c r="BC357" s="290">
        <v>4.10189633425134E-4</v>
      </c>
      <c r="BD357" s="290">
        <v>2.66977520900029</v>
      </c>
      <c r="BE357" s="290">
        <v>1.0286471083037799E-3</v>
      </c>
      <c r="BF357" s="290">
        <v>0</v>
      </c>
      <c r="BG357" s="290">
        <v>0</v>
      </c>
      <c r="BH357" s="290">
        <v>0</v>
      </c>
      <c r="BI357" s="290">
        <v>0</v>
      </c>
      <c r="BJ357" s="290">
        <v>0</v>
      </c>
      <c r="BK357" s="78">
        <v>0.5</v>
      </c>
      <c r="BL357" s="41" t="s">
        <v>616</v>
      </c>
      <c r="BM357" s="45"/>
    </row>
    <row r="358" spans="1:65" x14ac:dyDescent="0.35">
      <c r="A358" s="45" t="str">
        <f>Database_Productkaarten[[#This Row],[Product]]&amp;", "&amp;Database_Productkaarten[[#This Row],[Levensfase]]</f>
        <v>AC bin/base 50% PR G.M. - PCR 2.0, A3</v>
      </c>
      <c r="B358" s="41" t="s">
        <v>1377</v>
      </c>
      <c r="C358" s="41" t="s">
        <v>443</v>
      </c>
      <c r="D358" s="41" t="s">
        <v>470</v>
      </c>
      <c r="E358" s="41" t="s">
        <v>91</v>
      </c>
      <c r="F358" s="41" t="s">
        <v>21</v>
      </c>
      <c r="G358" s="45"/>
      <c r="H358" s="45"/>
      <c r="I358" s="45"/>
      <c r="J358" s="45"/>
      <c r="K358" s="45"/>
      <c r="L358" s="45">
        <v>2.37</v>
      </c>
      <c r="M358" s="291">
        <v>1.6691827309930898</v>
      </c>
      <c r="N358" s="45">
        <v>45</v>
      </c>
      <c r="O358" s="290">
        <v>1.75221472516947E-5</v>
      </c>
      <c r="P358" s="290">
        <v>0.20284439422943901</v>
      </c>
      <c r="Q358" s="290">
        <v>23.602662423368301</v>
      </c>
      <c r="R358" s="290">
        <v>2.7764265012603802E-6</v>
      </c>
      <c r="S358" s="290">
        <v>3.8038609087761902E-3</v>
      </c>
      <c r="T358" s="290">
        <v>2.1588482285889402E-2</v>
      </c>
      <c r="U358" s="290">
        <v>3.5188368856603701E-3</v>
      </c>
      <c r="V358" s="290">
        <v>3.5564719278521499</v>
      </c>
      <c r="W358" s="290">
        <v>2.2241138866920099E-2</v>
      </c>
      <c r="X358" s="290">
        <v>90.268805997708895</v>
      </c>
      <c r="Y358" s="290">
        <v>1.8343986747348301E-2</v>
      </c>
      <c r="Z358" s="290">
        <v>23.938151310628101</v>
      </c>
      <c r="AA358" s="290">
        <v>23.897459852898301</v>
      </c>
      <c r="AB358" s="290">
        <v>3.9049750470293201E-2</v>
      </c>
      <c r="AC358" s="290">
        <v>1.6417072594388099E-3</v>
      </c>
      <c r="AD358" s="290">
        <v>3.1413355925138998E-6</v>
      </c>
      <c r="AE358" s="290">
        <v>2.77635894612379E-2</v>
      </c>
      <c r="AF358" s="290">
        <v>1.9265988214330101E-4</v>
      </c>
      <c r="AG358" s="290">
        <v>7.9453280503768708E-3</v>
      </c>
      <c r="AH358" s="290">
        <v>8.9096596265984193E-2</v>
      </c>
      <c r="AI358" s="290">
        <v>2.76109497638698E-2</v>
      </c>
      <c r="AJ358" s="290">
        <v>1.7521901748471999E-5</v>
      </c>
      <c r="AK358" s="290">
        <v>374.35885169561698</v>
      </c>
      <c r="AL358" s="290">
        <v>0.41395700190219398</v>
      </c>
      <c r="AM358" s="290">
        <v>1.90337051469141E-7</v>
      </c>
      <c r="AN358" s="290">
        <v>0.243803200412823</v>
      </c>
      <c r="AO358" s="290">
        <v>60.963504415939603</v>
      </c>
      <c r="AP358" s="290">
        <v>2.7319750632821598E-9</v>
      </c>
      <c r="AQ358" s="290">
        <v>4.1733387855227099E-8</v>
      </c>
      <c r="AR358" s="290">
        <v>13.181442422731299</v>
      </c>
      <c r="AS358" s="290">
        <v>0</v>
      </c>
      <c r="AT358" s="290">
        <v>0</v>
      </c>
      <c r="AU358" s="290">
        <v>5.0869073514409902</v>
      </c>
      <c r="AV358" s="290">
        <v>0</v>
      </c>
      <c r="AW358" s="290">
        <v>0</v>
      </c>
      <c r="AX358" s="290">
        <v>413.47140222165001</v>
      </c>
      <c r="AY358" s="290">
        <v>0</v>
      </c>
      <c r="AZ358" s="290">
        <v>0</v>
      </c>
      <c r="BA358" s="290">
        <v>0</v>
      </c>
      <c r="BB358" s="290">
        <v>2.9857069150750801E-2</v>
      </c>
      <c r="BC358" s="290">
        <v>4.6400666948372398E-4</v>
      </c>
      <c r="BD358" s="290">
        <v>0.23396625273972799</v>
      </c>
      <c r="BE358" s="290">
        <v>3.2247338991195498E-4</v>
      </c>
      <c r="BF358" s="290">
        <v>0</v>
      </c>
      <c r="BG358" s="290">
        <v>0</v>
      </c>
      <c r="BH358" s="290">
        <v>0</v>
      </c>
      <c r="BI358" s="290">
        <v>0</v>
      </c>
      <c r="BJ358" s="290">
        <v>0</v>
      </c>
      <c r="BK358" s="78">
        <v>0.5</v>
      </c>
      <c r="BL358" s="41" t="s">
        <v>616</v>
      </c>
      <c r="BM358" s="45"/>
    </row>
    <row r="359" spans="1:65" x14ac:dyDescent="0.35">
      <c r="A359" s="45" t="str">
        <f>Database_Productkaarten[[#This Row],[Product]]&amp;", "&amp;Database_Productkaarten[[#This Row],[Levensfase]]</f>
        <v>AC bin/base 50% PR G.M. - PCR 2.0, A4</v>
      </c>
      <c r="B359" s="41" t="s">
        <v>1377</v>
      </c>
      <c r="C359" s="41" t="s">
        <v>443</v>
      </c>
      <c r="D359" s="41" t="s">
        <v>470</v>
      </c>
      <c r="E359" s="41" t="s">
        <v>91</v>
      </c>
      <c r="F359" s="41" t="s">
        <v>22</v>
      </c>
      <c r="G359" s="45"/>
      <c r="H359" s="45"/>
      <c r="I359" s="45"/>
      <c r="J359" s="45"/>
      <c r="K359" s="45"/>
      <c r="L359" s="45">
        <v>2.37</v>
      </c>
      <c r="M359" s="291">
        <v>0.37546048090943995</v>
      </c>
      <c r="N359" s="45">
        <v>45</v>
      </c>
      <c r="O359" s="290">
        <v>6.8533509000000002E-5</v>
      </c>
      <c r="P359" s="290">
        <v>2.9713889699999999E-2</v>
      </c>
      <c r="Q359" s="290">
        <v>3.9891474704999998</v>
      </c>
      <c r="R359" s="290">
        <v>7.557213E-7</v>
      </c>
      <c r="S359" s="290">
        <v>2.4773701499999998E-3</v>
      </c>
      <c r="T359" s="290">
        <v>1.36398132E-2</v>
      </c>
      <c r="U359" s="290">
        <v>2.5682192100000001E-3</v>
      </c>
      <c r="V359" s="290">
        <v>0.8608144794</v>
      </c>
      <c r="W359" s="290">
        <v>3.6189873900000002E-2</v>
      </c>
      <c r="X359" s="290">
        <v>97.376595929999993</v>
      </c>
      <c r="Y359" s="290">
        <v>4.8437180999999999E-3</v>
      </c>
      <c r="Z359" s="290">
        <v>4.0259382761999998</v>
      </c>
      <c r="AA359" s="290">
        <v>4.0229543298000001</v>
      </c>
      <c r="AB359" s="290">
        <v>1.9814632200000001E-3</v>
      </c>
      <c r="AC359" s="290">
        <v>1.0024609799999999E-3</v>
      </c>
      <c r="AD359" s="290">
        <v>9.4976262000000003E-7</v>
      </c>
      <c r="AE359" s="290">
        <v>1.7739576E-2</v>
      </c>
      <c r="AF359" s="290">
        <v>2.7841996800000001E-5</v>
      </c>
      <c r="AG359" s="290">
        <v>5.5484582100000001E-3</v>
      </c>
      <c r="AH359" s="290">
        <v>6.1385308800000003E-2</v>
      </c>
      <c r="AI359" s="290">
        <v>1.9235744999999999E-2</v>
      </c>
      <c r="AJ359" s="290">
        <v>6.8533397999999998E-5</v>
      </c>
      <c r="AK359" s="290">
        <v>62.400806729999999</v>
      </c>
      <c r="AL359" s="290">
        <v>0.212954166</v>
      </c>
      <c r="AM359" s="290">
        <v>2.9338876200000002E-7</v>
      </c>
      <c r="AN359" s="290">
        <v>0.26868483510000002</v>
      </c>
      <c r="AO359" s="290">
        <v>45.56587296</v>
      </c>
      <c r="AP359" s="290">
        <v>1.16371179E-9</v>
      </c>
      <c r="AQ359" s="290">
        <v>3.8268015899999999E-8</v>
      </c>
      <c r="AR359" s="290">
        <v>71.806844609999999</v>
      </c>
      <c r="AS359" s="290">
        <v>0</v>
      </c>
      <c r="AT359" s="290">
        <v>0</v>
      </c>
      <c r="AU359" s="290">
        <v>0.63474917099999995</v>
      </c>
      <c r="AV359" s="290">
        <v>0</v>
      </c>
      <c r="AW359" s="290">
        <v>0</v>
      </c>
      <c r="AX359" s="290">
        <v>66.265108560000002</v>
      </c>
      <c r="AY359" s="290">
        <v>0</v>
      </c>
      <c r="AZ359" s="290">
        <v>0</v>
      </c>
      <c r="BA359" s="290">
        <v>0</v>
      </c>
      <c r="BB359" s="290">
        <v>6.7467797999999999E-3</v>
      </c>
      <c r="BC359" s="290">
        <v>1.54707915E-4</v>
      </c>
      <c r="BD359" s="290">
        <v>5.4635493149999999</v>
      </c>
      <c r="BE359" s="290">
        <v>4.25149758E-4</v>
      </c>
      <c r="BF359" s="290">
        <v>0</v>
      </c>
      <c r="BG359" s="290">
        <v>0</v>
      </c>
      <c r="BH359" s="290">
        <v>0</v>
      </c>
      <c r="BI359" s="290">
        <v>0</v>
      </c>
      <c r="BJ359" s="290">
        <v>0</v>
      </c>
      <c r="BK359" s="78">
        <v>0.5</v>
      </c>
      <c r="BL359" s="41" t="s">
        <v>616</v>
      </c>
      <c r="BM359" s="45"/>
    </row>
    <row r="360" spans="1:65" x14ac:dyDescent="0.35">
      <c r="A360" s="45" t="str">
        <f>Database_Productkaarten[[#This Row],[Product]]&amp;", "&amp;Database_Productkaarten[[#This Row],[Levensfase]]</f>
        <v>AC bin/base 50% PR G.M. - PCR 2.0, A5</v>
      </c>
      <c r="B360" s="41" t="s">
        <v>1377</v>
      </c>
      <c r="C360" s="41" t="s">
        <v>443</v>
      </c>
      <c r="D360" s="41" t="s">
        <v>470</v>
      </c>
      <c r="E360" s="41" t="s">
        <v>91</v>
      </c>
      <c r="F360" s="41" t="s">
        <v>23</v>
      </c>
      <c r="G360" s="45"/>
      <c r="H360" s="45"/>
      <c r="I360" s="45"/>
      <c r="J360" s="45"/>
      <c r="K360" s="45"/>
      <c r="L360" s="45">
        <v>2.37</v>
      </c>
      <c r="M360" s="291">
        <v>0.14177533139592638</v>
      </c>
      <c r="N360" s="45">
        <v>45</v>
      </c>
      <c r="O360" s="290">
        <v>1.6131416789032499E-6</v>
      </c>
      <c r="P360" s="290">
        <v>6.8622726271645798E-3</v>
      </c>
      <c r="Q360" s="290">
        <v>1.39560232741361</v>
      </c>
      <c r="R360" s="290">
        <v>1.8034595460964901E-7</v>
      </c>
      <c r="S360" s="290">
        <v>5.1654444180298804E-4</v>
      </c>
      <c r="T360" s="290">
        <v>5.5620935043642298E-3</v>
      </c>
      <c r="U360" s="290">
        <v>1.2666295728095401E-3</v>
      </c>
      <c r="V360" s="290">
        <v>0.37946512717893199</v>
      </c>
      <c r="W360" s="290">
        <v>5.3530921287655801E-3</v>
      </c>
      <c r="X360" s="290">
        <v>18.5996359254254</v>
      </c>
      <c r="Y360" s="290">
        <v>6.3393441224210997E-4</v>
      </c>
      <c r="Z360" s="290">
        <v>1.40614005174948</v>
      </c>
      <c r="AA360" s="290">
        <v>1.40573693628318</v>
      </c>
      <c r="AB360" s="290">
        <v>3.2107603084401999E-4</v>
      </c>
      <c r="AC360" s="290">
        <v>8.2039435457084798E-5</v>
      </c>
      <c r="AD360" s="290">
        <v>2.2724302573953301E-7</v>
      </c>
      <c r="AE360" s="290">
        <v>7.7455940056365804E-3</v>
      </c>
      <c r="AF360" s="290">
        <v>3.83292928151715E-6</v>
      </c>
      <c r="AG360" s="290">
        <v>3.3301407905204699E-3</v>
      </c>
      <c r="AH360" s="290">
        <v>3.6553504870411702E-2</v>
      </c>
      <c r="AI360" s="290">
        <v>9.5750220980646093E-3</v>
      </c>
      <c r="AJ360" s="290">
        <v>1.6131290203875901E-6</v>
      </c>
      <c r="AK360" s="290">
        <v>14.4789764093968</v>
      </c>
      <c r="AL360" s="290">
        <v>1.9283631413194498E-2</v>
      </c>
      <c r="AM360" s="290">
        <v>2.9438644941179199E-8</v>
      </c>
      <c r="AN360" s="290">
        <v>6.2145111546488899E-2</v>
      </c>
      <c r="AO360" s="290">
        <v>8.6879181273261494</v>
      </c>
      <c r="AP360" s="290">
        <v>3.04800759380677E-10</v>
      </c>
      <c r="AQ360" s="290">
        <v>7.4560899594076099E-9</v>
      </c>
      <c r="AR360" s="290">
        <v>1.8493735975619101</v>
      </c>
      <c r="AS360" s="290">
        <v>0</v>
      </c>
      <c r="AT360" s="290">
        <v>0</v>
      </c>
      <c r="AU360" s="290">
        <v>7.9583647237735006E-2</v>
      </c>
      <c r="AV360" s="290">
        <v>0</v>
      </c>
      <c r="AW360" s="290">
        <v>0</v>
      </c>
      <c r="AX360" s="290">
        <v>15.376215000775799</v>
      </c>
      <c r="AY360" s="290">
        <v>0</v>
      </c>
      <c r="AZ360" s="290">
        <v>0</v>
      </c>
      <c r="BA360" s="290">
        <v>0</v>
      </c>
      <c r="BB360" s="290">
        <v>7.4846708082643696E-4</v>
      </c>
      <c r="BC360" s="290">
        <v>3.9430119275153997E-5</v>
      </c>
      <c r="BD360" s="290">
        <v>1.7132562713945299E-2</v>
      </c>
      <c r="BE360" s="290">
        <v>1.00629663045344E-4</v>
      </c>
      <c r="BF360" s="290">
        <v>0</v>
      </c>
      <c r="BG360" s="290">
        <v>0</v>
      </c>
      <c r="BH360" s="290">
        <v>0</v>
      </c>
      <c r="BI360" s="290">
        <v>0</v>
      </c>
      <c r="BJ360" s="290">
        <v>0</v>
      </c>
      <c r="BK360" s="78">
        <v>0.5</v>
      </c>
      <c r="BL360" s="41" t="s">
        <v>616</v>
      </c>
      <c r="BM360" s="45"/>
    </row>
    <row r="361" spans="1:65" x14ac:dyDescent="0.35">
      <c r="A361" s="45" t="str">
        <f>Database_Productkaarten[[#This Row],[Product]]&amp;", "&amp;Database_Productkaarten[[#This Row],[Levensfase]]</f>
        <v>AC bin/base 50% PR G.M. - PCR 2.0, B1</v>
      </c>
      <c r="B361" s="41" t="s">
        <v>1377</v>
      </c>
      <c r="C361" s="41" t="s">
        <v>443</v>
      </c>
      <c r="D361" s="41" t="s">
        <v>470</v>
      </c>
      <c r="E361" s="41" t="s">
        <v>91</v>
      </c>
      <c r="F361" s="41" t="s">
        <v>24</v>
      </c>
      <c r="G361" s="45"/>
      <c r="H361" s="45"/>
      <c r="I361" s="45"/>
      <c r="J361" s="45"/>
      <c r="K361" s="45"/>
      <c r="L361" s="45">
        <v>2.37</v>
      </c>
      <c r="M361" s="291">
        <v>0</v>
      </c>
      <c r="N361" s="45">
        <v>45</v>
      </c>
      <c r="O361" s="290">
        <v>0</v>
      </c>
      <c r="P361" s="290">
        <v>0</v>
      </c>
      <c r="Q361" s="290">
        <v>0</v>
      </c>
      <c r="R361" s="290">
        <v>0</v>
      </c>
      <c r="S361" s="290">
        <v>0</v>
      </c>
      <c r="T361" s="290">
        <v>0</v>
      </c>
      <c r="U361" s="290">
        <v>0</v>
      </c>
      <c r="V361" s="290">
        <v>0</v>
      </c>
      <c r="W361" s="290">
        <v>0</v>
      </c>
      <c r="X361" s="290">
        <v>0</v>
      </c>
      <c r="Y361" s="290">
        <v>0</v>
      </c>
      <c r="Z361" s="290">
        <v>0</v>
      </c>
      <c r="AA361" s="290">
        <v>0</v>
      </c>
      <c r="AB361" s="290">
        <v>0</v>
      </c>
      <c r="AC361" s="290">
        <v>0</v>
      </c>
      <c r="AD361" s="290">
        <v>0</v>
      </c>
      <c r="AE361" s="290">
        <v>0</v>
      </c>
      <c r="AF361" s="290">
        <v>0</v>
      </c>
      <c r="AG361" s="290">
        <v>0</v>
      </c>
      <c r="AH361" s="290">
        <v>0</v>
      </c>
      <c r="AI361" s="290">
        <v>0</v>
      </c>
      <c r="AJ361" s="290">
        <v>0</v>
      </c>
      <c r="AK361" s="290">
        <v>0</v>
      </c>
      <c r="AL361" s="290">
        <v>0</v>
      </c>
      <c r="AM361" s="290">
        <v>0</v>
      </c>
      <c r="AN361" s="290">
        <v>0</v>
      </c>
      <c r="AO361" s="290">
        <v>0</v>
      </c>
      <c r="AP361" s="290">
        <v>0</v>
      </c>
      <c r="AQ361" s="290">
        <v>0</v>
      </c>
      <c r="AR361" s="290">
        <v>0</v>
      </c>
      <c r="AS361" s="290">
        <v>0</v>
      </c>
      <c r="AT361" s="290">
        <v>0</v>
      </c>
      <c r="AU361" s="290">
        <v>0</v>
      </c>
      <c r="AV361" s="290">
        <v>0</v>
      </c>
      <c r="AW361" s="290">
        <v>0</v>
      </c>
      <c r="AX361" s="290">
        <v>0</v>
      </c>
      <c r="AY361" s="290">
        <v>0</v>
      </c>
      <c r="AZ361" s="290">
        <v>0</v>
      </c>
      <c r="BA361" s="290">
        <v>0</v>
      </c>
      <c r="BB361" s="290">
        <v>0</v>
      </c>
      <c r="BC361" s="290">
        <v>0</v>
      </c>
      <c r="BD361" s="290">
        <v>0</v>
      </c>
      <c r="BE361" s="290">
        <v>0</v>
      </c>
      <c r="BF361" s="290">
        <v>0</v>
      </c>
      <c r="BG361" s="290">
        <v>0</v>
      </c>
      <c r="BH361" s="290">
        <v>0</v>
      </c>
      <c r="BI361" s="290">
        <v>0</v>
      </c>
      <c r="BJ361" s="290">
        <v>0</v>
      </c>
      <c r="BK361" s="78">
        <v>0.5</v>
      </c>
      <c r="BL361" s="41" t="s">
        <v>616</v>
      </c>
      <c r="BM361" s="45"/>
    </row>
    <row r="362" spans="1:65" x14ac:dyDescent="0.35">
      <c r="A362" s="45" t="str">
        <f>Database_Productkaarten[[#This Row],[Product]]&amp;", "&amp;Database_Productkaarten[[#This Row],[Levensfase]]</f>
        <v>AC bin/base 50% PR G.M. - PCR 2.0, B2</v>
      </c>
      <c r="B362" s="41" t="s">
        <v>1377</v>
      </c>
      <c r="C362" s="41" t="s">
        <v>443</v>
      </c>
      <c r="D362" s="41" t="s">
        <v>470</v>
      </c>
      <c r="E362" s="41" t="s">
        <v>91</v>
      </c>
      <c r="F362" s="41" t="s">
        <v>604</v>
      </c>
      <c r="G362" s="45"/>
      <c r="H362" s="45"/>
      <c r="I362" s="45"/>
      <c r="J362" s="45"/>
      <c r="K362" s="45"/>
      <c r="L362" s="45">
        <v>2.37</v>
      </c>
      <c r="M362" s="291">
        <v>0</v>
      </c>
      <c r="N362" s="45">
        <v>45</v>
      </c>
      <c r="O362" s="290">
        <v>0</v>
      </c>
      <c r="P362" s="290">
        <v>0</v>
      </c>
      <c r="Q362" s="290">
        <v>0</v>
      </c>
      <c r="R362" s="290">
        <v>0</v>
      </c>
      <c r="S362" s="290">
        <v>0</v>
      </c>
      <c r="T362" s="290">
        <v>0</v>
      </c>
      <c r="U362" s="290">
        <v>0</v>
      </c>
      <c r="V362" s="290">
        <v>0</v>
      </c>
      <c r="W362" s="290">
        <v>0</v>
      </c>
      <c r="X362" s="290">
        <v>0</v>
      </c>
      <c r="Y362" s="290">
        <v>0</v>
      </c>
      <c r="Z362" s="290">
        <v>0</v>
      </c>
      <c r="AA362" s="290">
        <v>0</v>
      </c>
      <c r="AB362" s="290">
        <v>0</v>
      </c>
      <c r="AC362" s="290">
        <v>0</v>
      </c>
      <c r="AD362" s="290">
        <v>0</v>
      </c>
      <c r="AE362" s="290">
        <v>0</v>
      </c>
      <c r="AF362" s="290">
        <v>0</v>
      </c>
      <c r="AG362" s="290">
        <v>0</v>
      </c>
      <c r="AH362" s="290">
        <v>0</v>
      </c>
      <c r="AI362" s="290">
        <v>0</v>
      </c>
      <c r="AJ362" s="290">
        <v>0</v>
      </c>
      <c r="AK362" s="290">
        <v>0</v>
      </c>
      <c r="AL362" s="290">
        <v>0</v>
      </c>
      <c r="AM362" s="290">
        <v>0</v>
      </c>
      <c r="AN362" s="290">
        <v>0</v>
      </c>
      <c r="AO362" s="290">
        <v>0</v>
      </c>
      <c r="AP362" s="290">
        <v>0</v>
      </c>
      <c r="AQ362" s="290">
        <v>0</v>
      </c>
      <c r="AR362" s="290">
        <v>0</v>
      </c>
      <c r="AS362" s="290">
        <v>0</v>
      </c>
      <c r="AT362" s="290">
        <v>0</v>
      </c>
      <c r="AU362" s="290">
        <v>0</v>
      </c>
      <c r="AV362" s="290">
        <v>0</v>
      </c>
      <c r="AW362" s="290">
        <v>0</v>
      </c>
      <c r="AX362" s="290">
        <v>0</v>
      </c>
      <c r="AY362" s="290">
        <v>0</v>
      </c>
      <c r="AZ362" s="290">
        <v>0</v>
      </c>
      <c r="BA362" s="290">
        <v>0</v>
      </c>
      <c r="BB362" s="290">
        <v>0</v>
      </c>
      <c r="BC362" s="290">
        <v>0</v>
      </c>
      <c r="BD362" s="290">
        <v>0</v>
      </c>
      <c r="BE362" s="290">
        <v>0</v>
      </c>
      <c r="BF362" s="290">
        <v>0</v>
      </c>
      <c r="BG362" s="290">
        <v>0</v>
      </c>
      <c r="BH362" s="290">
        <v>0</v>
      </c>
      <c r="BI362" s="290">
        <v>0</v>
      </c>
      <c r="BJ362" s="290">
        <v>0</v>
      </c>
      <c r="BK362" s="78">
        <v>0.5</v>
      </c>
      <c r="BL362" s="41" t="s">
        <v>616</v>
      </c>
      <c r="BM362" s="45"/>
    </row>
    <row r="363" spans="1:65" x14ac:dyDescent="0.35">
      <c r="A363" s="45" t="str">
        <f>Database_Productkaarten[[#This Row],[Product]]&amp;", "&amp;Database_Productkaarten[[#This Row],[Levensfase]]</f>
        <v>AC bin/base 50% PR G.M. - PCR 2.0, B3</v>
      </c>
      <c r="B363" s="41" t="s">
        <v>1377</v>
      </c>
      <c r="C363" s="41" t="s">
        <v>443</v>
      </c>
      <c r="D363" s="41" t="s">
        <v>470</v>
      </c>
      <c r="E363" s="41" t="s">
        <v>91</v>
      </c>
      <c r="F363" s="41" t="s">
        <v>602</v>
      </c>
      <c r="G363" s="45"/>
      <c r="H363" s="45"/>
      <c r="I363" s="45"/>
      <c r="J363" s="45"/>
      <c r="K363" s="45"/>
      <c r="L363" s="45">
        <v>2.37</v>
      </c>
      <c r="M363" s="291">
        <v>0</v>
      </c>
      <c r="N363" s="45">
        <v>45</v>
      </c>
      <c r="O363" s="290">
        <v>0</v>
      </c>
      <c r="P363" s="290">
        <v>0</v>
      </c>
      <c r="Q363" s="290">
        <v>0</v>
      </c>
      <c r="R363" s="290">
        <v>0</v>
      </c>
      <c r="S363" s="290">
        <v>0</v>
      </c>
      <c r="T363" s="290">
        <v>0</v>
      </c>
      <c r="U363" s="290">
        <v>0</v>
      </c>
      <c r="V363" s="290">
        <v>0</v>
      </c>
      <c r="W363" s="290">
        <v>0</v>
      </c>
      <c r="X363" s="290">
        <v>0</v>
      </c>
      <c r="Y363" s="290">
        <v>0</v>
      </c>
      <c r="Z363" s="290">
        <v>0</v>
      </c>
      <c r="AA363" s="290">
        <v>0</v>
      </c>
      <c r="AB363" s="290">
        <v>0</v>
      </c>
      <c r="AC363" s="290">
        <v>0</v>
      </c>
      <c r="AD363" s="290">
        <v>0</v>
      </c>
      <c r="AE363" s="290">
        <v>0</v>
      </c>
      <c r="AF363" s="290">
        <v>0</v>
      </c>
      <c r="AG363" s="290">
        <v>0</v>
      </c>
      <c r="AH363" s="290">
        <v>0</v>
      </c>
      <c r="AI363" s="290">
        <v>0</v>
      </c>
      <c r="AJ363" s="290">
        <v>0</v>
      </c>
      <c r="AK363" s="290">
        <v>0</v>
      </c>
      <c r="AL363" s="290">
        <v>0</v>
      </c>
      <c r="AM363" s="290">
        <v>0</v>
      </c>
      <c r="AN363" s="290">
        <v>0</v>
      </c>
      <c r="AO363" s="290">
        <v>0</v>
      </c>
      <c r="AP363" s="290">
        <v>0</v>
      </c>
      <c r="AQ363" s="290">
        <v>0</v>
      </c>
      <c r="AR363" s="290">
        <v>0</v>
      </c>
      <c r="AS363" s="290">
        <v>0</v>
      </c>
      <c r="AT363" s="290">
        <v>0</v>
      </c>
      <c r="AU363" s="290">
        <v>0</v>
      </c>
      <c r="AV363" s="290">
        <v>0</v>
      </c>
      <c r="AW363" s="290">
        <v>0</v>
      </c>
      <c r="AX363" s="290">
        <v>0</v>
      </c>
      <c r="AY363" s="290">
        <v>0</v>
      </c>
      <c r="AZ363" s="290">
        <v>0</v>
      </c>
      <c r="BA363" s="290">
        <v>0</v>
      </c>
      <c r="BB363" s="290">
        <v>0</v>
      </c>
      <c r="BC363" s="290">
        <v>0</v>
      </c>
      <c r="BD363" s="290">
        <v>0</v>
      </c>
      <c r="BE363" s="290">
        <v>0</v>
      </c>
      <c r="BF363" s="290">
        <v>0</v>
      </c>
      <c r="BG363" s="290">
        <v>0</v>
      </c>
      <c r="BH363" s="290">
        <v>0</v>
      </c>
      <c r="BI363" s="290">
        <v>0</v>
      </c>
      <c r="BJ363" s="290">
        <v>0</v>
      </c>
      <c r="BK363" s="78">
        <v>0.5</v>
      </c>
      <c r="BL363" s="41" t="s">
        <v>616</v>
      </c>
      <c r="BM363" s="45"/>
    </row>
    <row r="364" spans="1:65" x14ac:dyDescent="0.35">
      <c r="A364" s="45" t="str">
        <f>Database_Productkaarten[[#This Row],[Product]]&amp;", "&amp;Database_Productkaarten[[#This Row],[Levensfase]]</f>
        <v>AC bin/base 50% PR G.M. - PCR 2.0, B4</v>
      </c>
      <c r="B364" s="41" t="s">
        <v>1377</v>
      </c>
      <c r="C364" s="41" t="s">
        <v>443</v>
      </c>
      <c r="D364" s="41" t="s">
        <v>470</v>
      </c>
      <c r="E364" s="41" t="s">
        <v>91</v>
      </c>
      <c r="F364" s="41" t="s">
        <v>50</v>
      </c>
      <c r="G364" s="45"/>
      <c r="H364" s="45"/>
      <c r="I364" s="45"/>
      <c r="J364" s="45"/>
      <c r="K364" s="45"/>
      <c r="L364" s="45">
        <v>2.37</v>
      </c>
      <c r="M364" s="291">
        <v>0</v>
      </c>
      <c r="N364" s="45">
        <v>45</v>
      </c>
      <c r="O364" s="290">
        <v>0</v>
      </c>
      <c r="P364" s="290">
        <v>0</v>
      </c>
      <c r="Q364" s="290">
        <v>0</v>
      </c>
      <c r="R364" s="290">
        <v>0</v>
      </c>
      <c r="S364" s="290">
        <v>0</v>
      </c>
      <c r="T364" s="290">
        <v>0</v>
      </c>
      <c r="U364" s="290">
        <v>0</v>
      </c>
      <c r="V364" s="290">
        <v>0</v>
      </c>
      <c r="W364" s="290">
        <v>0</v>
      </c>
      <c r="X364" s="290">
        <v>0</v>
      </c>
      <c r="Y364" s="290">
        <v>0</v>
      </c>
      <c r="Z364" s="290">
        <v>0</v>
      </c>
      <c r="AA364" s="290">
        <v>0</v>
      </c>
      <c r="AB364" s="290">
        <v>0</v>
      </c>
      <c r="AC364" s="290">
        <v>0</v>
      </c>
      <c r="AD364" s="290">
        <v>0</v>
      </c>
      <c r="AE364" s="290">
        <v>0</v>
      </c>
      <c r="AF364" s="290">
        <v>0</v>
      </c>
      <c r="AG364" s="290">
        <v>0</v>
      </c>
      <c r="AH364" s="290">
        <v>0</v>
      </c>
      <c r="AI364" s="290">
        <v>0</v>
      </c>
      <c r="AJ364" s="290">
        <v>0</v>
      </c>
      <c r="AK364" s="290">
        <v>0</v>
      </c>
      <c r="AL364" s="290">
        <v>0</v>
      </c>
      <c r="AM364" s="290">
        <v>0</v>
      </c>
      <c r="AN364" s="290">
        <v>0</v>
      </c>
      <c r="AO364" s="290">
        <v>0</v>
      </c>
      <c r="AP364" s="290">
        <v>0</v>
      </c>
      <c r="AQ364" s="290">
        <v>0</v>
      </c>
      <c r="AR364" s="290">
        <v>0</v>
      </c>
      <c r="AS364" s="290">
        <v>0</v>
      </c>
      <c r="AT364" s="290">
        <v>0</v>
      </c>
      <c r="AU364" s="290">
        <v>0</v>
      </c>
      <c r="AV364" s="290">
        <v>0</v>
      </c>
      <c r="AW364" s="290">
        <v>0</v>
      </c>
      <c r="AX364" s="290">
        <v>0</v>
      </c>
      <c r="AY364" s="290">
        <v>0</v>
      </c>
      <c r="AZ364" s="290">
        <v>0</v>
      </c>
      <c r="BA364" s="290">
        <v>0</v>
      </c>
      <c r="BB364" s="290">
        <v>0</v>
      </c>
      <c r="BC364" s="290">
        <v>0</v>
      </c>
      <c r="BD364" s="290">
        <v>0</v>
      </c>
      <c r="BE364" s="290">
        <v>0</v>
      </c>
      <c r="BF364" s="290">
        <v>0</v>
      </c>
      <c r="BG364" s="290">
        <v>0</v>
      </c>
      <c r="BH364" s="290">
        <v>0</v>
      </c>
      <c r="BI364" s="290">
        <v>0</v>
      </c>
      <c r="BJ364" s="290">
        <v>0</v>
      </c>
      <c r="BK364" s="78">
        <v>0.5</v>
      </c>
      <c r="BL364" s="41" t="s">
        <v>616</v>
      </c>
      <c r="BM364" s="45"/>
    </row>
    <row r="365" spans="1:65" x14ac:dyDescent="0.35">
      <c r="A365" s="45" t="str">
        <f>Database_Productkaarten[[#This Row],[Product]]&amp;", "&amp;Database_Productkaarten[[#This Row],[Levensfase]]</f>
        <v>AC bin/base 50% PR G.M. - PCR 2.0, B5</v>
      </c>
      <c r="B365" s="41" t="s">
        <v>1377</v>
      </c>
      <c r="C365" s="41" t="s">
        <v>443</v>
      </c>
      <c r="D365" s="41" t="s">
        <v>470</v>
      </c>
      <c r="E365" s="41" t="s">
        <v>91</v>
      </c>
      <c r="F365" s="41" t="s">
        <v>1358</v>
      </c>
      <c r="G365" s="45"/>
      <c r="H365" s="45"/>
      <c r="I365" s="45"/>
      <c r="J365" s="45"/>
      <c r="K365" s="45"/>
      <c r="L365" s="45">
        <v>2.37</v>
      </c>
      <c r="M365" s="291">
        <v>0</v>
      </c>
      <c r="N365" s="45">
        <v>45</v>
      </c>
      <c r="O365" s="290">
        <v>0</v>
      </c>
      <c r="P365" s="290">
        <v>0</v>
      </c>
      <c r="Q365" s="290">
        <v>0</v>
      </c>
      <c r="R365" s="290">
        <v>0</v>
      </c>
      <c r="S365" s="290">
        <v>0</v>
      </c>
      <c r="T365" s="290">
        <v>0</v>
      </c>
      <c r="U365" s="290">
        <v>0</v>
      </c>
      <c r="V365" s="290">
        <v>0</v>
      </c>
      <c r="W365" s="290">
        <v>0</v>
      </c>
      <c r="X365" s="290">
        <v>0</v>
      </c>
      <c r="Y365" s="290">
        <v>0</v>
      </c>
      <c r="Z365" s="290">
        <v>0</v>
      </c>
      <c r="AA365" s="290">
        <v>0</v>
      </c>
      <c r="AB365" s="290">
        <v>0</v>
      </c>
      <c r="AC365" s="290">
        <v>0</v>
      </c>
      <c r="AD365" s="290">
        <v>0</v>
      </c>
      <c r="AE365" s="290">
        <v>0</v>
      </c>
      <c r="AF365" s="290">
        <v>0</v>
      </c>
      <c r="AG365" s="290">
        <v>0</v>
      </c>
      <c r="AH365" s="290">
        <v>0</v>
      </c>
      <c r="AI365" s="290">
        <v>0</v>
      </c>
      <c r="AJ365" s="290">
        <v>0</v>
      </c>
      <c r="AK365" s="290">
        <v>0</v>
      </c>
      <c r="AL365" s="290">
        <v>0</v>
      </c>
      <c r="AM365" s="290">
        <v>0</v>
      </c>
      <c r="AN365" s="290">
        <v>0</v>
      </c>
      <c r="AO365" s="290">
        <v>0</v>
      </c>
      <c r="AP365" s="290">
        <v>0</v>
      </c>
      <c r="AQ365" s="290">
        <v>0</v>
      </c>
      <c r="AR365" s="290">
        <v>0</v>
      </c>
      <c r="AS365" s="290">
        <v>0</v>
      </c>
      <c r="AT365" s="290">
        <v>0</v>
      </c>
      <c r="AU365" s="290">
        <v>0</v>
      </c>
      <c r="AV365" s="290">
        <v>0</v>
      </c>
      <c r="AW365" s="290">
        <v>0</v>
      </c>
      <c r="AX365" s="290">
        <v>0</v>
      </c>
      <c r="AY365" s="290">
        <v>0</v>
      </c>
      <c r="AZ365" s="290">
        <v>0</v>
      </c>
      <c r="BA365" s="290">
        <v>0</v>
      </c>
      <c r="BB365" s="290">
        <v>0</v>
      </c>
      <c r="BC365" s="290">
        <v>0</v>
      </c>
      <c r="BD365" s="290">
        <v>0</v>
      </c>
      <c r="BE365" s="290">
        <v>0</v>
      </c>
      <c r="BF365" s="290">
        <v>0</v>
      </c>
      <c r="BG365" s="290">
        <v>0</v>
      </c>
      <c r="BH365" s="290">
        <v>0</v>
      </c>
      <c r="BI365" s="290">
        <v>0</v>
      </c>
      <c r="BJ365" s="290">
        <v>0</v>
      </c>
      <c r="BK365" s="78">
        <v>0.5</v>
      </c>
      <c r="BL365" s="41" t="s">
        <v>616</v>
      </c>
      <c r="BM365" s="45"/>
    </row>
    <row r="366" spans="1:65" x14ac:dyDescent="0.35">
      <c r="A366" s="45" t="str">
        <f>Database_Productkaarten[[#This Row],[Product]]&amp;", "&amp;Database_Productkaarten[[#This Row],[Levensfase]]</f>
        <v>AC bin/base 50% PR G.M. - PCR 2.0, C1</v>
      </c>
      <c r="B366" s="41" t="s">
        <v>1377</v>
      </c>
      <c r="C366" s="41" t="s">
        <v>443</v>
      </c>
      <c r="D366" s="41" t="s">
        <v>470</v>
      </c>
      <c r="E366" s="41" t="s">
        <v>91</v>
      </c>
      <c r="F366" s="41" t="s">
        <v>25</v>
      </c>
      <c r="G366" s="45"/>
      <c r="H366" s="45"/>
      <c r="I366" s="45"/>
      <c r="J366" s="45"/>
      <c r="K366" s="45"/>
      <c r="L366" s="45">
        <v>2.37</v>
      </c>
      <c r="M366" s="291">
        <v>0.31586755527571259</v>
      </c>
      <c r="N366" s="45">
        <v>45</v>
      </c>
      <c r="O366" s="290">
        <v>3.8816221648609503E-6</v>
      </c>
      <c r="P366" s="290">
        <v>1.6512343509114801E-2</v>
      </c>
      <c r="Q366" s="290">
        <v>3.35816810033901</v>
      </c>
      <c r="R366" s="290">
        <v>4.3395745327946801E-7</v>
      </c>
      <c r="S366" s="290">
        <v>1.1037773980886699E-3</v>
      </c>
      <c r="T366" s="290">
        <v>9.5713374948785505E-3</v>
      </c>
      <c r="U366" s="290">
        <v>2.0565904095735002E-3</v>
      </c>
      <c r="V366" s="290">
        <v>0.90386476709930796</v>
      </c>
      <c r="W366" s="290">
        <v>1.2880877934842201E-2</v>
      </c>
      <c r="X366" s="290">
        <v>44.755373945554801</v>
      </c>
      <c r="Y366" s="290">
        <v>1.52540467945757E-3</v>
      </c>
      <c r="Z366" s="290">
        <v>3.3788329862722</v>
      </c>
      <c r="AA366" s="290">
        <v>3.3778629896814101</v>
      </c>
      <c r="AB366" s="290">
        <v>7.72589199218426E-4</v>
      </c>
      <c r="AC366" s="290">
        <v>1.9740739156861E-4</v>
      </c>
      <c r="AD366" s="290">
        <v>5.4680353068575204E-7</v>
      </c>
      <c r="AE366" s="290">
        <v>1.2995409576066199E-2</v>
      </c>
      <c r="AF366" s="290">
        <v>9.2229860836506493E-6</v>
      </c>
      <c r="AG366" s="290">
        <v>5.04706517719152E-3</v>
      </c>
      <c r="AH366" s="290">
        <v>5.54747970944462E-2</v>
      </c>
      <c r="AI366" s="290">
        <v>1.51540863634724E-2</v>
      </c>
      <c r="AJ366" s="290">
        <v>3.8815917053076399E-6</v>
      </c>
      <c r="AK366" s="290">
        <v>34.840036985110999</v>
      </c>
      <c r="AL366" s="290">
        <v>4.6401238087999397E-2</v>
      </c>
      <c r="AM366" s="290">
        <v>5.3732471817221903E-8</v>
      </c>
      <c r="AN366" s="290">
        <v>0.14953667465873899</v>
      </c>
      <c r="AO366" s="290">
        <v>20.904161935169402</v>
      </c>
      <c r="AP366" s="290">
        <v>7.3342682725975397E-10</v>
      </c>
      <c r="AQ366" s="290">
        <v>1.4707676247891399E-8</v>
      </c>
      <c r="AR366" s="290">
        <v>4.4500552191333496</v>
      </c>
      <c r="AS366" s="290">
        <v>0</v>
      </c>
      <c r="AT366" s="290">
        <v>0</v>
      </c>
      <c r="AU366" s="290">
        <v>0.19149815116579999</v>
      </c>
      <c r="AV366" s="290">
        <v>0</v>
      </c>
      <c r="AW366" s="290">
        <v>0</v>
      </c>
      <c r="AX366" s="290">
        <v>36.999017345616899</v>
      </c>
      <c r="AY366" s="290">
        <v>0</v>
      </c>
      <c r="AZ366" s="290">
        <v>0</v>
      </c>
      <c r="BA366" s="290">
        <v>0</v>
      </c>
      <c r="BB366" s="290">
        <v>1.80099891323861E-3</v>
      </c>
      <c r="BC366" s="290">
        <v>9.4878724505839297E-5</v>
      </c>
      <c r="BD366" s="290">
        <v>4.1225229030430799E-2</v>
      </c>
      <c r="BE366" s="290">
        <v>2.4214012670285899E-4</v>
      </c>
      <c r="BF366" s="290">
        <v>0</v>
      </c>
      <c r="BG366" s="290">
        <v>0</v>
      </c>
      <c r="BH366" s="290">
        <v>0</v>
      </c>
      <c r="BI366" s="290">
        <v>0</v>
      </c>
      <c r="BJ366" s="290">
        <v>0</v>
      </c>
      <c r="BK366" s="78">
        <v>0.5</v>
      </c>
      <c r="BL366" s="41" t="s">
        <v>616</v>
      </c>
      <c r="BM366" s="45"/>
    </row>
    <row r="367" spans="1:65" x14ac:dyDescent="0.35">
      <c r="A367" s="45" t="str">
        <f>Database_Productkaarten[[#This Row],[Product]]&amp;", "&amp;Database_Productkaarten[[#This Row],[Levensfase]]</f>
        <v>AC bin/base 50% PR G.M. - PCR 2.0, C2</v>
      </c>
      <c r="B367" s="41" t="s">
        <v>1377</v>
      </c>
      <c r="C367" s="41" t="s">
        <v>443</v>
      </c>
      <c r="D367" s="41" t="s">
        <v>470</v>
      </c>
      <c r="E367" s="41" t="s">
        <v>91</v>
      </c>
      <c r="F367" s="41" t="s">
        <v>26</v>
      </c>
      <c r="G367" s="45"/>
      <c r="H367" s="45"/>
      <c r="I367" s="45"/>
      <c r="J367" s="45"/>
      <c r="K367" s="45"/>
      <c r="L367" s="45">
        <v>2.37</v>
      </c>
      <c r="M367" s="291">
        <v>0.31791357541832999</v>
      </c>
      <c r="N367" s="45">
        <v>45</v>
      </c>
      <c r="O367" s="290">
        <v>7.2195843000000002E-5</v>
      </c>
      <c r="P367" s="290">
        <v>2.5045429500000001E-2</v>
      </c>
      <c r="Q367" s="290">
        <v>3.2726104581</v>
      </c>
      <c r="R367" s="290">
        <v>6.2448211500000004E-7</v>
      </c>
      <c r="S367" s="290">
        <v>2.3663202E-3</v>
      </c>
      <c r="T367" s="290">
        <v>9.9103019999999993E-3</v>
      </c>
      <c r="U367" s="290">
        <v>1.66070541E-3</v>
      </c>
      <c r="V367" s="290">
        <v>0.89062466159999998</v>
      </c>
      <c r="W367" s="290">
        <v>3.5055542699999998E-2</v>
      </c>
      <c r="X367" s="290">
        <v>92.682047400000002</v>
      </c>
      <c r="Y367" s="290">
        <v>7.4868390000000003E-3</v>
      </c>
      <c r="Z367" s="290">
        <v>3.3150718431000001</v>
      </c>
      <c r="AA367" s="290">
        <v>3.3001817481</v>
      </c>
      <c r="AB367" s="290">
        <v>1.3607189190000001E-2</v>
      </c>
      <c r="AC367" s="290">
        <v>1.2829113599999999E-3</v>
      </c>
      <c r="AD367" s="290">
        <v>7.8107336699999998E-7</v>
      </c>
      <c r="AE367" s="290">
        <v>1.2482505E-2</v>
      </c>
      <c r="AF367" s="290">
        <v>3.4632532799999998E-5</v>
      </c>
      <c r="AG367" s="290">
        <v>2.8897329300000001E-3</v>
      </c>
      <c r="AH367" s="290">
        <v>3.3662059799999998E-2</v>
      </c>
      <c r="AI367" s="290">
        <v>1.2098522699999999E-2</v>
      </c>
      <c r="AJ367" s="290">
        <v>7.2195510000000004E-5</v>
      </c>
      <c r="AK367" s="290">
        <v>52.307882313</v>
      </c>
      <c r="AL367" s="290">
        <v>0.28570883850000001</v>
      </c>
      <c r="AM367" s="290">
        <v>2.8544027399999998E-7</v>
      </c>
      <c r="AN367" s="290">
        <v>0.22308385950000001</v>
      </c>
      <c r="AO367" s="290">
        <v>50.61443379</v>
      </c>
      <c r="AP367" s="290">
        <v>1.35209877E-9</v>
      </c>
      <c r="AQ367" s="290">
        <v>4.3221490799999998E-8</v>
      </c>
      <c r="AR367" s="290">
        <v>98.528772599999996</v>
      </c>
      <c r="AS367" s="290">
        <v>8.065825212</v>
      </c>
      <c r="AT367" s="290">
        <v>0</v>
      </c>
      <c r="AU367" s="290">
        <v>8.6963547624000004</v>
      </c>
      <c r="AV367" s="290">
        <v>0.70667511750000001</v>
      </c>
      <c r="AW367" s="290">
        <v>9.926829900000001E-4</v>
      </c>
      <c r="AX367" s="290">
        <v>55.561210727999999</v>
      </c>
      <c r="AY367" s="290">
        <v>0</v>
      </c>
      <c r="AZ367" s="290">
        <v>0</v>
      </c>
      <c r="BA367" s="290">
        <v>0</v>
      </c>
      <c r="BB367" s="290">
        <v>8.7338241000000007E-3</v>
      </c>
      <c r="BC367" s="290">
        <v>1.5376752299999999E-4</v>
      </c>
      <c r="BD367" s="290">
        <v>5.5583861609999996</v>
      </c>
      <c r="BE367" s="290">
        <v>3.4865666099999999E-4</v>
      </c>
      <c r="BF367" s="290">
        <v>0</v>
      </c>
      <c r="BG367" s="290">
        <v>0</v>
      </c>
      <c r="BH367" s="290">
        <v>0</v>
      </c>
      <c r="BI367" s="290">
        <v>0</v>
      </c>
      <c r="BJ367" s="290">
        <v>0</v>
      </c>
      <c r="BK367" s="78">
        <v>0.5</v>
      </c>
      <c r="BL367" s="41" t="s">
        <v>616</v>
      </c>
      <c r="BM367" s="45"/>
    </row>
    <row r="368" spans="1:65" x14ac:dyDescent="0.35">
      <c r="A368" s="45" t="str">
        <f>Database_Productkaarten[[#This Row],[Product]]&amp;", "&amp;Database_Productkaarten[[#This Row],[Levensfase]]</f>
        <v>AC bin/base 50% PR G.M. - PCR 2.0, C3</v>
      </c>
      <c r="B368" s="41" t="s">
        <v>1377</v>
      </c>
      <c r="C368" s="41" t="s">
        <v>443</v>
      </c>
      <c r="D368" s="41" t="s">
        <v>470</v>
      </c>
      <c r="E368" s="41" t="s">
        <v>91</v>
      </c>
      <c r="F368" s="41" t="s">
        <v>27</v>
      </c>
      <c r="G368" s="45"/>
      <c r="H368" s="45"/>
      <c r="I368" s="45"/>
      <c r="J368" s="45"/>
      <c r="K368" s="45"/>
      <c r="L368" s="45">
        <v>2.37</v>
      </c>
      <c r="M368" s="291">
        <v>0.15929996491652115</v>
      </c>
      <c r="N368" s="45">
        <v>45</v>
      </c>
      <c r="O368" s="290">
        <v>1.86519506623188E-6</v>
      </c>
      <c r="P368" s="290">
        <v>7.9345027251590504E-3</v>
      </c>
      <c r="Q368" s="290">
        <v>1.6136651910719899</v>
      </c>
      <c r="R368" s="290">
        <v>2.0852501001740701E-7</v>
      </c>
      <c r="S368" s="290">
        <v>5.8559282919896103E-4</v>
      </c>
      <c r="T368" s="290">
        <v>5.7290956144215302E-3</v>
      </c>
      <c r="U368" s="290">
        <v>1.28200094356113E-3</v>
      </c>
      <c r="V368" s="290">
        <v>0.43705340722564101</v>
      </c>
      <c r="W368" s="290">
        <v>6.1895127738852296E-3</v>
      </c>
      <c r="X368" s="290">
        <v>21.505829038773101</v>
      </c>
      <c r="Y368" s="290">
        <v>7.32986664154938E-4</v>
      </c>
      <c r="Z368" s="290">
        <v>1.6243260245853399</v>
      </c>
      <c r="AA368" s="290">
        <v>1.6238599223274299</v>
      </c>
      <c r="AB368" s="290">
        <v>3.7124416066339699E-4</v>
      </c>
      <c r="AC368" s="290">
        <v>9.4858097247254105E-5</v>
      </c>
      <c r="AD368" s="290">
        <v>2.6274974851133498E-7</v>
      </c>
      <c r="AE368" s="290">
        <v>7.9167720690178807E-3</v>
      </c>
      <c r="AF368" s="290">
        <v>4.4318244817542098E-6</v>
      </c>
      <c r="AG368" s="290">
        <v>3.3042609390395898E-3</v>
      </c>
      <c r="AH368" s="290">
        <v>3.62833110064169E-2</v>
      </c>
      <c r="AI368" s="290">
        <v>9.6537099808879992E-3</v>
      </c>
      <c r="AJ368" s="290">
        <v>1.86518042982315E-6</v>
      </c>
      <c r="AK368" s="290">
        <v>16.741316473365</v>
      </c>
      <c r="AL368" s="290">
        <v>2.2296698821506099E-2</v>
      </c>
      <c r="AM368" s="290">
        <v>3.05765714107403E-8</v>
      </c>
      <c r="AN368" s="290">
        <v>7.1855285225627799E-2</v>
      </c>
      <c r="AO368" s="290">
        <v>10.0456498856039</v>
      </c>
      <c r="AP368" s="290">
        <v>3.5242587803390898E-10</v>
      </c>
      <c r="AQ368" s="290">
        <v>7.5755651667406308E-9</v>
      </c>
      <c r="AR368" s="290">
        <v>2.1383382221809599</v>
      </c>
      <c r="AS368" s="290">
        <v>0</v>
      </c>
      <c r="AT368" s="290">
        <v>0</v>
      </c>
      <c r="AU368" s="290">
        <v>9.2018592118631004E-2</v>
      </c>
      <c r="AV368" s="290">
        <v>0</v>
      </c>
      <c r="AW368" s="290">
        <v>0</v>
      </c>
      <c r="AX368" s="290">
        <v>17.778748594647102</v>
      </c>
      <c r="AY368" s="290">
        <v>0</v>
      </c>
      <c r="AZ368" s="290">
        <v>0</v>
      </c>
      <c r="BA368" s="290">
        <v>0</v>
      </c>
      <c r="BB368" s="290">
        <v>8.65415062205567E-4</v>
      </c>
      <c r="BC368" s="290">
        <v>4.5591075411896797E-5</v>
      </c>
      <c r="BD368" s="290">
        <v>1.98095256379992E-2</v>
      </c>
      <c r="BE368" s="290">
        <v>1.16353047896179E-4</v>
      </c>
      <c r="BF368" s="290">
        <v>0</v>
      </c>
      <c r="BG368" s="290">
        <v>1000</v>
      </c>
      <c r="BH368" s="290">
        <v>0</v>
      </c>
      <c r="BI368" s="290">
        <v>0</v>
      </c>
      <c r="BJ368" s="290">
        <v>0</v>
      </c>
      <c r="BK368" s="78">
        <v>0.5</v>
      </c>
      <c r="BL368" s="41" t="s">
        <v>616</v>
      </c>
      <c r="BM368" s="45"/>
    </row>
    <row r="369" spans="1:65" x14ac:dyDescent="0.35">
      <c r="A369" s="45" t="str">
        <f>Database_Productkaarten[[#This Row],[Product]]&amp;", "&amp;Database_Productkaarten[[#This Row],[Levensfase]]</f>
        <v>AC bin/base 50% PR G.M. - PCR 2.0, C4</v>
      </c>
      <c r="B369" s="41" t="s">
        <v>1377</v>
      </c>
      <c r="C369" s="41" t="s">
        <v>443</v>
      </c>
      <c r="D369" s="41" t="s">
        <v>470</v>
      </c>
      <c r="E369" s="41" t="s">
        <v>91</v>
      </c>
      <c r="F369" s="41" t="s">
        <v>28</v>
      </c>
      <c r="G369" s="45"/>
      <c r="H369" s="45"/>
      <c r="I369" s="45"/>
      <c r="J369" s="45"/>
      <c r="K369" s="45"/>
      <c r="L369" s="45">
        <v>2.37</v>
      </c>
      <c r="M369" s="291">
        <v>0</v>
      </c>
      <c r="N369" s="45">
        <v>45</v>
      </c>
      <c r="O369" s="290">
        <v>0</v>
      </c>
      <c r="P369" s="290">
        <v>0</v>
      </c>
      <c r="Q369" s="290">
        <v>0</v>
      </c>
      <c r="R369" s="290">
        <v>0</v>
      </c>
      <c r="S369" s="290">
        <v>0</v>
      </c>
      <c r="T369" s="290">
        <v>0</v>
      </c>
      <c r="U369" s="290">
        <v>0</v>
      </c>
      <c r="V369" s="290">
        <v>0</v>
      </c>
      <c r="W369" s="290">
        <v>0</v>
      </c>
      <c r="X369" s="290">
        <v>0</v>
      </c>
      <c r="Y369" s="290">
        <v>0</v>
      </c>
      <c r="Z369" s="290">
        <v>0</v>
      </c>
      <c r="AA369" s="290">
        <v>0</v>
      </c>
      <c r="AB369" s="290">
        <v>0</v>
      </c>
      <c r="AC369" s="290">
        <v>0</v>
      </c>
      <c r="AD369" s="290">
        <v>0</v>
      </c>
      <c r="AE369" s="290">
        <v>0</v>
      </c>
      <c r="AF369" s="290">
        <v>0</v>
      </c>
      <c r="AG369" s="290">
        <v>0</v>
      </c>
      <c r="AH369" s="290">
        <v>0</v>
      </c>
      <c r="AI369" s="290">
        <v>0</v>
      </c>
      <c r="AJ369" s="290">
        <v>0</v>
      </c>
      <c r="AK369" s="290">
        <v>0</v>
      </c>
      <c r="AL369" s="290">
        <v>0</v>
      </c>
      <c r="AM369" s="290">
        <v>0</v>
      </c>
      <c r="AN369" s="290">
        <v>0</v>
      </c>
      <c r="AO369" s="290">
        <v>0</v>
      </c>
      <c r="AP369" s="290">
        <v>0</v>
      </c>
      <c r="AQ369" s="290">
        <v>0</v>
      </c>
      <c r="AR369" s="290">
        <v>0</v>
      </c>
      <c r="AS369" s="290">
        <v>0</v>
      </c>
      <c r="AT369" s="290">
        <v>0</v>
      </c>
      <c r="AU369" s="290">
        <v>0</v>
      </c>
      <c r="AV369" s="290">
        <v>0</v>
      </c>
      <c r="AW369" s="290">
        <v>0</v>
      </c>
      <c r="AX369" s="290">
        <v>0</v>
      </c>
      <c r="AY369" s="290">
        <v>0</v>
      </c>
      <c r="AZ369" s="290">
        <v>0</v>
      </c>
      <c r="BA369" s="290">
        <v>0</v>
      </c>
      <c r="BB369" s="290">
        <v>0</v>
      </c>
      <c r="BC369" s="290">
        <v>0</v>
      </c>
      <c r="BD369" s="290">
        <v>0</v>
      </c>
      <c r="BE369" s="290">
        <v>0</v>
      </c>
      <c r="BF369" s="290">
        <v>0</v>
      </c>
      <c r="BG369" s="290">
        <v>0</v>
      </c>
      <c r="BH369" s="290">
        <v>0</v>
      </c>
      <c r="BI369" s="290">
        <v>0</v>
      </c>
      <c r="BJ369" s="290">
        <v>0</v>
      </c>
      <c r="BK369" s="78">
        <v>0.5</v>
      </c>
      <c r="BL369" s="41" t="s">
        <v>616</v>
      </c>
      <c r="BM369" s="45"/>
    </row>
    <row r="370" spans="1:65" x14ac:dyDescent="0.35">
      <c r="A370" s="45" t="str">
        <f>Database_Productkaarten[[#This Row],[Product]]&amp;", "&amp;Database_Productkaarten[[#This Row],[Levensfase]]</f>
        <v>AC bin/base 50% PR G.M. - PCR 2.0, D1</v>
      </c>
      <c r="B370" s="41" t="s">
        <v>1377</v>
      </c>
      <c r="C370" s="41" t="s">
        <v>443</v>
      </c>
      <c r="D370" s="41" t="s">
        <v>470</v>
      </c>
      <c r="E370" s="41" t="s">
        <v>91</v>
      </c>
      <c r="F370" s="41" t="s">
        <v>51</v>
      </c>
      <c r="G370" s="45"/>
      <c r="H370" s="45"/>
      <c r="I370" s="45"/>
      <c r="J370" s="45"/>
      <c r="K370" s="45"/>
      <c r="L370" s="45">
        <v>2.37</v>
      </c>
      <c r="M370" s="291">
        <v>-2.3257172479087651</v>
      </c>
      <c r="N370" s="45">
        <v>45</v>
      </c>
      <c r="O370" s="290">
        <v>-2.4170288865215701E-4</v>
      </c>
      <c r="P370" s="290">
        <v>-0.40258542419313498</v>
      </c>
      <c r="Q370" s="290">
        <v>-17.305427989386299</v>
      </c>
      <c r="R370" s="290">
        <v>-1.47463857326532E-6</v>
      </c>
      <c r="S370" s="290">
        <v>-4.32472186023595E-2</v>
      </c>
      <c r="T370" s="290">
        <v>-0.12197271021172</v>
      </c>
      <c r="U370" s="290">
        <v>-1.13979616679084E-2</v>
      </c>
      <c r="V370" s="290">
        <v>-4.6899381267823301</v>
      </c>
      <c r="W370" s="290">
        <v>-0.62524545358866301</v>
      </c>
      <c r="X370" s="290">
        <v>-2732.2726366512002</v>
      </c>
      <c r="Y370" s="290">
        <v>-8.17212867200382E-2</v>
      </c>
      <c r="Z370" s="290">
        <v>-4.3863347475792702</v>
      </c>
      <c r="AA370" s="290">
        <v>-4.3362165314861603</v>
      </c>
      <c r="AB370" s="290">
        <v>-4.4894560297727801E-2</v>
      </c>
      <c r="AC370" s="290">
        <v>-5.2236557953832504E-3</v>
      </c>
      <c r="AD370" s="290">
        <v>-5.7968314142609196E-7</v>
      </c>
      <c r="AE370" s="290">
        <v>-4.2060349745367001E-2</v>
      </c>
      <c r="AF370" s="290">
        <v>-1.8142428371785199E-4</v>
      </c>
      <c r="AG370" s="290">
        <v>-1.24739529828648E-2</v>
      </c>
      <c r="AH370" s="290">
        <v>-0.15606960564019601</v>
      </c>
      <c r="AI370" s="290">
        <v>-3.8761092871938303E-2</v>
      </c>
      <c r="AJ370" s="290">
        <v>-2.3986201797443E-4</v>
      </c>
      <c r="AK370" s="290">
        <v>-62.990367002797498</v>
      </c>
      <c r="AL370" s="290">
        <v>-15.8981108931391</v>
      </c>
      <c r="AM370" s="290">
        <v>-5.9499410488780998E-7</v>
      </c>
      <c r="AN370" s="290">
        <v>-0.33245678308069099</v>
      </c>
      <c r="AO370" s="290">
        <v>-547.18362147000198</v>
      </c>
      <c r="AP370" s="290">
        <v>-3.1928070856488198E-9</v>
      </c>
      <c r="AQ370" s="290">
        <v>-7.3076150249528204E-8</v>
      </c>
      <c r="AR370" s="290">
        <v>-685.87170051787996</v>
      </c>
      <c r="AS370" s="290">
        <v>0</v>
      </c>
      <c r="AT370" s="290">
        <v>0</v>
      </c>
      <c r="AU370" s="290">
        <v>-8.2204191443025607</v>
      </c>
      <c r="AV370" s="290">
        <v>0</v>
      </c>
      <c r="AW370" s="290">
        <v>0</v>
      </c>
      <c r="AX370" s="290">
        <v>-908.820245201077</v>
      </c>
      <c r="AY370" s="290">
        <v>0</v>
      </c>
      <c r="AZ370" s="290">
        <v>0</v>
      </c>
      <c r="BA370" s="290">
        <v>0</v>
      </c>
      <c r="BB370" s="290">
        <v>-9.7512528164740893</v>
      </c>
      <c r="BC370" s="290">
        <v>-4.15305268220363E-4</v>
      </c>
      <c r="BD370" s="290">
        <v>-1.6520825288283201</v>
      </c>
      <c r="BE370" s="290">
        <v>-4.62741539943347E-4</v>
      </c>
      <c r="BF370" s="290">
        <v>0</v>
      </c>
      <c r="BG370" s="290">
        <v>0</v>
      </c>
      <c r="BH370" s="290">
        <v>0</v>
      </c>
      <c r="BI370" s="290">
        <v>0</v>
      </c>
      <c r="BJ370" s="290">
        <v>0</v>
      </c>
      <c r="BK370" s="78">
        <v>0.5</v>
      </c>
      <c r="BL370" s="41" t="s">
        <v>616</v>
      </c>
      <c r="BM370" s="45"/>
    </row>
    <row r="371" spans="1:65" x14ac:dyDescent="0.35">
      <c r="A371" s="45" t="str">
        <f>Database_Productkaarten[[#This Row],[Product]]&amp;", "&amp;Database_Productkaarten[[#This Row],[Levensfase]]</f>
        <v>ZOAB Regulier - PCR 2.0, Totaal</v>
      </c>
      <c r="B371" s="45" t="s">
        <v>1375</v>
      </c>
      <c r="C371" s="41" t="s">
        <v>443</v>
      </c>
      <c r="D371" s="41" t="s">
        <v>469</v>
      </c>
      <c r="E371" s="41" t="s">
        <v>91</v>
      </c>
      <c r="F371" s="41" t="s">
        <v>16</v>
      </c>
      <c r="G371" s="45"/>
      <c r="H371" s="45"/>
      <c r="I371" s="45"/>
      <c r="J371" s="45"/>
      <c r="K371" s="45"/>
      <c r="L371" s="45">
        <v>2</v>
      </c>
      <c r="M371" s="54">
        <f>SUM(M372:M386)</f>
        <v>9.8221927495721975</v>
      </c>
      <c r="N371" s="45">
        <v>12</v>
      </c>
      <c r="O371" s="55">
        <f>SUM(O372:O386)</f>
        <v>7.7323951273347016E-4</v>
      </c>
      <c r="P371" s="55">
        <f t="shared" ref="P371" si="297">SUM(P372:P386)</f>
        <v>0.90837441344366643</v>
      </c>
      <c r="Q371" s="55">
        <f t="shared" ref="Q371" si="298">SUM(Q372:Q386)</f>
        <v>83.693805820943567</v>
      </c>
      <c r="R371" s="55">
        <f t="shared" ref="R371" si="299">SUM(R372:R386)</f>
        <v>9.4901827237258805E-6</v>
      </c>
      <c r="S371" s="55">
        <f t="shared" ref="S371" si="300">SUM(S372:S386)</f>
        <v>8.4736641380987215E-2</v>
      </c>
      <c r="T371" s="55">
        <f t="shared" ref="T371" si="301">SUM(T372:T386)</f>
        <v>0.4674191114729358</v>
      </c>
      <c r="U371" s="55">
        <f t="shared" ref="U371" si="302">SUM(U372:U386)</f>
        <v>5.8756611361058884E-2</v>
      </c>
      <c r="V371" s="55">
        <f t="shared" ref="V371" si="303">SUM(V372:V386)</f>
        <v>21.989723655381553</v>
      </c>
      <c r="W371" s="55">
        <f t="shared" ref="W371" si="304">SUM(W372:W386)</f>
        <v>4.2563441323472091</v>
      </c>
      <c r="X371" s="55">
        <f t="shared" ref="X371" si="305">SUM(X372:X386)</f>
        <v>8067.5070957783119</v>
      </c>
      <c r="Y371" s="55">
        <f t="shared" ref="Y371" si="306">SUM(Y372:Y386)</f>
        <v>0.17131225224087934</v>
      </c>
      <c r="Z371" s="55">
        <f t="shared" ref="Z371" si="307">SUM(Z372:Z386)</f>
        <v>105.46611452167207</v>
      </c>
      <c r="AA371" s="55">
        <f t="shared" ref="AA371" si="308">SUM(AA372:AA386)</f>
        <v>105.18573628575035</v>
      </c>
      <c r="AB371" s="55">
        <f t="shared" ref="AB371" si="309">SUM(AB372:AB386)</f>
        <v>0.26576494799326134</v>
      </c>
      <c r="AC371" s="55">
        <f t="shared" ref="AC371" si="310">SUM(AC372:AC386)</f>
        <v>4.2873271278408148E-2</v>
      </c>
      <c r="AD371" s="55">
        <f t="shared" ref="AD371" si="311">SUM(AD372:AD386)</f>
        <v>1.3205470741843634E-5</v>
      </c>
      <c r="AE371" s="55">
        <f t="shared" ref="AE371" si="312">SUM(AE372:AE386)</f>
        <v>0.73109629237818907</v>
      </c>
      <c r="AF371" s="55">
        <f t="shared" ref="AF371" si="313">SUM(AF372:AF386)</f>
        <v>8.8212524703063519E-4</v>
      </c>
      <c r="AG371" s="55">
        <f t="shared" ref="AG371" si="314">SUM(AG372:AG386)</f>
        <v>0.15979323992346375</v>
      </c>
      <c r="AH371" s="55">
        <f t="shared" ref="AH371" si="315">SUM(AH372:AH386)</f>
        <v>1.7376202275712131</v>
      </c>
      <c r="AI371" s="55">
        <f t="shared" ref="AI371" si="316">SUM(AI372:AI386)</f>
        <v>0.67393263852700891</v>
      </c>
      <c r="AJ371" s="55">
        <f t="shared" ref="AJ371" si="317">SUM(AJ372:AJ386)</f>
        <v>7.7573746071290411E-4</v>
      </c>
      <c r="AK371" s="55">
        <f t="shared" ref="AK371" si="318">SUM(AK372:AK386)</f>
        <v>2984.1439274397057</v>
      </c>
      <c r="AL371" s="55">
        <f t="shared" ref="AL371" si="319">SUM(AL372:AL386)</f>
        <v>10.653799813045808</v>
      </c>
      <c r="AM371" s="55">
        <f t="shared" ref="AM371" si="320">SUM(AM372:AM386)</f>
        <v>3.1441738640408164E-6</v>
      </c>
      <c r="AN371" s="55">
        <f t="shared" ref="AN371" si="321">SUM(AN372:AN386)</f>
        <v>3.1867520239145759</v>
      </c>
      <c r="AO371" s="55">
        <f t="shared" ref="AO371" si="322">SUM(AO372:AO386)</f>
        <v>4064.020544625821</v>
      </c>
      <c r="AP371" s="55">
        <f t="shared" ref="AP371" si="323">SUM(AP372:AP386)</f>
        <v>2.8891590989320936E-8</v>
      </c>
      <c r="AQ371" s="55">
        <f t="shared" ref="AQ371" si="324">SUM(AQ372:AQ386)</f>
        <v>1.1225041875467251E-6</v>
      </c>
      <c r="AR371" s="55">
        <f t="shared" ref="AR371" si="325">SUM(AR372:AR386)</f>
        <v>1849.2114349373503</v>
      </c>
      <c r="AS371" s="55">
        <f t="shared" ref="AS371" si="326">SUM(AS372:AS386)</f>
        <v>8.065825212</v>
      </c>
      <c r="AT371" s="55">
        <f t="shared" ref="AT371" si="327">SUM(AT372:AT386)</f>
        <v>0</v>
      </c>
      <c r="AU371" s="55">
        <f t="shared" ref="AU371" si="328">SUM(AU372:AU386)</f>
        <v>34.444665666694192</v>
      </c>
      <c r="AV371" s="55">
        <f t="shared" ref="AV371" si="329">SUM(AV372:AV386)</f>
        <v>0.70667511750000001</v>
      </c>
      <c r="AW371" s="55">
        <f t="shared" ref="AW371" si="330">SUM(AW372:AW386)</f>
        <v>9.926829900000001E-4</v>
      </c>
      <c r="AX371" s="55">
        <f t="shared" ref="AX371" si="331">SUM(AX372:AX386)</f>
        <v>2016.1443978169739</v>
      </c>
      <c r="AY371" s="55">
        <f t="shared" ref="AY371" si="332">SUM(AY372:AY386)</f>
        <v>0</v>
      </c>
      <c r="AZ371" s="55">
        <f t="shared" ref="AZ371" si="333">SUM(AZ372:AZ386)</f>
        <v>0</v>
      </c>
      <c r="BA371" s="55">
        <f t="shared" ref="BA371" si="334">SUM(BA372:BA386)</f>
        <v>0</v>
      </c>
      <c r="BB371" s="55">
        <f t="shared" ref="BB371" si="335">SUM(BB372:BB386)</f>
        <v>-12.705156609791247</v>
      </c>
      <c r="BC371" s="55">
        <f t="shared" ref="BC371" si="336">SUM(BC372:BC386)</f>
        <v>1.7014178957467361E-3</v>
      </c>
      <c r="BD371" s="55">
        <f t="shared" ref="BD371" si="337">SUM(BD372:BD386)</f>
        <v>17.549738867220533</v>
      </c>
      <c r="BE371" s="55">
        <f t="shared" ref="BE371" si="338">SUM(BE372:BE386)</f>
        <v>3.8317316937891265E-3</v>
      </c>
      <c r="BF371" s="55">
        <f t="shared" ref="BF371" si="339">SUM(BF372:BF386)</f>
        <v>0</v>
      </c>
      <c r="BG371" s="55">
        <f t="shared" ref="BG371" si="340">SUM(BG372:BG386)</f>
        <v>1000</v>
      </c>
      <c r="BH371" s="55">
        <f t="shared" ref="BH371" si="341">SUM(BH372:BH386)</f>
        <v>0</v>
      </c>
      <c r="BI371" s="55">
        <f t="shared" ref="BI371" si="342">SUM(BI372:BI386)</f>
        <v>0</v>
      </c>
      <c r="BJ371" s="55">
        <f t="shared" ref="BJ371" si="343">SUM(BJ372:BJ386)</f>
        <v>0</v>
      </c>
      <c r="BK371" s="78">
        <v>0</v>
      </c>
      <c r="BL371" s="41" t="s">
        <v>616</v>
      </c>
      <c r="BM371" s="45"/>
    </row>
    <row r="372" spans="1:65" x14ac:dyDescent="0.35">
      <c r="A372" s="45" t="str">
        <f>Database_Productkaarten[[#This Row],[Product]]&amp;", "&amp;Database_Productkaarten[[#This Row],[Levensfase]]</f>
        <v>ZOAB Regulier - PCR 2.0, A1</v>
      </c>
      <c r="B372" s="45" t="s">
        <v>1375</v>
      </c>
      <c r="C372" s="41" t="s">
        <v>443</v>
      </c>
      <c r="D372" s="41" t="s">
        <v>469</v>
      </c>
      <c r="E372" s="41" t="s">
        <v>91</v>
      </c>
      <c r="F372" s="41" t="s">
        <v>19</v>
      </c>
      <c r="G372" s="45"/>
      <c r="H372" s="45"/>
      <c r="I372" s="45"/>
      <c r="J372" s="45"/>
      <c r="K372" s="45"/>
      <c r="L372" s="45">
        <v>2</v>
      </c>
      <c r="M372" s="291">
        <v>6.951276628346486</v>
      </c>
      <c r="N372" s="45">
        <v>12</v>
      </c>
      <c r="O372" s="290">
        <v>8.5668624915962105E-4</v>
      </c>
      <c r="P372" s="290">
        <v>1.1090464631936301</v>
      </c>
      <c r="Q372" s="290">
        <v>58.563946862743798</v>
      </c>
      <c r="R372" s="290">
        <v>4.5097217261990498E-6</v>
      </c>
      <c r="S372" s="290">
        <v>0.120508180676846</v>
      </c>
      <c r="T372" s="290">
        <v>0.33839286350619102</v>
      </c>
      <c r="U372" s="290">
        <v>3.2762658745192401E-2</v>
      </c>
      <c r="V372" s="290">
        <v>12.722959440933201</v>
      </c>
      <c r="W372" s="290">
        <v>1.71655426714145</v>
      </c>
      <c r="X372" s="290">
        <v>7458.8982578405903</v>
      </c>
      <c r="Y372" s="290">
        <v>0.22424903465311599</v>
      </c>
      <c r="Z372" s="290">
        <v>61.855632100434804</v>
      </c>
      <c r="AA372" s="290">
        <v>61.564878784884598</v>
      </c>
      <c r="AB372" s="290">
        <v>0.28462668861196</v>
      </c>
      <c r="AC372" s="290">
        <v>3.4386626938190099E-2</v>
      </c>
      <c r="AD372" s="290">
        <v>5.4487397230297997E-6</v>
      </c>
      <c r="AE372" s="290">
        <v>0.40852478760809002</v>
      </c>
      <c r="AF372" s="290">
        <v>7.6296974596396004E-4</v>
      </c>
      <c r="AG372" s="290">
        <v>6.7920987511757694E-2</v>
      </c>
      <c r="AH372" s="290">
        <v>0.75455986229474703</v>
      </c>
      <c r="AI372" s="290">
        <v>0.40008605911314699</v>
      </c>
      <c r="AJ372" s="290">
        <v>8.5662844038862705E-4</v>
      </c>
      <c r="AK372" s="290">
        <v>2366.9155158982799</v>
      </c>
      <c r="AL372" s="290">
        <v>35.487402958397404</v>
      </c>
      <c r="AM372" s="290">
        <v>2.5432802664872799E-6</v>
      </c>
      <c r="AN372" s="290">
        <v>1.81657197750888</v>
      </c>
      <c r="AO372" s="290">
        <v>4799.4259307836101</v>
      </c>
      <c r="AP372" s="290">
        <v>1.6299612582759901E-8</v>
      </c>
      <c r="AQ372" s="290">
        <v>7.3271894568557904E-7</v>
      </c>
      <c r="AR372" s="290">
        <v>2928.7215858856398</v>
      </c>
      <c r="AS372" s="290">
        <v>0</v>
      </c>
      <c r="AT372" s="290">
        <v>0</v>
      </c>
      <c r="AU372" s="290">
        <v>29.776990147087201</v>
      </c>
      <c r="AV372" s="290">
        <v>0</v>
      </c>
      <c r="AW372" s="290">
        <v>0</v>
      </c>
      <c r="AX372" s="290">
        <v>2517.9107261540998</v>
      </c>
      <c r="AY372" s="290">
        <v>0</v>
      </c>
      <c r="AZ372" s="290">
        <v>0</v>
      </c>
      <c r="BA372" s="290">
        <v>0</v>
      </c>
      <c r="BB372" s="290">
        <v>0.88213548668491604</v>
      </c>
      <c r="BC372" s="290">
        <v>1.0193862391630799E-3</v>
      </c>
      <c r="BD372" s="290">
        <v>2.8342377692559402</v>
      </c>
      <c r="BE372" s="290">
        <v>1.5690221720220201E-3</v>
      </c>
      <c r="BF372" s="290">
        <v>0</v>
      </c>
      <c r="BG372" s="290">
        <v>0</v>
      </c>
      <c r="BH372" s="290">
        <v>0</v>
      </c>
      <c r="BI372" s="290">
        <v>0</v>
      </c>
      <c r="BJ372" s="290">
        <v>0</v>
      </c>
      <c r="BK372" s="78">
        <v>0</v>
      </c>
      <c r="BL372" s="41" t="s">
        <v>616</v>
      </c>
      <c r="BM372" s="45"/>
    </row>
    <row r="373" spans="1:65" x14ac:dyDescent="0.35">
      <c r="A373" s="45" t="str">
        <f>Database_Productkaarten[[#This Row],[Product]]&amp;", "&amp;Database_Productkaarten[[#This Row],[Levensfase]]</f>
        <v>ZOAB Regulier - PCR 2.0, A2</v>
      </c>
      <c r="B373" s="45" t="s">
        <v>1375</v>
      </c>
      <c r="C373" s="41" t="s">
        <v>443</v>
      </c>
      <c r="D373" s="41" t="s">
        <v>469</v>
      </c>
      <c r="E373" s="41" t="s">
        <v>91</v>
      </c>
      <c r="F373" s="41" t="s">
        <v>20</v>
      </c>
      <c r="G373" s="45"/>
      <c r="H373" s="45"/>
      <c r="I373" s="45"/>
      <c r="J373" s="45"/>
      <c r="K373" s="45"/>
      <c r="L373" s="45">
        <v>2</v>
      </c>
      <c r="M373" s="291">
        <v>2.8763438017531731</v>
      </c>
      <c r="N373" s="45">
        <v>12</v>
      </c>
      <c r="O373" s="290">
        <v>2.2359816874795599E-4</v>
      </c>
      <c r="P373" s="290">
        <v>0.107734382266786</v>
      </c>
      <c r="Q373" s="290">
        <v>16.484261239084901</v>
      </c>
      <c r="R373" s="290">
        <v>2.6762290295857898E-6</v>
      </c>
      <c r="S373" s="290">
        <v>1.5370550196283099E-2</v>
      </c>
      <c r="T373" s="290">
        <v>0.245775992308886</v>
      </c>
      <c r="U373" s="290">
        <v>3.1899058632690998E-2</v>
      </c>
      <c r="V373" s="290">
        <v>7.3802110963545902</v>
      </c>
      <c r="W373" s="290">
        <v>0.15727829137643901</v>
      </c>
      <c r="X373" s="290">
        <v>634.24527497858799</v>
      </c>
      <c r="Y373" s="290">
        <v>2.4645063749346399E-2</v>
      </c>
      <c r="Z373" s="290">
        <v>16.629982433445999</v>
      </c>
      <c r="AA373" s="290">
        <v>16.6101209054655</v>
      </c>
      <c r="AB373" s="290">
        <v>6.01348404577244E-3</v>
      </c>
      <c r="AC373" s="290">
        <v>1.38480439347346E-2</v>
      </c>
      <c r="AD373" s="290">
        <v>3.35792907757336E-6</v>
      </c>
      <c r="AE373" s="290">
        <v>0.31286997035300601</v>
      </c>
      <c r="AF373" s="290">
        <v>1.29201486678641E-4</v>
      </c>
      <c r="AG373" s="290">
        <v>8.6687908012734405E-2</v>
      </c>
      <c r="AH373" s="290">
        <v>0.96113693152852497</v>
      </c>
      <c r="AI373" s="290">
        <v>0.25206945781476597</v>
      </c>
      <c r="AJ373" s="290">
        <v>2.23594438973053E-4</v>
      </c>
      <c r="AK373" s="290">
        <v>224.54969436373301</v>
      </c>
      <c r="AL373" s="290">
        <v>0.649895276502096</v>
      </c>
      <c r="AM373" s="290">
        <v>8.0754869512883904E-7</v>
      </c>
      <c r="AN373" s="290">
        <v>0.95714796304649497</v>
      </c>
      <c r="AO373" s="290">
        <v>175.95028317849</v>
      </c>
      <c r="AP373" s="290">
        <v>8.3679372927838607E-9</v>
      </c>
      <c r="AQ373" s="290">
        <v>1.57889413118496E-7</v>
      </c>
      <c r="AR373" s="290">
        <v>119.421453933929</v>
      </c>
      <c r="AS373" s="290">
        <v>0</v>
      </c>
      <c r="AT373" s="290">
        <v>0</v>
      </c>
      <c r="AU373" s="290">
        <v>2.7465313404729299</v>
      </c>
      <c r="AV373" s="290">
        <v>0</v>
      </c>
      <c r="AW373" s="290">
        <v>0</v>
      </c>
      <c r="AX373" s="290">
        <v>238.37891548185399</v>
      </c>
      <c r="AY373" s="290">
        <v>0</v>
      </c>
      <c r="AZ373" s="290">
        <v>0</v>
      </c>
      <c r="BA373" s="290">
        <v>0</v>
      </c>
      <c r="BB373" s="290">
        <v>2.37278384021796E-2</v>
      </c>
      <c r="BC373" s="290">
        <v>4.15730420109477E-4</v>
      </c>
      <c r="BD373" s="290">
        <v>5.7151244667818402</v>
      </c>
      <c r="BE373" s="290">
        <v>1.5082544174320799E-3</v>
      </c>
      <c r="BF373" s="290">
        <v>0</v>
      </c>
      <c r="BG373" s="290">
        <v>0</v>
      </c>
      <c r="BH373" s="290">
        <v>0</v>
      </c>
      <c r="BI373" s="290">
        <v>0</v>
      </c>
      <c r="BJ373" s="290">
        <v>0</v>
      </c>
      <c r="BK373" s="78">
        <v>0</v>
      </c>
      <c r="BL373" s="41" t="s">
        <v>616</v>
      </c>
      <c r="BM373" s="45"/>
    </row>
    <row r="374" spans="1:65" x14ac:dyDescent="0.35">
      <c r="A374" s="45" t="str">
        <f>Database_Productkaarten[[#This Row],[Product]]&amp;", "&amp;Database_Productkaarten[[#This Row],[Levensfase]]</f>
        <v>ZOAB Regulier - PCR 2.0, A3</v>
      </c>
      <c r="B374" s="45" t="s">
        <v>1375</v>
      </c>
      <c r="C374" s="41" t="s">
        <v>443</v>
      </c>
      <c r="D374" s="41" t="s">
        <v>469</v>
      </c>
      <c r="E374" s="41" t="s">
        <v>91</v>
      </c>
      <c r="F374" s="41" t="s">
        <v>21</v>
      </c>
      <c r="G374" s="45"/>
      <c r="H374" s="45"/>
      <c r="I374" s="45"/>
      <c r="J374" s="45"/>
      <c r="K374" s="45"/>
      <c r="L374" s="45">
        <v>2</v>
      </c>
      <c r="M374" s="291">
        <v>1.4989979500878003</v>
      </c>
      <c r="N374" s="45">
        <v>12</v>
      </c>
      <c r="O374" s="290">
        <v>2.0221565186947199E-5</v>
      </c>
      <c r="P374" s="290">
        <v>0.175166472196252</v>
      </c>
      <c r="Q374" s="290">
        <v>20.581281794629799</v>
      </c>
      <c r="R374" s="290">
        <v>2.3254620979551199E-6</v>
      </c>
      <c r="S374" s="290">
        <v>3.3634985568570101E-3</v>
      </c>
      <c r="T374" s="290">
        <v>2.0722435996330599E-2</v>
      </c>
      <c r="U374" s="290">
        <v>3.5310490956480399E-3</v>
      </c>
      <c r="V374" s="290">
        <v>3.4342142723902902</v>
      </c>
      <c r="W374" s="290">
        <v>2.29846549334802E-2</v>
      </c>
      <c r="X374" s="290">
        <v>93.315439129046595</v>
      </c>
      <c r="Y374" s="290">
        <v>2.2294574260623298E-2</v>
      </c>
      <c r="Z374" s="290">
        <v>20.887909397158602</v>
      </c>
      <c r="AA374" s="290">
        <v>20.838373939900801</v>
      </c>
      <c r="AB374" s="290">
        <v>4.7767966253372401E-2</v>
      </c>
      <c r="AC374" s="290">
        <v>1.7674910044115401E-3</v>
      </c>
      <c r="AD374" s="290">
        <v>2.6228440049962099E-6</v>
      </c>
      <c r="AE374" s="290">
        <v>2.6656751572729401E-2</v>
      </c>
      <c r="AF374" s="290">
        <v>2.4013759465104501E-4</v>
      </c>
      <c r="AG374" s="290">
        <v>7.5037983838064197E-3</v>
      </c>
      <c r="AH374" s="290">
        <v>8.4829624182845301E-2</v>
      </c>
      <c r="AI374" s="290">
        <v>2.55875609450508E-2</v>
      </c>
      <c r="AJ374" s="290">
        <v>2.02212885272358E-5</v>
      </c>
      <c r="AK374" s="290">
        <v>322.52519138463299</v>
      </c>
      <c r="AL374" s="290">
        <v>0.48459811244849199</v>
      </c>
      <c r="AM374" s="290">
        <v>1.85955642786789E-7</v>
      </c>
      <c r="AN374" s="290">
        <v>0.241324181456331</v>
      </c>
      <c r="AO374" s="290">
        <v>69.546875692342496</v>
      </c>
      <c r="AP374" s="290">
        <v>2.6198108980871801E-9</v>
      </c>
      <c r="AQ374" s="290">
        <v>4.5262873668137599E-8</v>
      </c>
      <c r="AR374" s="290">
        <v>14.7609189250425</v>
      </c>
      <c r="AS374" s="290">
        <v>0</v>
      </c>
      <c r="AT374" s="290">
        <v>0</v>
      </c>
      <c r="AU374" s="290">
        <v>6.2021659229805701</v>
      </c>
      <c r="AV374" s="290">
        <v>0</v>
      </c>
      <c r="AW374" s="290">
        <v>0</v>
      </c>
      <c r="AX374" s="290">
        <v>355.51856731032598</v>
      </c>
      <c r="AY374" s="290">
        <v>0</v>
      </c>
      <c r="AZ374" s="290">
        <v>0</v>
      </c>
      <c r="BA374" s="290">
        <v>0</v>
      </c>
      <c r="BB374" s="290">
        <v>3.6047636497648597E-2</v>
      </c>
      <c r="BC374" s="290">
        <v>3.9222024054264801E-4</v>
      </c>
      <c r="BD374" s="290">
        <v>0.24722166518921199</v>
      </c>
      <c r="BE374" s="290">
        <v>3.07589200006827E-4</v>
      </c>
      <c r="BF374" s="290">
        <v>0</v>
      </c>
      <c r="BG374" s="290">
        <v>0</v>
      </c>
      <c r="BH374" s="290">
        <v>0</v>
      </c>
      <c r="BI374" s="290">
        <v>0</v>
      </c>
      <c r="BJ374" s="290">
        <v>0</v>
      </c>
      <c r="BK374" s="78">
        <v>0</v>
      </c>
      <c r="BL374" s="41" t="s">
        <v>616</v>
      </c>
      <c r="BM374" s="45"/>
    </row>
    <row r="375" spans="1:65" x14ac:dyDescent="0.35">
      <c r="A375" s="45" t="str">
        <f>Database_Productkaarten[[#This Row],[Product]]&amp;", "&amp;Database_Productkaarten[[#This Row],[Levensfase]]</f>
        <v>ZOAB Regulier - PCR 2.0, A4</v>
      </c>
      <c r="B375" s="45" t="s">
        <v>1375</v>
      </c>
      <c r="C375" s="41" t="s">
        <v>443</v>
      </c>
      <c r="D375" s="41" t="s">
        <v>469</v>
      </c>
      <c r="E375" s="41" t="s">
        <v>91</v>
      </c>
      <c r="F375" s="41" t="s">
        <v>22</v>
      </c>
      <c r="G375" s="45"/>
      <c r="H375" s="45"/>
      <c r="I375" s="45"/>
      <c r="J375" s="45"/>
      <c r="K375" s="45"/>
      <c r="L375" s="45">
        <v>2</v>
      </c>
      <c r="M375" s="291">
        <v>0.37546048090943995</v>
      </c>
      <c r="N375" s="45">
        <v>12</v>
      </c>
      <c r="O375" s="290">
        <v>6.8533509000000002E-5</v>
      </c>
      <c r="P375" s="290">
        <v>2.9713889699999999E-2</v>
      </c>
      <c r="Q375" s="290">
        <v>3.9891474704999998</v>
      </c>
      <c r="R375" s="290">
        <v>7.557213E-7</v>
      </c>
      <c r="S375" s="290">
        <v>2.4773701499999998E-3</v>
      </c>
      <c r="T375" s="290">
        <v>1.36398132E-2</v>
      </c>
      <c r="U375" s="290">
        <v>2.5682192100000001E-3</v>
      </c>
      <c r="V375" s="290">
        <v>0.8608144794</v>
      </c>
      <c r="W375" s="290">
        <v>3.6189873900000002E-2</v>
      </c>
      <c r="X375" s="290">
        <v>97.376595929999993</v>
      </c>
      <c r="Y375" s="290">
        <v>4.8437180999999999E-3</v>
      </c>
      <c r="Z375" s="290">
        <v>4.0259382761999998</v>
      </c>
      <c r="AA375" s="290">
        <v>4.0229543298000001</v>
      </c>
      <c r="AB375" s="290">
        <v>1.9814632200000001E-3</v>
      </c>
      <c r="AC375" s="290">
        <v>1.0024609799999999E-3</v>
      </c>
      <c r="AD375" s="290">
        <v>9.4976262000000003E-7</v>
      </c>
      <c r="AE375" s="290">
        <v>1.7739576E-2</v>
      </c>
      <c r="AF375" s="290">
        <v>2.7841996800000001E-5</v>
      </c>
      <c r="AG375" s="290">
        <v>5.5484582100000001E-3</v>
      </c>
      <c r="AH375" s="290">
        <v>6.1385308800000003E-2</v>
      </c>
      <c r="AI375" s="290">
        <v>1.9235744999999999E-2</v>
      </c>
      <c r="AJ375" s="290">
        <v>6.8533397999999998E-5</v>
      </c>
      <c r="AK375" s="290">
        <v>62.400806729999999</v>
      </c>
      <c r="AL375" s="290">
        <v>0.212954166</v>
      </c>
      <c r="AM375" s="290">
        <v>2.9338876200000002E-7</v>
      </c>
      <c r="AN375" s="290">
        <v>0.26868483510000002</v>
      </c>
      <c r="AO375" s="290">
        <v>45.56587296</v>
      </c>
      <c r="AP375" s="290">
        <v>1.16371179E-9</v>
      </c>
      <c r="AQ375" s="290">
        <v>3.8268015899999999E-8</v>
      </c>
      <c r="AR375" s="290">
        <v>71.806844609999999</v>
      </c>
      <c r="AS375" s="290">
        <v>0</v>
      </c>
      <c r="AT375" s="290">
        <v>0</v>
      </c>
      <c r="AU375" s="290">
        <v>0.63474917099999995</v>
      </c>
      <c r="AV375" s="290">
        <v>0</v>
      </c>
      <c r="AW375" s="290">
        <v>0</v>
      </c>
      <c r="AX375" s="290">
        <v>66.265108560000002</v>
      </c>
      <c r="AY375" s="290">
        <v>0</v>
      </c>
      <c r="AZ375" s="290">
        <v>0</v>
      </c>
      <c r="BA375" s="290">
        <v>0</v>
      </c>
      <c r="BB375" s="290">
        <v>6.7467797999999999E-3</v>
      </c>
      <c r="BC375" s="290">
        <v>1.54707915E-4</v>
      </c>
      <c r="BD375" s="290">
        <v>5.4635493149999999</v>
      </c>
      <c r="BE375" s="290">
        <v>4.25149758E-4</v>
      </c>
      <c r="BF375" s="290">
        <v>0</v>
      </c>
      <c r="BG375" s="290">
        <v>0</v>
      </c>
      <c r="BH375" s="290">
        <v>0</v>
      </c>
      <c r="BI375" s="290">
        <v>0</v>
      </c>
      <c r="BJ375" s="290">
        <v>0</v>
      </c>
      <c r="BK375" s="78">
        <v>0</v>
      </c>
      <c r="BL375" s="41" t="s">
        <v>616</v>
      </c>
      <c r="BM375" s="45"/>
    </row>
    <row r="376" spans="1:65" x14ac:dyDescent="0.35">
      <c r="A376" s="45" t="str">
        <f>Database_Productkaarten[[#This Row],[Product]]&amp;", "&amp;Database_Productkaarten[[#This Row],[Levensfase]]</f>
        <v>ZOAB Regulier - PCR 2.0, A5</v>
      </c>
      <c r="B376" s="45" t="s">
        <v>1375</v>
      </c>
      <c r="C376" s="41" t="s">
        <v>443</v>
      </c>
      <c r="D376" s="41" t="s">
        <v>469</v>
      </c>
      <c r="E376" s="41" t="s">
        <v>91</v>
      </c>
      <c r="F376" s="41" t="s">
        <v>23</v>
      </c>
      <c r="G376" s="45"/>
      <c r="H376" s="45"/>
      <c r="I376" s="45"/>
      <c r="J376" s="45"/>
      <c r="K376" s="45"/>
      <c r="L376" s="45">
        <v>2</v>
      </c>
      <c r="M376" s="291">
        <v>0.14177533094071404</v>
      </c>
      <c r="N376" s="45">
        <v>12</v>
      </c>
      <c r="O376" s="290">
        <v>1.61314166622507E-6</v>
      </c>
      <c r="P376" s="290">
        <v>6.8622725362608404E-3</v>
      </c>
      <c r="Q376" s="290">
        <v>1.3956023254324501</v>
      </c>
      <c r="R376" s="290">
        <v>1.8034595210437101E-7</v>
      </c>
      <c r="S376" s="290">
        <v>5.16544439028269E-4</v>
      </c>
      <c r="T376" s="290">
        <v>5.5620934816408901E-3</v>
      </c>
      <c r="U376" s="290">
        <v>1.2666295693661599E-3</v>
      </c>
      <c r="V376" s="290">
        <v>0.37946512509448699</v>
      </c>
      <c r="W376" s="290">
        <v>5.3530920601637597E-3</v>
      </c>
      <c r="X376" s="290">
        <v>18.599635683899098</v>
      </c>
      <c r="Y376" s="290">
        <v>6.3393440743158397E-4</v>
      </c>
      <c r="Z376" s="290">
        <v>1.40614004972486</v>
      </c>
      <c r="AA376" s="290">
        <v>1.40573693426074</v>
      </c>
      <c r="AB376" s="290">
        <v>3.2107602882369397E-4</v>
      </c>
      <c r="AC376" s="290">
        <v>8.2039435288081098E-5</v>
      </c>
      <c r="AD376" s="290">
        <v>2.27243022570309E-7</v>
      </c>
      <c r="AE376" s="290">
        <v>7.7455939788341997E-3</v>
      </c>
      <c r="AF376" s="290">
        <v>3.8329292561506503E-6</v>
      </c>
      <c r="AG376" s="290">
        <v>3.33014078668372E-3</v>
      </c>
      <c r="AH376" s="290">
        <v>3.6553504828003201E-2</v>
      </c>
      <c r="AI376" s="290">
        <v>9.5750220828411496E-3</v>
      </c>
      <c r="AJ376" s="290">
        <v>1.6131290077094099E-6</v>
      </c>
      <c r="AK376" s="290">
        <v>14.478976214773899</v>
      </c>
      <c r="AL376" s="290">
        <v>1.92836313771424E-2</v>
      </c>
      <c r="AM376" s="290">
        <v>2.94386448146316E-8</v>
      </c>
      <c r="AN376" s="290">
        <v>6.21451107223846E-2</v>
      </c>
      <c r="AO376" s="290">
        <v>8.6879180219657002</v>
      </c>
      <c r="AP376" s="290">
        <v>3.0480075758854998E-10</v>
      </c>
      <c r="AQ376" s="290">
        <v>7.4560899272087708E-9</v>
      </c>
      <c r="AR376" s="290">
        <v>1.8493735733718</v>
      </c>
      <c r="AS376" s="290">
        <v>0</v>
      </c>
      <c r="AT376" s="290">
        <v>0</v>
      </c>
      <c r="AU376" s="290">
        <v>7.9583647088195694E-2</v>
      </c>
      <c r="AV376" s="290">
        <v>0</v>
      </c>
      <c r="AW376" s="290">
        <v>0</v>
      </c>
      <c r="AX376" s="290">
        <v>15.376214794170799</v>
      </c>
      <c r="AY376" s="290">
        <v>0</v>
      </c>
      <c r="AZ376" s="290">
        <v>0</v>
      </c>
      <c r="BA376" s="290">
        <v>0</v>
      </c>
      <c r="BB376" s="290">
        <v>7.4846707807309796E-4</v>
      </c>
      <c r="BC376" s="290">
        <v>3.9430118715126E-5</v>
      </c>
      <c r="BD376" s="290">
        <v>1.7132562710248999E-2</v>
      </c>
      <c r="BE376" s="290">
        <v>1.00629661697752E-4</v>
      </c>
      <c r="BF376" s="290">
        <v>0</v>
      </c>
      <c r="BG376" s="290">
        <v>0</v>
      </c>
      <c r="BH376" s="290">
        <v>0</v>
      </c>
      <c r="BI376" s="290">
        <v>0</v>
      </c>
      <c r="BJ376" s="290">
        <v>0</v>
      </c>
      <c r="BK376" s="78">
        <v>0</v>
      </c>
      <c r="BL376" s="41" t="s">
        <v>616</v>
      </c>
      <c r="BM376" s="45"/>
    </row>
    <row r="377" spans="1:65" x14ac:dyDescent="0.35">
      <c r="A377" s="45" t="str">
        <f>Database_Productkaarten[[#This Row],[Product]]&amp;", "&amp;Database_Productkaarten[[#This Row],[Levensfase]]</f>
        <v>ZOAB Regulier - PCR 2.0, B1</v>
      </c>
      <c r="B377" s="45" t="s">
        <v>1375</v>
      </c>
      <c r="C377" s="41" t="s">
        <v>443</v>
      </c>
      <c r="D377" s="41" t="s">
        <v>469</v>
      </c>
      <c r="E377" s="41" t="s">
        <v>91</v>
      </c>
      <c r="F377" s="41" t="s">
        <v>24</v>
      </c>
      <c r="G377" s="45"/>
      <c r="H377" s="45"/>
      <c r="I377" s="45"/>
      <c r="J377" s="45"/>
      <c r="K377" s="45"/>
      <c r="L377" s="45">
        <v>2</v>
      </c>
      <c r="M377" s="291">
        <v>0.63803196066933088</v>
      </c>
      <c r="N377" s="45">
        <v>12</v>
      </c>
      <c r="O377" s="290">
        <v>0</v>
      </c>
      <c r="P377" s="290">
        <v>0</v>
      </c>
      <c r="Q377" s="290">
        <v>0</v>
      </c>
      <c r="R377" s="290">
        <v>0</v>
      </c>
      <c r="S377" s="290">
        <v>0</v>
      </c>
      <c r="T377" s="290">
        <v>0</v>
      </c>
      <c r="U377" s="290">
        <v>0</v>
      </c>
      <c r="V377" s="290">
        <v>2.21599595321837</v>
      </c>
      <c r="W377" s="290">
        <v>3.1435906259976898</v>
      </c>
      <c r="X377" s="290">
        <v>3441.17206099747</v>
      </c>
      <c r="Y377" s="290">
        <v>2.7899999999979499E-3</v>
      </c>
      <c r="Z377" s="290">
        <v>0</v>
      </c>
      <c r="AA377" s="290">
        <v>0</v>
      </c>
      <c r="AB377" s="290">
        <v>0</v>
      </c>
      <c r="AC377" s="290">
        <v>0</v>
      </c>
      <c r="AD377" s="290">
        <v>0</v>
      </c>
      <c r="AE377" s="290">
        <v>0</v>
      </c>
      <c r="AF377" s="290">
        <v>0</v>
      </c>
      <c r="AG377" s="290">
        <v>0</v>
      </c>
      <c r="AH377" s="290">
        <v>0</v>
      </c>
      <c r="AI377" s="290">
        <v>0</v>
      </c>
      <c r="AJ377" s="290">
        <v>0</v>
      </c>
      <c r="AK377" s="290">
        <v>0</v>
      </c>
      <c r="AL377" s="290">
        <v>0</v>
      </c>
      <c r="AM377" s="290">
        <v>0</v>
      </c>
      <c r="AN377" s="290">
        <v>0</v>
      </c>
      <c r="AO377" s="290">
        <v>19.2904605006858</v>
      </c>
      <c r="AP377" s="290">
        <v>3.4029317760975E-9</v>
      </c>
      <c r="AQ377" s="290">
        <v>2.0449895299124001E-7</v>
      </c>
      <c r="AR377" s="290">
        <v>0</v>
      </c>
      <c r="AS377" s="290">
        <v>0</v>
      </c>
      <c r="AT377" s="290">
        <v>0</v>
      </c>
      <c r="AU377" s="290">
        <v>0</v>
      </c>
      <c r="AV377" s="290">
        <v>0</v>
      </c>
      <c r="AW377" s="290">
        <v>0</v>
      </c>
      <c r="AX377" s="290">
        <v>0</v>
      </c>
      <c r="AY377" s="290">
        <v>0</v>
      </c>
      <c r="AZ377" s="290">
        <v>0</v>
      </c>
      <c r="BA377" s="290">
        <v>0</v>
      </c>
      <c r="BB377" s="290">
        <v>0</v>
      </c>
      <c r="BC377" s="290">
        <v>0</v>
      </c>
      <c r="BD377" s="290">
        <v>0</v>
      </c>
      <c r="BE377" s="290">
        <v>0</v>
      </c>
      <c r="BF377" s="290">
        <v>0</v>
      </c>
      <c r="BG377" s="290">
        <v>0</v>
      </c>
      <c r="BH377" s="290">
        <v>0</v>
      </c>
      <c r="BI377" s="290">
        <v>0</v>
      </c>
      <c r="BJ377" s="290">
        <v>0</v>
      </c>
      <c r="BK377" s="78">
        <v>0</v>
      </c>
      <c r="BL377" s="41" t="s">
        <v>616</v>
      </c>
      <c r="BM377" s="45"/>
    </row>
    <row r="378" spans="1:65" x14ac:dyDescent="0.35">
      <c r="A378" s="45" t="str">
        <f>Database_Productkaarten[[#This Row],[Product]]&amp;", "&amp;Database_Productkaarten[[#This Row],[Levensfase]]</f>
        <v>ZOAB Regulier - PCR 2.0, B2</v>
      </c>
      <c r="B378" s="45" t="s">
        <v>1375</v>
      </c>
      <c r="C378" s="41" t="s">
        <v>443</v>
      </c>
      <c r="D378" s="41" t="s">
        <v>469</v>
      </c>
      <c r="E378" s="41" t="s">
        <v>91</v>
      </c>
      <c r="F378" s="41" t="s">
        <v>604</v>
      </c>
      <c r="G378" s="45"/>
      <c r="H378" s="45"/>
      <c r="I378" s="45"/>
      <c r="J378" s="45"/>
      <c r="K378" s="45"/>
      <c r="L378" s="45">
        <v>2</v>
      </c>
      <c r="M378" s="291">
        <v>0</v>
      </c>
      <c r="N378" s="45">
        <v>12</v>
      </c>
      <c r="O378" s="290">
        <v>0</v>
      </c>
      <c r="P378" s="290">
        <v>0</v>
      </c>
      <c r="Q378" s="290">
        <v>0</v>
      </c>
      <c r="R378" s="290">
        <v>0</v>
      </c>
      <c r="S378" s="290">
        <v>0</v>
      </c>
      <c r="T378" s="290">
        <v>0</v>
      </c>
      <c r="U378" s="290">
        <v>0</v>
      </c>
      <c r="V378" s="290">
        <v>0</v>
      </c>
      <c r="W378" s="290">
        <v>0</v>
      </c>
      <c r="X378" s="290">
        <v>0</v>
      </c>
      <c r="Y378" s="290">
        <v>0</v>
      </c>
      <c r="Z378" s="290">
        <v>0</v>
      </c>
      <c r="AA378" s="290">
        <v>0</v>
      </c>
      <c r="AB378" s="290">
        <v>0</v>
      </c>
      <c r="AC378" s="290">
        <v>0</v>
      </c>
      <c r="AD378" s="290">
        <v>0</v>
      </c>
      <c r="AE378" s="290">
        <v>0</v>
      </c>
      <c r="AF378" s="290">
        <v>0</v>
      </c>
      <c r="AG378" s="290">
        <v>0</v>
      </c>
      <c r="AH378" s="290">
        <v>0</v>
      </c>
      <c r="AI378" s="290">
        <v>0</v>
      </c>
      <c r="AJ378" s="290">
        <v>0</v>
      </c>
      <c r="AK378" s="290">
        <v>0</v>
      </c>
      <c r="AL378" s="290">
        <v>0</v>
      </c>
      <c r="AM378" s="290">
        <v>0</v>
      </c>
      <c r="AN378" s="290">
        <v>0</v>
      </c>
      <c r="AO378" s="290">
        <v>0</v>
      </c>
      <c r="AP378" s="290">
        <v>0</v>
      </c>
      <c r="AQ378" s="290">
        <v>0</v>
      </c>
      <c r="AR378" s="290">
        <v>0</v>
      </c>
      <c r="AS378" s="290">
        <v>0</v>
      </c>
      <c r="AT378" s="290">
        <v>0</v>
      </c>
      <c r="AU378" s="290">
        <v>0</v>
      </c>
      <c r="AV378" s="290">
        <v>0</v>
      </c>
      <c r="AW378" s="290">
        <v>0</v>
      </c>
      <c r="AX378" s="290">
        <v>0</v>
      </c>
      <c r="AY378" s="290">
        <v>0</v>
      </c>
      <c r="AZ378" s="290">
        <v>0</v>
      </c>
      <c r="BA378" s="290">
        <v>0</v>
      </c>
      <c r="BB378" s="290">
        <v>0</v>
      </c>
      <c r="BC378" s="290">
        <v>0</v>
      </c>
      <c r="BD378" s="290">
        <v>0</v>
      </c>
      <c r="BE378" s="290">
        <v>0</v>
      </c>
      <c r="BF378" s="290">
        <v>0</v>
      </c>
      <c r="BG378" s="290">
        <v>0</v>
      </c>
      <c r="BH378" s="290">
        <v>0</v>
      </c>
      <c r="BI378" s="290">
        <v>0</v>
      </c>
      <c r="BJ378" s="290">
        <v>0</v>
      </c>
      <c r="BK378" s="78">
        <v>0</v>
      </c>
      <c r="BL378" s="41" t="s">
        <v>616</v>
      </c>
      <c r="BM378" s="45"/>
    </row>
    <row r="379" spans="1:65" x14ac:dyDescent="0.35">
      <c r="A379" s="45" t="str">
        <f>Database_Productkaarten[[#This Row],[Product]]&amp;", "&amp;Database_Productkaarten[[#This Row],[Levensfase]]</f>
        <v>ZOAB Regulier - PCR 2.0, B3</v>
      </c>
      <c r="B379" s="45" t="s">
        <v>1375</v>
      </c>
      <c r="C379" s="41" t="s">
        <v>443</v>
      </c>
      <c r="D379" s="41" t="s">
        <v>469</v>
      </c>
      <c r="E379" s="41" t="s">
        <v>91</v>
      </c>
      <c r="F379" s="41" t="s">
        <v>602</v>
      </c>
      <c r="G379" s="45"/>
      <c r="H379" s="45"/>
      <c r="I379" s="45"/>
      <c r="J379" s="45"/>
      <c r="K379" s="45"/>
      <c r="L379" s="45">
        <v>2</v>
      </c>
      <c r="M379" s="291">
        <v>0</v>
      </c>
      <c r="N379" s="45">
        <v>12</v>
      </c>
      <c r="O379" s="290">
        <v>0</v>
      </c>
      <c r="P379" s="290">
        <v>0</v>
      </c>
      <c r="Q379" s="290">
        <v>0</v>
      </c>
      <c r="R379" s="290">
        <v>0</v>
      </c>
      <c r="S379" s="290">
        <v>0</v>
      </c>
      <c r="T379" s="290">
        <v>0</v>
      </c>
      <c r="U379" s="290">
        <v>0</v>
      </c>
      <c r="V379" s="290">
        <v>0</v>
      </c>
      <c r="W379" s="290">
        <v>0</v>
      </c>
      <c r="X379" s="290">
        <v>0</v>
      </c>
      <c r="Y379" s="290">
        <v>0</v>
      </c>
      <c r="Z379" s="290">
        <v>0</v>
      </c>
      <c r="AA379" s="290">
        <v>0</v>
      </c>
      <c r="AB379" s="290">
        <v>0</v>
      </c>
      <c r="AC379" s="290">
        <v>0</v>
      </c>
      <c r="AD379" s="290">
        <v>0</v>
      </c>
      <c r="AE379" s="290">
        <v>0</v>
      </c>
      <c r="AF379" s="290">
        <v>0</v>
      </c>
      <c r="AG379" s="290">
        <v>0</v>
      </c>
      <c r="AH379" s="290">
        <v>0</v>
      </c>
      <c r="AI379" s="290">
        <v>0</v>
      </c>
      <c r="AJ379" s="290">
        <v>0</v>
      </c>
      <c r="AK379" s="290">
        <v>0</v>
      </c>
      <c r="AL379" s="290">
        <v>0</v>
      </c>
      <c r="AM379" s="290">
        <v>0</v>
      </c>
      <c r="AN379" s="290">
        <v>0</v>
      </c>
      <c r="AO379" s="290">
        <v>0</v>
      </c>
      <c r="AP379" s="290">
        <v>0</v>
      </c>
      <c r="AQ379" s="290">
        <v>0</v>
      </c>
      <c r="AR379" s="290">
        <v>0</v>
      </c>
      <c r="AS379" s="290">
        <v>0</v>
      </c>
      <c r="AT379" s="290">
        <v>0</v>
      </c>
      <c r="AU379" s="290">
        <v>0</v>
      </c>
      <c r="AV379" s="290">
        <v>0</v>
      </c>
      <c r="AW379" s="290">
        <v>0</v>
      </c>
      <c r="AX379" s="290">
        <v>0</v>
      </c>
      <c r="AY379" s="290">
        <v>0</v>
      </c>
      <c r="AZ379" s="290">
        <v>0</v>
      </c>
      <c r="BA379" s="290">
        <v>0</v>
      </c>
      <c r="BB379" s="290">
        <v>0</v>
      </c>
      <c r="BC379" s="290">
        <v>0</v>
      </c>
      <c r="BD379" s="290">
        <v>0</v>
      </c>
      <c r="BE379" s="290">
        <v>0</v>
      </c>
      <c r="BF379" s="290">
        <v>0</v>
      </c>
      <c r="BG379" s="290">
        <v>0</v>
      </c>
      <c r="BH379" s="290">
        <v>0</v>
      </c>
      <c r="BI379" s="290">
        <v>0</v>
      </c>
      <c r="BJ379" s="290">
        <v>0</v>
      </c>
      <c r="BK379" s="78">
        <v>0</v>
      </c>
      <c r="BL379" s="41" t="s">
        <v>616</v>
      </c>
      <c r="BM379" s="45"/>
    </row>
    <row r="380" spans="1:65" x14ac:dyDescent="0.35">
      <c r="A380" s="45" t="str">
        <f>Database_Productkaarten[[#This Row],[Product]]&amp;", "&amp;Database_Productkaarten[[#This Row],[Levensfase]]</f>
        <v>ZOAB Regulier - PCR 2.0, B4</v>
      </c>
      <c r="B380" s="45" t="s">
        <v>1375</v>
      </c>
      <c r="C380" s="41" t="s">
        <v>443</v>
      </c>
      <c r="D380" s="41" t="s">
        <v>469</v>
      </c>
      <c r="E380" s="41" t="s">
        <v>91</v>
      </c>
      <c r="F380" s="41" t="s">
        <v>50</v>
      </c>
      <c r="G380" s="45"/>
      <c r="H380" s="45"/>
      <c r="I380" s="45"/>
      <c r="J380" s="45"/>
      <c r="K380" s="45"/>
      <c r="L380" s="45">
        <v>2</v>
      </c>
      <c r="M380" s="291">
        <v>0</v>
      </c>
      <c r="N380" s="45">
        <v>12</v>
      </c>
      <c r="O380" s="290">
        <v>0</v>
      </c>
      <c r="P380" s="290">
        <v>0</v>
      </c>
      <c r="Q380" s="290">
        <v>0</v>
      </c>
      <c r="R380" s="290">
        <v>0</v>
      </c>
      <c r="S380" s="290">
        <v>0</v>
      </c>
      <c r="T380" s="290">
        <v>0</v>
      </c>
      <c r="U380" s="290">
        <v>0</v>
      </c>
      <c r="V380" s="290">
        <v>0</v>
      </c>
      <c r="W380" s="290">
        <v>0</v>
      </c>
      <c r="X380" s="290">
        <v>0</v>
      </c>
      <c r="Y380" s="290">
        <v>0</v>
      </c>
      <c r="Z380" s="290">
        <v>0</v>
      </c>
      <c r="AA380" s="290">
        <v>0</v>
      </c>
      <c r="AB380" s="290">
        <v>0</v>
      </c>
      <c r="AC380" s="290">
        <v>0</v>
      </c>
      <c r="AD380" s="290">
        <v>0</v>
      </c>
      <c r="AE380" s="290">
        <v>0</v>
      </c>
      <c r="AF380" s="290">
        <v>0</v>
      </c>
      <c r="AG380" s="290">
        <v>0</v>
      </c>
      <c r="AH380" s="290">
        <v>0</v>
      </c>
      <c r="AI380" s="290">
        <v>0</v>
      </c>
      <c r="AJ380" s="290">
        <v>0</v>
      </c>
      <c r="AK380" s="290">
        <v>0</v>
      </c>
      <c r="AL380" s="290">
        <v>0</v>
      </c>
      <c r="AM380" s="290">
        <v>0</v>
      </c>
      <c r="AN380" s="290">
        <v>0</v>
      </c>
      <c r="AO380" s="290">
        <v>0</v>
      </c>
      <c r="AP380" s="290">
        <v>0</v>
      </c>
      <c r="AQ380" s="290">
        <v>0</v>
      </c>
      <c r="AR380" s="290">
        <v>0</v>
      </c>
      <c r="AS380" s="290">
        <v>0</v>
      </c>
      <c r="AT380" s="290">
        <v>0</v>
      </c>
      <c r="AU380" s="290">
        <v>0</v>
      </c>
      <c r="AV380" s="290">
        <v>0</v>
      </c>
      <c r="AW380" s="290">
        <v>0</v>
      </c>
      <c r="AX380" s="290">
        <v>0</v>
      </c>
      <c r="AY380" s="290">
        <v>0</v>
      </c>
      <c r="AZ380" s="290">
        <v>0</v>
      </c>
      <c r="BA380" s="290">
        <v>0</v>
      </c>
      <c r="BB380" s="290">
        <v>0</v>
      </c>
      <c r="BC380" s="290">
        <v>0</v>
      </c>
      <c r="BD380" s="290">
        <v>0</v>
      </c>
      <c r="BE380" s="290">
        <v>0</v>
      </c>
      <c r="BF380" s="290">
        <v>0</v>
      </c>
      <c r="BG380" s="290">
        <v>0</v>
      </c>
      <c r="BH380" s="290">
        <v>0</v>
      </c>
      <c r="BI380" s="290">
        <v>0</v>
      </c>
      <c r="BJ380" s="290">
        <v>0</v>
      </c>
      <c r="BK380" s="78">
        <v>0</v>
      </c>
      <c r="BL380" s="41" t="s">
        <v>616</v>
      </c>
      <c r="BM380" s="45"/>
    </row>
    <row r="381" spans="1:65" x14ac:dyDescent="0.35">
      <c r="A381" s="45" t="str">
        <f>Database_Productkaarten[[#This Row],[Product]]&amp;", "&amp;Database_Productkaarten[[#This Row],[Levensfase]]</f>
        <v>ZOAB Regulier - PCR 2.0, B5</v>
      </c>
      <c r="B381" s="45" t="s">
        <v>1375</v>
      </c>
      <c r="C381" s="41" t="s">
        <v>443</v>
      </c>
      <c r="D381" s="41" t="s">
        <v>469</v>
      </c>
      <c r="E381" s="41" t="s">
        <v>91</v>
      </c>
      <c r="F381" s="41" t="s">
        <v>1358</v>
      </c>
      <c r="G381" s="45"/>
      <c r="H381" s="45"/>
      <c r="I381" s="45"/>
      <c r="J381" s="45"/>
      <c r="K381" s="45"/>
      <c r="L381" s="45">
        <v>2</v>
      </c>
      <c r="M381" s="291">
        <v>0</v>
      </c>
      <c r="N381" s="45">
        <v>12</v>
      </c>
      <c r="O381" s="290">
        <v>0</v>
      </c>
      <c r="P381" s="290">
        <v>0</v>
      </c>
      <c r="Q381" s="290">
        <v>0</v>
      </c>
      <c r="R381" s="290">
        <v>0</v>
      </c>
      <c r="S381" s="290">
        <v>0</v>
      </c>
      <c r="T381" s="290">
        <v>0</v>
      </c>
      <c r="U381" s="290">
        <v>0</v>
      </c>
      <c r="V381" s="290">
        <v>0</v>
      </c>
      <c r="W381" s="290">
        <v>0</v>
      </c>
      <c r="X381" s="290">
        <v>0</v>
      </c>
      <c r="Y381" s="290">
        <v>0</v>
      </c>
      <c r="Z381" s="290">
        <v>0</v>
      </c>
      <c r="AA381" s="290">
        <v>0</v>
      </c>
      <c r="AB381" s="290">
        <v>0</v>
      </c>
      <c r="AC381" s="290">
        <v>0</v>
      </c>
      <c r="AD381" s="290">
        <v>0</v>
      </c>
      <c r="AE381" s="290">
        <v>0</v>
      </c>
      <c r="AF381" s="290">
        <v>0</v>
      </c>
      <c r="AG381" s="290">
        <v>0</v>
      </c>
      <c r="AH381" s="290">
        <v>0</v>
      </c>
      <c r="AI381" s="290">
        <v>0</v>
      </c>
      <c r="AJ381" s="290">
        <v>0</v>
      </c>
      <c r="AK381" s="290">
        <v>0</v>
      </c>
      <c r="AL381" s="290">
        <v>0</v>
      </c>
      <c r="AM381" s="290">
        <v>0</v>
      </c>
      <c r="AN381" s="290">
        <v>0</v>
      </c>
      <c r="AO381" s="290">
        <v>0</v>
      </c>
      <c r="AP381" s="290">
        <v>0</v>
      </c>
      <c r="AQ381" s="290">
        <v>0</v>
      </c>
      <c r="AR381" s="290">
        <v>0</v>
      </c>
      <c r="AS381" s="290">
        <v>0</v>
      </c>
      <c r="AT381" s="290">
        <v>0</v>
      </c>
      <c r="AU381" s="290">
        <v>0</v>
      </c>
      <c r="AV381" s="290">
        <v>0</v>
      </c>
      <c r="AW381" s="290">
        <v>0</v>
      </c>
      <c r="AX381" s="290">
        <v>0</v>
      </c>
      <c r="AY381" s="290">
        <v>0</v>
      </c>
      <c r="AZ381" s="290">
        <v>0</v>
      </c>
      <c r="BA381" s="290">
        <v>0</v>
      </c>
      <c r="BB381" s="290">
        <v>0</v>
      </c>
      <c r="BC381" s="290">
        <v>0</v>
      </c>
      <c r="BD381" s="290">
        <v>0</v>
      </c>
      <c r="BE381" s="290">
        <v>0</v>
      </c>
      <c r="BF381" s="290">
        <v>0</v>
      </c>
      <c r="BG381" s="290">
        <v>0</v>
      </c>
      <c r="BH381" s="290">
        <v>0</v>
      </c>
      <c r="BI381" s="290">
        <v>0</v>
      </c>
      <c r="BJ381" s="290">
        <v>0</v>
      </c>
      <c r="BK381" s="78">
        <v>0</v>
      </c>
      <c r="BL381" s="41" t="s">
        <v>616</v>
      </c>
      <c r="BM381" s="45"/>
    </row>
    <row r="382" spans="1:65" x14ac:dyDescent="0.35">
      <c r="A382" s="45" t="str">
        <f>Database_Productkaarten[[#This Row],[Product]]&amp;", "&amp;Database_Productkaarten[[#This Row],[Levensfase]]</f>
        <v>ZOAB Regulier - PCR 2.0, C1</v>
      </c>
      <c r="B382" s="45" t="s">
        <v>1375</v>
      </c>
      <c r="C382" s="41" t="s">
        <v>443</v>
      </c>
      <c r="D382" s="41" t="s">
        <v>469</v>
      </c>
      <c r="E382" s="41" t="s">
        <v>91</v>
      </c>
      <c r="F382" s="41" t="s">
        <v>25</v>
      </c>
      <c r="G382" s="45"/>
      <c r="H382" s="45"/>
      <c r="I382" s="45"/>
      <c r="J382" s="45"/>
      <c r="K382" s="45"/>
      <c r="L382" s="45">
        <v>2</v>
      </c>
      <c r="M382" s="291">
        <v>0.31586755418035783</v>
      </c>
      <c r="N382" s="45">
        <v>12</v>
      </c>
      <c r="O382" s="290">
        <v>3.8816221343540804E-6</v>
      </c>
      <c r="P382" s="290">
        <v>1.65123432903777E-2</v>
      </c>
      <c r="Q382" s="290">
        <v>3.3581680955718398</v>
      </c>
      <c r="R382" s="290">
        <v>4.33957447251143E-7</v>
      </c>
      <c r="S382" s="290">
        <v>1.103777391412E-3</v>
      </c>
      <c r="T382" s="290">
        <v>9.5713374402005193E-3</v>
      </c>
      <c r="U382" s="290">
        <v>2.0565904012878602E-3</v>
      </c>
      <c r="V382" s="290">
        <v>0.90386476208361499</v>
      </c>
      <c r="W382" s="290">
        <v>1.28808777697691E-2</v>
      </c>
      <c r="X382" s="290">
        <v>44.755373364382301</v>
      </c>
      <c r="Y382" s="290">
        <v>1.5254046678822499E-3</v>
      </c>
      <c r="Z382" s="290">
        <v>3.3788329814004299</v>
      </c>
      <c r="AA382" s="290">
        <v>3.3778629848149202</v>
      </c>
      <c r="AB382" s="290">
        <v>7.7258919435702197E-4</v>
      </c>
      <c r="AC382" s="290">
        <v>1.9740739116194499E-4</v>
      </c>
      <c r="AD382" s="290">
        <v>5.46803523059806E-7</v>
      </c>
      <c r="AE382" s="290">
        <v>1.29954095115729E-2</v>
      </c>
      <c r="AF382" s="290">
        <v>9.22298602261252E-6</v>
      </c>
      <c r="AG382" s="290">
        <v>5.0470651679593503E-3</v>
      </c>
      <c r="AH382" s="290">
        <v>5.5474796992400897E-2</v>
      </c>
      <c r="AI382" s="290">
        <v>1.51540863268409E-2</v>
      </c>
      <c r="AJ382" s="290">
        <v>3.8815916748007599E-6</v>
      </c>
      <c r="AK382" s="290">
        <v>34.840036516799699</v>
      </c>
      <c r="AL382" s="290">
        <v>4.6401238001248998E-2</v>
      </c>
      <c r="AM382" s="290">
        <v>5.37324715127169E-8</v>
      </c>
      <c r="AN382" s="290">
        <v>0.149536672675738</v>
      </c>
      <c r="AO382" s="290">
        <v>20.9041616816458</v>
      </c>
      <c r="AP382" s="290">
        <v>7.3342682294744596E-10</v>
      </c>
      <c r="AQ382" s="290">
        <v>1.47076761704129E-8</v>
      </c>
      <c r="AR382" s="290">
        <v>4.4500551609258698</v>
      </c>
      <c r="AS382" s="290">
        <v>0</v>
      </c>
      <c r="AT382" s="290">
        <v>0</v>
      </c>
      <c r="AU382" s="290">
        <v>0.19149815080596999</v>
      </c>
      <c r="AV382" s="290">
        <v>0</v>
      </c>
      <c r="AW382" s="290">
        <v>0</v>
      </c>
      <c r="AX382" s="290">
        <v>36.999016848473403</v>
      </c>
      <c r="AY382" s="290">
        <v>0</v>
      </c>
      <c r="AZ382" s="290">
        <v>0</v>
      </c>
      <c r="BA382" s="290">
        <v>0</v>
      </c>
      <c r="BB382" s="290">
        <v>1.8009989066133901E-3</v>
      </c>
      <c r="BC382" s="290">
        <v>9.4878723158271799E-5</v>
      </c>
      <c r="BD382" s="290">
        <v>4.1225229021536601E-2</v>
      </c>
      <c r="BE382" s="290">
        <v>2.4214012346021699E-4</v>
      </c>
      <c r="BF382" s="290">
        <v>0</v>
      </c>
      <c r="BG382" s="290">
        <v>0</v>
      </c>
      <c r="BH382" s="290">
        <v>0</v>
      </c>
      <c r="BI382" s="290">
        <v>0</v>
      </c>
      <c r="BJ382" s="290">
        <v>0</v>
      </c>
      <c r="BK382" s="78">
        <v>0</v>
      </c>
      <c r="BL382" s="41" t="s">
        <v>616</v>
      </c>
      <c r="BM382" s="45"/>
    </row>
    <row r="383" spans="1:65" x14ac:dyDescent="0.35">
      <c r="A383" s="45" t="str">
        <f>Database_Productkaarten[[#This Row],[Product]]&amp;", "&amp;Database_Productkaarten[[#This Row],[Levensfase]]</f>
        <v>ZOAB Regulier - PCR 2.0, C2</v>
      </c>
      <c r="B383" s="45" t="s">
        <v>1375</v>
      </c>
      <c r="C383" s="41" t="s">
        <v>443</v>
      </c>
      <c r="D383" s="41" t="s">
        <v>469</v>
      </c>
      <c r="E383" s="41" t="s">
        <v>91</v>
      </c>
      <c r="F383" s="41" t="s">
        <v>26</v>
      </c>
      <c r="G383" s="45"/>
      <c r="H383" s="45"/>
      <c r="I383" s="45"/>
      <c r="J383" s="45"/>
      <c r="K383" s="45"/>
      <c r="L383" s="45">
        <v>2</v>
      </c>
      <c r="M383" s="291">
        <v>0.31791357541832999</v>
      </c>
      <c r="N383" s="45">
        <v>12</v>
      </c>
      <c r="O383" s="290">
        <v>7.2195843000000002E-5</v>
      </c>
      <c r="P383" s="290">
        <v>2.5045429500000001E-2</v>
      </c>
      <c r="Q383" s="290">
        <v>3.2726104581</v>
      </c>
      <c r="R383" s="290">
        <v>6.2448211500000004E-7</v>
      </c>
      <c r="S383" s="290">
        <v>2.3663202E-3</v>
      </c>
      <c r="T383" s="290">
        <v>9.9103019999999993E-3</v>
      </c>
      <c r="U383" s="290">
        <v>1.66070541E-3</v>
      </c>
      <c r="V383" s="290">
        <v>0.89062466159999998</v>
      </c>
      <c r="W383" s="290">
        <v>3.5055542699999998E-2</v>
      </c>
      <c r="X383" s="290">
        <v>92.682047400000002</v>
      </c>
      <c r="Y383" s="290">
        <v>7.4868390000000003E-3</v>
      </c>
      <c r="Z383" s="290">
        <v>3.3150718431000001</v>
      </c>
      <c r="AA383" s="290">
        <v>3.3001817481</v>
      </c>
      <c r="AB383" s="290">
        <v>1.3607189190000001E-2</v>
      </c>
      <c r="AC383" s="290">
        <v>1.2829113599999999E-3</v>
      </c>
      <c r="AD383" s="290">
        <v>7.8107336699999998E-7</v>
      </c>
      <c r="AE383" s="290">
        <v>1.2482505E-2</v>
      </c>
      <c r="AF383" s="290">
        <v>3.4632532799999998E-5</v>
      </c>
      <c r="AG383" s="290">
        <v>2.8897329300000001E-3</v>
      </c>
      <c r="AH383" s="290">
        <v>3.3662059799999998E-2</v>
      </c>
      <c r="AI383" s="290">
        <v>1.2098522699999999E-2</v>
      </c>
      <c r="AJ383" s="290">
        <v>7.2195510000000004E-5</v>
      </c>
      <c r="AK383" s="290">
        <v>52.307882313</v>
      </c>
      <c r="AL383" s="290">
        <v>0.28570883850000001</v>
      </c>
      <c r="AM383" s="290">
        <v>2.8544027399999998E-7</v>
      </c>
      <c r="AN383" s="290">
        <v>0.22308385950000001</v>
      </c>
      <c r="AO383" s="290">
        <v>50.61443379</v>
      </c>
      <c r="AP383" s="290">
        <v>1.35209877E-9</v>
      </c>
      <c r="AQ383" s="290">
        <v>4.3221490799999998E-8</v>
      </c>
      <c r="AR383" s="290">
        <v>98.528772599999996</v>
      </c>
      <c r="AS383" s="290">
        <v>8.065825212</v>
      </c>
      <c r="AT383" s="290">
        <v>0</v>
      </c>
      <c r="AU383" s="290">
        <v>8.6963547624000004</v>
      </c>
      <c r="AV383" s="290">
        <v>0.70667511750000001</v>
      </c>
      <c r="AW383" s="290">
        <v>9.926829900000001E-4</v>
      </c>
      <c r="AX383" s="290">
        <v>55.561210727999999</v>
      </c>
      <c r="AY383" s="290">
        <v>0</v>
      </c>
      <c r="AZ383" s="290">
        <v>0</v>
      </c>
      <c r="BA383" s="290">
        <v>0</v>
      </c>
      <c r="BB383" s="290">
        <v>8.7338241000000007E-3</v>
      </c>
      <c r="BC383" s="290">
        <v>1.5376752299999999E-4</v>
      </c>
      <c r="BD383" s="290">
        <v>5.5583861609999996</v>
      </c>
      <c r="BE383" s="290">
        <v>3.4865666099999999E-4</v>
      </c>
      <c r="BF383" s="290">
        <v>0</v>
      </c>
      <c r="BG383" s="290">
        <v>0</v>
      </c>
      <c r="BH383" s="290">
        <v>0</v>
      </c>
      <c r="BI383" s="290">
        <v>0</v>
      </c>
      <c r="BJ383" s="290">
        <v>0</v>
      </c>
      <c r="BK383" s="78">
        <v>0</v>
      </c>
      <c r="BL383" s="41" t="s">
        <v>616</v>
      </c>
      <c r="BM383" s="45"/>
    </row>
    <row r="384" spans="1:65" x14ac:dyDescent="0.35">
      <c r="A384" s="45" t="str">
        <f>Database_Productkaarten[[#This Row],[Product]]&amp;", "&amp;Database_Productkaarten[[#This Row],[Levensfase]]</f>
        <v>ZOAB Regulier - PCR 2.0, C3</v>
      </c>
      <c r="B384" s="45" t="s">
        <v>1375</v>
      </c>
      <c r="C384" s="41" t="s">
        <v>443</v>
      </c>
      <c r="D384" s="41" t="s">
        <v>469</v>
      </c>
      <c r="E384" s="41" t="s">
        <v>91</v>
      </c>
      <c r="F384" s="41" t="s">
        <v>27</v>
      </c>
      <c r="G384" s="45"/>
      <c r="H384" s="45"/>
      <c r="I384" s="45"/>
      <c r="J384" s="45"/>
      <c r="K384" s="45"/>
      <c r="L384" s="45">
        <v>2</v>
      </c>
      <c r="M384" s="291">
        <v>0.15929996439018168</v>
      </c>
      <c r="N384" s="45">
        <v>12</v>
      </c>
      <c r="O384" s="290">
        <v>1.8651950515727401E-6</v>
      </c>
      <c r="P384" s="290">
        <v>7.9345026200515999E-3</v>
      </c>
      <c r="Q384" s="290">
        <v>1.6136651887812701</v>
      </c>
      <c r="R384" s="290">
        <v>2.08525007120679E-7</v>
      </c>
      <c r="S384" s="290">
        <v>5.8559282599069101E-4</v>
      </c>
      <c r="T384" s="290">
        <v>5.7290955881476703E-3</v>
      </c>
      <c r="U384" s="290">
        <v>1.28200093957972E-3</v>
      </c>
      <c r="V384" s="290">
        <v>0.43705340481550198</v>
      </c>
      <c r="W384" s="290">
        <v>6.1895126945643603E-3</v>
      </c>
      <c r="X384" s="290">
        <v>21.505828759508301</v>
      </c>
      <c r="Y384" s="290">
        <v>7.3298665859276803E-4</v>
      </c>
      <c r="Z384" s="290">
        <v>1.6243260222443601</v>
      </c>
      <c r="AA384" s="290">
        <v>1.62385991998899</v>
      </c>
      <c r="AB384" s="290">
        <v>3.7124415832740101E-4</v>
      </c>
      <c r="AC384" s="290">
        <v>9.4858097051843794E-5</v>
      </c>
      <c r="AD384" s="290">
        <v>2.6274974484691999E-7</v>
      </c>
      <c r="AE384" s="290">
        <v>7.91677203802762E-3</v>
      </c>
      <c r="AF384" s="290">
        <v>4.4318244524241897E-6</v>
      </c>
      <c r="AG384" s="290">
        <v>3.3042609346033598E-3</v>
      </c>
      <c r="AH384" s="290">
        <v>3.6283310957382103E-2</v>
      </c>
      <c r="AI384" s="290">
        <v>9.6537099632858694E-3</v>
      </c>
      <c r="AJ384" s="290">
        <v>1.8651804151639999E-6</v>
      </c>
      <c r="AK384" s="290">
        <v>16.7413162483323</v>
      </c>
      <c r="AL384" s="290">
        <v>2.2296698779821E-2</v>
      </c>
      <c r="AM384" s="290">
        <v>3.0576571264419799E-8</v>
      </c>
      <c r="AN384" s="290">
        <v>7.1855284272757197E-2</v>
      </c>
      <c r="AO384" s="290">
        <v>10.045649763780901</v>
      </c>
      <c r="AP384" s="290">
        <v>3.5242587596176002E-10</v>
      </c>
      <c r="AQ384" s="290">
        <v>7.5755651295107104E-9</v>
      </c>
      <c r="AR384" s="290">
        <v>2.1383381942111401</v>
      </c>
      <c r="AS384" s="290">
        <v>0</v>
      </c>
      <c r="AT384" s="290">
        <v>0</v>
      </c>
      <c r="AU384" s="290">
        <v>9.2018591945726105E-2</v>
      </c>
      <c r="AV384" s="290">
        <v>0</v>
      </c>
      <c r="AW384" s="290">
        <v>0</v>
      </c>
      <c r="AX384" s="290">
        <v>17.778748355760001</v>
      </c>
      <c r="AY384" s="290">
        <v>0</v>
      </c>
      <c r="AZ384" s="290">
        <v>0</v>
      </c>
      <c r="BA384" s="290">
        <v>0</v>
      </c>
      <c r="BB384" s="290">
        <v>8.6541505902201896E-4</v>
      </c>
      <c r="BC384" s="290">
        <v>4.5591074764364402E-5</v>
      </c>
      <c r="BD384" s="290">
        <v>1.98095256337254E-2</v>
      </c>
      <c r="BE384" s="290">
        <v>1.16353046338026E-4</v>
      </c>
      <c r="BF384" s="290">
        <v>0</v>
      </c>
      <c r="BG384" s="290">
        <v>1000</v>
      </c>
      <c r="BH384" s="290">
        <v>0</v>
      </c>
      <c r="BI384" s="290">
        <v>0</v>
      </c>
      <c r="BJ384" s="290">
        <v>0</v>
      </c>
      <c r="BK384" s="78">
        <v>0</v>
      </c>
      <c r="BL384" s="41" t="s">
        <v>616</v>
      </c>
      <c r="BM384" s="45"/>
    </row>
    <row r="385" spans="1:65" x14ac:dyDescent="0.35">
      <c r="A385" s="45" t="str">
        <f>Database_Productkaarten[[#This Row],[Product]]&amp;", "&amp;Database_Productkaarten[[#This Row],[Levensfase]]</f>
        <v>ZOAB Regulier - PCR 2.0, C4</v>
      </c>
      <c r="B385" s="45" t="s">
        <v>1375</v>
      </c>
      <c r="C385" s="41" t="s">
        <v>443</v>
      </c>
      <c r="D385" s="41" t="s">
        <v>469</v>
      </c>
      <c r="E385" s="41" t="s">
        <v>91</v>
      </c>
      <c r="F385" s="41" t="s">
        <v>28</v>
      </c>
      <c r="G385" s="45"/>
      <c r="H385" s="45"/>
      <c r="I385" s="45"/>
      <c r="J385" s="45"/>
      <c r="K385" s="45"/>
      <c r="L385" s="45">
        <v>2</v>
      </c>
      <c r="M385" s="291">
        <v>0</v>
      </c>
      <c r="N385" s="45">
        <v>12</v>
      </c>
      <c r="O385" s="290">
        <v>0</v>
      </c>
      <c r="P385" s="290">
        <v>0</v>
      </c>
      <c r="Q385" s="290">
        <v>0</v>
      </c>
      <c r="R385" s="290">
        <v>0</v>
      </c>
      <c r="S385" s="290">
        <v>0</v>
      </c>
      <c r="T385" s="290">
        <v>0</v>
      </c>
      <c r="U385" s="290">
        <v>0</v>
      </c>
      <c r="V385" s="290">
        <v>0</v>
      </c>
      <c r="W385" s="290">
        <v>0</v>
      </c>
      <c r="X385" s="290">
        <v>0</v>
      </c>
      <c r="Y385" s="290">
        <v>0</v>
      </c>
      <c r="Z385" s="290">
        <v>0</v>
      </c>
      <c r="AA385" s="290">
        <v>0</v>
      </c>
      <c r="AB385" s="290">
        <v>0</v>
      </c>
      <c r="AC385" s="290">
        <v>0</v>
      </c>
      <c r="AD385" s="290">
        <v>0</v>
      </c>
      <c r="AE385" s="290">
        <v>0</v>
      </c>
      <c r="AF385" s="290">
        <v>0</v>
      </c>
      <c r="AG385" s="290">
        <v>0</v>
      </c>
      <c r="AH385" s="290">
        <v>0</v>
      </c>
      <c r="AI385" s="290">
        <v>0</v>
      </c>
      <c r="AJ385" s="290">
        <v>0</v>
      </c>
      <c r="AK385" s="290">
        <v>0</v>
      </c>
      <c r="AL385" s="290">
        <v>0</v>
      </c>
      <c r="AM385" s="290">
        <v>0</v>
      </c>
      <c r="AN385" s="290">
        <v>0</v>
      </c>
      <c r="AO385" s="290">
        <v>0</v>
      </c>
      <c r="AP385" s="290">
        <v>0</v>
      </c>
      <c r="AQ385" s="290">
        <v>0</v>
      </c>
      <c r="AR385" s="290">
        <v>0</v>
      </c>
      <c r="AS385" s="290">
        <v>0</v>
      </c>
      <c r="AT385" s="290">
        <v>0</v>
      </c>
      <c r="AU385" s="290">
        <v>0</v>
      </c>
      <c r="AV385" s="290">
        <v>0</v>
      </c>
      <c r="AW385" s="290">
        <v>0</v>
      </c>
      <c r="AX385" s="290">
        <v>0</v>
      </c>
      <c r="AY385" s="290">
        <v>0</v>
      </c>
      <c r="AZ385" s="290">
        <v>0</v>
      </c>
      <c r="BA385" s="290">
        <v>0</v>
      </c>
      <c r="BB385" s="290">
        <v>0</v>
      </c>
      <c r="BC385" s="290">
        <v>0</v>
      </c>
      <c r="BD385" s="290">
        <v>0</v>
      </c>
      <c r="BE385" s="290">
        <v>0</v>
      </c>
      <c r="BF385" s="290">
        <v>0</v>
      </c>
      <c r="BG385" s="290">
        <v>0</v>
      </c>
      <c r="BH385" s="290">
        <v>0</v>
      </c>
      <c r="BI385" s="290">
        <v>0</v>
      </c>
      <c r="BJ385" s="290">
        <v>0</v>
      </c>
      <c r="BK385" s="78">
        <v>0</v>
      </c>
      <c r="BL385" s="41" t="s">
        <v>616</v>
      </c>
      <c r="BM385" s="45"/>
    </row>
    <row r="386" spans="1:65" x14ac:dyDescent="0.35">
      <c r="A386" s="45" t="str">
        <f>Database_Productkaarten[[#This Row],[Product]]&amp;", "&amp;Database_Productkaarten[[#This Row],[Levensfase]]</f>
        <v>ZOAB Regulier - PCR 2.0, D1</v>
      </c>
      <c r="B386" s="45" t="s">
        <v>1375</v>
      </c>
      <c r="C386" s="41" t="s">
        <v>443</v>
      </c>
      <c r="D386" s="41" t="s">
        <v>469</v>
      </c>
      <c r="E386" s="41" t="s">
        <v>91</v>
      </c>
      <c r="F386" s="41" t="s">
        <v>51</v>
      </c>
      <c r="G386" s="45"/>
      <c r="H386" s="45"/>
      <c r="I386" s="45"/>
      <c r="J386" s="45"/>
      <c r="K386" s="45"/>
      <c r="L386" s="45">
        <v>2</v>
      </c>
      <c r="M386" s="291">
        <v>-3.4527744971236145</v>
      </c>
      <c r="N386" s="45">
        <v>12</v>
      </c>
      <c r="O386" s="290">
        <v>-4.75355781213206E-4</v>
      </c>
      <c r="P386" s="290">
        <v>-0.56964134185969195</v>
      </c>
      <c r="Q386" s="290">
        <v>-25.564877613900499</v>
      </c>
      <c r="R386" s="290">
        <v>-2.2242619514902701E-6</v>
      </c>
      <c r="S386" s="290">
        <v>-6.1555193055429801E-2</v>
      </c>
      <c r="T386" s="290">
        <v>-0.18188482204846099</v>
      </c>
      <c r="U386" s="290">
        <v>-1.8270300642706301E-2</v>
      </c>
      <c r="V386" s="290">
        <v>-7.2354795405085</v>
      </c>
      <c r="W386" s="290">
        <v>-0.87973260622634697</v>
      </c>
      <c r="X386" s="290">
        <v>-3835.0434183051698</v>
      </c>
      <c r="Y386" s="290">
        <v>-0.11788930325611099</v>
      </c>
      <c r="Z386" s="290">
        <v>-7.6577185820369902</v>
      </c>
      <c r="AA386" s="290">
        <v>-7.5582332614652099</v>
      </c>
      <c r="AB386" s="290">
        <v>-8.9696752709351596E-2</v>
      </c>
      <c r="AC386" s="290">
        <v>-9.7885678624299605E-3</v>
      </c>
      <c r="AD386" s="290">
        <v>-9.9167434123276906E-7</v>
      </c>
      <c r="AE386" s="290">
        <v>-7.5835073684071094E-2</v>
      </c>
      <c r="AF386" s="290">
        <v>-3.30145849594198E-4</v>
      </c>
      <c r="AG386" s="290">
        <v>-2.2439112014081199E-2</v>
      </c>
      <c r="AH386" s="290">
        <v>-0.28626517181269001</v>
      </c>
      <c r="AI386" s="290">
        <v>-6.9527525418922695E-2</v>
      </c>
      <c r="AJ386" s="290">
        <v>-4.72795516273686E-4</v>
      </c>
      <c r="AK386" s="290">
        <v>-110.615492229846</v>
      </c>
      <c r="AL386" s="290">
        <v>-26.5547411069604</v>
      </c>
      <c r="AM386" s="290">
        <v>-1.0851874639538601E-6</v>
      </c>
      <c r="AN386" s="290">
        <v>-0.60359786036801</v>
      </c>
      <c r="AO386" s="290">
        <v>-1136.0110417466999</v>
      </c>
      <c r="AP386" s="290">
        <v>-5.7051655769052599E-9</v>
      </c>
      <c r="AQ386" s="290">
        <v>-1.2909483584386E-7</v>
      </c>
      <c r="AR386" s="290">
        <v>-1392.4659079457699</v>
      </c>
      <c r="AS386" s="290">
        <v>0</v>
      </c>
      <c r="AT386" s="290">
        <v>0</v>
      </c>
      <c r="AU386" s="290">
        <v>-13.9752260670864</v>
      </c>
      <c r="AV386" s="290">
        <v>0</v>
      </c>
      <c r="AW386" s="290">
        <v>0</v>
      </c>
      <c r="AX386" s="290">
        <v>-1287.64411041571</v>
      </c>
      <c r="AY386" s="290">
        <v>0</v>
      </c>
      <c r="AZ386" s="290">
        <v>0</v>
      </c>
      <c r="BA386" s="290">
        <v>0</v>
      </c>
      <c r="BB386" s="290">
        <v>-13.665963056319701</v>
      </c>
      <c r="BC386" s="290">
        <v>-6.1429435870623099E-4</v>
      </c>
      <c r="BD386" s="290">
        <v>-2.3469478273719702</v>
      </c>
      <c r="BE386" s="290">
        <v>-7.8606334616779499E-4</v>
      </c>
      <c r="BF386" s="290">
        <v>0</v>
      </c>
      <c r="BG386" s="290">
        <v>0</v>
      </c>
      <c r="BH386" s="290">
        <v>0</v>
      </c>
      <c r="BI386" s="290">
        <v>0</v>
      </c>
      <c r="BJ386" s="290">
        <v>0</v>
      </c>
      <c r="BK386" s="78">
        <v>0</v>
      </c>
      <c r="BL386" s="41" t="s">
        <v>616</v>
      </c>
      <c r="BM386" s="45"/>
    </row>
    <row r="387" spans="1:65" x14ac:dyDescent="0.35">
      <c r="A387" s="45" t="str">
        <f>Database_Productkaarten[[#This Row],[Product]]&amp;", "&amp;Database_Productkaarten[[#This Row],[Levensfase]]</f>
        <v>DZOAB - PCR 2.0, Totaal</v>
      </c>
      <c r="B387" s="45" t="s">
        <v>1367</v>
      </c>
      <c r="C387" s="41" t="s">
        <v>443</v>
      </c>
      <c r="D387" s="41" t="s">
        <v>469</v>
      </c>
      <c r="E387" s="41" t="s">
        <v>91</v>
      </c>
      <c r="F387" s="41" t="s">
        <v>16</v>
      </c>
      <c r="G387" s="45"/>
      <c r="H387" s="45"/>
      <c r="I387" s="45"/>
      <c r="J387" s="45"/>
      <c r="K387" s="45"/>
      <c r="L387" s="45">
        <v>2</v>
      </c>
      <c r="M387" s="54">
        <f>SUM(M388:M402)</f>
        <v>10.537499616090699</v>
      </c>
      <c r="N387" s="45">
        <v>14</v>
      </c>
      <c r="O387" s="55">
        <f>SUM(O388:O402)</f>
        <v>7.9246964328712525E-4</v>
      </c>
      <c r="P387" s="55">
        <f t="shared" ref="P387" si="344">SUM(P388:P402)</f>
        <v>1.062818673150987</v>
      </c>
      <c r="Q387" s="55">
        <f t="shared" ref="Q387" si="345">SUM(Q388:Q402)</f>
        <v>87.964537435432078</v>
      </c>
      <c r="R387" s="55">
        <f t="shared" ref="R387" si="346">SUM(R388:R402)</f>
        <v>9.7024654682131791E-6</v>
      </c>
      <c r="S387" s="55">
        <f t="shared" ref="S387" si="347">SUM(S388:S402)</f>
        <v>0.10112925835655662</v>
      </c>
      <c r="T387" s="55">
        <f t="shared" ref="T387" si="348">SUM(T388:T402)</f>
        <v>0.50155131284895582</v>
      </c>
      <c r="U387" s="55">
        <f t="shared" ref="U387" si="349">SUM(U388:U402)</f>
        <v>6.0168278028740696E-2</v>
      </c>
      <c r="V387" s="55">
        <f t="shared" ref="V387" si="350">SUM(V388:V402)</f>
        <v>23.902580851832447</v>
      </c>
      <c r="W387" s="55">
        <f t="shared" ref="W387" si="351">SUM(W388:W402)</f>
        <v>4.5186085326365255</v>
      </c>
      <c r="X387" s="55">
        <f t="shared" ref="X387" si="352">SUM(X388:X402)</f>
        <v>9196.2741997485118</v>
      </c>
      <c r="Y387" s="55">
        <f t="shared" ref="Y387" si="353">SUM(Y388:Y402)</f>
        <v>0.20679440869151966</v>
      </c>
      <c r="Z387" s="55">
        <f t="shared" ref="Z387" si="354">SUM(Z388:Z402)</f>
        <v>109.92425028494949</v>
      </c>
      <c r="AA387" s="55">
        <f t="shared" ref="AA387" si="355">SUM(AA388:AA402)</f>
        <v>109.82405250775091</v>
      </c>
      <c r="AB387" s="55">
        <f t="shared" ref="AB387" si="356">SUM(AB388:AB402)</f>
        <v>8.5392739156112354E-2</v>
      </c>
      <c r="AC387" s="55">
        <f t="shared" ref="AC387" si="357">SUM(AC388:AC402)</f>
        <v>4.7461021392445055E-2</v>
      </c>
      <c r="AD387" s="55">
        <f t="shared" ref="AD387" si="358">SUM(AD388:AD402)</f>
        <v>1.3461380641558719E-5</v>
      </c>
      <c r="AE387" s="55">
        <f t="shared" ref="AE387" si="359">SUM(AE388:AE402)</f>
        <v>0.76873927016696864</v>
      </c>
      <c r="AF387" s="55">
        <f t="shared" ref="AF387" si="360">SUM(AF388:AF402)</f>
        <v>9.7385732818740267E-4</v>
      </c>
      <c r="AG387" s="55">
        <f t="shared" ref="AG387" si="361">SUM(AG388:AG402)</f>
        <v>0.16151195897911413</v>
      </c>
      <c r="AH387" s="55">
        <f t="shared" ref="AH387" si="362">SUM(AH388:AH402)</f>
        <v>1.7450247057774717</v>
      </c>
      <c r="AI387" s="55">
        <f t="shared" ref="AI387" si="363">SUM(AI388:AI402)</f>
        <v>0.70892262342647416</v>
      </c>
      <c r="AJ387" s="55">
        <f t="shared" ref="AJ387" si="364">SUM(AJ388:AJ402)</f>
        <v>7.9495469331260422E-4</v>
      </c>
      <c r="AK387" s="55">
        <f t="shared" ref="AK387" si="365">SUM(AK388:AK402)</f>
        <v>3310.6904738518338</v>
      </c>
      <c r="AL387" s="55">
        <f t="shared" ref="AL387" si="366">SUM(AL388:AL402)</f>
        <v>15.853129605799591</v>
      </c>
      <c r="AM387" s="55">
        <f t="shared" ref="AM387" si="367">SUM(AM388:AM402)</f>
        <v>3.2902597090804346E-6</v>
      </c>
      <c r="AN387" s="55">
        <f t="shared" ref="AN387" si="368">SUM(AN388:AN402)</f>
        <v>3.2383659666625957</v>
      </c>
      <c r="AO387" s="55">
        <f t="shared" ref="AO387" si="369">SUM(AO388:AO402)</f>
        <v>4482.4550268344519</v>
      </c>
      <c r="AP387" s="55">
        <f t="shared" ref="AP387" si="370">SUM(AP388:AP402)</f>
        <v>3.0854933590538072E-8</v>
      </c>
      <c r="AQ387" s="55">
        <f t="shared" ref="AQ387" si="371">SUM(AQ388:AQ402)</f>
        <v>1.2143740490687339E-6</v>
      </c>
      <c r="AR387" s="55">
        <f t="shared" ref="AR387" si="372">SUM(AR388:AR402)</f>
        <v>1880.0233095308779</v>
      </c>
      <c r="AS387" s="55">
        <f t="shared" ref="AS387" si="373">SUM(AS388:AS402)</f>
        <v>8.065825212</v>
      </c>
      <c r="AT387" s="55">
        <f t="shared" ref="AT387" si="374">SUM(AT388:AT402)</f>
        <v>0</v>
      </c>
      <c r="AU387" s="55">
        <f t="shared" ref="AU387" si="375">SUM(AU388:AU402)</f>
        <v>41.900338841895604</v>
      </c>
      <c r="AV387" s="55">
        <f t="shared" ref="AV387" si="376">SUM(AV388:AV402)</f>
        <v>0.70667511750000001</v>
      </c>
      <c r="AW387" s="55">
        <f t="shared" ref="AW387" si="377">SUM(AW388:AW402)</f>
        <v>9.926829900000001E-4</v>
      </c>
      <c r="AX387" s="55">
        <f t="shared" ref="AX387" si="378">SUM(AX388:AX402)</f>
        <v>2363.6907780306205</v>
      </c>
      <c r="AY387" s="55">
        <f t="shared" ref="AY387" si="379">SUM(AY388:AY402)</f>
        <v>0</v>
      </c>
      <c r="AZ387" s="55">
        <f t="shared" ref="AZ387" si="380">SUM(AZ388:AZ402)</f>
        <v>0</v>
      </c>
      <c r="BA387" s="55">
        <f t="shared" ref="BA387" si="381">SUM(BA388:BA402)</f>
        <v>0</v>
      </c>
      <c r="BB387" s="55">
        <f t="shared" ref="BB387" si="382">SUM(BB388:BB402)</f>
        <v>-12.582200992506277</v>
      </c>
      <c r="BC387" s="55">
        <f t="shared" ref="BC387" si="383">SUM(BC388:BC402)</f>
        <v>1.7691411677888975E-3</v>
      </c>
      <c r="BD387" s="55">
        <f t="shared" ref="BD387" si="384">SUM(BD388:BD402)</f>
        <v>18.020230820517614</v>
      </c>
      <c r="BE387" s="55">
        <f t="shared" ref="BE387" si="385">SUM(BE388:BE402)</f>
        <v>3.7678772052044352E-3</v>
      </c>
      <c r="BF387" s="55">
        <f t="shared" ref="BF387" si="386">SUM(BF388:BF402)</f>
        <v>0</v>
      </c>
      <c r="BG387" s="55">
        <f t="shared" ref="BG387" si="387">SUM(BG388:BG402)</f>
        <v>1000</v>
      </c>
      <c r="BH387" s="55">
        <f t="shared" ref="BH387" si="388">SUM(BH388:BH402)</f>
        <v>0</v>
      </c>
      <c r="BI387" s="55">
        <f t="shared" ref="BI387" si="389">SUM(BI388:BI402)</f>
        <v>0</v>
      </c>
      <c r="BJ387" s="55">
        <f t="shared" ref="BJ387" si="390">SUM(BJ388:BJ402)</f>
        <v>0</v>
      </c>
      <c r="BK387" s="78">
        <v>0</v>
      </c>
      <c r="BL387" s="41" t="s">
        <v>616</v>
      </c>
      <c r="BM387" s="45"/>
    </row>
    <row r="388" spans="1:65" x14ac:dyDescent="0.35">
      <c r="A388" s="45" t="str">
        <f>Database_Productkaarten[[#This Row],[Product]]&amp;", "&amp;Database_Productkaarten[[#This Row],[Levensfase]]</f>
        <v>DZOAB - PCR 2.0, A1</v>
      </c>
      <c r="B388" s="45" t="s">
        <v>1367</v>
      </c>
      <c r="C388" s="41" t="s">
        <v>443</v>
      </c>
      <c r="D388" s="41" t="s">
        <v>469</v>
      </c>
      <c r="E388" s="41" t="s">
        <v>91</v>
      </c>
      <c r="F388" s="41" t="s">
        <v>19</v>
      </c>
      <c r="G388" s="45"/>
      <c r="H388" s="45"/>
      <c r="I388" s="45"/>
      <c r="J388" s="45"/>
      <c r="K388" s="45"/>
      <c r="L388" s="45">
        <v>2</v>
      </c>
      <c r="M388" s="291">
        <v>7.810592275395889</v>
      </c>
      <c r="N388" s="45">
        <v>14</v>
      </c>
      <c r="O388" s="290">
        <v>8.7147296155702496E-4</v>
      </c>
      <c r="P388" s="290">
        <v>1.26965188574424</v>
      </c>
      <c r="Q388" s="290">
        <v>64.235905784847901</v>
      </c>
      <c r="R388" s="290">
        <v>4.9147717236313402E-6</v>
      </c>
      <c r="S388" s="290">
        <v>0.13744734797330099</v>
      </c>
      <c r="T388" s="290">
        <v>0.37883028393373003</v>
      </c>
      <c r="U388" s="290">
        <v>3.5398243674847299E-2</v>
      </c>
      <c r="V388" s="290">
        <v>15.0171723083327</v>
      </c>
      <c r="W388" s="290">
        <v>1.9824387560130401</v>
      </c>
      <c r="X388" s="290">
        <v>8600.0889928814195</v>
      </c>
      <c r="Y388" s="290">
        <v>0.25897018558721002</v>
      </c>
      <c r="Z388" s="290">
        <v>67.7201393982604</v>
      </c>
      <c r="AA388" s="290">
        <v>67.612130962905695</v>
      </c>
      <c r="AB388" s="290">
        <v>0.101665548364167</v>
      </c>
      <c r="AC388" s="290">
        <v>3.8998886990507103E-2</v>
      </c>
      <c r="AD388" s="290">
        <v>5.9494527342562997E-6</v>
      </c>
      <c r="AE388" s="290">
        <v>0.45472127300242698</v>
      </c>
      <c r="AF388" s="290">
        <v>8.4245919630537695E-4</v>
      </c>
      <c r="AG388" s="290">
        <v>7.2983393289275E-2</v>
      </c>
      <c r="AH388" s="290">
        <v>0.79857528072319195</v>
      </c>
      <c r="AI388" s="290">
        <v>0.44475559687406502</v>
      </c>
      <c r="AJ388" s="290">
        <v>8.7140225315484395E-4</v>
      </c>
      <c r="AK388" s="290">
        <v>2706.9592078200099</v>
      </c>
      <c r="AL388" s="290">
        <v>40.673674706584499</v>
      </c>
      <c r="AM388" s="290">
        <v>2.7001120937126498E-6</v>
      </c>
      <c r="AN388" s="290">
        <v>1.9273657245161899</v>
      </c>
      <c r="AO388" s="290">
        <v>5222.6009029963498</v>
      </c>
      <c r="AP388" s="290">
        <v>1.8527890189579698E-8</v>
      </c>
      <c r="AQ388" s="290">
        <v>8.27970379987412E-7</v>
      </c>
      <c r="AR388" s="290">
        <v>2958.29127040707</v>
      </c>
      <c r="AS388" s="290">
        <v>0</v>
      </c>
      <c r="AT388" s="290">
        <v>0</v>
      </c>
      <c r="AU388" s="290">
        <v>36.925682521026701</v>
      </c>
      <c r="AV388" s="290">
        <v>0</v>
      </c>
      <c r="AW388" s="290">
        <v>0</v>
      </c>
      <c r="AX388" s="290">
        <v>2879.8453364604202</v>
      </c>
      <c r="AY388" s="290">
        <v>0</v>
      </c>
      <c r="AZ388" s="290">
        <v>0</v>
      </c>
      <c r="BA388" s="290">
        <v>0</v>
      </c>
      <c r="BB388" s="290">
        <v>1.00355421409386</v>
      </c>
      <c r="BC388" s="290">
        <v>1.1271088278698501E-3</v>
      </c>
      <c r="BD388" s="290">
        <v>3.09097225513058</v>
      </c>
      <c r="BE388" s="290">
        <v>1.60598716495631E-3</v>
      </c>
      <c r="BF388" s="290">
        <v>0</v>
      </c>
      <c r="BG388" s="290">
        <v>0</v>
      </c>
      <c r="BH388" s="290">
        <v>0</v>
      </c>
      <c r="BI388" s="290">
        <v>0</v>
      </c>
      <c r="BJ388" s="290">
        <v>0</v>
      </c>
      <c r="BK388" s="78">
        <v>0</v>
      </c>
      <c r="BL388" s="41" t="s">
        <v>616</v>
      </c>
      <c r="BM388" s="45"/>
    </row>
    <row r="389" spans="1:65" x14ac:dyDescent="0.35">
      <c r="A389" s="45" t="str">
        <f>Database_Productkaarten[[#This Row],[Product]]&amp;", "&amp;Database_Productkaarten[[#This Row],[Levensfase]]</f>
        <v>DZOAB - PCR 2.0, A2</v>
      </c>
      <c r="B389" s="45" t="s">
        <v>1367</v>
      </c>
      <c r="C389" s="41" t="s">
        <v>443</v>
      </c>
      <c r="D389" s="41" t="s">
        <v>469</v>
      </c>
      <c r="E389" s="41" t="s">
        <v>91</v>
      </c>
      <c r="F389" s="41" t="s">
        <v>20</v>
      </c>
      <c r="G389" s="45"/>
      <c r="H389" s="45"/>
      <c r="I389" s="45"/>
      <c r="J389" s="45"/>
      <c r="K389" s="45"/>
      <c r="L389" s="45">
        <v>2</v>
      </c>
      <c r="M389" s="291">
        <v>2.8857327766458236</v>
      </c>
      <c r="N389" s="45">
        <v>14</v>
      </c>
      <c r="O389" s="290">
        <v>2.28962845800299E-4</v>
      </c>
      <c r="P389" s="290">
        <v>0.108923442403247</v>
      </c>
      <c r="Q389" s="290">
        <v>16.630948772594301</v>
      </c>
      <c r="R389" s="290">
        <v>2.7041352572143099E-6</v>
      </c>
      <c r="S389" s="290">
        <v>1.5408408397940099E-2</v>
      </c>
      <c r="T389" s="290">
        <v>0.24484348840769099</v>
      </c>
      <c r="U389" s="290">
        <v>3.1870754762748699E-2</v>
      </c>
      <c r="V389" s="290">
        <v>7.4356475276774496</v>
      </c>
      <c r="W389" s="290">
        <v>0.15942509962231599</v>
      </c>
      <c r="X389" s="290">
        <v>641.29723324107897</v>
      </c>
      <c r="Y389" s="290">
        <v>2.4858533723563898E-2</v>
      </c>
      <c r="Z389" s="290">
        <v>16.7781316486757</v>
      </c>
      <c r="AA389" s="290">
        <v>16.758170501187699</v>
      </c>
      <c r="AB389" s="290">
        <v>6.1121088858245897E-3</v>
      </c>
      <c r="AC389" s="290">
        <v>1.3849038602190999E-2</v>
      </c>
      <c r="AD389" s="290">
        <v>3.3929150486791198E-6</v>
      </c>
      <c r="AE389" s="290">
        <v>0.31176631499354901</v>
      </c>
      <c r="AF389" s="290">
        <v>1.31076372414378E-4</v>
      </c>
      <c r="AG389" s="290">
        <v>8.6527706043328004E-2</v>
      </c>
      <c r="AH389" s="290">
        <v>0.959319509036346</v>
      </c>
      <c r="AI389" s="290">
        <v>0.25174205013912898</v>
      </c>
      <c r="AJ389" s="290">
        <v>2.2895911575879999E-4</v>
      </c>
      <c r="AK389" s="290">
        <v>226.993448929686</v>
      </c>
      <c r="AL389" s="290">
        <v>0.66024579678347395</v>
      </c>
      <c r="AM389" s="290">
        <v>8.2635896427938402E-7</v>
      </c>
      <c r="AN389" s="290">
        <v>0.96725874064717998</v>
      </c>
      <c r="AO389" s="290">
        <v>178.35407656773299</v>
      </c>
      <c r="AP389" s="290">
        <v>8.4226058886884694E-9</v>
      </c>
      <c r="AQ389" s="290">
        <v>1.6078190247686301E-7</v>
      </c>
      <c r="AR389" s="290">
        <v>122.22497833734199</v>
      </c>
      <c r="AS389" s="290">
        <v>0</v>
      </c>
      <c r="AT389" s="290">
        <v>0</v>
      </c>
      <c r="AU389" s="290">
        <v>2.7794875427549899</v>
      </c>
      <c r="AV389" s="290">
        <v>0</v>
      </c>
      <c r="AW389" s="290">
        <v>0</v>
      </c>
      <c r="AX389" s="290">
        <v>240.97368107176001</v>
      </c>
      <c r="AY389" s="290">
        <v>0</v>
      </c>
      <c r="AZ389" s="290">
        <v>0</v>
      </c>
      <c r="BA389" s="290">
        <v>0</v>
      </c>
      <c r="BB389" s="290">
        <v>2.40702823837186E-2</v>
      </c>
      <c r="BC389" s="290">
        <v>4.2336060362629501E-4</v>
      </c>
      <c r="BD389" s="290">
        <v>5.9400994323549998</v>
      </c>
      <c r="BE389" s="290">
        <v>1.52397402601272E-3</v>
      </c>
      <c r="BF389" s="290">
        <v>0</v>
      </c>
      <c r="BG389" s="290">
        <v>0</v>
      </c>
      <c r="BH389" s="290">
        <v>0</v>
      </c>
      <c r="BI389" s="290">
        <v>0</v>
      </c>
      <c r="BJ389" s="290">
        <v>0</v>
      </c>
      <c r="BK389" s="78">
        <v>0</v>
      </c>
      <c r="BL389" s="41" t="s">
        <v>616</v>
      </c>
      <c r="BM389" s="45"/>
    </row>
    <row r="390" spans="1:65" x14ac:dyDescent="0.35">
      <c r="A390" s="45" t="str">
        <f>Database_Productkaarten[[#This Row],[Product]]&amp;", "&amp;Database_Productkaarten[[#This Row],[Levensfase]]</f>
        <v>DZOAB - PCR 2.0, A3</v>
      </c>
      <c r="B390" s="45" t="s">
        <v>1367</v>
      </c>
      <c r="C390" s="41" t="s">
        <v>443</v>
      </c>
      <c r="D390" s="41" t="s">
        <v>469</v>
      </c>
      <c r="E390" s="41" t="s">
        <v>91</v>
      </c>
      <c r="F390" s="41" t="s">
        <v>21</v>
      </c>
      <c r="G390" s="45"/>
      <c r="H390" s="45"/>
      <c r="I390" s="45"/>
      <c r="J390" s="45"/>
      <c r="K390" s="45"/>
      <c r="L390" s="45">
        <v>2</v>
      </c>
      <c r="M390" s="291">
        <v>1.5118802065171901</v>
      </c>
      <c r="N390" s="45">
        <v>14</v>
      </c>
      <c r="O390" s="290">
        <v>2.1266323640890599E-5</v>
      </c>
      <c r="P390" s="290">
        <v>0.17617964390784999</v>
      </c>
      <c r="Q390" s="290">
        <v>20.734257289898199</v>
      </c>
      <c r="R390" s="290">
        <v>2.3245852476337099E-6</v>
      </c>
      <c r="S390" s="290">
        <v>3.38655282287432E-3</v>
      </c>
      <c r="T390" s="290">
        <v>2.11427723538514E-2</v>
      </c>
      <c r="U390" s="290">
        <v>3.6228445160965601E-3</v>
      </c>
      <c r="V390" s="290">
        <v>3.4575078813707298</v>
      </c>
      <c r="W390" s="290">
        <v>2.37418390857537E-2</v>
      </c>
      <c r="X390" s="290">
        <v>96.508155812660803</v>
      </c>
      <c r="Y390" s="290">
        <v>2.3614717409747299E-2</v>
      </c>
      <c r="Z390" s="290">
        <v>21.045783134755901</v>
      </c>
      <c r="AA390" s="290">
        <v>20.993291579004001</v>
      </c>
      <c r="AB390" s="290">
        <v>5.0649583796841799E-2</v>
      </c>
      <c r="AC390" s="290">
        <v>1.8419719550528599E-3</v>
      </c>
      <c r="AD390" s="290">
        <v>2.6200073572172599E-6</v>
      </c>
      <c r="AE390" s="290">
        <v>2.7187932115855001E-2</v>
      </c>
      <c r="AF390" s="290">
        <v>2.5517672310700399E-4</v>
      </c>
      <c r="AG390" s="290">
        <v>7.6120092666922996E-3</v>
      </c>
      <c r="AH390" s="290">
        <v>8.6187101203146099E-2</v>
      </c>
      <c r="AI390" s="290">
        <v>2.5896609598575301E-2</v>
      </c>
      <c r="AJ390" s="290">
        <v>2.12660334974361E-5</v>
      </c>
      <c r="AK390" s="290">
        <v>324.23054372370899</v>
      </c>
      <c r="AL390" s="290">
        <v>0.510807624704949</v>
      </c>
      <c r="AM390" s="290">
        <v>1.8767759521431499E-7</v>
      </c>
      <c r="AN390" s="290">
        <v>0.24777295614689501</v>
      </c>
      <c r="AO390" s="290">
        <v>72.990996126138199</v>
      </c>
      <c r="AP390" s="290">
        <v>2.67168323058591E-9</v>
      </c>
      <c r="AQ390" s="290">
        <v>4.7155584181688602E-8</v>
      </c>
      <c r="AR390" s="290">
        <v>15.4535093544422</v>
      </c>
      <c r="AS390" s="290">
        <v>0</v>
      </c>
      <c r="AT390" s="290">
        <v>0</v>
      </c>
      <c r="AU390" s="290">
        <v>6.5731831107408798</v>
      </c>
      <c r="AV390" s="290">
        <v>0</v>
      </c>
      <c r="AW390" s="290">
        <v>0</v>
      </c>
      <c r="AX390" s="290">
        <v>357.27533356895202</v>
      </c>
      <c r="AY390" s="290">
        <v>0</v>
      </c>
      <c r="AZ390" s="290">
        <v>0</v>
      </c>
      <c r="BA390" s="290">
        <v>0</v>
      </c>
      <c r="BB390" s="290">
        <v>3.81542781332041E-2</v>
      </c>
      <c r="BC390" s="290">
        <v>3.9264619818341799E-4</v>
      </c>
      <c r="BD390" s="290">
        <v>0.256884471464354</v>
      </c>
      <c r="BE390" s="290">
        <v>3.13692512368398E-4</v>
      </c>
      <c r="BF390" s="290">
        <v>0</v>
      </c>
      <c r="BG390" s="290">
        <v>0</v>
      </c>
      <c r="BH390" s="290">
        <v>0</v>
      </c>
      <c r="BI390" s="290">
        <v>0</v>
      </c>
      <c r="BJ390" s="290">
        <v>0</v>
      </c>
      <c r="BK390" s="78">
        <v>0</v>
      </c>
      <c r="BL390" s="41" t="s">
        <v>616</v>
      </c>
      <c r="BM390" s="45"/>
    </row>
    <row r="391" spans="1:65" x14ac:dyDescent="0.35">
      <c r="A391" s="45" t="str">
        <f>Database_Productkaarten[[#This Row],[Product]]&amp;", "&amp;Database_Productkaarten[[#This Row],[Levensfase]]</f>
        <v>DZOAB - PCR 2.0, A4</v>
      </c>
      <c r="B391" s="45" t="s">
        <v>1367</v>
      </c>
      <c r="C391" s="41" t="s">
        <v>443</v>
      </c>
      <c r="D391" s="41" t="s">
        <v>469</v>
      </c>
      <c r="E391" s="41" t="s">
        <v>91</v>
      </c>
      <c r="F391" s="41" t="s">
        <v>22</v>
      </c>
      <c r="G391" s="45"/>
      <c r="H391" s="45"/>
      <c r="I391" s="45"/>
      <c r="J391" s="45"/>
      <c r="K391" s="45"/>
      <c r="L391" s="45">
        <v>2</v>
      </c>
      <c r="M391" s="291">
        <v>0.37546048090943995</v>
      </c>
      <c r="N391" s="45">
        <v>14</v>
      </c>
      <c r="O391" s="290">
        <v>6.8533509000000002E-5</v>
      </c>
      <c r="P391" s="290">
        <v>2.9713889699999999E-2</v>
      </c>
      <c r="Q391" s="290">
        <v>3.9891474704999998</v>
      </c>
      <c r="R391" s="290">
        <v>7.557213E-7</v>
      </c>
      <c r="S391" s="290">
        <v>2.4773701499999998E-3</v>
      </c>
      <c r="T391" s="290">
        <v>1.36398132E-2</v>
      </c>
      <c r="U391" s="290">
        <v>2.5682192100000001E-3</v>
      </c>
      <c r="V391" s="290">
        <v>0.8608144794</v>
      </c>
      <c r="W391" s="290">
        <v>3.6189873900000002E-2</v>
      </c>
      <c r="X391" s="290">
        <v>97.376595929999993</v>
      </c>
      <c r="Y391" s="290">
        <v>4.8437180999999999E-3</v>
      </c>
      <c r="Z391" s="290">
        <v>4.0259382761999998</v>
      </c>
      <c r="AA391" s="290">
        <v>4.0229543298000001</v>
      </c>
      <c r="AB391" s="290">
        <v>1.9814632200000001E-3</v>
      </c>
      <c r="AC391" s="290">
        <v>1.0024609799999999E-3</v>
      </c>
      <c r="AD391" s="290">
        <v>9.4976262000000003E-7</v>
      </c>
      <c r="AE391" s="290">
        <v>1.7739576E-2</v>
      </c>
      <c r="AF391" s="290">
        <v>2.7841996800000001E-5</v>
      </c>
      <c r="AG391" s="290">
        <v>5.5484582100000001E-3</v>
      </c>
      <c r="AH391" s="290">
        <v>6.1385308800000003E-2</v>
      </c>
      <c r="AI391" s="290">
        <v>1.9235744999999999E-2</v>
      </c>
      <c r="AJ391" s="290">
        <v>6.8533397999999998E-5</v>
      </c>
      <c r="AK391" s="290">
        <v>62.400806729999999</v>
      </c>
      <c r="AL391" s="290">
        <v>0.212954166</v>
      </c>
      <c r="AM391" s="290">
        <v>2.9338876200000002E-7</v>
      </c>
      <c r="AN391" s="290">
        <v>0.26868483510000002</v>
      </c>
      <c r="AO391" s="290">
        <v>45.56587296</v>
      </c>
      <c r="AP391" s="290">
        <v>1.16371179E-9</v>
      </c>
      <c r="AQ391" s="290">
        <v>3.8268015899999999E-8</v>
      </c>
      <c r="AR391" s="290">
        <v>71.806844609999999</v>
      </c>
      <c r="AS391" s="290">
        <v>0</v>
      </c>
      <c r="AT391" s="290">
        <v>0</v>
      </c>
      <c r="AU391" s="290">
        <v>0.63474917099999995</v>
      </c>
      <c r="AV391" s="290">
        <v>0</v>
      </c>
      <c r="AW391" s="290">
        <v>0</v>
      </c>
      <c r="AX391" s="290">
        <v>66.265108560000002</v>
      </c>
      <c r="AY391" s="290">
        <v>0</v>
      </c>
      <c r="AZ391" s="290">
        <v>0</v>
      </c>
      <c r="BA391" s="290">
        <v>0</v>
      </c>
      <c r="BB391" s="290">
        <v>6.7467797999999999E-3</v>
      </c>
      <c r="BC391" s="290">
        <v>1.54707915E-4</v>
      </c>
      <c r="BD391" s="290">
        <v>5.4635493149999999</v>
      </c>
      <c r="BE391" s="290">
        <v>4.25149758E-4</v>
      </c>
      <c r="BF391" s="290">
        <v>0</v>
      </c>
      <c r="BG391" s="290">
        <v>0</v>
      </c>
      <c r="BH391" s="290">
        <v>0</v>
      </c>
      <c r="BI391" s="290">
        <v>0</v>
      </c>
      <c r="BJ391" s="290">
        <v>0</v>
      </c>
      <c r="BK391" s="78">
        <v>0</v>
      </c>
      <c r="BL391" s="41" t="s">
        <v>616</v>
      </c>
      <c r="BM391" s="45"/>
    </row>
    <row r="392" spans="1:65" x14ac:dyDescent="0.35">
      <c r="A392" s="45" t="str">
        <f>Database_Productkaarten[[#This Row],[Product]]&amp;", "&amp;Database_Productkaarten[[#This Row],[Levensfase]]</f>
        <v>DZOAB - PCR 2.0, A5</v>
      </c>
      <c r="B392" s="45" t="s">
        <v>1367</v>
      </c>
      <c r="C392" s="41" t="s">
        <v>443</v>
      </c>
      <c r="D392" s="41" t="s">
        <v>469</v>
      </c>
      <c r="E392" s="41" t="s">
        <v>91</v>
      </c>
      <c r="F392" s="41" t="s">
        <v>23</v>
      </c>
      <c r="G392" s="45"/>
      <c r="H392" s="45"/>
      <c r="I392" s="45"/>
      <c r="J392" s="45"/>
      <c r="K392" s="45"/>
      <c r="L392" s="45">
        <v>2</v>
      </c>
      <c r="M392" s="291">
        <v>0.11508990381964965</v>
      </c>
      <c r="N392" s="45">
        <v>14</v>
      </c>
      <c r="O392" s="290">
        <v>1.36108829181357E-6</v>
      </c>
      <c r="P392" s="290">
        <v>5.7900424930806098E-3</v>
      </c>
      <c r="Q392" s="290">
        <v>1.1775394631625</v>
      </c>
      <c r="R392" s="290">
        <v>1.52166898235464E-7</v>
      </c>
      <c r="S392" s="290">
        <v>3.97694910772289E-4</v>
      </c>
      <c r="T392" s="290">
        <v>4.0133663874677896E-3</v>
      </c>
      <c r="U392" s="290">
        <v>8.9200970091015297E-4</v>
      </c>
      <c r="V392" s="290">
        <v>0.31853178951413802</v>
      </c>
      <c r="W392" s="290">
        <v>4.5166714584730597E-3</v>
      </c>
      <c r="X392" s="290">
        <v>15.6934427232963</v>
      </c>
      <c r="Y392" s="290">
        <v>5.3488215991063799E-4</v>
      </c>
      <c r="Z392" s="290">
        <v>1.18572452130924</v>
      </c>
      <c r="AA392" s="290">
        <v>1.18538439263335</v>
      </c>
      <c r="AB392" s="290">
        <v>2.7090790254075001E-4</v>
      </c>
      <c r="AC392" s="290">
        <v>6.9220773347382895E-5</v>
      </c>
      <c r="AD392" s="290">
        <v>1.9173630174513001E-7</v>
      </c>
      <c r="AE392" s="290">
        <v>5.5294629342482896E-3</v>
      </c>
      <c r="AF392" s="290">
        <v>3.23403406414887E-6</v>
      </c>
      <c r="AG392" s="290">
        <v>2.2810385909082802E-3</v>
      </c>
      <c r="AH392" s="290">
        <v>2.5051401722491699E-2</v>
      </c>
      <c r="AI392" s="290">
        <v>6.6437026513872198E-3</v>
      </c>
      <c r="AJ392" s="290">
        <v>1.3610776111909301E-6</v>
      </c>
      <c r="AK392" s="290">
        <v>12.2166362681858</v>
      </c>
      <c r="AL392" s="290">
        <v>1.62705640115949E-2</v>
      </c>
      <c r="AM392" s="290">
        <v>2.1944772140985E-8</v>
      </c>
      <c r="AN392" s="290">
        <v>5.2434937515878598E-2</v>
      </c>
      <c r="AO392" s="290">
        <v>7.3299436880678597</v>
      </c>
      <c r="AP392" s="290">
        <v>2.5717564105218098E-10</v>
      </c>
      <c r="AQ392" s="290">
        <v>5.8020979040395996E-9</v>
      </c>
      <c r="AR392" s="290">
        <v>1.56040896283329</v>
      </c>
      <c r="AS392" s="290">
        <v>0</v>
      </c>
      <c r="AT392" s="290">
        <v>0</v>
      </c>
      <c r="AU392" s="290">
        <v>6.7148701937644301E-2</v>
      </c>
      <c r="AV392" s="290">
        <v>0</v>
      </c>
      <c r="AW392" s="290">
        <v>0</v>
      </c>
      <c r="AX392" s="290">
        <v>12.9736813249164</v>
      </c>
      <c r="AY392" s="290">
        <v>0</v>
      </c>
      <c r="AZ392" s="290">
        <v>0</v>
      </c>
      <c r="BA392" s="290">
        <v>0</v>
      </c>
      <c r="BB392" s="290">
        <v>6.3151909846996795E-4</v>
      </c>
      <c r="BC392" s="290">
        <v>3.3269162781749603E-5</v>
      </c>
      <c r="BD392" s="290">
        <v>1.4455599868438199E-2</v>
      </c>
      <c r="BE392" s="290">
        <v>8.4906277653172795E-5</v>
      </c>
      <c r="BF392" s="290">
        <v>0</v>
      </c>
      <c r="BG392" s="290">
        <v>0</v>
      </c>
      <c r="BH392" s="290">
        <v>0</v>
      </c>
      <c r="BI392" s="290">
        <v>0</v>
      </c>
      <c r="BJ392" s="290">
        <v>0</v>
      </c>
      <c r="BK392" s="78">
        <v>0</v>
      </c>
      <c r="BL392" s="41" t="s">
        <v>616</v>
      </c>
      <c r="BM392" s="45"/>
    </row>
    <row r="393" spans="1:65" x14ac:dyDescent="0.35">
      <c r="A393" s="45" t="str">
        <f>Database_Productkaarten[[#This Row],[Product]]&amp;", "&amp;Database_Productkaarten[[#This Row],[Levensfase]]</f>
        <v>DZOAB - PCR 2.0, B1</v>
      </c>
      <c r="B393" s="45" t="s">
        <v>1367</v>
      </c>
      <c r="C393" s="41" t="s">
        <v>443</v>
      </c>
      <c r="D393" s="41" t="s">
        <v>469</v>
      </c>
      <c r="E393" s="41" t="s">
        <v>91</v>
      </c>
      <c r="F393" s="41" t="s">
        <v>24</v>
      </c>
      <c r="G393" s="45"/>
      <c r="H393" s="45"/>
      <c r="I393" s="45"/>
      <c r="J393" s="45"/>
      <c r="K393" s="45"/>
      <c r="L393" s="45">
        <v>2</v>
      </c>
      <c r="M393" s="291">
        <v>0.63803196066933088</v>
      </c>
      <c r="N393" s="45">
        <v>14</v>
      </c>
      <c r="O393" s="290">
        <v>0</v>
      </c>
      <c r="P393" s="290">
        <v>0</v>
      </c>
      <c r="Q393" s="290">
        <v>0</v>
      </c>
      <c r="R393" s="290">
        <v>0</v>
      </c>
      <c r="S393" s="290">
        <v>0</v>
      </c>
      <c r="T393" s="290">
        <v>0</v>
      </c>
      <c r="U393" s="290">
        <v>0</v>
      </c>
      <c r="V393" s="290">
        <v>2.21599595321837</v>
      </c>
      <c r="W393" s="290">
        <v>3.1435906259976898</v>
      </c>
      <c r="X393" s="290">
        <v>3441.17206099747</v>
      </c>
      <c r="Y393" s="290">
        <v>2.7899999999979499E-3</v>
      </c>
      <c r="Z393" s="290">
        <v>0</v>
      </c>
      <c r="AA393" s="290">
        <v>0</v>
      </c>
      <c r="AB393" s="290">
        <v>0</v>
      </c>
      <c r="AC393" s="290">
        <v>0</v>
      </c>
      <c r="AD393" s="290">
        <v>0</v>
      </c>
      <c r="AE393" s="290">
        <v>0</v>
      </c>
      <c r="AF393" s="290">
        <v>0</v>
      </c>
      <c r="AG393" s="290">
        <v>0</v>
      </c>
      <c r="AH393" s="290">
        <v>0</v>
      </c>
      <c r="AI393" s="290">
        <v>0</v>
      </c>
      <c r="AJ393" s="290">
        <v>0</v>
      </c>
      <c r="AK393" s="290">
        <v>0</v>
      </c>
      <c r="AL393" s="290">
        <v>0</v>
      </c>
      <c r="AM393" s="290">
        <v>0</v>
      </c>
      <c r="AN393" s="290">
        <v>0</v>
      </c>
      <c r="AO393" s="290">
        <v>19.2904605006858</v>
      </c>
      <c r="AP393" s="290">
        <v>3.4029317760975E-9</v>
      </c>
      <c r="AQ393" s="290">
        <v>2.0449895299124001E-7</v>
      </c>
      <c r="AR393" s="290">
        <v>0</v>
      </c>
      <c r="AS393" s="290">
        <v>0</v>
      </c>
      <c r="AT393" s="290">
        <v>0</v>
      </c>
      <c r="AU393" s="290">
        <v>0</v>
      </c>
      <c r="AV393" s="290">
        <v>0</v>
      </c>
      <c r="AW393" s="290">
        <v>0</v>
      </c>
      <c r="AX393" s="290">
        <v>0</v>
      </c>
      <c r="AY393" s="290">
        <v>0</v>
      </c>
      <c r="AZ393" s="290">
        <v>0</v>
      </c>
      <c r="BA393" s="290">
        <v>0</v>
      </c>
      <c r="BB393" s="290">
        <v>0</v>
      </c>
      <c r="BC393" s="290">
        <v>0</v>
      </c>
      <c r="BD393" s="290">
        <v>0</v>
      </c>
      <c r="BE393" s="290">
        <v>0</v>
      </c>
      <c r="BF393" s="290">
        <v>0</v>
      </c>
      <c r="BG393" s="290">
        <v>0</v>
      </c>
      <c r="BH393" s="290">
        <v>0</v>
      </c>
      <c r="BI393" s="290">
        <v>0</v>
      </c>
      <c r="BJ393" s="290">
        <v>0</v>
      </c>
      <c r="BK393" s="78">
        <v>0</v>
      </c>
      <c r="BL393" s="41" t="s">
        <v>616</v>
      </c>
      <c r="BM393" s="45"/>
    </row>
    <row r="394" spans="1:65" x14ac:dyDescent="0.35">
      <c r="A394" s="45" t="str">
        <f>Database_Productkaarten[[#This Row],[Product]]&amp;", "&amp;Database_Productkaarten[[#This Row],[Levensfase]]</f>
        <v>DZOAB - PCR 2.0, B2</v>
      </c>
      <c r="B394" s="45" t="s">
        <v>1367</v>
      </c>
      <c r="C394" s="41" t="s">
        <v>443</v>
      </c>
      <c r="D394" s="41" t="s">
        <v>469</v>
      </c>
      <c r="E394" s="41" t="s">
        <v>91</v>
      </c>
      <c r="F394" s="41" t="s">
        <v>604</v>
      </c>
      <c r="G394" s="45"/>
      <c r="H394" s="45"/>
      <c r="I394" s="45"/>
      <c r="J394" s="45"/>
      <c r="K394" s="45"/>
      <c r="L394" s="45">
        <v>2</v>
      </c>
      <c r="M394" s="291">
        <v>0</v>
      </c>
      <c r="N394" s="45">
        <v>14</v>
      </c>
      <c r="O394" s="290">
        <v>0</v>
      </c>
      <c r="P394" s="290">
        <v>0</v>
      </c>
      <c r="Q394" s="290">
        <v>0</v>
      </c>
      <c r="R394" s="290">
        <v>0</v>
      </c>
      <c r="S394" s="290">
        <v>0</v>
      </c>
      <c r="T394" s="290">
        <v>0</v>
      </c>
      <c r="U394" s="290">
        <v>0</v>
      </c>
      <c r="V394" s="290">
        <v>0</v>
      </c>
      <c r="W394" s="290">
        <v>0</v>
      </c>
      <c r="X394" s="290">
        <v>0</v>
      </c>
      <c r="Y394" s="290">
        <v>0</v>
      </c>
      <c r="Z394" s="290">
        <v>0</v>
      </c>
      <c r="AA394" s="290">
        <v>0</v>
      </c>
      <c r="AB394" s="290">
        <v>0</v>
      </c>
      <c r="AC394" s="290">
        <v>0</v>
      </c>
      <c r="AD394" s="290">
        <v>0</v>
      </c>
      <c r="AE394" s="290">
        <v>0</v>
      </c>
      <c r="AF394" s="290">
        <v>0</v>
      </c>
      <c r="AG394" s="290">
        <v>0</v>
      </c>
      <c r="AH394" s="290">
        <v>0</v>
      </c>
      <c r="AI394" s="290">
        <v>0</v>
      </c>
      <c r="AJ394" s="290">
        <v>0</v>
      </c>
      <c r="AK394" s="290">
        <v>0</v>
      </c>
      <c r="AL394" s="290">
        <v>0</v>
      </c>
      <c r="AM394" s="290">
        <v>0</v>
      </c>
      <c r="AN394" s="290">
        <v>0</v>
      </c>
      <c r="AO394" s="290">
        <v>0</v>
      </c>
      <c r="AP394" s="290">
        <v>0</v>
      </c>
      <c r="AQ394" s="290">
        <v>0</v>
      </c>
      <c r="AR394" s="290">
        <v>0</v>
      </c>
      <c r="AS394" s="290">
        <v>0</v>
      </c>
      <c r="AT394" s="290">
        <v>0</v>
      </c>
      <c r="AU394" s="290">
        <v>0</v>
      </c>
      <c r="AV394" s="290">
        <v>0</v>
      </c>
      <c r="AW394" s="290">
        <v>0</v>
      </c>
      <c r="AX394" s="290">
        <v>0</v>
      </c>
      <c r="AY394" s="290">
        <v>0</v>
      </c>
      <c r="AZ394" s="290">
        <v>0</v>
      </c>
      <c r="BA394" s="290">
        <v>0</v>
      </c>
      <c r="BB394" s="290">
        <v>0</v>
      </c>
      <c r="BC394" s="290">
        <v>0</v>
      </c>
      <c r="BD394" s="290">
        <v>0</v>
      </c>
      <c r="BE394" s="290">
        <v>0</v>
      </c>
      <c r="BF394" s="290">
        <v>0</v>
      </c>
      <c r="BG394" s="290">
        <v>0</v>
      </c>
      <c r="BH394" s="290">
        <v>0</v>
      </c>
      <c r="BI394" s="290">
        <v>0</v>
      </c>
      <c r="BJ394" s="290">
        <v>0</v>
      </c>
      <c r="BK394" s="78">
        <v>0</v>
      </c>
      <c r="BL394" s="41" t="s">
        <v>616</v>
      </c>
      <c r="BM394" s="45"/>
    </row>
    <row r="395" spans="1:65" x14ac:dyDescent="0.35">
      <c r="A395" s="45" t="str">
        <f>Database_Productkaarten[[#This Row],[Product]]&amp;", "&amp;Database_Productkaarten[[#This Row],[Levensfase]]</f>
        <v>DZOAB - PCR 2.0, B3</v>
      </c>
      <c r="B395" s="45" t="s">
        <v>1367</v>
      </c>
      <c r="C395" s="41" t="s">
        <v>443</v>
      </c>
      <c r="D395" s="41" t="s">
        <v>469</v>
      </c>
      <c r="E395" s="41" t="s">
        <v>91</v>
      </c>
      <c r="F395" s="41" t="s">
        <v>602</v>
      </c>
      <c r="G395" s="45"/>
      <c r="H395" s="45"/>
      <c r="I395" s="45"/>
      <c r="J395" s="45"/>
      <c r="K395" s="45"/>
      <c r="L395" s="45">
        <v>2</v>
      </c>
      <c r="M395" s="291">
        <v>0</v>
      </c>
      <c r="N395" s="45">
        <v>14</v>
      </c>
      <c r="O395" s="290">
        <v>0</v>
      </c>
      <c r="P395" s="290">
        <v>0</v>
      </c>
      <c r="Q395" s="290">
        <v>0</v>
      </c>
      <c r="R395" s="290">
        <v>0</v>
      </c>
      <c r="S395" s="290">
        <v>0</v>
      </c>
      <c r="T395" s="290">
        <v>0</v>
      </c>
      <c r="U395" s="290">
        <v>0</v>
      </c>
      <c r="V395" s="290">
        <v>0</v>
      </c>
      <c r="W395" s="290">
        <v>0</v>
      </c>
      <c r="X395" s="290">
        <v>0</v>
      </c>
      <c r="Y395" s="290">
        <v>0</v>
      </c>
      <c r="Z395" s="290">
        <v>0</v>
      </c>
      <c r="AA395" s="290">
        <v>0</v>
      </c>
      <c r="AB395" s="290">
        <v>0</v>
      </c>
      <c r="AC395" s="290">
        <v>0</v>
      </c>
      <c r="AD395" s="290">
        <v>0</v>
      </c>
      <c r="AE395" s="290">
        <v>0</v>
      </c>
      <c r="AF395" s="290">
        <v>0</v>
      </c>
      <c r="AG395" s="290">
        <v>0</v>
      </c>
      <c r="AH395" s="290">
        <v>0</v>
      </c>
      <c r="AI395" s="290">
        <v>0</v>
      </c>
      <c r="AJ395" s="290">
        <v>0</v>
      </c>
      <c r="AK395" s="290">
        <v>0</v>
      </c>
      <c r="AL395" s="290">
        <v>0</v>
      </c>
      <c r="AM395" s="290">
        <v>0</v>
      </c>
      <c r="AN395" s="290">
        <v>0</v>
      </c>
      <c r="AO395" s="290">
        <v>0</v>
      </c>
      <c r="AP395" s="290">
        <v>0</v>
      </c>
      <c r="AQ395" s="290">
        <v>0</v>
      </c>
      <c r="AR395" s="290">
        <v>0</v>
      </c>
      <c r="AS395" s="290">
        <v>0</v>
      </c>
      <c r="AT395" s="290">
        <v>0</v>
      </c>
      <c r="AU395" s="290">
        <v>0</v>
      </c>
      <c r="AV395" s="290">
        <v>0</v>
      </c>
      <c r="AW395" s="290">
        <v>0</v>
      </c>
      <c r="AX395" s="290">
        <v>0</v>
      </c>
      <c r="AY395" s="290">
        <v>0</v>
      </c>
      <c r="AZ395" s="290">
        <v>0</v>
      </c>
      <c r="BA395" s="290">
        <v>0</v>
      </c>
      <c r="BB395" s="290">
        <v>0</v>
      </c>
      <c r="BC395" s="290">
        <v>0</v>
      </c>
      <c r="BD395" s="290">
        <v>0</v>
      </c>
      <c r="BE395" s="290">
        <v>0</v>
      </c>
      <c r="BF395" s="290">
        <v>0</v>
      </c>
      <c r="BG395" s="290">
        <v>0</v>
      </c>
      <c r="BH395" s="290">
        <v>0</v>
      </c>
      <c r="BI395" s="290">
        <v>0</v>
      </c>
      <c r="BJ395" s="290">
        <v>0</v>
      </c>
      <c r="BK395" s="78">
        <v>0</v>
      </c>
      <c r="BL395" s="41" t="s">
        <v>616</v>
      </c>
      <c r="BM395" s="45"/>
    </row>
    <row r="396" spans="1:65" x14ac:dyDescent="0.35">
      <c r="A396" s="45" t="str">
        <f>Database_Productkaarten[[#This Row],[Product]]&amp;", "&amp;Database_Productkaarten[[#This Row],[Levensfase]]</f>
        <v>DZOAB - PCR 2.0, B4</v>
      </c>
      <c r="B396" s="45" t="s">
        <v>1367</v>
      </c>
      <c r="C396" s="41" t="s">
        <v>443</v>
      </c>
      <c r="D396" s="41" t="s">
        <v>469</v>
      </c>
      <c r="E396" s="41" t="s">
        <v>91</v>
      </c>
      <c r="F396" s="41" t="s">
        <v>50</v>
      </c>
      <c r="G396" s="45"/>
      <c r="H396" s="45"/>
      <c r="I396" s="45"/>
      <c r="J396" s="45"/>
      <c r="K396" s="45"/>
      <c r="L396" s="45">
        <v>2</v>
      </c>
      <c r="M396" s="291">
        <v>0</v>
      </c>
      <c r="N396" s="45">
        <v>14</v>
      </c>
      <c r="O396" s="290">
        <v>0</v>
      </c>
      <c r="P396" s="290">
        <v>0</v>
      </c>
      <c r="Q396" s="290">
        <v>0</v>
      </c>
      <c r="R396" s="290">
        <v>0</v>
      </c>
      <c r="S396" s="290">
        <v>0</v>
      </c>
      <c r="T396" s="290">
        <v>0</v>
      </c>
      <c r="U396" s="290">
        <v>0</v>
      </c>
      <c r="V396" s="290">
        <v>0</v>
      </c>
      <c r="W396" s="290">
        <v>0</v>
      </c>
      <c r="X396" s="290">
        <v>0</v>
      </c>
      <c r="Y396" s="290">
        <v>0</v>
      </c>
      <c r="Z396" s="290">
        <v>0</v>
      </c>
      <c r="AA396" s="290">
        <v>0</v>
      </c>
      <c r="AB396" s="290">
        <v>0</v>
      </c>
      <c r="AC396" s="290">
        <v>0</v>
      </c>
      <c r="AD396" s="290">
        <v>0</v>
      </c>
      <c r="AE396" s="290">
        <v>0</v>
      </c>
      <c r="AF396" s="290">
        <v>0</v>
      </c>
      <c r="AG396" s="290">
        <v>0</v>
      </c>
      <c r="AH396" s="290">
        <v>0</v>
      </c>
      <c r="AI396" s="290">
        <v>0</v>
      </c>
      <c r="AJ396" s="290">
        <v>0</v>
      </c>
      <c r="AK396" s="290">
        <v>0</v>
      </c>
      <c r="AL396" s="290">
        <v>0</v>
      </c>
      <c r="AM396" s="290">
        <v>0</v>
      </c>
      <c r="AN396" s="290">
        <v>0</v>
      </c>
      <c r="AO396" s="290">
        <v>0</v>
      </c>
      <c r="AP396" s="290">
        <v>0</v>
      </c>
      <c r="AQ396" s="290">
        <v>0</v>
      </c>
      <c r="AR396" s="290">
        <v>0</v>
      </c>
      <c r="AS396" s="290">
        <v>0</v>
      </c>
      <c r="AT396" s="290">
        <v>0</v>
      </c>
      <c r="AU396" s="290">
        <v>0</v>
      </c>
      <c r="AV396" s="290">
        <v>0</v>
      </c>
      <c r="AW396" s="290">
        <v>0</v>
      </c>
      <c r="AX396" s="290">
        <v>0</v>
      </c>
      <c r="AY396" s="290">
        <v>0</v>
      </c>
      <c r="AZ396" s="290">
        <v>0</v>
      </c>
      <c r="BA396" s="290">
        <v>0</v>
      </c>
      <c r="BB396" s="290">
        <v>0</v>
      </c>
      <c r="BC396" s="290">
        <v>0</v>
      </c>
      <c r="BD396" s="290">
        <v>0</v>
      </c>
      <c r="BE396" s="290">
        <v>0</v>
      </c>
      <c r="BF396" s="290">
        <v>0</v>
      </c>
      <c r="BG396" s="290">
        <v>0</v>
      </c>
      <c r="BH396" s="290">
        <v>0</v>
      </c>
      <c r="BI396" s="290">
        <v>0</v>
      </c>
      <c r="BJ396" s="290">
        <v>0</v>
      </c>
      <c r="BK396" s="78">
        <v>0</v>
      </c>
      <c r="BL396" s="41" t="s">
        <v>616</v>
      </c>
      <c r="BM396" s="45"/>
    </row>
    <row r="397" spans="1:65" x14ac:dyDescent="0.35">
      <c r="A397" s="45" t="str">
        <f>Database_Productkaarten[[#This Row],[Product]]&amp;", "&amp;Database_Productkaarten[[#This Row],[Levensfase]]</f>
        <v>DZOAB - PCR 2.0, B5</v>
      </c>
      <c r="B397" s="45" t="s">
        <v>1367</v>
      </c>
      <c r="C397" s="41" t="s">
        <v>443</v>
      </c>
      <c r="D397" s="41" t="s">
        <v>469</v>
      </c>
      <c r="E397" s="41" t="s">
        <v>91</v>
      </c>
      <c r="F397" s="41" t="s">
        <v>1358</v>
      </c>
      <c r="G397" s="45"/>
      <c r="H397" s="45"/>
      <c r="I397" s="45"/>
      <c r="J397" s="45"/>
      <c r="K397" s="45"/>
      <c r="L397" s="45">
        <v>2</v>
      </c>
      <c r="M397" s="291">
        <v>0</v>
      </c>
      <c r="N397" s="45">
        <v>14</v>
      </c>
      <c r="O397" s="290">
        <v>0</v>
      </c>
      <c r="P397" s="290">
        <v>0</v>
      </c>
      <c r="Q397" s="290">
        <v>0</v>
      </c>
      <c r="R397" s="290">
        <v>0</v>
      </c>
      <c r="S397" s="290">
        <v>0</v>
      </c>
      <c r="T397" s="290">
        <v>0</v>
      </c>
      <c r="U397" s="290">
        <v>0</v>
      </c>
      <c r="V397" s="290">
        <v>0</v>
      </c>
      <c r="W397" s="290">
        <v>0</v>
      </c>
      <c r="X397" s="290">
        <v>0</v>
      </c>
      <c r="Y397" s="290">
        <v>0</v>
      </c>
      <c r="Z397" s="290">
        <v>0</v>
      </c>
      <c r="AA397" s="290">
        <v>0</v>
      </c>
      <c r="AB397" s="290">
        <v>0</v>
      </c>
      <c r="AC397" s="290">
        <v>0</v>
      </c>
      <c r="AD397" s="290">
        <v>0</v>
      </c>
      <c r="AE397" s="290">
        <v>0</v>
      </c>
      <c r="AF397" s="290">
        <v>0</v>
      </c>
      <c r="AG397" s="290">
        <v>0</v>
      </c>
      <c r="AH397" s="290">
        <v>0</v>
      </c>
      <c r="AI397" s="290">
        <v>0</v>
      </c>
      <c r="AJ397" s="290">
        <v>0</v>
      </c>
      <c r="AK397" s="290">
        <v>0</v>
      </c>
      <c r="AL397" s="290">
        <v>0</v>
      </c>
      <c r="AM397" s="290">
        <v>0</v>
      </c>
      <c r="AN397" s="290">
        <v>0</v>
      </c>
      <c r="AO397" s="290">
        <v>0</v>
      </c>
      <c r="AP397" s="290">
        <v>0</v>
      </c>
      <c r="AQ397" s="290">
        <v>0</v>
      </c>
      <c r="AR397" s="290">
        <v>0</v>
      </c>
      <c r="AS397" s="290">
        <v>0</v>
      </c>
      <c r="AT397" s="290">
        <v>0</v>
      </c>
      <c r="AU397" s="290">
        <v>0</v>
      </c>
      <c r="AV397" s="290">
        <v>0</v>
      </c>
      <c r="AW397" s="290">
        <v>0</v>
      </c>
      <c r="AX397" s="290">
        <v>0</v>
      </c>
      <c r="AY397" s="290">
        <v>0</v>
      </c>
      <c r="AZ397" s="290">
        <v>0</v>
      </c>
      <c r="BA397" s="290">
        <v>0</v>
      </c>
      <c r="BB397" s="290">
        <v>0</v>
      </c>
      <c r="BC397" s="290">
        <v>0</v>
      </c>
      <c r="BD397" s="290">
        <v>0</v>
      </c>
      <c r="BE397" s="290">
        <v>0</v>
      </c>
      <c r="BF397" s="290">
        <v>0</v>
      </c>
      <c r="BG397" s="290">
        <v>0</v>
      </c>
      <c r="BH397" s="290">
        <v>0</v>
      </c>
      <c r="BI397" s="290">
        <v>0</v>
      </c>
      <c r="BJ397" s="290">
        <v>0</v>
      </c>
      <c r="BK397" s="78">
        <v>0</v>
      </c>
      <c r="BL397" s="41" t="s">
        <v>616</v>
      </c>
      <c r="BM397" s="45"/>
    </row>
    <row r="398" spans="1:65" x14ac:dyDescent="0.35">
      <c r="A398" s="45" t="str">
        <f>Database_Productkaarten[[#This Row],[Product]]&amp;", "&amp;Database_Productkaarten[[#This Row],[Levensfase]]</f>
        <v>DZOAB - PCR 2.0, C1</v>
      </c>
      <c r="B398" s="45" t="s">
        <v>1367</v>
      </c>
      <c r="C398" s="41" t="s">
        <v>443</v>
      </c>
      <c r="D398" s="41" t="s">
        <v>469</v>
      </c>
      <c r="E398" s="41" t="s">
        <v>91</v>
      </c>
      <c r="F398" s="41" t="s">
        <v>25</v>
      </c>
      <c r="G398" s="45"/>
      <c r="H398" s="45"/>
      <c r="I398" s="45"/>
      <c r="J398" s="45"/>
      <c r="K398" s="45"/>
      <c r="L398" s="45">
        <v>2</v>
      </c>
      <c r="M398" s="291">
        <v>0.17627297103268477</v>
      </c>
      <c r="N398" s="45">
        <v>14</v>
      </c>
      <c r="O398" s="290">
        <v>2.1676591314068E-6</v>
      </c>
      <c r="P398" s="290">
        <v>9.2211787852765296E-3</v>
      </c>
      <c r="Q398" s="290">
        <v>1.8753406265180499</v>
      </c>
      <c r="R398" s="290">
        <v>2.42339874967592E-7</v>
      </c>
      <c r="S398" s="290">
        <v>6.1516414921984597E-4</v>
      </c>
      <c r="T398" s="290">
        <v>5.3270131355974398E-3</v>
      </c>
      <c r="U398" s="290">
        <v>1.14380048663484E-3</v>
      </c>
      <c r="V398" s="290">
        <v>0.504712392315111</v>
      </c>
      <c r="W398" s="290">
        <v>7.1932175079385697E-3</v>
      </c>
      <c r="X398" s="290">
        <v>24.993260633397899</v>
      </c>
      <c r="Y398" s="290">
        <v>8.51849365783606E-4</v>
      </c>
      <c r="Z398" s="290">
        <v>1.88685402682583</v>
      </c>
      <c r="AA398" s="290">
        <v>1.88631234041608</v>
      </c>
      <c r="AB398" s="290">
        <v>4.31445918861195E-4</v>
      </c>
      <c r="AC398" s="290">
        <v>1.10240490886573E-4</v>
      </c>
      <c r="AD398" s="290">
        <v>3.0535781389039202E-7</v>
      </c>
      <c r="AE398" s="290">
        <v>7.2305079323222096E-3</v>
      </c>
      <c r="AF398" s="290">
        <v>5.1504986947556099E-6</v>
      </c>
      <c r="AG398" s="290">
        <v>2.8044717855210599E-3</v>
      </c>
      <c r="AH398" s="290">
        <v>3.08259061506399E-2</v>
      </c>
      <c r="AI398" s="290">
        <v>8.42421209813639E-3</v>
      </c>
      <c r="AJ398" s="290">
        <v>2.1676421215263001E-6</v>
      </c>
      <c r="AK398" s="290">
        <v>19.456124427110701</v>
      </c>
      <c r="AL398" s="290">
        <v>2.5912379722169698E-2</v>
      </c>
      <c r="AM398" s="290">
        <v>2.9948141779349198E-8</v>
      </c>
      <c r="AN398" s="290">
        <v>8.3507493080843695E-2</v>
      </c>
      <c r="AO398" s="290">
        <v>11.673738177703401</v>
      </c>
      <c r="AP398" s="290">
        <v>4.0957602093495501E-10</v>
      </c>
      <c r="AQ398" s="290">
        <v>8.19489585454959E-9</v>
      </c>
      <c r="AR398" s="290">
        <v>2.4850957556233899</v>
      </c>
      <c r="AS398" s="290">
        <v>0</v>
      </c>
      <c r="AT398" s="290">
        <v>0</v>
      </c>
      <c r="AU398" s="290">
        <v>0.1069405253081</v>
      </c>
      <c r="AV398" s="290">
        <v>0</v>
      </c>
      <c r="AW398" s="290">
        <v>0</v>
      </c>
      <c r="AX398" s="290">
        <v>20.661788776718801</v>
      </c>
      <c r="AY398" s="290">
        <v>0</v>
      </c>
      <c r="AZ398" s="290">
        <v>0</v>
      </c>
      <c r="BA398" s="290">
        <v>0</v>
      </c>
      <c r="BB398" s="290">
        <v>1.00575263830402E-3</v>
      </c>
      <c r="BC398" s="290">
        <v>5.29842222079716E-5</v>
      </c>
      <c r="BD398" s="290">
        <v>2.30218812719571E-2</v>
      </c>
      <c r="BE398" s="290">
        <v>1.3522110885505299E-4</v>
      </c>
      <c r="BF398" s="290">
        <v>0</v>
      </c>
      <c r="BG398" s="290">
        <v>0</v>
      </c>
      <c r="BH398" s="290">
        <v>0</v>
      </c>
      <c r="BI398" s="290">
        <v>0</v>
      </c>
      <c r="BJ398" s="290">
        <v>0</v>
      </c>
      <c r="BK398" s="78">
        <v>0</v>
      </c>
      <c r="BL398" s="41" t="s">
        <v>616</v>
      </c>
      <c r="BM398" s="45"/>
    </row>
    <row r="399" spans="1:65" x14ac:dyDescent="0.35">
      <c r="A399" s="45" t="str">
        <f>Database_Productkaarten[[#This Row],[Product]]&amp;", "&amp;Database_Productkaarten[[#This Row],[Levensfase]]</f>
        <v>DZOAB - PCR 2.0, C2</v>
      </c>
      <c r="B399" s="45" t="s">
        <v>1367</v>
      </c>
      <c r="C399" s="41" t="s">
        <v>443</v>
      </c>
      <c r="D399" s="41" t="s">
        <v>469</v>
      </c>
      <c r="E399" s="41" t="s">
        <v>91</v>
      </c>
      <c r="F399" s="41" t="s">
        <v>26</v>
      </c>
      <c r="G399" s="45"/>
      <c r="H399" s="45"/>
      <c r="I399" s="45"/>
      <c r="J399" s="45"/>
      <c r="K399" s="45"/>
      <c r="L399" s="45">
        <v>2</v>
      </c>
      <c r="M399" s="291">
        <v>0.31791357541832999</v>
      </c>
      <c r="N399" s="45">
        <v>14</v>
      </c>
      <c r="O399" s="290">
        <v>7.2195843000000002E-5</v>
      </c>
      <c r="P399" s="290">
        <v>2.5045429500000001E-2</v>
      </c>
      <c r="Q399" s="290">
        <v>3.2726104581</v>
      </c>
      <c r="R399" s="290">
        <v>6.2448211500000004E-7</v>
      </c>
      <c r="S399" s="290">
        <v>2.3663202E-3</v>
      </c>
      <c r="T399" s="290">
        <v>9.9103019999999993E-3</v>
      </c>
      <c r="U399" s="290">
        <v>1.66070541E-3</v>
      </c>
      <c r="V399" s="290">
        <v>0.89062466159999998</v>
      </c>
      <c r="W399" s="290">
        <v>3.5055542699999998E-2</v>
      </c>
      <c r="X399" s="290">
        <v>92.682047400000002</v>
      </c>
      <c r="Y399" s="290">
        <v>7.4868390000000003E-3</v>
      </c>
      <c r="Z399" s="290">
        <v>3.3150718431000001</v>
      </c>
      <c r="AA399" s="290">
        <v>3.3001817481</v>
      </c>
      <c r="AB399" s="290">
        <v>1.3607189190000001E-2</v>
      </c>
      <c r="AC399" s="290">
        <v>1.2829113599999999E-3</v>
      </c>
      <c r="AD399" s="290">
        <v>7.8107336699999998E-7</v>
      </c>
      <c r="AE399" s="290">
        <v>1.2482505E-2</v>
      </c>
      <c r="AF399" s="290">
        <v>3.4632532799999998E-5</v>
      </c>
      <c r="AG399" s="290">
        <v>2.8897329300000001E-3</v>
      </c>
      <c r="AH399" s="290">
        <v>3.3662059799999998E-2</v>
      </c>
      <c r="AI399" s="290">
        <v>1.2098522699999999E-2</v>
      </c>
      <c r="AJ399" s="290">
        <v>7.2195510000000004E-5</v>
      </c>
      <c r="AK399" s="290">
        <v>52.307882313</v>
      </c>
      <c r="AL399" s="290">
        <v>0.28570883850000001</v>
      </c>
      <c r="AM399" s="290">
        <v>2.8544027399999998E-7</v>
      </c>
      <c r="AN399" s="290">
        <v>0.22308385950000001</v>
      </c>
      <c r="AO399" s="290">
        <v>50.61443379</v>
      </c>
      <c r="AP399" s="290">
        <v>1.35209877E-9</v>
      </c>
      <c r="AQ399" s="290">
        <v>4.3221490799999998E-8</v>
      </c>
      <c r="AR399" s="290">
        <v>98.528772599999996</v>
      </c>
      <c r="AS399" s="290">
        <v>8.065825212</v>
      </c>
      <c r="AT399" s="290">
        <v>0</v>
      </c>
      <c r="AU399" s="290">
        <v>8.6963547624000004</v>
      </c>
      <c r="AV399" s="290">
        <v>0.70667511750000001</v>
      </c>
      <c r="AW399" s="290">
        <v>9.926829900000001E-4</v>
      </c>
      <c r="AX399" s="290">
        <v>55.561210727999999</v>
      </c>
      <c r="AY399" s="290">
        <v>0</v>
      </c>
      <c r="AZ399" s="290">
        <v>0</v>
      </c>
      <c r="BA399" s="290">
        <v>0</v>
      </c>
      <c r="BB399" s="290">
        <v>8.7338241000000007E-3</v>
      </c>
      <c r="BC399" s="290">
        <v>1.5376752299999999E-4</v>
      </c>
      <c r="BD399" s="290">
        <v>5.5583861609999996</v>
      </c>
      <c r="BE399" s="290">
        <v>3.4865666099999999E-4</v>
      </c>
      <c r="BF399" s="290">
        <v>0</v>
      </c>
      <c r="BG399" s="290">
        <v>0</v>
      </c>
      <c r="BH399" s="290">
        <v>0</v>
      </c>
      <c r="BI399" s="290">
        <v>0</v>
      </c>
      <c r="BJ399" s="290">
        <v>0</v>
      </c>
      <c r="BK399" s="78">
        <v>0</v>
      </c>
      <c r="BL399" s="41" t="s">
        <v>616</v>
      </c>
      <c r="BM399" s="45"/>
    </row>
    <row r="400" spans="1:65" x14ac:dyDescent="0.35">
      <c r="A400" s="45" t="str">
        <f>Database_Productkaarten[[#This Row],[Product]]&amp;", "&amp;Database_Productkaarten[[#This Row],[Levensfase]]</f>
        <v>DZOAB - PCR 2.0, C3</v>
      </c>
      <c r="B400" s="45" t="s">
        <v>1367</v>
      </c>
      <c r="C400" s="41" t="s">
        <v>443</v>
      </c>
      <c r="D400" s="41" t="s">
        <v>469</v>
      </c>
      <c r="E400" s="41" t="s">
        <v>91</v>
      </c>
      <c r="F400" s="41" t="s">
        <v>27</v>
      </c>
      <c r="G400" s="45"/>
      <c r="H400" s="45"/>
      <c r="I400" s="45"/>
      <c r="J400" s="45"/>
      <c r="K400" s="45"/>
      <c r="L400" s="45">
        <v>2</v>
      </c>
      <c r="M400" s="291">
        <v>0.15929996476235939</v>
      </c>
      <c r="N400" s="45">
        <v>14</v>
      </c>
      <c r="O400" s="290">
        <v>1.8651950665593399E-6</v>
      </c>
      <c r="P400" s="290">
        <v>7.9345026757030503E-3</v>
      </c>
      <c r="Q400" s="290">
        <v>1.6136651902597201</v>
      </c>
      <c r="R400" s="290">
        <v>2.08525008693044E-7</v>
      </c>
      <c r="S400" s="290">
        <v>5.8559282845998303E-4</v>
      </c>
      <c r="T400" s="290">
        <v>5.7290956050483196E-3</v>
      </c>
      <c r="U400" s="290">
        <v>1.28200094198795E-3</v>
      </c>
      <c r="V400" s="290">
        <v>0.43705340678974602</v>
      </c>
      <c r="W400" s="290">
        <v>6.189512739389E-3</v>
      </c>
      <c r="X400" s="290">
        <v>21.505828917109799</v>
      </c>
      <c r="Y400" s="290">
        <v>7.3298666358124597E-4</v>
      </c>
      <c r="Z400" s="290">
        <v>1.62432602375711</v>
      </c>
      <c r="AA400" s="290">
        <v>1.62385992149756</v>
      </c>
      <c r="AB400" s="290">
        <v>3.7124416274102997E-4</v>
      </c>
      <c r="AC400" s="290">
        <v>9.4858096809376601E-5</v>
      </c>
      <c r="AD400" s="290">
        <v>2.6274974683591799E-7</v>
      </c>
      <c r="AE400" s="290">
        <v>7.9167720580437598E-3</v>
      </c>
      <c r="AF400" s="290">
        <v>4.4318244582780996E-6</v>
      </c>
      <c r="AG400" s="290">
        <v>3.3042609375408898E-3</v>
      </c>
      <c r="AH400" s="290">
        <v>3.62833109900801E-2</v>
      </c>
      <c r="AI400" s="290">
        <v>9.6537099756043993E-3</v>
      </c>
      <c r="AJ400" s="290">
        <v>1.8651804301505401E-6</v>
      </c>
      <c r="AK400" s="290">
        <v>16.7413163675138</v>
      </c>
      <c r="AL400" s="290">
        <v>2.2296698830704099E-2</v>
      </c>
      <c r="AM400" s="290">
        <v>3.0576571382460597E-8</v>
      </c>
      <c r="AN400" s="290">
        <v>7.1855284743981701E-2</v>
      </c>
      <c r="AO400" s="290">
        <v>10.0456498413344</v>
      </c>
      <c r="AP400" s="290">
        <v>3.5242587847891602E-10</v>
      </c>
      <c r="AQ400" s="290">
        <v>7.5755651599081901E-9</v>
      </c>
      <c r="AR400" s="290">
        <v>2.1383382083271001</v>
      </c>
      <c r="AS400" s="290">
        <v>0</v>
      </c>
      <c r="AT400" s="290">
        <v>0</v>
      </c>
      <c r="AU400" s="290">
        <v>9.2018591544179101E-2</v>
      </c>
      <c r="AV400" s="290">
        <v>0</v>
      </c>
      <c r="AW400" s="290">
        <v>0</v>
      </c>
      <c r="AX400" s="290">
        <v>17.778748482292901</v>
      </c>
      <c r="AY400" s="290">
        <v>0</v>
      </c>
      <c r="AZ400" s="290">
        <v>0</v>
      </c>
      <c r="BA400" s="290">
        <v>0</v>
      </c>
      <c r="BB400" s="290">
        <v>8.6541506086625195E-4</v>
      </c>
      <c r="BC400" s="290">
        <v>4.5591074923138397E-5</v>
      </c>
      <c r="BD400" s="290">
        <v>1.9809525745637501E-2</v>
      </c>
      <c r="BE400" s="290">
        <v>1.16353047154348E-4</v>
      </c>
      <c r="BF400" s="290">
        <v>0</v>
      </c>
      <c r="BG400" s="290">
        <v>1000</v>
      </c>
      <c r="BH400" s="290">
        <v>0</v>
      </c>
      <c r="BI400" s="290">
        <v>0</v>
      </c>
      <c r="BJ400" s="290">
        <v>0</v>
      </c>
      <c r="BK400" s="78">
        <v>0</v>
      </c>
      <c r="BL400" s="41" t="s">
        <v>616</v>
      </c>
      <c r="BM400" s="45"/>
    </row>
    <row r="401" spans="1:65" x14ac:dyDescent="0.35">
      <c r="A401" s="45" t="str">
        <f>Database_Productkaarten[[#This Row],[Product]]&amp;", "&amp;Database_Productkaarten[[#This Row],[Levensfase]]</f>
        <v>DZOAB - PCR 2.0, C4</v>
      </c>
      <c r="B401" s="45" t="s">
        <v>1367</v>
      </c>
      <c r="C401" s="41" t="s">
        <v>443</v>
      </c>
      <c r="D401" s="41" t="s">
        <v>469</v>
      </c>
      <c r="E401" s="41" t="s">
        <v>91</v>
      </c>
      <c r="F401" s="41" t="s">
        <v>28</v>
      </c>
      <c r="G401" s="45"/>
      <c r="H401" s="45"/>
      <c r="I401" s="45"/>
      <c r="J401" s="45"/>
      <c r="K401" s="45"/>
      <c r="L401" s="45">
        <v>2</v>
      </c>
      <c r="M401" s="291">
        <v>0</v>
      </c>
      <c r="N401" s="45">
        <v>14</v>
      </c>
      <c r="O401" s="290">
        <v>0</v>
      </c>
      <c r="P401" s="290">
        <v>0</v>
      </c>
      <c r="Q401" s="290">
        <v>0</v>
      </c>
      <c r="R401" s="290">
        <v>0</v>
      </c>
      <c r="S401" s="290">
        <v>0</v>
      </c>
      <c r="T401" s="290">
        <v>0</v>
      </c>
      <c r="U401" s="290">
        <v>0</v>
      </c>
      <c r="V401" s="290">
        <v>0</v>
      </c>
      <c r="W401" s="290">
        <v>0</v>
      </c>
      <c r="X401" s="290">
        <v>0</v>
      </c>
      <c r="Y401" s="290">
        <v>0</v>
      </c>
      <c r="Z401" s="290">
        <v>0</v>
      </c>
      <c r="AA401" s="290">
        <v>0</v>
      </c>
      <c r="AB401" s="290">
        <v>0</v>
      </c>
      <c r="AC401" s="290">
        <v>0</v>
      </c>
      <c r="AD401" s="290">
        <v>0</v>
      </c>
      <c r="AE401" s="290">
        <v>0</v>
      </c>
      <c r="AF401" s="290">
        <v>0</v>
      </c>
      <c r="AG401" s="290">
        <v>0</v>
      </c>
      <c r="AH401" s="290">
        <v>0</v>
      </c>
      <c r="AI401" s="290">
        <v>0</v>
      </c>
      <c r="AJ401" s="290">
        <v>0</v>
      </c>
      <c r="AK401" s="290">
        <v>0</v>
      </c>
      <c r="AL401" s="290">
        <v>0</v>
      </c>
      <c r="AM401" s="290">
        <v>0</v>
      </c>
      <c r="AN401" s="290">
        <v>0</v>
      </c>
      <c r="AO401" s="290">
        <v>0</v>
      </c>
      <c r="AP401" s="290">
        <v>0</v>
      </c>
      <c r="AQ401" s="290">
        <v>0</v>
      </c>
      <c r="AR401" s="290">
        <v>0</v>
      </c>
      <c r="AS401" s="290">
        <v>0</v>
      </c>
      <c r="AT401" s="290">
        <v>0</v>
      </c>
      <c r="AU401" s="290">
        <v>0</v>
      </c>
      <c r="AV401" s="290">
        <v>0</v>
      </c>
      <c r="AW401" s="290">
        <v>0</v>
      </c>
      <c r="AX401" s="290">
        <v>0</v>
      </c>
      <c r="AY401" s="290">
        <v>0</v>
      </c>
      <c r="AZ401" s="290">
        <v>0</v>
      </c>
      <c r="BA401" s="290">
        <v>0</v>
      </c>
      <c r="BB401" s="290">
        <v>0</v>
      </c>
      <c r="BC401" s="290">
        <v>0</v>
      </c>
      <c r="BD401" s="290">
        <v>0</v>
      </c>
      <c r="BE401" s="290">
        <v>0</v>
      </c>
      <c r="BF401" s="290">
        <v>0</v>
      </c>
      <c r="BG401" s="290">
        <v>0</v>
      </c>
      <c r="BH401" s="290">
        <v>0</v>
      </c>
      <c r="BI401" s="290">
        <v>0</v>
      </c>
      <c r="BJ401" s="290">
        <v>0</v>
      </c>
      <c r="BK401" s="78">
        <v>0</v>
      </c>
      <c r="BL401" s="41" t="s">
        <v>616</v>
      </c>
      <c r="BM401" s="45"/>
    </row>
    <row r="402" spans="1:65" x14ac:dyDescent="0.35">
      <c r="A402" s="45" t="str">
        <f>Database_Productkaarten[[#This Row],[Product]]&amp;", "&amp;Database_Productkaarten[[#This Row],[Levensfase]]</f>
        <v>DZOAB - PCR 2.0, D1</v>
      </c>
      <c r="B402" s="45" t="s">
        <v>1367</v>
      </c>
      <c r="C402" s="41" t="s">
        <v>443</v>
      </c>
      <c r="D402" s="41" t="s">
        <v>469</v>
      </c>
      <c r="E402" s="41" t="s">
        <v>91</v>
      </c>
      <c r="F402" s="41" t="s">
        <v>51</v>
      </c>
      <c r="G402" s="45"/>
      <c r="H402" s="45"/>
      <c r="I402" s="45"/>
      <c r="J402" s="45"/>
      <c r="K402" s="45"/>
      <c r="L402" s="45">
        <v>2</v>
      </c>
      <c r="M402" s="291">
        <v>-3.4527744990800007</v>
      </c>
      <c r="N402" s="45">
        <v>14</v>
      </c>
      <c r="O402" s="290">
        <v>-4.7535578220086902E-4</v>
      </c>
      <c r="P402" s="290">
        <v>-0.56964134205840999</v>
      </c>
      <c r="Q402" s="290">
        <v>-25.564877620448598</v>
      </c>
      <c r="R402" s="290">
        <v>-2.2242619571622801E-6</v>
      </c>
      <c r="S402" s="290">
        <v>-6.15551930760109E-2</v>
      </c>
      <c r="T402" s="290">
        <v>-0.18188482217443</v>
      </c>
      <c r="U402" s="290">
        <v>-1.8270300674484801E-2</v>
      </c>
      <c r="V402" s="290">
        <v>-7.2354795483857997</v>
      </c>
      <c r="W402" s="290">
        <v>-0.87973260638807504</v>
      </c>
      <c r="X402" s="290">
        <v>-3835.04341878792</v>
      </c>
      <c r="Y402" s="290">
        <v>-0.117889303318275</v>
      </c>
      <c r="Z402" s="290">
        <v>-7.6577185879346699</v>
      </c>
      <c r="AA402" s="290">
        <v>-7.5582332677934696</v>
      </c>
      <c r="AB402" s="290">
        <v>-8.9696752284863998E-2</v>
      </c>
      <c r="AC402" s="290">
        <v>-9.7885678563492395E-3</v>
      </c>
      <c r="AD402" s="290">
        <v>-9.9167434806540098E-7</v>
      </c>
      <c r="AE402" s="290">
        <v>-7.5835073869476605E-2</v>
      </c>
      <c r="AF402" s="290">
        <v>-3.3014585045653902E-4</v>
      </c>
      <c r="AG402" s="290">
        <v>-2.2439112074151401E-2</v>
      </c>
      <c r="AH402" s="290">
        <v>-0.28626517264842399</v>
      </c>
      <c r="AI402" s="290">
        <v>-6.9527525610423302E-2</v>
      </c>
      <c r="AJ402" s="290">
        <v>-4.7279551726134398E-4</v>
      </c>
      <c r="AK402" s="290">
        <v>-110.61549272738201</v>
      </c>
      <c r="AL402" s="290">
        <v>-26.554741169337799</v>
      </c>
      <c r="AM402" s="290">
        <v>-1.08518746542871E-6</v>
      </c>
      <c r="AN402" s="290">
        <v>-0.60359786458837295</v>
      </c>
      <c r="AO402" s="290">
        <v>-1136.01104781356</v>
      </c>
      <c r="AP402" s="290">
        <v>-5.7051655948795604E-9</v>
      </c>
      <c r="AQ402" s="290">
        <v>-1.29094836186967E-7</v>
      </c>
      <c r="AR402" s="290">
        <v>-1392.4659087047601</v>
      </c>
      <c r="AS402" s="290">
        <v>0</v>
      </c>
      <c r="AT402" s="290">
        <v>0</v>
      </c>
      <c r="AU402" s="290">
        <v>-13.975226084816899</v>
      </c>
      <c r="AV402" s="290">
        <v>0</v>
      </c>
      <c r="AW402" s="290">
        <v>0</v>
      </c>
      <c r="AX402" s="290">
        <v>-1287.64411094244</v>
      </c>
      <c r="AY402" s="290">
        <v>0</v>
      </c>
      <c r="AZ402" s="290">
        <v>0</v>
      </c>
      <c r="BA402" s="290">
        <v>0</v>
      </c>
      <c r="BB402" s="290">
        <v>-13.6659630578147</v>
      </c>
      <c r="BC402" s="290">
        <v>-6.1429435980352501E-4</v>
      </c>
      <c r="BD402" s="290">
        <v>-2.3469478213183499</v>
      </c>
      <c r="BE402" s="290">
        <v>-7.8606335079556603E-4</v>
      </c>
      <c r="BF402" s="290">
        <v>0</v>
      </c>
      <c r="BG402" s="290">
        <v>0</v>
      </c>
      <c r="BH402" s="290">
        <v>0</v>
      </c>
      <c r="BI402" s="290">
        <v>0</v>
      </c>
      <c r="BJ402" s="290">
        <v>0</v>
      </c>
      <c r="BK402" s="78">
        <v>0</v>
      </c>
      <c r="BL402" s="41" t="s">
        <v>616</v>
      </c>
      <c r="BM402" s="45"/>
    </row>
    <row r="403" spans="1:65" x14ac:dyDescent="0.35">
      <c r="A403" s="45" t="str">
        <f>Database_Productkaarten[[#This Row],[Product]]&amp;", "&amp;Database_Productkaarten[[#This Row],[Levensfase]]</f>
        <v>DZOAB 30% PR - PCR 2.0, Totaal</v>
      </c>
      <c r="B403" s="45" t="s">
        <v>1368</v>
      </c>
      <c r="C403" s="41" t="s">
        <v>443</v>
      </c>
      <c r="D403" s="41" t="s">
        <v>469</v>
      </c>
      <c r="E403" s="41" t="s">
        <v>91</v>
      </c>
      <c r="F403" s="41" t="s">
        <v>16</v>
      </c>
      <c r="G403" s="45"/>
      <c r="H403" s="45"/>
      <c r="I403" s="45"/>
      <c r="J403" s="45"/>
      <c r="K403" s="45"/>
      <c r="L403" s="45">
        <v>2</v>
      </c>
      <c r="M403" s="54">
        <f>SUM(M404:M418)</f>
        <v>8.8230876182116997</v>
      </c>
      <c r="N403" s="45">
        <v>14</v>
      </c>
      <c r="O403" s="55">
        <f>SUM(O404:O418)</f>
        <v>6.1387648411246958E-4</v>
      </c>
      <c r="P403" s="55">
        <f t="shared" ref="P403" si="391">SUM(P404:P418)</f>
        <v>0.93368492775426959</v>
      </c>
      <c r="Q403" s="55">
        <f t="shared" ref="Q403" si="392">SUM(Q404:Q418)</f>
        <v>73.905794062237462</v>
      </c>
      <c r="R403" s="55">
        <f t="shared" ref="R403" si="393">SUM(R404:R418)</f>
        <v>8.3965055396529682E-6</v>
      </c>
      <c r="S403" s="55">
        <f t="shared" ref="S403" si="394">SUM(S404:S418)</f>
        <v>8.4947869101743831E-2</v>
      </c>
      <c r="T403" s="55">
        <f t="shared" ref="T403" si="395">SUM(T404:T418)</f>
        <v>0.39260582719959647</v>
      </c>
      <c r="U403" s="55">
        <f t="shared" ref="U403" si="396">SUM(U404:U418)</f>
        <v>4.6865694333632149E-2</v>
      </c>
      <c r="V403" s="55">
        <f t="shared" ref="V403" si="397">SUM(V404:V418)</f>
        <v>20.473707627458758</v>
      </c>
      <c r="W403" s="55">
        <f t="shared" ref="W403" si="398">SUM(W404:W418)</f>
        <v>4.3138175127708855</v>
      </c>
      <c r="X403" s="55">
        <f t="shared" ref="X403" si="399">SUM(X404:X418)</f>
        <v>8332.7154772788235</v>
      </c>
      <c r="Y403" s="55">
        <f t="shared" ref="Y403" si="400">SUM(Y404:Y418)</f>
        <v>0.17713592781059215</v>
      </c>
      <c r="Z403" s="55">
        <f t="shared" ref="Z403" si="401">SUM(Z404:Z418)</f>
        <v>89.595439390129101</v>
      </c>
      <c r="AA403" s="55">
        <f t="shared" ref="AA403" si="402">SUM(AA404:AA418)</f>
        <v>89.583884759164931</v>
      </c>
      <c r="AB403" s="55">
        <f t="shared" ref="AB403" si="403">SUM(AB404:AB418)</f>
        <v>3.7877810181913274E-4</v>
      </c>
      <c r="AC403" s="55">
        <f t="shared" ref="AC403" si="404">SUM(AC404:AC418)</f>
        <v>3.7049436212347506E-2</v>
      </c>
      <c r="AD403" s="55">
        <f t="shared" ref="AD403" si="405">SUM(AD404:AD418)</f>
        <v>1.1335095479383693E-5</v>
      </c>
      <c r="AE403" s="55">
        <f t="shared" ref="AE403" si="406">SUM(AE404:AE418)</f>
        <v>0.58839074227119703</v>
      </c>
      <c r="AF403" s="55">
        <f t="shared" ref="AF403" si="407">SUM(AF404:AF418)</f>
        <v>7.95069404073883E-4</v>
      </c>
      <c r="AG403" s="55">
        <f t="shared" ref="AG403" si="408">SUM(AG404:AG418)</f>
        <v>0.12335794167435522</v>
      </c>
      <c r="AH403" s="55">
        <f t="shared" ref="AH403" si="409">SUM(AH404:AH418)</f>
        <v>1.3276795810426554</v>
      </c>
      <c r="AI403" s="55">
        <f t="shared" ref="AI403" si="410">SUM(AI404:AI418)</f>
        <v>0.54955889294428373</v>
      </c>
      <c r="AJ403" s="55">
        <f t="shared" ref="AJ403" si="411">SUM(AJ404:AJ418)</f>
        <v>6.1560959609348168E-4</v>
      </c>
      <c r="AK403" s="55">
        <f t="shared" ref="AK403" si="412">SUM(AK404:AK418)</f>
        <v>2701.8619589088703</v>
      </c>
      <c r="AL403" s="55">
        <f t="shared" ref="AL403" si="413">SUM(AL404:AL418)</f>
        <v>14.661481271783906</v>
      </c>
      <c r="AM403" s="55">
        <f t="shared" ref="AM403" si="414">SUM(AM404:AM418)</f>
        <v>2.6500433234433436E-6</v>
      </c>
      <c r="AN403" s="55">
        <f t="shared" ref="AN403" si="415">SUM(AN404:AN418)</f>
        <v>2.5701347867775208</v>
      </c>
      <c r="AO403" s="55">
        <f t="shared" ref="AO403" si="416">SUM(AO404:AO418)</f>
        <v>3457.1485269277969</v>
      </c>
      <c r="AP403" s="55">
        <f t="shared" ref="AP403" si="417">SUM(AP404:AP418)</f>
        <v>2.5646824085813889E-8</v>
      </c>
      <c r="AQ403" s="55">
        <f t="shared" ref="AQ403" si="418">SUM(AQ404:AQ418)</f>
        <v>1.0022679505614398E-6</v>
      </c>
      <c r="AR403" s="55">
        <f t="shared" ref="AR403" si="419">SUM(AR404:AR418)</f>
        <v>1390.312503658231</v>
      </c>
      <c r="AS403" s="55">
        <f t="shared" ref="AS403" si="420">SUM(AS404:AS418)</f>
        <v>8.065825212</v>
      </c>
      <c r="AT403" s="55">
        <f t="shared" ref="AT403" si="421">SUM(AT404:AT418)</f>
        <v>0</v>
      </c>
      <c r="AU403" s="55">
        <f t="shared" ref="AU403" si="422">SUM(AU404:AU418)</f>
        <v>34.905107571482183</v>
      </c>
      <c r="AV403" s="55">
        <f t="shared" ref="AV403" si="423">SUM(AV404:AV418)</f>
        <v>0.70667511750000001</v>
      </c>
      <c r="AW403" s="55">
        <f t="shared" ref="AW403" si="424">SUM(AW404:AW418)</f>
        <v>9.926829900000001E-4</v>
      </c>
      <c r="AX403" s="55">
        <f t="shared" ref="AX403" si="425">SUM(AX404:AX418)</f>
        <v>2068.1786744522451</v>
      </c>
      <c r="AY403" s="55">
        <f t="shared" ref="AY403" si="426">SUM(AY404:AY418)</f>
        <v>300</v>
      </c>
      <c r="AZ403" s="55">
        <f t="shared" ref="AZ403" si="427">SUM(AZ404:AZ418)</f>
        <v>0</v>
      </c>
      <c r="BA403" s="55">
        <f t="shared" ref="BA403" si="428">SUM(BA404:BA418)</f>
        <v>0</v>
      </c>
      <c r="BB403" s="55">
        <f t="shared" ref="BB403" si="429">SUM(BB404:BB418)</f>
        <v>-8.7201838109423129</v>
      </c>
      <c r="BC403" s="55">
        <f t="shared" ref="BC403" si="430">SUM(BC404:BC418)</f>
        <v>1.5833467267623435E-3</v>
      </c>
      <c r="BD403" s="55">
        <f t="shared" ref="BD403" si="431">SUM(BD404:BD418)</f>
        <v>16.136137075915919</v>
      </c>
      <c r="BE403" s="55">
        <f t="shared" ref="BE403" si="432">SUM(BE404:BE418)</f>
        <v>3.0245213823105049E-3</v>
      </c>
      <c r="BF403" s="55">
        <f t="shared" ref="BF403" si="433">SUM(BF404:BF418)</f>
        <v>0</v>
      </c>
      <c r="BG403" s="55">
        <f t="shared" ref="BG403" si="434">SUM(BG404:BG418)</f>
        <v>1000</v>
      </c>
      <c r="BH403" s="55">
        <f t="shared" ref="BH403" si="435">SUM(BH404:BH418)</f>
        <v>0</v>
      </c>
      <c r="BI403" s="55">
        <f t="shared" ref="BI403" si="436">SUM(BI404:BI418)</f>
        <v>0</v>
      </c>
      <c r="BJ403" s="55">
        <f t="shared" ref="BJ403" si="437">SUM(BJ404:BJ418)</f>
        <v>0</v>
      </c>
      <c r="BK403" s="78">
        <v>0.3</v>
      </c>
      <c r="BL403" s="41" t="s">
        <v>616</v>
      </c>
      <c r="BM403" s="45"/>
    </row>
    <row r="404" spans="1:65" x14ac:dyDescent="0.35">
      <c r="A404" s="45" t="str">
        <f>Database_Productkaarten[[#This Row],[Product]]&amp;", "&amp;Database_Productkaarten[[#This Row],[Levensfase]]</f>
        <v>DZOAB 30% PR - PCR 2.0, A1</v>
      </c>
      <c r="B404" s="45" t="s">
        <v>1368</v>
      </c>
      <c r="C404" s="41" t="s">
        <v>443</v>
      </c>
      <c r="D404" s="41" t="s">
        <v>469</v>
      </c>
      <c r="E404" s="41" t="s">
        <v>91</v>
      </c>
      <c r="F404" s="41" t="s">
        <v>19</v>
      </c>
      <c r="G404" s="45"/>
      <c r="H404" s="45"/>
      <c r="I404" s="45"/>
      <c r="J404" s="45"/>
      <c r="K404" s="45"/>
      <c r="L404" s="45">
        <v>2</v>
      </c>
      <c r="M404" s="291">
        <v>5.8775109814535194</v>
      </c>
      <c r="N404" s="45">
        <v>14</v>
      </c>
      <c r="O404" s="290">
        <v>6.1883980617890102E-4</v>
      </c>
      <c r="P404" s="290">
        <v>0.99357490664359804</v>
      </c>
      <c r="Q404" s="290">
        <v>46.5315399447312</v>
      </c>
      <c r="R404" s="290">
        <v>3.5993075199060901E-6</v>
      </c>
      <c r="S404" s="290">
        <v>0.107299940750248</v>
      </c>
      <c r="T404" s="290">
        <v>0.28970719344638002</v>
      </c>
      <c r="U404" s="290">
        <v>2.6181442404417599E-2</v>
      </c>
      <c r="V404" s="290">
        <v>11.6183459431613</v>
      </c>
      <c r="W404" s="290">
        <v>1.5615530303643801</v>
      </c>
      <c r="X404" s="290">
        <v>6780.0957913497296</v>
      </c>
      <c r="Y404" s="290">
        <v>0.20310106172002501</v>
      </c>
      <c r="Z404" s="290">
        <v>49.153707749424797</v>
      </c>
      <c r="AA404" s="290">
        <v>49.154764055088599</v>
      </c>
      <c r="AB404" s="290">
        <v>-4.7926695309480297E-3</v>
      </c>
      <c r="AC404" s="290">
        <v>2.96099638671555E-2</v>
      </c>
      <c r="AD404" s="290">
        <v>4.3650991053962102E-6</v>
      </c>
      <c r="AE404" s="290">
        <v>0.34612782318903001</v>
      </c>
      <c r="AF404" s="290">
        <v>6.2318530444015305E-4</v>
      </c>
      <c r="AG404" s="290">
        <v>5.3905731320713302E-2</v>
      </c>
      <c r="AH404" s="290">
        <v>0.58182897100664999</v>
      </c>
      <c r="AI404" s="290">
        <v>0.33940719735685698</v>
      </c>
      <c r="AJ404" s="290">
        <v>6.18784174594752E-4</v>
      </c>
      <c r="AK404" s="290">
        <v>2116.48868472818</v>
      </c>
      <c r="AL404" s="290">
        <v>31.7368417434725</v>
      </c>
      <c r="AM404" s="290">
        <v>1.9779256733719301E-6</v>
      </c>
      <c r="AN404" s="290">
        <v>1.3640543938920999</v>
      </c>
      <c r="AO404" s="290">
        <v>3912.59136567013</v>
      </c>
      <c r="AP404" s="290">
        <v>1.40810266984432E-8</v>
      </c>
      <c r="AQ404" s="290">
        <v>6.2614284311428604E-7</v>
      </c>
      <c r="AR404" s="290">
        <v>2086.414945169</v>
      </c>
      <c r="AS404" s="290">
        <v>0</v>
      </c>
      <c r="AT404" s="290">
        <v>0</v>
      </c>
      <c r="AU404" s="290">
        <v>27.029362475374</v>
      </c>
      <c r="AV404" s="290">
        <v>0</v>
      </c>
      <c r="AW404" s="290">
        <v>0</v>
      </c>
      <c r="AX404" s="290">
        <v>2251.8385335927801</v>
      </c>
      <c r="AY404" s="290">
        <v>300</v>
      </c>
      <c r="AZ404" s="290">
        <v>0</v>
      </c>
      <c r="BA404" s="290">
        <v>0</v>
      </c>
      <c r="BB404" s="290">
        <v>0.77542728455422405</v>
      </c>
      <c r="BC404" s="290">
        <v>8.5654535512919396E-4</v>
      </c>
      <c r="BD404" s="290">
        <v>2.2571608688993998</v>
      </c>
      <c r="BE404" s="290">
        <v>1.0732634218617401E-3</v>
      </c>
      <c r="BF404" s="290">
        <v>0</v>
      </c>
      <c r="BG404" s="290">
        <v>0</v>
      </c>
      <c r="BH404" s="290">
        <v>0</v>
      </c>
      <c r="BI404" s="290">
        <v>0</v>
      </c>
      <c r="BJ404" s="290">
        <v>0</v>
      </c>
      <c r="BK404" s="78">
        <v>0.3</v>
      </c>
      <c r="BL404" s="41" t="s">
        <v>616</v>
      </c>
      <c r="BM404" s="45"/>
    </row>
    <row r="405" spans="1:65" x14ac:dyDescent="0.35">
      <c r="A405" s="45" t="str">
        <f>Database_Productkaarten[[#This Row],[Product]]&amp;", "&amp;Database_Productkaarten[[#This Row],[Levensfase]]</f>
        <v>DZOAB 30% PR - PCR 2.0, A2</v>
      </c>
      <c r="B405" s="45" t="s">
        <v>1368</v>
      </c>
      <c r="C405" s="41" t="s">
        <v>443</v>
      </c>
      <c r="D405" s="41" t="s">
        <v>469</v>
      </c>
      <c r="E405" s="41" t="s">
        <v>91</v>
      </c>
      <c r="F405" s="41" t="s">
        <v>20</v>
      </c>
      <c r="G405" s="45"/>
      <c r="H405" s="45"/>
      <c r="I405" s="45"/>
      <c r="J405" s="45"/>
      <c r="K405" s="45"/>
      <c r="L405" s="45">
        <v>2</v>
      </c>
      <c r="M405" s="291">
        <v>2.022223024862023</v>
      </c>
      <c r="N405" s="45">
        <v>14</v>
      </c>
      <c r="O405" s="290">
        <v>1.61686959839816E-4</v>
      </c>
      <c r="P405" s="290">
        <v>7.6955353326423795E-2</v>
      </c>
      <c r="Q405" s="290">
        <v>11.750598381264499</v>
      </c>
      <c r="R405" s="290">
        <v>1.9079719175863999E-6</v>
      </c>
      <c r="S405" s="290">
        <v>1.0783370614549001E-2</v>
      </c>
      <c r="T405" s="290">
        <v>0.17037763556327801</v>
      </c>
      <c r="U405" s="290">
        <v>2.2348458698920801E-2</v>
      </c>
      <c r="V405" s="290">
        <v>5.20790818947824</v>
      </c>
      <c r="W405" s="290">
        <v>0.11216441476587</v>
      </c>
      <c r="X405" s="290">
        <v>449.57141300747497</v>
      </c>
      <c r="Y405" s="290">
        <v>1.74986271034267E-2</v>
      </c>
      <c r="Z405" s="290">
        <v>11.855274672968701</v>
      </c>
      <c r="AA405" s="290">
        <v>11.8407160279013</v>
      </c>
      <c r="AB405" s="290">
        <v>4.5972115919332996E-3</v>
      </c>
      <c r="AC405" s="290">
        <v>9.9614334754175894E-3</v>
      </c>
      <c r="AD405" s="290">
        <v>2.3935563838351399E-6</v>
      </c>
      <c r="AE405" s="290">
        <v>0.217158333709153</v>
      </c>
      <c r="AF405" s="290">
        <v>9.3738037449531394E-5</v>
      </c>
      <c r="AG405" s="290">
        <v>6.0632647960163599E-2</v>
      </c>
      <c r="AH405" s="290">
        <v>0.67213935009152204</v>
      </c>
      <c r="AI405" s="290">
        <v>0.17638678218772499</v>
      </c>
      <c r="AJ405" s="290">
        <v>1.6168427888461499E-4</v>
      </c>
      <c r="AK405" s="290">
        <v>160.34797870568801</v>
      </c>
      <c r="AL405" s="290">
        <v>0.47228528864010699</v>
      </c>
      <c r="AM405" s="290">
        <v>5.8219809939876702E-7</v>
      </c>
      <c r="AN405" s="290">
        <v>0.68336997029204105</v>
      </c>
      <c r="AO405" s="290">
        <v>126.412665997678</v>
      </c>
      <c r="AP405" s="290">
        <v>5.93856488540343E-9</v>
      </c>
      <c r="AQ405" s="290">
        <v>1.1369700433469599E-7</v>
      </c>
      <c r="AR405" s="290">
        <v>87.442189785827594</v>
      </c>
      <c r="AS405" s="290">
        <v>0</v>
      </c>
      <c r="AT405" s="290">
        <v>0</v>
      </c>
      <c r="AU405" s="290">
        <v>1.9943516552617899</v>
      </c>
      <c r="AV405" s="290">
        <v>0</v>
      </c>
      <c r="AW405" s="290">
        <v>0</v>
      </c>
      <c r="AX405" s="290">
        <v>170.222671408579</v>
      </c>
      <c r="AY405" s="290">
        <v>0</v>
      </c>
      <c r="AZ405" s="290">
        <v>0</v>
      </c>
      <c r="BA405" s="290">
        <v>0</v>
      </c>
      <c r="BB405" s="290">
        <v>1.7257079082809601E-2</v>
      </c>
      <c r="BC405" s="290">
        <v>3.0206358146992699E-4</v>
      </c>
      <c r="BD405" s="290">
        <v>4.1940879644449902</v>
      </c>
      <c r="BE405" s="290">
        <v>1.0756835888308799E-3</v>
      </c>
      <c r="BF405" s="290">
        <v>0</v>
      </c>
      <c r="BG405" s="290">
        <v>0</v>
      </c>
      <c r="BH405" s="290">
        <v>0</v>
      </c>
      <c r="BI405" s="290">
        <v>0</v>
      </c>
      <c r="BJ405" s="290">
        <v>0</v>
      </c>
      <c r="BK405" s="78">
        <v>0.3</v>
      </c>
      <c r="BL405" s="41" t="s">
        <v>616</v>
      </c>
      <c r="BM405" s="45"/>
    </row>
    <row r="406" spans="1:65" x14ac:dyDescent="0.35">
      <c r="A406" s="45" t="str">
        <f>Database_Productkaarten[[#This Row],[Product]]&amp;", "&amp;Database_Productkaarten[[#This Row],[Levensfase]]</f>
        <v>DZOAB 30% PR - PCR 2.0, A3</v>
      </c>
      <c r="B406" s="45" t="s">
        <v>1368</v>
      </c>
      <c r="C406" s="41" t="s">
        <v>443</v>
      </c>
      <c r="D406" s="41" t="s">
        <v>469</v>
      </c>
      <c r="E406" s="41" t="s">
        <v>91</v>
      </c>
      <c r="F406" s="41" t="s">
        <v>21</v>
      </c>
      <c r="G406" s="45"/>
      <c r="H406" s="45"/>
      <c r="I406" s="45"/>
      <c r="J406" s="45"/>
      <c r="K406" s="45"/>
      <c r="L406" s="45">
        <v>2</v>
      </c>
      <c r="M406" s="291">
        <v>1.5582269020755506</v>
      </c>
      <c r="N406" s="45">
        <v>14</v>
      </c>
      <c r="O406" s="290">
        <v>1.9975468619137799E-5</v>
      </c>
      <c r="P406" s="290">
        <v>0.184198563726442</v>
      </c>
      <c r="Q406" s="290">
        <v>21.590766848199401</v>
      </c>
      <c r="R406" s="290">
        <v>2.46297426510541E-6</v>
      </c>
      <c r="S406" s="290">
        <v>3.5110506290424101E-3</v>
      </c>
      <c r="T406" s="290">
        <v>2.1220783245907E-2</v>
      </c>
      <c r="U406" s="290">
        <v>3.5782679283879299E-3</v>
      </c>
      <c r="V406" s="290">
        <v>3.4845564857451898</v>
      </c>
      <c r="W406" s="290">
        <v>2.3177447554697E-2</v>
      </c>
      <c r="X406" s="290">
        <v>94.155428676242806</v>
      </c>
      <c r="Y406" s="290">
        <v>2.1818475964686598E-2</v>
      </c>
      <c r="Z406" s="290">
        <v>21.908945273768701</v>
      </c>
      <c r="AA406" s="290">
        <v>21.860475217279699</v>
      </c>
      <c r="AB406" s="290">
        <v>4.6699711806424703E-2</v>
      </c>
      <c r="AC406" s="290">
        <v>1.77034468258275E-3</v>
      </c>
      <c r="AD406" s="290">
        <v>2.7799321713062602E-6</v>
      </c>
      <c r="AE406" s="290">
        <v>2.72903129744397E-2</v>
      </c>
      <c r="AF406" s="290">
        <v>2.3395727211209701E-4</v>
      </c>
      <c r="AG406" s="290">
        <v>7.6989783281967098E-3</v>
      </c>
      <c r="AH406" s="290">
        <v>8.6888892639530202E-2</v>
      </c>
      <c r="AI406" s="290">
        <v>2.6378288693053201E-2</v>
      </c>
      <c r="AJ406" s="290">
        <v>1.99751940087159E-5</v>
      </c>
      <c r="AK406" s="290">
        <v>339.33337359305699</v>
      </c>
      <c r="AL406" s="290">
        <v>0.47753030388725298</v>
      </c>
      <c r="AM406" s="290">
        <v>1.8825225123504801E-7</v>
      </c>
      <c r="AN406" s="290">
        <v>0.245662514079133</v>
      </c>
      <c r="AO406" s="290">
        <v>68.832131679518596</v>
      </c>
      <c r="AP406" s="290">
        <v>2.6829285336826199E-9</v>
      </c>
      <c r="AQ406" s="290">
        <v>4.5233469549542098E-8</v>
      </c>
      <c r="AR406" s="290">
        <v>14.662044480258199</v>
      </c>
      <c r="AS406" s="290">
        <v>0</v>
      </c>
      <c r="AT406" s="290">
        <v>0</v>
      </c>
      <c r="AU406" s="290">
        <v>6.0668399691233699</v>
      </c>
      <c r="AV406" s="290">
        <v>0</v>
      </c>
      <c r="AW406" s="290">
        <v>0</v>
      </c>
      <c r="AX406" s="290">
        <v>374.227808507502</v>
      </c>
      <c r="AY406" s="290">
        <v>0</v>
      </c>
      <c r="AZ406" s="290">
        <v>0</v>
      </c>
      <c r="BA406" s="290">
        <v>0</v>
      </c>
      <c r="BB406" s="290">
        <v>3.5322672765965901E-2</v>
      </c>
      <c r="BC406" s="290">
        <v>4.1442394391834602E-4</v>
      </c>
      <c r="BD406" s="290">
        <v>0.248529245695641</v>
      </c>
      <c r="BE406" s="290">
        <v>3.1553185410505602E-4</v>
      </c>
      <c r="BF406" s="290">
        <v>0</v>
      </c>
      <c r="BG406" s="290">
        <v>0</v>
      </c>
      <c r="BH406" s="290">
        <v>0</v>
      </c>
      <c r="BI406" s="290">
        <v>0</v>
      </c>
      <c r="BJ406" s="290">
        <v>0</v>
      </c>
      <c r="BK406" s="78">
        <v>0.3</v>
      </c>
      <c r="BL406" s="41" t="s">
        <v>616</v>
      </c>
      <c r="BM406" s="45"/>
    </row>
    <row r="407" spans="1:65" x14ac:dyDescent="0.35">
      <c r="A407" s="45" t="str">
        <f>Database_Productkaarten[[#This Row],[Product]]&amp;", "&amp;Database_Productkaarten[[#This Row],[Levensfase]]</f>
        <v>DZOAB 30% PR - PCR 2.0, A4</v>
      </c>
      <c r="B407" s="45" t="s">
        <v>1368</v>
      </c>
      <c r="C407" s="41" t="s">
        <v>443</v>
      </c>
      <c r="D407" s="41" t="s">
        <v>469</v>
      </c>
      <c r="E407" s="41" t="s">
        <v>91</v>
      </c>
      <c r="F407" s="41" t="s">
        <v>22</v>
      </c>
      <c r="G407" s="45"/>
      <c r="H407" s="45"/>
      <c r="I407" s="45"/>
      <c r="J407" s="45"/>
      <c r="K407" s="45"/>
      <c r="L407" s="45">
        <v>2</v>
      </c>
      <c r="M407" s="291">
        <v>0.37546048090943995</v>
      </c>
      <c r="N407" s="45">
        <v>14</v>
      </c>
      <c r="O407" s="290">
        <v>6.8533509000000002E-5</v>
      </c>
      <c r="P407" s="290">
        <v>2.9713889699999999E-2</v>
      </c>
      <c r="Q407" s="290">
        <v>3.9891474704999998</v>
      </c>
      <c r="R407" s="290">
        <v>7.557213E-7</v>
      </c>
      <c r="S407" s="290">
        <v>2.4773701499999998E-3</v>
      </c>
      <c r="T407" s="290">
        <v>1.36398132E-2</v>
      </c>
      <c r="U407" s="290">
        <v>2.5682192100000001E-3</v>
      </c>
      <c r="V407" s="290">
        <v>0.8608144794</v>
      </c>
      <c r="W407" s="290">
        <v>3.6189873900000002E-2</v>
      </c>
      <c r="X407" s="290">
        <v>97.376595929999993</v>
      </c>
      <c r="Y407" s="290">
        <v>4.8437180999999999E-3</v>
      </c>
      <c r="Z407" s="290">
        <v>4.0259382761999998</v>
      </c>
      <c r="AA407" s="290">
        <v>4.0229543298000001</v>
      </c>
      <c r="AB407" s="290">
        <v>1.9814632200000001E-3</v>
      </c>
      <c r="AC407" s="290">
        <v>1.0024609799999999E-3</v>
      </c>
      <c r="AD407" s="290">
        <v>9.4976262000000003E-7</v>
      </c>
      <c r="AE407" s="290">
        <v>1.7739576E-2</v>
      </c>
      <c r="AF407" s="290">
        <v>2.7841996800000001E-5</v>
      </c>
      <c r="AG407" s="290">
        <v>5.5484582100000001E-3</v>
      </c>
      <c r="AH407" s="290">
        <v>6.1385308800000003E-2</v>
      </c>
      <c r="AI407" s="290">
        <v>1.9235744999999999E-2</v>
      </c>
      <c r="AJ407" s="290">
        <v>6.8533397999999998E-5</v>
      </c>
      <c r="AK407" s="290">
        <v>62.400806729999999</v>
      </c>
      <c r="AL407" s="290">
        <v>0.212954166</v>
      </c>
      <c r="AM407" s="290">
        <v>2.9338876200000002E-7</v>
      </c>
      <c r="AN407" s="290">
        <v>0.26868483510000002</v>
      </c>
      <c r="AO407" s="290">
        <v>45.56587296</v>
      </c>
      <c r="AP407" s="290">
        <v>1.16371179E-9</v>
      </c>
      <c r="AQ407" s="290">
        <v>3.8268015899999999E-8</v>
      </c>
      <c r="AR407" s="290">
        <v>71.806844609999999</v>
      </c>
      <c r="AS407" s="290">
        <v>0</v>
      </c>
      <c r="AT407" s="290">
        <v>0</v>
      </c>
      <c r="AU407" s="290">
        <v>0.63474917099999995</v>
      </c>
      <c r="AV407" s="290">
        <v>0</v>
      </c>
      <c r="AW407" s="290">
        <v>0</v>
      </c>
      <c r="AX407" s="290">
        <v>66.265108560000002</v>
      </c>
      <c r="AY407" s="290">
        <v>0</v>
      </c>
      <c r="AZ407" s="290">
        <v>0</v>
      </c>
      <c r="BA407" s="290">
        <v>0</v>
      </c>
      <c r="BB407" s="290">
        <v>6.7467797999999999E-3</v>
      </c>
      <c r="BC407" s="290">
        <v>1.54707915E-4</v>
      </c>
      <c r="BD407" s="290">
        <v>5.4635493149999999</v>
      </c>
      <c r="BE407" s="290">
        <v>4.25149758E-4</v>
      </c>
      <c r="BF407" s="290">
        <v>0</v>
      </c>
      <c r="BG407" s="290">
        <v>0</v>
      </c>
      <c r="BH407" s="290">
        <v>0</v>
      </c>
      <c r="BI407" s="290">
        <v>0</v>
      </c>
      <c r="BJ407" s="290">
        <v>0</v>
      </c>
      <c r="BK407" s="78">
        <v>0.3</v>
      </c>
      <c r="BL407" s="41" t="s">
        <v>616</v>
      </c>
      <c r="BM407" s="45"/>
    </row>
    <row r="408" spans="1:65" x14ac:dyDescent="0.35">
      <c r="A408" s="45" t="str">
        <f>Database_Productkaarten[[#This Row],[Product]]&amp;", "&amp;Database_Productkaarten[[#This Row],[Levensfase]]</f>
        <v>DZOAB 30% PR - PCR 2.0, A5</v>
      </c>
      <c r="B408" s="45" t="s">
        <v>1368</v>
      </c>
      <c r="C408" s="41" t="s">
        <v>443</v>
      </c>
      <c r="D408" s="41" t="s">
        <v>469</v>
      </c>
      <c r="E408" s="41" t="s">
        <v>91</v>
      </c>
      <c r="F408" s="41" t="s">
        <v>23</v>
      </c>
      <c r="G408" s="45"/>
      <c r="H408" s="45"/>
      <c r="I408" s="45"/>
      <c r="J408" s="45"/>
      <c r="K408" s="45"/>
      <c r="L408" s="45">
        <v>2</v>
      </c>
      <c r="M408" s="291">
        <v>0.11508990390996034</v>
      </c>
      <c r="N408" s="45">
        <v>14</v>
      </c>
      <c r="O408" s="290">
        <v>1.3610882842235401E-6</v>
      </c>
      <c r="P408" s="290">
        <v>5.7900425147760903E-3</v>
      </c>
      <c r="Q408" s="290">
        <v>1.1775394636323699</v>
      </c>
      <c r="R408" s="290">
        <v>1.52166898761414E-7</v>
      </c>
      <c r="S408" s="290">
        <v>3.9769491139306901E-4</v>
      </c>
      <c r="T408" s="290">
        <v>4.01336639075824E-3</v>
      </c>
      <c r="U408" s="290">
        <v>8.9200970149072101E-4</v>
      </c>
      <c r="V408" s="290">
        <v>0.31853178993374698</v>
      </c>
      <c r="W408" s="290">
        <v>4.5166714735928697E-3</v>
      </c>
      <c r="X408" s="290">
        <v>15.6934427776505</v>
      </c>
      <c r="Y408" s="290">
        <v>5.3488216072845396E-4</v>
      </c>
      <c r="Z408" s="290">
        <v>1.1857245217951999</v>
      </c>
      <c r="AA408" s="290">
        <v>1.1853843931193599</v>
      </c>
      <c r="AB408" s="290">
        <v>2.7090790203859998E-4</v>
      </c>
      <c r="AC408" s="290">
        <v>6.9220773799629005E-5</v>
      </c>
      <c r="AD408" s="290">
        <v>1.9173630240781399E-7</v>
      </c>
      <c r="AE408" s="290">
        <v>5.5294629380236203E-3</v>
      </c>
      <c r="AF408" s="290">
        <v>3.2340340812744299E-6</v>
      </c>
      <c r="AG408" s="290">
        <v>2.2810385913506299E-3</v>
      </c>
      <c r="AH408" s="290">
        <v>2.5051401727069999E-2</v>
      </c>
      <c r="AI408" s="290">
        <v>6.6437026538040999E-3</v>
      </c>
      <c r="AJ408" s="290">
        <v>1.3610776036009101E-6</v>
      </c>
      <c r="AK408" s="290">
        <v>12.216636313782301</v>
      </c>
      <c r="AL408" s="290">
        <v>1.6270564084109401E-2</v>
      </c>
      <c r="AM408" s="290">
        <v>2.1944772160155401E-8</v>
      </c>
      <c r="AN408" s="290">
        <v>5.24349377095659E-2</v>
      </c>
      <c r="AO408" s="290">
        <v>7.3299437048563298</v>
      </c>
      <c r="AP408" s="290">
        <v>2.5717564130149502E-10</v>
      </c>
      <c r="AQ408" s="290">
        <v>5.8020979115662103E-9</v>
      </c>
      <c r="AR408" s="290">
        <v>1.5604089684381699</v>
      </c>
      <c r="AS408" s="290">
        <v>0</v>
      </c>
      <c r="AT408" s="290">
        <v>0</v>
      </c>
      <c r="AU408" s="290">
        <v>6.7148702313369404E-2</v>
      </c>
      <c r="AV408" s="290">
        <v>0</v>
      </c>
      <c r="AW408" s="290">
        <v>0</v>
      </c>
      <c r="AX408" s="290">
        <v>12.973681373314299</v>
      </c>
      <c r="AY408" s="290">
        <v>0</v>
      </c>
      <c r="AZ408" s="290">
        <v>0</v>
      </c>
      <c r="BA408" s="290">
        <v>0</v>
      </c>
      <c r="BB408" s="290">
        <v>6.3151910101772704E-4</v>
      </c>
      <c r="BC408" s="290">
        <v>3.3269162772420199E-5</v>
      </c>
      <c r="BD408" s="290">
        <v>1.44555999060475E-2</v>
      </c>
      <c r="BE408" s="290">
        <v>8.4906277939310296E-5</v>
      </c>
      <c r="BF408" s="290">
        <v>0</v>
      </c>
      <c r="BG408" s="290">
        <v>0</v>
      </c>
      <c r="BH408" s="290">
        <v>0</v>
      </c>
      <c r="BI408" s="290">
        <v>0</v>
      </c>
      <c r="BJ408" s="290">
        <v>0</v>
      </c>
      <c r="BK408" s="78">
        <v>0.3</v>
      </c>
      <c r="BL408" s="41" t="s">
        <v>616</v>
      </c>
      <c r="BM408" s="45"/>
    </row>
    <row r="409" spans="1:65" x14ac:dyDescent="0.35">
      <c r="A409" s="45" t="str">
        <f>Database_Productkaarten[[#This Row],[Product]]&amp;", "&amp;Database_Productkaarten[[#This Row],[Levensfase]]</f>
        <v>DZOAB 30% PR - PCR 2.0, B1</v>
      </c>
      <c r="B409" s="45" t="s">
        <v>1368</v>
      </c>
      <c r="C409" s="41" t="s">
        <v>443</v>
      </c>
      <c r="D409" s="41" t="s">
        <v>469</v>
      </c>
      <c r="E409" s="41" t="s">
        <v>91</v>
      </c>
      <c r="F409" s="41" t="s">
        <v>24</v>
      </c>
      <c r="G409" s="45"/>
      <c r="H409" s="45"/>
      <c r="I409" s="45"/>
      <c r="J409" s="45"/>
      <c r="K409" s="45"/>
      <c r="L409" s="45">
        <v>2</v>
      </c>
      <c r="M409" s="291">
        <v>0.63803196066933088</v>
      </c>
      <c r="N409" s="45">
        <v>14</v>
      </c>
      <c r="O409" s="290">
        <v>0</v>
      </c>
      <c r="P409" s="290">
        <v>0</v>
      </c>
      <c r="Q409" s="290">
        <v>0</v>
      </c>
      <c r="R409" s="290">
        <v>0</v>
      </c>
      <c r="S409" s="290">
        <v>0</v>
      </c>
      <c r="T409" s="290">
        <v>0</v>
      </c>
      <c r="U409" s="290">
        <v>0</v>
      </c>
      <c r="V409" s="290">
        <v>2.21599595321837</v>
      </c>
      <c r="W409" s="290">
        <v>3.1435906259976898</v>
      </c>
      <c r="X409" s="290">
        <v>3441.17206099747</v>
      </c>
      <c r="Y409" s="290">
        <v>2.7899999999979499E-3</v>
      </c>
      <c r="Z409" s="290">
        <v>0</v>
      </c>
      <c r="AA409" s="290">
        <v>0</v>
      </c>
      <c r="AB409" s="290">
        <v>0</v>
      </c>
      <c r="AC409" s="290">
        <v>0</v>
      </c>
      <c r="AD409" s="290">
        <v>0</v>
      </c>
      <c r="AE409" s="290">
        <v>0</v>
      </c>
      <c r="AF409" s="290">
        <v>0</v>
      </c>
      <c r="AG409" s="290">
        <v>0</v>
      </c>
      <c r="AH409" s="290">
        <v>0</v>
      </c>
      <c r="AI409" s="290">
        <v>0</v>
      </c>
      <c r="AJ409" s="290">
        <v>0</v>
      </c>
      <c r="AK409" s="290">
        <v>0</v>
      </c>
      <c r="AL409" s="290">
        <v>0</v>
      </c>
      <c r="AM409" s="290">
        <v>0</v>
      </c>
      <c r="AN409" s="290">
        <v>0</v>
      </c>
      <c r="AO409" s="290">
        <v>19.2904605006858</v>
      </c>
      <c r="AP409" s="290">
        <v>3.4029317760975E-9</v>
      </c>
      <c r="AQ409" s="290">
        <v>2.0449895299124001E-7</v>
      </c>
      <c r="AR409" s="290">
        <v>0</v>
      </c>
      <c r="AS409" s="290">
        <v>0</v>
      </c>
      <c r="AT409" s="290">
        <v>0</v>
      </c>
      <c r="AU409" s="290">
        <v>0</v>
      </c>
      <c r="AV409" s="290">
        <v>0</v>
      </c>
      <c r="AW409" s="290">
        <v>0</v>
      </c>
      <c r="AX409" s="290">
        <v>0</v>
      </c>
      <c r="AY409" s="290">
        <v>0</v>
      </c>
      <c r="AZ409" s="290">
        <v>0</v>
      </c>
      <c r="BA409" s="290">
        <v>0</v>
      </c>
      <c r="BB409" s="290">
        <v>0</v>
      </c>
      <c r="BC409" s="290">
        <v>0</v>
      </c>
      <c r="BD409" s="290">
        <v>0</v>
      </c>
      <c r="BE409" s="290">
        <v>0</v>
      </c>
      <c r="BF409" s="290">
        <v>0</v>
      </c>
      <c r="BG409" s="290">
        <v>0</v>
      </c>
      <c r="BH409" s="290">
        <v>0</v>
      </c>
      <c r="BI409" s="290">
        <v>0</v>
      </c>
      <c r="BJ409" s="290">
        <v>0</v>
      </c>
      <c r="BK409" s="78">
        <v>0.3</v>
      </c>
      <c r="BL409" s="41" t="s">
        <v>616</v>
      </c>
      <c r="BM409" s="45"/>
    </row>
    <row r="410" spans="1:65" x14ac:dyDescent="0.35">
      <c r="A410" s="45" t="str">
        <f>Database_Productkaarten[[#This Row],[Product]]&amp;", "&amp;Database_Productkaarten[[#This Row],[Levensfase]]</f>
        <v>DZOAB 30% PR - PCR 2.0, B2</v>
      </c>
      <c r="B410" s="45" t="s">
        <v>1368</v>
      </c>
      <c r="C410" s="41" t="s">
        <v>443</v>
      </c>
      <c r="D410" s="41" t="s">
        <v>469</v>
      </c>
      <c r="E410" s="41" t="s">
        <v>91</v>
      </c>
      <c r="F410" s="41" t="s">
        <v>604</v>
      </c>
      <c r="G410" s="45"/>
      <c r="H410" s="45"/>
      <c r="I410" s="45"/>
      <c r="J410" s="45"/>
      <c r="K410" s="45"/>
      <c r="L410" s="45">
        <v>2</v>
      </c>
      <c r="M410" s="291">
        <v>0</v>
      </c>
      <c r="N410" s="45">
        <v>14</v>
      </c>
      <c r="O410" s="290">
        <v>0</v>
      </c>
      <c r="P410" s="290">
        <v>0</v>
      </c>
      <c r="Q410" s="290">
        <v>0</v>
      </c>
      <c r="R410" s="290">
        <v>0</v>
      </c>
      <c r="S410" s="290">
        <v>0</v>
      </c>
      <c r="T410" s="290">
        <v>0</v>
      </c>
      <c r="U410" s="290">
        <v>0</v>
      </c>
      <c r="V410" s="290">
        <v>0</v>
      </c>
      <c r="W410" s="290">
        <v>0</v>
      </c>
      <c r="X410" s="290">
        <v>0</v>
      </c>
      <c r="Y410" s="290">
        <v>0</v>
      </c>
      <c r="Z410" s="290">
        <v>0</v>
      </c>
      <c r="AA410" s="290">
        <v>0</v>
      </c>
      <c r="AB410" s="290">
        <v>0</v>
      </c>
      <c r="AC410" s="290">
        <v>0</v>
      </c>
      <c r="AD410" s="290">
        <v>0</v>
      </c>
      <c r="AE410" s="290">
        <v>0</v>
      </c>
      <c r="AF410" s="290">
        <v>0</v>
      </c>
      <c r="AG410" s="290">
        <v>0</v>
      </c>
      <c r="AH410" s="290">
        <v>0</v>
      </c>
      <c r="AI410" s="290">
        <v>0</v>
      </c>
      <c r="AJ410" s="290">
        <v>0</v>
      </c>
      <c r="AK410" s="290">
        <v>0</v>
      </c>
      <c r="AL410" s="290">
        <v>0</v>
      </c>
      <c r="AM410" s="290">
        <v>0</v>
      </c>
      <c r="AN410" s="290">
        <v>0</v>
      </c>
      <c r="AO410" s="290">
        <v>0</v>
      </c>
      <c r="AP410" s="290">
        <v>0</v>
      </c>
      <c r="AQ410" s="290">
        <v>0</v>
      </c>
      <c r="AR410" s="290">
        <v>0</v>
      </c>
      <c r="AS410" s="290">
        <v>0</v>
      </c>
      <c r="AT410" s="290">
        <v>0</v>
      </c>
      <c r="AU410" s="290">
        <v>0</v>
      </c>
      <c r="AV410" s="290">
        <v>0</v>
      </c>
      <c r="AW410" s="290">
        <v>0</v>
      </c>
      <c r="AX410" s="290">
        <v>0</v>
      </c>
      <c r="AY410" s="290">
        <v>0</v>
      </c>
      <c r="AZ410" s="290">
        <v>0</v>
      </c>
      <c r="BA410" s="290">
        <v>0</v>
      </c>
      <c r="BB410" s="290">
        <v>0</v>
      </c>
      <c r="BC410" s="290">
        <v>0</v>
      </c>
      <c r="BD410" s="290">
        <v>0</v>
      </c>
      <c r="BE410" s="290">
        <v>0</v>
      </c>
      <c r="BF410" s="290">
        <v>0</v>
      </c>
      <c r="BG410" s="290">
        <v>0</v>
      </c>
      <c r="BH410" s="290">
        <v>0</v>
      </c>
      <c r="BI410" s="290">
        <v>0</v>
      </c>
      <c r="BJ410" s="290">
        <v>0</v>
      </c>
      <c r="BK410" s="78">
        <v>0.3</v>
      </c>
      <c r="BL410" s="41" t="s">
        <v>616</v>
      </c>
      <c r="BM410" s="45"/>
    </row>
    <row r="411" spans="1:65" x14ac:dyDescent="0.35">
      <c r="A411" s="45" t="str">
        <f>Database_Productkaarten[[#This Row],[Product]]&amp;", "&amp;Database_Productkaarten[[#This Row],[Levensfase]]</f>
        <v>DZOAB 30% PR - PCR 2.0, B3</v>
      </c>
      <c r="B411" s="45" t="s">
        <v>1368</v>
      </c>
      <c r="C411" s="41" t="s">
        <v>443</v>
      </c>
      <c r="D411" s="41" t="s">
        <v>469</v>
      </c>
      <c r="E411" s="41" t="s">
        <v>91</v>
      </c>
      <c r="F411" s="41" t="s">
        <v>602</v>
      </c>
      <c r="G411" s="45"/>
      <c r="H411" s="45"/>
      <c r="I411" s="45"/>
      <c r="J411" s="45"/>
      <c r="K411" s="45"/>
      <c r="L411" s="45">
        <v>2</v>
      </c>
      <c r="M411" s="291">
        <v>0</v>
      </c>
      <c r="N411" s="45">
        <v>14</v>
      </c>
      <c r="O411" s="290">
        <v>0</v>
      </c>
      <c r="P411" s="290">
        <v>0</v>
      </c>
      <c r="Q411" s="290">
        <v>0</v>
      </c>
      <c r="R411" s="290">
        <v>0</v>
      </c>
      <c r="S411" s="290">
        <v>0</v>
      </c>
      <c r="T411" s="290">
        <v>0</v>
      </c>
      <c r="U411" s="290">
        <v>0</v>
      </c>
      <c r="V411" s="290">
        <v>0</v>
      </c>
      <c r="W411" s="290">
        <v>0</v>
      </c>
      <c r="X411" s="290">
        <v>0</v>
      </c>
      <c r="Y411" s="290">
        <v>0</v>
      </c>
      <c r="Z411" s="290">
        <v>0</v>
      </c>
      <c r="AA411" s="290">
        <v>0</v>
      </c>
      <c r="AB411" s="290">
        <v>0</v>
      </c>
      <c r="AC411" s="290">
        <v>0</v>
      </c>
      <c r="AD411" s="290">
        <v>0</v>
      </c>
      <c r="AE411" s="290">
        <v>0</v>
      </c>
      <c r="AF411" s="290">
        <v>0</v>
      </c>
      <c r="AG411" s="290">
        <v>0</v>
      </c>
      <c r="AH411" s="290">
        <v>0</v>
      </c>
      <c r="AI411" s="290">
        <v>0</v>
      </c>
      <c r="AJ411" s="290">
        <v>0</v>
      </c>
      <c r="AK411" s="290">
        <v>0</v>
      </c>
      <c r="AL411" s="290">
        <v>0</v>
      </c>
      <c r="AM411" s="290">
        <v>0</v>
      </c>
      <c r="AN411" s="290">
        <v>0</v>
      </c>
      <c r="AO411" s="290">
        <v>0</v>
      </c>
      <c r="AP411" s="290">
        <v>0</v>
      </c>
      <c r="AQ411" s="290">
        <v>0</v>
      </c>
      <c r="AR411" s="290">
        <v>0</v>
      </c>
      <c r="AS411" s="290">
        <v>0</v>
      </c>
      <c r="AT411" s="290">
        <v>0</v>
      </c>
      <c r="AU411" s="290">
        <v>0</v>
      </c>
      <c r="AV411" s="290">
        <v>0</v>
      </c>
      <c r="AW411" s="290">
        <v>0</v>
      </c>
      <c r="AX411" s="290">
        <v>0</v>
      </c>
      <c r="AY411" s="290">
        <v>0</v>
      </c>
      <c r="AZ411" s="290">
        <v>0</v>
      </c>
      <c r="BA411" s="290">
        <v>0</v>
      </c>
      <c r="BB411" s="290">
        <v>0</v>
      </c>
      <c r="BC411" s="290">
        <v>0</v>
      </c>
      <c r="BD411" s="290">
        <v>0</v>
      </c>
      <c r="BE411" s="290">
        <v>0</v>
      </c>
      <c r="BF411" s="290">
        <v>0</v>
      </c>
      <c r="BG411" s="290">
        <v>0</v>
      </c>
      <c r="BH411" s="290">
        <v>0</v>
      </c>
      <c r="BI411" s="290">
        <v>0</v>
      </c>
      <c r="BJ411" s="290">
        <v>0</v>
      </c>
      <c r="BK411" s="78">
        <v>0.3</v>
      </c>
      <c r="BL411" s="41" t="s">
        <v>616</v>
      </c>
      <c r="BM411" s="45"/>
    </row>
    <row r="412" spans="1:65" x14ac:dyDescent="0.35">
      <c r="A412" s="45" t="str">
        <f>Database_Productkaarten[[#This Row],[Product]]&amp;", "&amp;Database_Productkaarten[[#This Row],[Levensfase]]</f>
        <v>DZOAB 30% PR - PCR 2.0, B4</v>
      </c>
      <c r="B412" s="45" t="s">
        <v>1368</v>
      </c>
      <c r="C412" s="41" t="s">
        <v>443</v>
      </c>
      <c r="D412" s="41" t="s">
        <v>469</v>
      </c>
      <c r="E412" s="41" t="s">
        <v>91</v>
      </c>
      <c r="F412" s="41" t="s">
        <v>50</v>
      </c>
      <c r="G412" s="45"/>
      <c r="H412" s="45"/>
      <c r="I412" s="45"/>
      <c r="J412" s="45"/>
      <c r="K412" s="45"/>
      <c r="L412" s="45">
        <v>2</v>
      </c>
      <c r="M412" s="291">
        <v>0</v>
      </c>
      <c r="N412" s="45">
        <v>14</v>
      </c>
      <c r="O412" s="290">
        <v>0</v>
      </c>
      <c r="P412" s="290">
        <v>0</v>
      </c>
      <c r="Q412" s="290">
        <v>0</v>
      </c>
      <c r="R412" s="290">
        <v>0</v>
      </c>
      <c r="S412" s="290">
        <v>0</v>
      </c>
      <c r="T412" s="290">
        <v>0</v>
      </c>
      <c r="U412" s="290">
        <v>0</v>
      </c>
      <c r="V412" s="290">
        <v>0</v>
      </c>
      <c r="W412" s="290">
        <v>0</v>
      </c>
      <c r="X412" s="290">
        <v>0</v>
      </c>
      <c r="Y412" s="290">
        <v>0</v>
      </c>
      <c r="Z412" s="290">
        <v>0</v>
      </c>
      <c r="AA412" s="290">
        <v>0</v>
      </c>
      <c r="AB412" s="290">
        <v>0</v>
      </c>
      <c r="AC412" s="290">
        <v>0</v>
      </c>
      <c r="AD412" s="290">
        <v>0</v>
      </c>
      <c r="AE412" s="290">
        <v>0</v>
      </c>
      <c r="AF412" s="290">
        <v>0</v>
      </c>
      <c r="AG412" s="290">
        <v>0</v>
      </c>
      <c r="AH412" s="290">
        <v>0</v>
      </c>
      <c r="AI412" s="290">
        <v>0</v>
      </c>
      <c r="AJ412" s="290">
        <v>0</v>
      </c>
      <c r="AK412" s="290">
        <v>0</v>
      </c>
      <c r="AL412" s="290">
        <v>0</v>
      </c>
      <c r="AM412" s="290">
        <v>0</v>
      </c>
      <c r="AN412" s="290">
        <v>0</v>
      </c>
      <c r="AO412" s="290">
        <v>0</v>
      </c>
      <c r="AP412" s="290">
        <v>0</v>
      </c>
      <c r="AQ412" s="290">
        <v>0</v>
      </c>
      <c r="AR412" s="290">
        <v>0</v>
      </c>
      <c r="AS412" s="290">
        <v>0</v>
      </c>
      <c r="AT412" s="290">
        <v>0</v>
      </c>
      <c r="AU412" s="290">
        <v>0</v>
      </c>
      <c r="AV412" s="290">
        <v>0</v>
      </c>
      <c r="AW412" s="290">
        <v>0</v>
      </c>
      <c r="AX412" s="290">
        <v>0</v>
      </c>
      <c r="AY412" s="290">
        <v>0</v>
      </c>
      <c r="AZ412" s="290">
        <v>0</v>
      </c>
      <c r="BA412" s="290">
        <v>0</v>
      </c>
      <c r="BB412" s="290">
        <v>0</v>
      </c>
      <c r="BC412" s="290">
        <v>0</v>
      </c>
      <c r="BD412" s="290">
        <v>0</v>
      </c>
      <c r="BE412" s="290">
        <v>0</v>
      </c>
      <c r="BF412" s="290">
        <v>0</v>
      </c>
      <c r="BG412" s="290">
        <v>0</v>
      </c>
      <c r="BH412" s="290">
        <v>0</v>
      </c>
      <c r="BI412" s="290">
        <v>0</v>
      </c>
      <c r="BJ412" s="290">
        <v>0</v>
      </c>
      <c r="BK412" s="78">
        <v>0.3</v>
      </c>
      <c r="BL412" s="41" t="s">
        <v>616</v>
      </c>
      <c r="BM412" s="45"/>
    </row>
    <row r="413" spans="1:65" x14ac:dyDescent="0.35">
      <c r="A413" s="45" t="str">
        <f>Database_Productkaarten[[#This Row],[Product]]&amp;", "&amp;Database_Productkaarten[[#This Row],[Levensfase]]</f>
        <v>DZOAB 30% PR - PCR 2.0, B5</v>
      </c>
      <c r="B413" s="45" t="s">
        <v>1368</v>
      </c>
      <c r="C413" s="41" t="s">
        <v>443</v>
      </c>
      <c r="D413" s="41" t="s">
        <v>469</v>
      </c>
      <c r="E413" s="41" t="s">
        <v>91</v>
      </c>
      <c r="F413" s="41" t="s">
        <v>1358</v>
      </c>
      <c r="G413" s="45"/>
      <c r="H413" s="45"/>
      <c r="I413" s="45"/>
      <c r="J413" s="45"/>
      <c r="K413" s="45"/>
      <c r="L413" s="45">
        <v>2</v>
      </c>
      <c r="M413" s="291">
        <v>0</v>
      </c>
      <c r="N413" s="45">
        <v>14</v>
      </c>
      <c r="O413" s="290">
        <v>0</v>
      </c>
      <c r="P413" s="290">
        <v>0</v>
      </c>
      <c r="Q413" s="290">
        <v>0</v>
      </c>
      <c r="R413" s="290">
        <v>0</v>
      </c>
      <c r="S413" s="290">
        <v>0</v>
      </c>
      <c r="T413" s="290">
        <v>0</v>
      </c>
      <c r="U413" s="290">
        <v>0</v>
      </c>
      <c r="V413" s="290">
        <v>0</v>
      </c>
      <c r="W413" s="290">
        <v>0</v>
      </c>
      <c r="X413" s="290">
        <v>0</v>
      </c>
      <c r="Y413" s="290">
        <v>0</v>
      </c>
      <c r="Z413" s="290">
        <v>0</v>
      </c>
      <c r="AA413" s="290">
        <v>0</v>
      </c>
      <c r="AB413" s="290">
        <v>0</v>
      </c>
      <c r="AC413" s="290">
        <v>0</v>
      </c>
      <c r="AD413" s="290">
        <v>0</v>
      </c>
      <c r="AE413" s="290">
        <v>0</v>
      </c>
      <c r="AF413" s="290">
        <v>0</v>
      </c>
      <c r="AG413" s="290">
        <v>0</v>
      </c>
      <c r="AH413" s="290">
        <v>0</v>
      </c>
      <c r="AI413" s="290">
        <v>0</v>
      </c>
      <c r="AJ413" s="290">
        <v>0</v>
      </c>
      <c r="AK413" s="290">
        <v>0</v>
      </c>
      <c r="AL413" s="290">
        <v>0</v>
      </c>
      <c r="AM413" s="290">
        <v>0</v>
      </c>
      <c r="AN413" s="290">
        <v>0</v>
      </c>
      <c r="AO413" s="290">
        <v>0</v>
      </c>
      <c r="AP413" s="290">
        <v>0</v>
      </c>
      <c r="AQ413" s="290">
        <v>0</v>
      </c>
      <c r="AR413" s="290">
        <v>0</v>
      </c>
      <c r="AS413" s="290">
        <v>0</v>
      </c>
      <c r="AT413" s="290">
        <v>0</v>
      </c>
      <c r="AU413" s="290">
        <v>0</v>
      </c>
      <c r="AV413" s="290">
        <v>0</v>
      </c>
      <c r="AW413" s="290">
        <v>0</v>
      </c>
      <c r="AX413" s="290">
        <v>0</v>
      </c>
      <c r="AY413" s="290">
        <v>0</v>
      </c>
      <c r="AZ413" s="290">
        <v>0</v>
      </c>
      <c r="BA413" s="290">
        <v>0</v>
      </c>
      <c r="BB413" s="290">
        <v>0</v>
      </c>
      <c r="BC413" s="290">
        <v>0</v>
      </c>
      <c r="BD413" s="290">
        <v>0</v>
      </c>
      <c r="BE413" s="290">
        <v>0</v>
      </c>
      <c r="BF413" s="290">
        <v>0</v>
      </c>
      <c r="BG413" s="290">
        <v>0</v>
      </c>
      <c r="BH413" s="290">
        <v>0</v>
      </c>
      <c r="BI413" s="290">
        <v>0</v>
      </c>
      <c r="BJ413" s="290">
        <v>0</v>
      </c>
      <c r="BK413" s="78">
        <v>0.3</v>
      </c>
      <c r="BL413" s="41" t="s">
        <v>616</v>
      </c>
      <c r="BM413" s="45"/>
    </row>
    <row r="414" spans="1:65" x14ac:dyDescent="0.35">
      <c r="A414" s="45" t="str">
        <f>Database_Productkaarten[[#This Row],[Product]]&amp;", "&amp;Database_Productkaarten[[#This Row],[Levensfase]]</f>
        <v>DZOAB 30% PR - PCR 2.0, C1</v>
      </c>
      <c r="B414" s="45" t="s">
        <v>1368</v>
      </c>
      <c r="C414" s="41" t="s">
        <v>443</v>
      </c>
      <c r="D414" s="41" t="s">
        <v>469</v>
      </c>
      <c r="E414" s="41" t="s">
        <v>91</v>
      </c>
      <c r="F414" s="41" t="s">
        <v>25</v>
      </c>
      <c r="G414" s="45"/>
      <c r="H414" s="45"/>
      <c r="I414" s="45"/>
      <c r="J414" s="45"/>
      <c r="K414" s="45"/>
      <c r="L414" s="45">
        <v>2</v>
      </c>
      <c r="M414" s="291">
        <v>0.17627297117651325</v>
      </c>
      <c r="N414" s="45">
        <v>14</v>
      </c>
      <c r="O414" s="290">
        <v>2.1676591193189698E-6</v>
      </c>
      <c r="P414" s="290">
        <v>9.2211788198286095E-3</v>
      </c>
      <c r="Q414" s="290">
        <v>1.87534062726637</v>
      </c>
      <c r="R414" s="290">
        <v>2.4233987580521499E-7</v>
      </c>
      <c r="S414" s="290">
        <v>6.1516415020849502E-4</v>
      </c>
      <c r="T414" s="290">
        <v>5.3270131408377896E-3</v>
      </c>
      <c r="U414" s="290">
        <v>1.14380048755945E-3</v>
      </c>
      <c r="V414" s="290">
        <v>0.504712392983376</v>
      </c>
      <c r="W414" s="290">
        <v>7.1932175320183001E-3</v>
      </c>
      <c r="X414" s="290">
        <v>24.993260719961899</v>
      </c>
      <c r="Y414" s="290">
        <v>8.5184936708605503E-4</v>
      </c>
      <c r="Z414" s="290">
        <v>1.8868540275997601</v>
      </c>
      <c r="AA414" s="290">
        <v>1.8863123411900999</v>
      </c>
      <c r="AB414" s="290">
        <v>4.3144591806147398E-4</v>
      </c>
      <c r="AC414" s="290">
        <v>1.1024049160681599E-4</v>
      </c>
      <c r="AD414" s="290">
        <v>3.0535781494577802E-7</v>
      </c>
      <c r="AE414" s="290">
        <v>7.2305079383347898E-3</v>
      </c>
      <c r="AF414" s="290">
        <v>5.1504987220296498E-6</v>
      </c>
      <c r="AG414" s="290">
        <v>2.8044717862255302E-3</v>
      </c>
      <c r="AH414" s="290">
        <v>3.08259061579313E-2</v>
      </c>
      <c r="AI414" s="290">
        <v>8.4242121019855003E-3</v>
      </c>
      <c r="AJ414" s="290">
        <v>2.1676421094384899E-6</v>
      </c>
      <c r="AK414" s="290">
        <v>19.456124499727402</v>
      </c>
      <c r="AL414" s="290">
        <v>2.5912379837655701E-2</v>
      </c>
      <c r="AM414" s="290">
        <v>2.9948141809879799E-8</v>
      </c>
      <c r="AN414" s="290">
        <v>8.3507493389308796E-2</v>
      </c>
      <c r="AO414" s="290">
        <v>11.6737382044405</v>
      </c>
      <c r="AP414" s="290">
        <v>4.0957602133201199E-10</v>
      </c>
      <c r="AQ414" s="290">
        <v>8.19489586653638E-9</v>
      </c>
      <c r="AR414" s="290">
        <v>2.4850957645496901</v>
      </c>
      <c r="AS414" s="290">
        <v>0</v>
      </c>
      <c r="AT414" s="290">
        <v>0</v>
      </c>
      <c r="AU414" s="290">
        <v>0.106940525906477</v>
      </c>
      <c r="AV414" s="290">
        <v>0</v>
      </c>
      <c r="AW414" s="290">
        <v>0</v>
      </c>
      <c r="AX414" s="290">
        <v>20.6617888537968</v>
      </c>
      <c r="AY414" s="290">
        <v>0</v>
      </c>
      <c r="AZ414" s="290">
        <v>0</v>
      </c>
      <c r="BA414" s="290">
        <v>0</v>
      </c>
      <c r="BB414" s="290">
        <v>1.0057526423615599E-3</v>
      </c>
      <c r="BC414" s="290">
        <v>5.2984222193113598E-5</v>
      </c>
      <c r="BD414" s="290">
        <v>2.30218813318534E-2</v>
      </c>
      <c r="BE414" s="290">
        <v>1.3522110931075301E-4</v>
      </c>
      <c r="BF414" s="290">
        <v>0</v>
      </c>
      <c r="BG414" s="290">
        <v>0</v>
      </c>
      <c r="BH414" s="290">
        <v>0</v>
      </c>
      <c r="BI414" s="290">
        <v>0</v>
      </c>
      <c r="BJ414" s="290">
        <v>0</v>
      </c>
      <c r="BK414" s="78">
        <v>0.3</v>
      </c>
      <c r="BL414" s="41" t="s">
        <v>616</v>
      </c>
      <c r="BM414" s="45"/>
    </row>
    <row r="415" spans="1:65" x14ac:dyDescent="0.35">
      <c r="A415" s="45" t="str">
        <f>Database_Productkaarten[[#This Row],[Product]]&amp;", "&amp;Database_Productkaarten[[#This Row],[Levensfase]]</f>
        <v>DZOAB 30% PR - PCR 2.0, C2</v>
      </c>
      <c r="B415" s="45" t="s">
        <v>1368</v>
      </c>
      <c r="C415" s="41" t="s">
        <v>443</v>
      </c>
      <c r="D415" s="41" t="s">
        <v>469</v>
      </c>
      <c r="E415" s="41" t="s">
        <v>91</v>
      </c>
      <c r="F415" s="41" t="s">
        <v>26</v>
      </c>
      <c r="G415" s="45"/>
      <c r="H415" s="45"/>
      <c r="I415" s="45"/>
      <c r="J415" s="45"/>
      <c r="K415" s="45"/>
      <c r="L415" s="45">
        <v>2</v>
      </c>
      <c r="M415" s="291">
        <v>0.31791357541832999</v>
      </c>
      <c r="N415" s="45">
        <v>14</v>
      </c>
      <c r="O415" s="290">
        <v>7.2195843000000002E-5</v>
      </c>
      <c r="P415" s="290">
        <v>2.5045429500000001E-2</v>
      </c>
      <c r="Q415" s="290">
        <v>3.2726104581</v>
      </c>
      <c r="R415" s="290">
        <v>6.2448211500000004E-7</v>
      </c>
      <c r="S415" s="290">
        <v>2.3663202E-3</v>
      </c>
      <c r="T415" s="290">
        <v>9.9103019999999993E-3</v>
      </c>
      <c r="U415" s="290">
        <v>1.66070541E-3</v>
      </c>
      <c r="V415" s="290">
        <v>0.89062466159999998</v>
      </c>
      <c r="W415" s="290">
        <v>3.5055542699999998E-2</v>
      </c>
      <c r="X415" s="290">
        <v>92.682047400000002</v>
      </c>
      <c r="Y415" s="290">
        <v>7.4868390000000003E-3</v>
      </c>
      <c r="Z415" s="290">
        <v>3.3150718431000001</v>
      </c>
      <c r="AA415" s="290">
        <v>3.3001817481</v>
      </c>
      <c r="AB415" s="290">
        <v>1.3607189190000001E-2</v>
      </c>
      <c r="AC415" s="290">
        <v>1.2829113599999999E-3</v>
      </c>
      <c r="AD415" s="290">
        <v>7.8107336699999998E-7</v>
      </c>
      <c r="AE415" s="290">
        <v>1.2482505E-2</v>
      </c>
      <c r="AF415" s="290">
        <v>3.4632532799999998E-5</v>
      </c>
      <c r="AG415" s="290">
        <v>2.8897329300000001E-3</v>
      </c>
      <c r="AH415" s="290">
        <v>3.3662059799999998E-2</v>
      </c>
      <c r="AI415" s="290">
        <v>1.2098522699999999E-2</v>
      </c>
      <c r="AJ415" s="290">
        <v>7.2195510000000004E-5</v>
      </c>
      <c r="AK415" s="290">
        <v>52.307882313</v>
      </c>
      <c r="AL415" s="290">
        <v>0.28570883850000001</v>
      </c>
      <c r="AM415" s="290">
        <v>2.8544027399999998E-7</v>
      </c>
      <c r="AN415" s="290">
        <v>0.22308385950000001</v>
      </c>
      <c r="AO415" s="290">
        <v>50.61443379</v>
      </c>
      <c r="AP415" s="290">
        <v>1.35209877E-9</v>
      </c>
      <c r="AQ415" s="290">
        <v>4.3221490799999998E-8</v>
      </c>
      <c r="AR415" s="290">
        <v>98.528772599999996</v>
      </c>
      <c r="AS415" s="290">
        <v>8.065825212</v>
      </c>
      <c r="AT415" s="290">
        <v>0</v>
      </c>
      <c r="AU415" s="290">
        <v>8.6963547624000004</v>
      </c>
      <c r="AV415" s="290">
        <v>0.70667511750000001</v>
      </c>
      <c r="AW415" s="290">
        <v>9.926829900000001E-4</v>
      </c>
      <c r="AX415" s="290">
        <v>55.561210727999999</v>
      </c>
      <c r="AY415" s="290">
        <v>0</v>
      </c>
      <c r="AZ415" s="290">
        <v>0</v>
      </c>
      <c r="BA415" s="290">
        <v>0</v>
      </c>
      <c r="BB415" s="290">
        <v>8.7338241000000007E-3</v>
      </c>
      <c r="BC415" s="290">
        <v>1.5376752299999999E-4</v>
      </c>
      <c r="BD415" s="290">
        <v>5.5583861609999996</v>
      </c>
      <c r="BE415" s="290">
        <v>3.4865666099999999E-4</v>
      </c>
      <c r="BF415" s="290">
        <v>0</v>
      </c>
      <c r="BG415" s="290">
        <v>0</v>
      </c>
      <c r="BH415" s="290">
        <v>0</v>
      </c>
      <c r="BI415" s="290">
        <v>0</v>
      </c>
      <c r="BJ415" s="290">
        <v>0</v>
      </c>
      <c r="BK415" s="78">
        <v>0.3</v>
      </c>
      <c r="BL415" s="41" t="s">
        <v>616</v>
      </c>
      <c r="BM415" s="45"/>
    </row>
    <row r="416" spans="1:65" x14ac:dyDescent="0.35">
      <c r="A416" s="45" t="str">
        <f>Database_Productkaarten[[#This Row],[Product]]&amp;", "&amp;Database_Productkaarten[[#This Row],[Levensfase]]</f>
        <v>DZOAB 30% PR - PCR 2.0, C3</v>
      </c>
      <c r="B416" s="45" t="s">
        <v>1368</v>
      </c>
      <c r="C416" s="41" t="s">
        <v>443</v>
      </c>
      <c r="D416" s="41" t="s">
        <v>469</v>
      </c>
      <c r="E416" s="41" t="s">
        <v>91</v>
      </c>
      <c r="F416" s="41" t="s">
        <v>27</v>
      </c>
      <c r="G416" s="45"/>
      <c r="H416" s="45"/>
      <c r="I416" s="45"/>
      <c r="J416" s="45"/>
      <c r="K416" s="45"/>
      <c r="L416" s="45">
        <v>2</v>
      </c>
      <c r="M416" s="291">
        <v>0.15929996488611861</v>
      </c>
      <c r="N416" s="45">
        <v>14</v>
      </c>
      <c r="O416" s="290">
        <v>1.86519505615819E-6</v>
      </c>
      <c r="P416" s="290">
        <v>7.9345027054339001E-3</v>
      </c>
      <c r="Q416" s="290">
        <v>1.6136651909036199</v>
      </c>
      <c r="R416" s="290">
        <v>2.0852500941379E-7</v>
      </c>
      <c r="S416" s="290">
        <v>5.8559282931068297E-4</v>
      </c>
      <c r="T416" s="290">
        <v>5.7290956095574601E-3</v>
      </c>
      <c r="U416" s="290">
        <v>1.2820009427835499E-3</v>
      </c>
      <c r="V416" s="290">
        <v>0.437053407364764</v>
      </c>
      <c r="W416" s="290">
        <v>6.1895127601087696E-3</v>
      </c>
      <c r="X416" s="290">
        <v>21.505828991594999</v>
      </c>
      <c r="Y416" s="290">
        <v>7.3298666470195399E-4</v>
      </c>
      <c r="Z416" s="290">
        <v>1.62432602442305</v>
      </c>
      <c r="AA416" s="290">
        <v>1.6238599221635699</v>
      </c>
      <c r="AB416" s="290">
        <v>3.7124416205289699E-4</v>
      </c>
      <c r="AC416" s="290">
        <v>9.4858097429121105E-5</v>
      </c>
      <c r="AD416" s="290">
        <v>2.6274974774404198E-7</v>
      </c>
      <c r="AE416" s="290">
        <v>7.9167720632173696E-3</v>
      </c>
      <c r="AF416" s="290">
        <v>4.4318244817464502E-6</v>
      </c>
      <c r="AG416" s="290">
        <v>3.3042609381470599E-3</v>
      </c>
      <c r="AH416" s="290">
        <v>3.6283310996354103E-2</v>
      </c>
      <c r="AI416" s="290">
        <v>9.65370997891642E-3</v>
      </c>
      <c r="AJ416" s="290">
        <v>1.8651804197494001E-6</v>
      </c>
      <c r="AK416" s="290">
        <v>16.741316429998001</v>
      </c>
      <c r="AL416" s="290">
        <v>2.2296698930075801E-2</v>
      </c>
      <c r="AM416" s="290">
        <v>3.0576571408731198E-8</v>
      </c>
      <c r="AN416" s="290">
        <v>7.1855285009405107E-2</v>
      </c>
      <c r="AO416" s="290">
        <v>10.045649864340801</v>
      </c>
      <c r="AP416" s="290">
        <v>3.5242587882056901E-10</v>
      </c>
      <c r="AQ416" s="290">
        <v>7.5755651702224408E-9</v>
      </c>
      <c r="AR416" s="290">
        <v>2.1383382160078699</v>
      </c>
      <c r="AS416" s="290">
        <v>0</v>
      </c>
      <c r="AT416" s="290">
        <v>0</v>
      </c>
      <c r="AU416" s="290">
        <v>9.2018592059061793E-2</v>
      </c>
      <c r="AV416" s="290">
        <v>0</v>
      </c>
      <c r="AW416" s="290">
        <v>0</v>
      </c>
      <c r="AX416" s="290">
        <v>17.778748548615901</v>
      </c>
      <c r="AY416" s="290">
        <v>0</v>
      </c>
      <c r="AZ416" s="290">
        <v>0</v>
      </c>
      <c r="BA416" s="290">
        <v>0</v>
      </c>
      <c r="BB416" s="290">
        <v>8.6541506435762298E-4</v>
      </c>
      <c r="BC416" s="290">
        <v>4.55910749103536E-5</v>
      </c>
      <c r="BD416" s="290">
        <v>1.9809525797176201E-2</v>
      </c>
      <c r="BE416" s="290">
        <v>1.16353047546462E-4</v>
      </c>
      <c r="BF416" s="290">
        <v>0</v>
      </c>
      <c r="BG416" s="290">
        <v>1000</v>
      </c>
      <c r="BH416" s="290">
        <v>0</v>
      </c>
      <c r="BI416" s="290">
        <v>0</v>
      </c>
      <c r="BJ416" s="290">
        <v>0</v>
      </c>
      <c r="BK416" s="78">
        <v>0.3</v>
      </c>
      <c r="BL416" s="41" t="s">
        <v>616</v>
      </c>
      <c r="BM416" s="45"/>
    </row>
    <row r="417" spans="1:65" x14ac:dyDescent="0.35">
      <c r="A417" s="45" t="str">
        <f>Database_Productkaarten[[#This Row],[Product]]&amp;", "&amp;Database_Productkaarten[[#This Row],[Levensfase]]</f>
        <v>DZOAB 30% PR - PCR 2.0, C4</v>
      </c>
      <c r="B417" s="45" t="s">
        <v>1368</v>
      </c>
      <c r="C417" s="41" t="s">
        <v>443</v>
      </c>
      <c r="D417" s="41" t="s">
        <v>469</v>
      </c>
      <c r="E417" s="41" t="s">
        <v>91</v>
      </c>
      <c r="F417" s="41" t="s">
        <v>28</v>
      </c>
      <c r="G417" s="45"/>
      <c r="H417" s="45"/>
      <c r="I417" s="45"/>
      <c r="J417" s="45"/>
      <c r="K417" s="45"/>
      <c r="L417" s="45">
        <v>2</v>
      </c>
      <c r="M417" s="291">
        <v>0</v>
      </c>
      <c r="N417" s="45">
        <v>14</v>
      </c>
      <c r="O417" s="290">
        <v>0</v>
      </c>
      <c r="P417" s="290">
        <v>0</v>
      </c>
      <c r="Q417" s="290">
        <v>0</v>
      </c>
      <c r="R417" s="290">
        <v>0</v>
      </c>
      <c r="S417" s="290">
        <v>0</v>
      </c>
      <c r="T417" s="290">
        <v>0</v>
      </c>
      <c r="U417" s="290">
        <v>0</v>
      </c>
      <c r="V417" s="290">
        <v>0</v>
      </c>
      <c r="W417" s="290">
        <v>0</v>
      </c>
      <c r="X417" s="290">
        <v>0</v>
      </c>
      <c r="Y417" s="290">
        <v>0</v>
      </c>
      <c r="Z417" s="290">
        <v>0</v>
      </c>
      <c r="AA417" s="290">
        <v>0</v>
      </c>
      <c r="AB417" s="290">
        <v>0</v>
      </c>
      <c r="AC417" s="290">
        <v>0</v>
      </c>
      <c r="AD417" s="290">
        <v>0</v>
      </c>
      <c r="AE417" s="290">
        <v>0</v>
      </c>
      <c r="AF417" s="290">
        <v>0</v>
      </c>
      <c r="AG417" s="290">
        <v>0</v>
      </c>
      <c r="AH417" s="290">
        <v>0</v>
      </c>
      <c r="AI417" s="290">
        <v>0</v>
      </c>
      <c r="AJ417" s="290">
        <v>0</v>
      </c>
      <c r="AK417" s="290">
        <v>0</v>
      </c>
      <c r="AL417" s="290">
        <v>0</v>
      </c>
      <c r="AM417" s="290">
        <v>0</v>
      </c>
      <c r="AN417" s="290">
        <v>0</v>
      </c>
      <c r="AO417" s="290">
        <v>0</v>
      </c>
      <c r="AP417" s="290">
        <v>0</v>
      </c>
      <c r="AQ417" s="290">
        <v>0</v>
      </c>
      <c r="AR417" s="290">
        <v>0</v>
      </c>
      <c r="AS417" s="290">
        <v>0</v>
      </c>
      <c r="AT417" s="290">
        <v>0</v>
      </c>
      <c r="AU417" s="290">
        <v>0</v>
      </c>
      <c r="AV417" s="290">
        <v>0</v>
      </c>
      <c r="AW417" s="290">
        <v>0</v>
      </c>
      <c r="AX417" s="290">
        <v>0</v>
      </c>
      <c r="AY417" s="290">
        <v>0</v>
      </c>
      <c r="AZ417" s="290">
        <v>0</v>
      </c>
      <c r="BA417" s="290">
        <v>0</v>
      </c>
      <c r="BB417" s="290">
        <v>0</v>
      </c>
      <c r="BC417" s="290">
        <v>0</v>
      </c>
      <c r="BD417" s="290">
        <v>0</v>
      </c>
      <c r="BE417" s="290">
        <v>0</v>
      </c>
      <c r="BF417" s="290">
        <v>0</v>
      </c>
      <c r="BG417" s="290">
        <v>0</v>
      </c>
      <c r="BH417" s="290">
        <v>0</v>
      </c>
      <c r="BI417" s="290">
        <v>0</v>
      </c>
      <c r="BJ417" s="290">
        <v>0</v>
      </c>
      <c r="BK417" s="78">
        <v>0.3</v>
      </c>
      <c r="BL417" s="41" t="s">
        <v>616</v>
      </c>
      <c r="BM417" s="45"/>
    </row>
    <row r="418" spans="1:65" x14ac:dyDescent="0.35">
      <c r="A418" s="45" t="str">
        <f>Database_Productkaarten[[#This Row],[Product]]&amp;", "&amp;Database_Productkaarten[[#This Row],[Levensfase]]</f>
        <v>DZOAB 30% PR - PCR 2.0, D1</v>
      </c>
      <c r="B418" s="45" t="s">
        <v>1368</v>
      </c>
      <c r="C418" s="41" t="s">
        <v>443</v>
      </c>
      <c r="D418" s="41" t="s">
        <v>469</v>
      </c>
      <c r="E418" s="41" t="s">
        <v>91</v>
      </c>
      <c r="F418" s="41" t="s">
        <v>51</v>
      </c>
      <c r="G418" s="45"/>
      <c r="H418" s="45"/>
      <c r="I418" s="45"/>
      <c r="J418" s="45"/>
      <c r="K418" s="45"/>
      <c r="L418" s="45">
        <v>2</v>
      </c>
      <c r="M418" s="291">
        <v>-2.416942147149086</v>
      </c>
      <c r="N418" s="45">
        <v>14</v>
      </c>
      <c r="O418" s="290">
        <v>-3.3274904498508599E-4</v>
      </c>
      <c r="P418" s="290">
        <v>-0.39874893918223298</v>
      </c>
      <c r="Q418" s="290">
        <v>-17.895414322360001</v>
      </c>
      <c r="R418" s="290">
        <v>-1.55698336192535E-6</v>
      </c>
      <c r="S418" s="290">
        <v>-4.3088635133007799E-2</v>
      </c>
      <c r="T418" s="290">
        <v>-0.12731937539712199</v>
      </c>
      <c r="U418" s="290">
        <v>-1.2789210449927899E-2</v>
      </c>
      <c r="V418" s="290">
        <v>-5.06483567542623</v>
      </c>
      <c r="W418" s="290">
        <v>-0.61581282427747197</v>
      </c>
      <c r="X418" s="290">
        <v>-2684.5303925713001</v>
      </c>
      <c r="Y418" s="290">
        <v>-8.2522512270060605E-2</v>
      </c>
      <c r="Z418" s="290">
        <v>-5.3604029991510904</v>
      </c>
      <c r="AA418" s="290">
        <v>-5.2907632754777199</v>
      </c>
      <c r="AB418" s="290">
        <v>-6.2787726157743806E-2</v>
      </c>
      <c r="AC418" s="290">
        <v>-6.8519975156439003E-3</v>
      </c>
      <c r="AD418" s="290">
        <v>-6.9417203325155104E-7</v>
      </c>
      <c r="AE418" s="290">
        <v>-5.3084551541001598E-2</v>
      </c>
      <c r="AF418" s="290">
        <v>-2.31102096812949E-4</v>
      </c>
      <c r="AG418" s="290">
        <v>-1.57073783904416E-2</v>
      </c>
      <c r="AH418" s="290">
        <v>-0.20038562017640199</v>
      </c>
      <c r="AI418" s="290">
        <v>-4.8669267728057602E-2</v>
      </c>
      <c r="AJ418" s="290">
        <v>-3.3095685952739E-4</v>
      </c>
      <c r="AK418" s="290">
        <v>-77.430844404562293</v>
      </c>
      <c r="AL418" s="290">
        <v>-18.588318711567801</v>
      </c>
      <c r="AM418" s="290">
        <v>-7.5963122194116802E-7</v>
      </c>
      <c r="AN418" s="290">
        <v>-0.42251850219403297</v>
      </c>
      <c r="AO418" s="290">
        <v>-795.20773544385202</v>
      </c>
      <c r="AP418" s="290">
        <v>-3.99361590926694E-9</v>
      </c>
      <c r="AQ418" s="290">
        <v>-9.0366385076649305E-8</v>
      </c>
      <c r="AR418" s="290">
        <v>-974.72613593585095</v>
      </c>
      <c r="AS418" s="290">
        <v>0</v>
      </c>
      <c r="AT418" s="290">
        <v>0</v>
      </c>
      <c r="AU418" s="290">
        <v>-9.7826582819558805</v>
      </c>
      <c r="AV418" s="290">
        <v>0</v>
      </c>
      <c r="AW418" s="290">
        <v>0</v>
      </c>
      <c r="AX418" s="290">
        <v>-901.35087712034294</v>
      </c>
      <c r="AY418" s="290">
        <v>0</v>
      </c>
      <c r="AZ418" s="290">
        <v>0</v>
      </c>
      <c r="BA418" s="290">
        <v>0</v>
      </c>
      <c r="BB418" s="290">
        <v>-9.5661741380530501</v>
      </c>
      <c r="BC418" s="290">
        <v>-4.3000605163101102E-4</v>
      </c>
      <c r="BD418" s="290">
        <v>-1.64286348615919</v>
      </c>
      <c r="BE418" s="290">
        <v>-5.5024433628369704E-4</v>
      </c>
      <c r="BF418" s="290">
        <v>0</v>
      </c>
      <c r="BG418" s="290">
        <v>0</v>
      </c>
      <c r="BH418" s="290">
        <v>0</v>
      </c>
      <c r="BI418" s="290">
        <v>0</v>
      </c>
      <c r="BJ418" s="290">
        <v>0</v>
      </c>
      <c r="BK418" s="78">
        <v>0.3</v>
      </c>
      <c r="BL418" s="41" t="s">
        <v>616</v>
      </c>
      <c r="BM418" s="45"/>
    </row>
    <row r="419" spans="1:65" x14ac:dyDescent="0.35">
      <c r="A419" s="45" t="str">
        <f>Database_Productkaarten[[#This Row],[Product]]&amp;", "&amp;Database_Productkaarten[[#This Row],[Levensfase]]</f>
        <v>2L-ZOAB toplaag G.M. - PCR 2.0, Totaal</v>
      </c>
      <c r="B419" s="45" t="s">
        <v>1365</v>
      </c>
      <c r="C419" s="41" t="s">
        <v>443</v>
      </c>
      <c r="D419" s="41" t="s">
        <v>469</v>
      </c>
      <c r="E419" s="41" t="s">
        <v>91</v>
      </c>
      <c r="F419" s="41" t="s">
        <v>16</v>
      </c>
      <c r="G419" s="45"/>
      <c r="H419" s="45"/>
      <c r="I419" s="45"/>
      <c r="J419" s="45"/>
      <c r="K419" s="45"/>
      <c r="L419" s="45">
        <v>2</v>
      </c>
      <c r="M419" s="54">
        <f>SUM(M420:M434)</f>
        <v>12.715209866423354</v>
      </c>
      <c r="N419" s="45">
        <v>10</v>
      </c>
      <c r="O419" s="55">
        <f>SUM(O420:O434)</f>
        <v>6.9549103056315486E-3</v>
      </c>
      <c r="P419" s="55">
        <f t="shared" ref="P419" si="438">SUM(P420:P434)</f>
        <v>1.3235303747503333</v>
      </c>
      <c r="Q419" s="55">
        <f t="shared" ref="Q419" si="439">SUM(Q420:Q434)</f>
        <v>108.13759265703223</v>
      </c>
      <c r="R419" s="55">
        <f t="shared" ref="R419" si="440">SUM(R420:R434)</f>
        <v>1.3261225065388537E-5</v>
      </c>
      <c r="S419" s="55">
        <f t="shared" ref="S419" si="441">SUM(S420:S434)</f>
        <v>0.12092780744571324</v>
      </c>
      <c r="T419" s="55">
        <f t="shared" ref="T419" si="442">SUM(T420:T434)</f>
        <v>0.58230219085944368</v>
      </c>
      <c r="U419" s="55">
        <f t="shared" ref="U419" si="443">SUM(U420:U434)</f>
        <v>7.0414905824734586E-2</v>
      </c>
      <c r="V419" s="55">
        <f t="shared" ref="V419" si="444">SUM(V420:V434)</f>
        <v>30.574881102905529</v>
      </c>
      <c r="W419" s="55">
        <f t="shared" ref="W419" si="445">SUM(W420:W434)</f>
        <v>4.6866725929473123</v>
      </c>
      <c r="X419" s="55">
        <f t="shared" ref="X419" si="446">SUM(X420:X434)</f>
        <v>9834.1961528593056</v>
      </c>
      <c r="Y419" s="55">
        <f t="shared" ref="Y419" si="447">SUM(Y420:Y434)</f>
        <v>0.24161880205276293</v>
      </c>
      <c r="Z419" s="55">
        <f t="shared" ref="Z419" si="448">SUM(Z420:Z434)</f>
        <v>130.50434890841058</v>
      </c>
      <c r="AA419" s="55">
        <f t="shared" ref="AA419" si="449">SUM(AA420:AA434)</f>
        <v>130.4615223422112</v>
      </c>
      <c r="AB419" s="55">
        <f t="shared" ref="AB419" si="450">SUM(AB420:AB434)</f>
        <v>1.5533952674768231E-2</v>
      </c>
      <c r="AC419" s="55">
        <f t="shared" ref="AC419" si="451">SUM(AC420:AC434)</f>
        <v>6.0074196874689796E-2</v>
      </c>
      <c r="AD419" s="55">
        <f t="shared" ref="AD419" si="452">SUM(AD420:AD434)</f>
        <v>1.7756927788649968E-5</v>
      </c>
      <c r="AE419" s="55">
        <f t="shared" ref="AE419" si="453">SUM(AE420:AE434)</f>
        <v>0.86593617014230606</v>
      </c>
      <c r="AF419" s="55">
        <f t="shared" ref="AF419" si="454">SUM(AF420:AF434)</f>
        <v>1.6548681684225549E-3</v>
      </c>
      <c r="AG419" s="55">
        <f t="shared" ref="AG419" si="455">SUM(AG420:AG434)</f>
        <v>0.17787527400230471</v>
      </c>
      <c r="AH419" s="55">
        <f t="shared" ref="AH419" si="456">SUM(AH420:AH434)</f>
        <v>1.9318564157253191</v>
      </c>
      <c r="AI419" s="55">
        <f t="shared" ref="AI419" si="457">SUM(AI420:AI434)</f>
        <v>0.79029133518231054</v>
      </c>
      <c r="AJ419" s="55">
        <f t="shared" ref="AJ419" si="458">SUM(AJ420:AJ434)</f>
        <v>6.9573998856536593E-3</v>
      </c>
      <c r="AK419" s="55">
        <f t="shared" ref="AK419" si="459">SUM(AK420:AK434)</f>
        <v>3838.5509761687845</v>
      </c>
      <c r="AL419" s="55">
        <f t="shared" ref="AL419" si="460">SUM(AL420:AL434)</f>
        <v>26.323332540816551</v>
      </c>
      <c r="AM419" s="55">
        <f t="shared" ref="AM419" si="461">SUM(AM420:AM434)</f>
        <v>4.4437090546181133E-6</v>
      </c>
      <c r="AN419" s="55">
        <f t="shared" ref="AN419" si="462">SUM(AN420:AN434)</f>
        <v>4.7452461509722035</v>
      </c>
      <c r="AO419" s="55">
        <f t="shared" ref="AO419" si="463">SUM(AO420:AO434)</f>
        <v>4804.3075395266178</v>
      </c>
      <c r="AP419" s="55">
        <f t="shared" ref="AP419" si="464">SUM(AP420:AP434)</f>
        <v>3.9291747337786377E-8</v>
      </c>
      <c r="AQ419" s="55">
        <f t="shared" ref="AQ419" si="465">SUM(AQ420:AQ434)</f>
        <v>1.4306480246698045E-6</v>
      </c>
      <c r="AR419" s="55">
        <f t="shared" ref="AR419" si="466">SUM(AR420:AR434)</f>
        <v>1909.6832604908559</v>
      </c>
      <c r="AS419" s="55">
        <f t="shared" ref="AS419" si="467">SUM(AS420:AS434)</f>
        <v>8.065825212</v>
      </c>
      <c r="AT419" s="55">
        <f t="shared" ref="AT419" si="468">SUM(AT420:AT434)</f>
        <v>0</v>
      </c>
      <c r="AU419" s="55">
        <f t="shared" ref="AU419" si="469">SUM(AU420:AU434)</f>
        <v>57.744822127786193</v>
      </c>
      <c r="AV419" s="55">
        <f t="shared" ref="AV419" si="470">SUM(AV420:AV434)</f>
        <v>0.70667511750000001</v>
      </c>
      <c r="AW419" s="55">
        <f t="shared" ref="AW419" si="471">SUM(AW420:AW434)</f>
        <v>9.926829900000001E-4</v>
      </c>
      <c r="AX419" s="55">
        <f t="shared" ref="AX419" si="472">SUM(AX420:AX434)</f>
        <v>2927.3848427762282</v>
      </c>
      <c r="AY419" s="55">
        <f t="shared" ref="AY419" si="473">SUM(AY420:AY434)</f>
        <v>0</v>
      </c>
      <c r="AZ419" s="55">
        <f t="shared" ref="AZ419" si="474">SUM(AZ420:AZ434)</f>
        <v>0</v>
      </c>
      <c r="BA419" s="55">
        <f t="shared" ref="BA419" si="475">SUM(BA420:BA434)</f>
        <v>0</v>
      </c>
      <c r="BB419" s="55">
        <f t="shared" ref="BB419" si="476">SUM(BB420:BB434)</f>
        <v>-12.29662006977974</v>
      </c>
      <c r="BC419" s="55">
        <f t="shared" ref="BC419" si="477">SUM(BC420:BC434)</f>
        <v>2.1134478547395869E-3</v>
      </c>
      <c r="BD419" s="55">
        <f t="shared" ref="BD419" si="478">SUM(BD420:BD434)</f>
        <v>20.037730501884255</v>
      </c>
      <c r="BE419" s="55">
        <f t="shared" ref="BE419" si="479">SUM(BE420:BE434)</f>
        <v>5.7778427910350543E-3</v>
      </c>
      <c r="BF419" s="55">
        <f t="shared" ref="BF419" si="480">SUM(BF420:BF434)</f>
        <v>0</v>
      </c>
      <c r="BG419" s="55">
        <f t="shared" ref="BG419" si="481">SUM(BG420:BG434)</f>
        <v>1000</v>
      </c>
      <c r="BH419" s="55">
        <f t="shared" ref="BH419" si="482">SUM(BH420:BH434)</f>
        <v>0</v>
      </c>
      <c r="BI419" s="55">
        <f t="shared" ref="BI419" si="483">SUM(BI420:BI434)</f>
        <v>0</v>
      </c>
      <c r="BJ419" s="55">
        <f t="shared" ref="BJ419" si="484">SUM(BJ420:BJ434)</f>
        <v>0</v>
      </c>
      <c r="BK419" s="78">
        <v>0</v>
      </c>
      <c r="BL419" s="41" t="s">
        <v>616</v>
      </c>
      <c r="BM419" s="45"/>
    </row>
    <row r="420" spans="1:65" x14ac:dyDescent="0.35">
      <c r="A420" s="45" t="str">
        <f>Database_Productkaarten[[#This Row],[Product]]&amp;", "&amp;Database_Productkaarten[[#This Row],[Levensfase]]</f>
        <v>2L-ZOAB toplaag G.M. - PCR 2.0, A1</v>
      </c>
      <c r="B420" s="45" t="s">
        <v>1365</v>
      </c>
      <c r="C420" s="41" t="s">
        <v>443</v>
      </c>
      <c r="D420" s="41" t="s">
        <v>469</v>
      </c>
      <c r="E420" s="41" t="s">
        <v>91</v>
      </c>
      <c r="F420" s="41" t="s">
        <v>19</v>
      </c>
      <c r="G420" s="45"/>
      <c r="H420" s="45"/>
      <c r="I420" s="45"/>
      <c r="J420" s="45"/>
      <c r="K420" s="45"/>
      <c r="L420" s="45">
        <v>2</v>
      </c>
      <c r="M420" s="291">
        <v>10.05687757897684</v>
      </c>
      <c r="N420" s="45">
        <v>10</v>
      </c>
      <c r="O420" s="290">
        <v>7.0485598450145698E-3</v>
      </c>
      <c r="P420" s="290">
        <v>1.5325118308383801</v>
      </c>
      <c r="Q420" s="290">
        <v>84.690224335510095</v>
      </c>
      <c r="R420" s="290">
        <v>8.5601990668472799E-6</v>
      </c>
      <c r="S420" s="290">
        <v>0.157669919121872</v>
      </c>
      <c r="T420" s="290">
        <v>0.464747227965851</v>
      </c>
      <c r="U420" s="290">
        <v>4.6156653553408297E-2</v>
      </c>
      <c r="V420" s="290">
        <v>21.967720840627202</v>
      </c>
      <c r="W420" s="290">
        <v>2.1576235176019098</v>
      </c>
      <c r="X420" s="290">
        <v>9266.0284678984808</v>
      </c>
      <c r="Y420" s="290">
        <v>0.29358056096350099</v>
      </c>
      <c r="Z420" s="290">
        <v>88.579557487932107</v>
      </c>
      <c r="AA420" s="290">
        <v>88.531932309774902</v>
      </c>
      <c r="AB420" s="290">
        <v>2.9092248158350199E-2</v>
      </c>
      <c r="AC420" s="290">
        <v>5.1314529998837302E-2</v>
      </c>
      <c r="AD420" s="290">
        <v>1.03576556366527E-5</v>
      </c>
      <c r="AE420" s="290">
        <v>0.55826191764369204</v>
      </c>
      <c r="AF420" s="290">
        <v>1.5143502719031799E-3</v>
      </c>
      <c r="AG420" s="290">
        <v>9.0738580353824802E-2</v>
      </c>
      <c r="AH420" s="290">
        <v>1.0007882970888999</v>
      </c>
      <c r="AI420" s="290">
        <v>0.53052987240980898</v>
      </c>
      <c r="AJ420" s="290">
        <v>7.0484937364320302E-3</v>
      </c>
      <c r="AK420" s="290">
        <v>3239.83300874926</v>
      </c>
      <c r="AL420" s="290">
        <v>51.141135868248298</v>
      </c>
      <c r="AM420" s="290">
        <v>3.9093808741272803E-6</v>
      </c>
      <c r="AN420" s="290">
        <v>3.46238671478587</v>
      </c>
      <c r="AO420" s="290">
        <v>5548.2811753269098</v>
      </c>
      <c r="AP420" s="290">
        <v>2.71544102983942E-8</v>
      </c>
      <c r="AQ420" s="290">
        <v>1.05102191889547E-6</v>
      </c>
      <c r="AR420" s="290">
        <v>2993.1333959066501</v>
      </c>
      <c r="AS420" s="290">
        <v>0</v>
      </c>
      <c r="AT420" s="290">
        <v>0</v>
      </c>
      <c r="AU420" s="290">
        <v>52.500721942357998</v>
      </c>
      <c r="AV420" s="290">
        <v>0</v>
      </c>
      <c r="AW420" s="290">
        <v>0</v>
      </c>
      <c r="AX420" s="290">
        <v>3448.8218321559002</v>
      </c>
      <c r="AY420" s="290">
        <v>0</v>
      </c>
      <c r="AZ420" s="290">
        <v>0</v>
      </c>
      <c r="BA420" s="290">
        <v>0</v>
      </c>
      <c r="BB420" s="290">
        <v>1.28790043784175</v>
      </c>
      <c r="BC420" s="290">
        <v>1.48538043644364E-3</v>
      </c>
      <c r="BD420" s="290">
        <v>5.71426169373819</v>
      </c>
      <c r="BE420" s="290">
        <v>3.6653481630230201E-3</v>
      </c>
      <c r="BF420" s="290">
        <v>0</v>
      </c>
      <c r="BG420" s="290">
        <v>0</v>
      </c>
      <c r="BH420" s="290">
        <v>0</v>
      </c>
      <c r="BI420" s="290">
        <v>0</v>
      </c>
      <c r="BJ420" s="290">
        <v>0</v>
      </c>
      <c r="BK420" s="78">
        <v>0</v>
      </c>
      <c r="BL420" s="41" t="s">
        <v>616</v>
      </c>
      <c r="BM420" s="45"/>
    </row>
    <row r="421" spans="1:65" x14ac:dyDescent="0.35">
      <c r="A421" s="45" t="str">
        <f>Database_Productkaarten[[#This Row],[Product]]&amp;", "&amp;Database_Productkaarten[[#This Row],[Levensfase]]</f>
        <v>2L-ZOAB toplaag G.M. - PCR 2.0, A2</v>
      </c>
      <c r="B421" s="45" t="s">
        <v>1365</v>
      </c>
      <c r="C421" s="41" t="s">
        <v>443</v>
      </c>
      <c r="D421" s="41" t="s">
        <v>469</v>
      </c>
      <c r="E421" s="41" t="s">
        <v>91</v>
      </c>
      <c r="F421" s="41" t="s">
        <v>20</v>
      </c>
      <c r="G421" s="45"/>
      <c r="H421" s="45"/>
      <c r="I421" s="45"/>
      <c r="J421" s="45"/>
      <c r="K421" s="45"/>
      <c r="L421" s="45">
        <v>2</v>
      </c>
      <c r="M421" s="291">
        <v>2.7996225951288167</v>
      </c>
      <c r="N421" s="45">
        <v>10</v>
      </c>
      <c r="O421" s="290">
        <v>2.13420155110849E-4</v>
      </c>
      <c r="P421" s="290">
        <v>0.10494079045435099</v>
      </c>
      <c r="Q421" s="290">
        <v>16.109589182023399</v>
      </c>
      <c r="R421" s="290">
        <v>2.60392705480855E-6</v>
      </c>
      <c r="S421" s="290">
        <v>1.49486795149709E-2</v>
      </c>
      <c r="T421" s="290">
        <v>0.23925456417448701</v>
      </c>
      <c r="U421" s="290">
        <v>3.1273040150042702E-2</v>
      </c>
      <c r="V421" s="290">
        <v>7.1316002764179798</v>
      </c>
      <c r="W421" s="290">
        <v>0.15161604987623001</v>
      </c>
      <c r="X421" s="290">
        <v>610.37442736072296</v>
      </c>
      <c r="Y421" s="290">
        <v>2.3956972170616701E-2</v>
      </c>
      <c r="Z421" s="290">
        <v>16.253190419585099</v>
      </c>
      <c r="AA421" s="290">
        <v>16.2327153315941</v>
      </c>
      <c r="AB421" s="290">
        <v>6.3945497816173796E-3</v>
      </c>
      <c r="AC421" s="290">
        <v>1.4080538209387599E-2</v>
      </c>
      <c r="AD421" s="290">
        <v>3.2664107588635802E-6</v>
      </c>
      <c r="AE421" s="290">
        <v>0.30488780754799999</v>
      </c>
      <c r="AF421" s="290">
        <v>1.27566164022406E-4</v>
      </c>
      <c r="AG421" s="290">
        <v>8.5020011409540297E-2</v>
      </c>
      <c r="AH421" s="290">
        <v>0.94252575383808401</v>
      </c>
      <c r="AI421" s="290">
        <v>0.246981413683145</v>
      </c>
      <c r="AJ421" s="290">
        <v>2.1341636693357E-4</v>
      </c>
      <c r="AK421" s="290">
        <v>218.72537931022899</v>
      </c>
      <c r="AL421" s="290">
        <v>0.64059118256492498</v>
      </c>
      <c r="AM421" s="290">
        <v>7.6878069437594902E-7</v>
      </c>
      <c r="AN421" s="290">
        <v>0.93297474233756195</v>
      </c>
      <c r="AO421" s="290">
        <v>171.560989063086</v>
      </c>
      <c r="AP421" s="290">
        <v>8.1805475160203497E-9</v>
      </c>
      <c r="AQ421" s="290">
        <v>1.52336921085494E-7</v>
      </c>
      <c r="AR421" s="290">
        <v>116.441826010284</v>
      </c>
      <c r="AS421" s="290">
        <v>0</v>
      </c>
      <c r="AT421" s="290">
        <v>0</v>
      </c>
      <c r="AU421" s="290">
        <v>2.7355638826263999</v>
      </c>
      <c r="AV421" s="290">
        <v>0</v>
      </c>
      <c r="AW421" s="290">
        <v>0</v>
      </c>
      <c r="AX421" s="290">
        <v>232.19321070966899</v>
      </c>
      <c r="AY421" s="290">
        <v>0</v>
      </c>
      <c r="AZ421" s="290">
        <v>0</v>
      </c>
      <c r="BA421" s="290">
        <v>0</v>
      </c>
      <c r="BB421" s="290">
        <v>2.3521156138375798E-2</v>
      </c>
      <c r="BC421" s="290">
        <v>4.0670843532648198E-4</v>
      </c>
      <c r="BD421" s="290">
        <v>5.3256453100073902</v>
      </c>
      <c r="BE421" s="290">
        <v>1.4683651318944601E-3</v>
      </c>
      <c r="BF421" s="290">
        <v>0</v>
      </c>
      <c r="BG421" s="290">
        <v>0</v>
      </c>
      <c r="BH421" s="290">
        <v>0</v>
      </c>
      <c r="BI421" s="290">
        <v>0</v>
      </c>
      <c r="BJ421" s="290">
        <v>0</v>
      </c>
      <c r="BK421" s="78">
        <v>0</v>
      </c>
      <c r="BL421" s="41" t="s">
        <v>616</v>
      </c>
      <c r="BM421" s="45"/>
    </row>
    <row r="422" spans="1:65" x14ac:dyDescent="0.35">
      <c r="A422" s="45" t="str">
        <f>Database_Productkaarten[[#This Row],[Product]]&amp;", "&amp;Database_Productkaarten[[#This Row],[Levensfase]]</f>
        <v>2L-ZOAB toplaag G.M. - PCR 2.0, A3</v>
      </c>
      <c r="B422" s="45" t="s">
        <v>1365</v>
      </c>
      <c r="C422" s="41" t="s">
        <v>443</v>
      </c>
      <c r="D422" s="41" t="s">
        <v>469</v>
      </c>
      <c r="E422" s="41" t="s">
        <v>91</v>
      </c>
      <c r="F422" s="41" t="s">
        <v>21</v>
      </c>
      <c r="G422" s="45"/>
      <c r="H422" s="45"/>
      <c r="I422" s="45"/>
      <c r="J422" s="45"/>
      <c r="K422" s="45"/>
      <c r="L422" s="45">
        <v>2</v>
      </c>
      <c r="M422" s="291">
        <v>1.5294153357869176</v>
      </c>
      <c r="N422" s="45">
        <v>10</v>
      </c>
      <c r="O422" s="290">
        <v>2.2162794740024399E-5</v>
      </c>
      <c r="P422" s="290">
        <v>0.17801405249353799</v>
      </c>
      <c r="Q422" s="290">
        <v>20.9743535596992</v>
      </c>
      <c r="R422" s="290">
        <v>2.3381257066619901E-6</v>
      </c>
      <c r="S422" s="290">
        <v>3.4222596503588301E-3</v>
      </c>
      <c r="T422" s="290">
        <v>2.15656306237327E-2</v>
      </c>
      <c r="U422" s="290">
        <v>3.7087770509450502E-3</v>
      </c>
      <c r="V422" s="290">
        <v>3.4833068543260501</v>
      </c>
      <c r="W422" s="290">
        <v>2.4430187573776099E-2</v>
      </c>
      <c r="X422" s="290">
        <v>99.413439982048303</v>
      </c>
      <c r="Y422" s="290">
        <v>2.4730296928612599E-2</v>
      </c>
      <c r="Z422" s="290">
        <v>21.291404905874199</v>
      </c>
      <c r="AA422" s="290">
        <v>21.236415244729201</v>
      </c>
      <c r="AB422" s="290">
        <v>5.3081656342937197E-2</v>
      </c>
      <c r="AC422" s="290">
        <v>1.9080048021748799E-3</v>
      </c>
      <c r="AD422" s="290">
        <v>2.6338558949919698E-6</v>
      </c>
      <c r="AE422" s="290">
        <v>2.7722694969124901E-2</v>
      </c>
      <c r="AF422" s="290">
        <v>2.6780669531013699E-4</v>
      </c>
      <c r="AG422" s="290">
        <v>7.7278318717700096E-3</v>
      </c>
      <c r="AH422" s="290">
        <v>8.7599550161384002E-2</v>
      </c>
      <c r="AI422" s="290">
        <v>2.62516823151056E-2</v>
      </c>
      <c r="AJ422" s="290">
        <v>2.2162492909336799E-5</v>
      </c>
      <c r="AK422" s="290">
        <v>327.48531497469003</v>
      </c>
      <c r="AL422" s="290">
        <v>0.53320403108913805</v>
      </c>
      <c r="AM422" s="290">
        <v>1.8943643093064601E-7</v>
      </c>
      <c r="AN422" s="290">
        <v>0.25391614819859099</v>
      </c>
      <c r="AO422" s="290">
        <v>75.956325210655905</v>
      </c>
      <c r="AP422" s="290">
        <v>2.7240352298618502E-9</v>
      </c>
      <c r="AQ422" s="290">
        <v>4.88230021573485E-8</v>
      </c>
      <c r="AR422" s="290">
        <v>16.054487205260799</v>
      </c>
      <c r="AS422" s="290">
        <v>0</v>
      </c>
      <c r="AT422" s="290">
        <v>0</v>
      </c>
      <c r="AU422" s="290">
        <v>6.8865506591334196</v>
      </c>
      <c r="AV422" s="290">
        <v>0</v>
      </c>
      <c r="AW422" s="290">
        <v>0</v>
      </c>
      <c r="AX422" s="290">
        <v>360.77337324221799</v>
      </c>
      <c r="AY422" s="290">
        <v>0</v>
      </c>
      <c r="AZ422" s="290">
        <v>0</v>
      </c>
      <c r="BA422" s="290">
        <v>0</v>
      </c>
      <c r="BB422" s="290">
        <v>3.9938103864018699E-2</v>
      </c>
      <c r="BC422" s="290">
        <v>3.9533344612320201E-4</v>
      </c>
      <c r="BD422" s="290">
        <v>0.26554883555020897</v>
      </c>
      <c r="BE422" s="290">
        <v>3.1990599475560498E-4</v>
      </c>
      <c r="BF422" s="290">
        <v>0</v>
      </c>
      <c r="BG422" s="290">
        <v>0</v>
      </c>
      <c r="BH422" s="290">
        <v>0</v>
      </c>
      <c r="BI422" s="290">
        <v>0</v>
      </c>
      <c r="BJ422" s="290">
        <v>0</v>
      </c>
      <c r="BK422" s="78">
        <v>0</v>
      </c>
      <c r="BL422" s="41" t="s">
        <v>616</v>
      </c>
      <c r="BM422" s="45"/>
    </row>
    <row r="423" spans="1:65" x14ac:dyDescent="0.35">
      <c r="A423" s="45" t="str">
        <f>Database_Productkaarten[[#This Row],[Product]]&amp;", "&amp;Database_Productkaarten[[#This Row],[Levensfase]]</f>
        <v>2L-ZOAB toplaag G.M. - PCR 2.0, A4</v>
      </c>
      <c r="B423" s="45" t="s">
        <v>1365</v>
      </c>
      <c r="C423" s="41" t="s">
        <v>443</v>
      </c>
      <c r="D423" s="41" t="s">
        <v>469</v>
      </c>
      <c r="E423" s="41" t="s">
        <v>91</v>
      </c>
      <c r="F423" s="41" t="s">
        <v>22</v>
      </c>
      <c r="G423" s="45"/>
      <c r="H423" s="45"/>
      <c r="I423" s="45"/>
      <c r="J423" s="45"/>
      <c r="K423" s="45"/>
      <c r="L423" s="45">
        <v>2</v>
      </c>
      <c r="M423" s="291">
        <v>0.37546048090943995</v>
      </c>
      <c r="N423" s="45">
        <v>10</v>
      </c>
      <c r="O423" s="290">
        <v>6.8533509000000002E-5</v>
      </c>
      <c r="P423" s="290">
        <v>2.9713889699999999E-2</v>
      </c>
      <c r="Q423" s="290">
        <v>3.9891474704999998</v>
      </c>
      <c r="R423" s="290">
        <v>7.557213E-7</v>
      </c>
      <c r="S423" s="290">
        <v>2.4773701499999998E-3</v>
      </c>
      <c r="T423" s="290">
        <v>1.36398132E-2</v>
      </c>
      <c r="U423" s="290">
        <v>2.5682192100000001E-3</v>
      </c>
      <c r="V423" s="290">
        <v>0.8608144794</v>
      </c>
      <c r="W423" s="290">
        <v>3.6189873900000002E-2</v>
      </c>
      <c r="X423" s="290">
        <v>97.376595929999993</v>
      </c>
      <c r="Y423" s="290">
        <v>4.8437180999999999E-3</v>
      </c>
      <c r="Z423" s="290">
        <v>4.0259382761999998</v>
      </c>
      <c r="AA423" s="290">
        <v>4.0229543298000001</v>
      </c>
      <c r="AB423" s="290">
        <v>1.9814632200000001E-3</v>
      </c>
      <c r="AC423" s="290">
        <v>1.0024609799999999E-3</v>
      </c>
      <c r="AD423" s="290">
        <v>9.4976262000000003E-7</v>
      </c>
      <c r="AE423" s="290">
        <v>1.7739576E-2</v>
      </c>
      <c r="AF423" s="290">
        <v>2.7841996800000001E-5</v>
      </c>
      <c r="AG423" s="290">
        <v>5.5484582100000001E-3</v>
      </c>
      <c r="AH423" s="290">
        <v>6.1385308800000003E-2</v>
      </c>
      <c r="AI423" s="290">
        <v>1.9235744999999999E-2</v>
      </c>
      <c r="AJ423" s="290">
        <v>6.8533397999999998E-5</v>
      </c>
      <c r="AK423" s="290">
        <v>62.400806729999999</v>
      </c>
      <c r="AL423" s="290">
        <v>0.212954166</v>
      </c>
      <c r="AM423" s="290">
        <v>2.9338876200000002E-7</v>
      </c>
      <c r="AN423" s="290">
        <v>0.26868483510000002</v>
      </c>
      <c r="AO423" s="290">
        <v>45.56587296</v>
      </c>
      <c r="AP423" s="290">
        <v>1.16371179E-9</v>
      </c>
      <c r="AQ423" s="290">
        <v>3.8268015899999999E-8</v>
      </c>
      <c r="AR423" s="290">
        <v>71.806844609999999</v>
      </c>
      <c r="AS423" s="290">
        <v>0</v>
      </c>
      <c r="AT423" s="290">
        <v>0</v>
      </c>
      <c r="AU423" s="290">
        <v>0.63474917099999995</v>
      </c>
      <c r="AV423" s="290">
        <v>0</v>
      </c>
      <c r="AW423" s="290">
        <v>0</v>
      </c>
      <c r="AX423" s="290">
        <v>66.265108560000002</v>
      </c>
      <c r="AY423" s="290">
        <v>0</v>
      </c>
      <c r="AZ423" s="290">
        <v>0</v>
      </c>
      <c r="BA423" s="290">
        <v>0</v>
      </c>
      <c r="BB423" s="290">
        <v>6.7467797999999999E-3</v>
      </c>
      <c r="BC423" s="290">
        <v>1.54707915E-4</v>
      </c>
      <c r="BD423" s="290">
        <v>5.4635493149999999</v>
      </c>
      <c r="BE423" s="290">
        <v>4.25149758E-4</v>
      </c>
      <c r="BF423" s="290">
        <v>0</v>
      </c>
      <c r="BG423" s="290">
        <v>0</v>
      </c>
      <c r="BH423" s="290">
        <v>0</v>
      </c>
      <c r="BI423" s="290">
        <v>0</v>
      </c>
      <c r="BJ423" s="290">
        <v>0</v>
      </c>
      <c r="BK423" s="78">
        <v>0</v>
      </c>
      <c r="BL423" s="41" t="s">
        <v>616</v>
      </c>
      <c r="BM423" s="45"/>
    </row>
    <row r="424" spans="1:65" x14ac:dyDescent="0.35">
      <c r="A424" s="45" t="str">
        <f>Database_Productkaarten[[#This Row],[Product]]&amp;", "&amp;Database_Productkaarten[[#This Row],[Levensfase]]</f>
        <v>2L-ZOAB toplaag G.M. - PCR 2.0, A5</v>
      </c>
      <c r="B424" s="45" t="s">
        <v>1365</v>
      </c>
      <c r="C424" s="41" t="s">
        <v>443</v>
      </c>
      <c r="D424" s="41" t="s">
        <v>469</v>
      </c>
      <c r="E424" s="41" t="s">
        <v>91</v>
      </c>
      <c r="F424" s="41" t="s">
        <v>23</v>
      </c>
      <c r="G424" s="45"/>
      <c r="H424" s="45"/>
      <c r="I424" s="45"/>
      <c r="J424" s="45"/>
      <c r="K424" s="45"/>
      <c r="L424" s="45">
        <v>2</v>
      </c>
      <c r="M424" s="291">
        <v>0.11508990362375504</v>
      </c>
      <c r="N424" s="45">
        <v>10</v>
      </c>
      <c r="O424" s="290">
        <v>1.36108828104143E-6</v>
      </c>
      <c r="P424" s="290">
        <v>5.7900424683895004E-3</v>
      </c>
      <c r="Q424" s="290">
        <v>1.17753946243218</v>
      </c>
      <c r="R424" s="290">
        <v>1.5216689751433599E-7</v>
      </c>
      <c r="S424" s="290">
        <v>3.9769490948388401E-4</v>
      </c>
      <c r="T424" s="290">
        <v>4.0133663785198101E-3</v>
      </c>
      <c r="U424" s="290">
        <v>8.9200969965179703E-4</v>
      </c>
      <c r="V424" s="290">
        <v>0.31853178842924001</v>
      </c>
      <c r="W424" s="290">
        <v>4.5166714373625003E-3</v>
      </c>
      <c r="X424" s="290">
        <v>15.693442650594999</v>
      </c>
      <c r="Y424" s="290">
        <v>5.3488215713622198E-4</v>
      </c>
      <c r="Z424" s="290">
        <v>1.1857245205685201</v>
      </c>
      <c r="AA424" s="290">
        <v>1.18538439189217</v>
      </c>
      <c r="AB424" s="290">
        <v>2.7090790290362901E-4</v>
      </c>
      <c r="AC424" s="290">
        <v>6.9220773445965197E-5</v>
      </c>
      <c r="AD424" s="290">
        <v>1.9173630083564101E-7</v>
      </c>
      <c r="AE424" s="290">
        <v>5.5294629236189103E-3</v>
      </c>
      <c r="AF424" s="290">
        <v>3.2340340552449402E-6</v>
      </c>
      <c r="AG424" s="290">
        <v>2.2810385893332402E-3</v>
      </c>
      <c r="AH424" s="290">
        <v>2.5051401704775801E-2</v>
      </c>
      <c r="AI424" s="290">
        <v>6.6437026448536302E-3</v>
      </c>
      <c r="AJ424" s="290">
        <v>1.3610776004189201E-6</v>
      </c>
      <c r="AK424" s="290">
        <v>12.216636214458701</v>
      </c>
      <c r="AL424" s="290">
        <v>1.6270563972286999E-2</v>
      </c>
      <c r="AM424" s="290">
        <v>2.1944772079733801E-8</v>
      </c>
      <c r="AN424" s="290">
        <v>5.2434937324987801E-2</v>
      </c>
      <c r="AO424" s="290">
        <v>7.3299436517983496</v>
      </c>
      <c r="AP424" s="290">
        <v>2.57175639572881E-10</v>
      </c>
      <c r="AQ424" s="290">
        <v>5.8020978885754804E-9</v>
      </c>
      <c r="AR424" s="290">
        <v>1.56040895674874</v>
      </c>
      <c r="AS424" s="290">
        <v>0</v>
      </c>
      <c r="AT424" s="290">
        <v>0</v>
      </c>
      <c r="AU424" s="290">
        <v>6.7148702105156499E-2</v>
      </c>
      <c r="AV424" s="290">
        <v>0</v>
      </c>
      <c r="AW424" s="290">
        <v>0</v>
      </c>
      <c r="AX424" s="290">
        <v>12.973681267896399</v>
      </c>
      <c r="AY424" s="290">
        <v>0</v>
      </c>
      <c r="AZ424" s="290">
        <v>0</v>
      </c>
      <c r="BA424" s="290">
        <v>0</v>
      </c>
      <c r="BB424" s="290">
        <v>6.3151909649569998E-4</v>
      </c>
      <c r="BC424" s="290">
        <v>3.3269162717371399E-5</v>
      </c>
      <c r="BD424" s="290">
        <v>1.44555997987563E-2</v>
      </c>
      <c r="BE424" s="290">
        <v>8.49062773282903E-5</v>
      </c>
      <c r="BF424" s="290">
        <v>0</v>
      </c>
      <c r="BG424" s="290">
        <v>0</v>
      </c>
      <c r="BH424" s="290">
        <v>0</v>
      </c>
      <c r="BI424" s="290">
        <v>0</v>
      </c>
      <c r="BJ424" s="290">
        <v>0</v>
      </c>
      <c r="BK424" s="78">
        <v>0</v>
      </c>
      <c r="BL424" s="41" t="s">
        <v>616</v>
      </c>
      <c r="BM424" s="45"/>
    </row>
    <row r="425" spans="1:65" x14ac:dyDescent="0.35">
      <c r="A425" s="45" t="str">
        <f>Database_Productkaarten[[#This Row],[Product]]&amp;", "&amp;Database_Productkaarten[[#This Row],[Levensfase]]</f>
        <v>2L-ZOAB toplaag G.M. - PCR 2.0, B1</v>
      </c>
      <c r="B425" s="45" t="s">
        <v>1365</v>
      </c>
      <c r="C425" s="41" t="s">
        <v>443</v>
      </c>
      <c r="D425" s="41" t="s">
        <v>469</v>
      </c>
      <c r="E425" s="41" t="s">
        <v>91</v>
      </c>
      <c r="F425" s="41" t="s">
        <v>24</v>
      </c>
      <c r="G425" s="45"/>
      <c r="H425" s="45"/>
      <c r="I425" s="45"/>
      <c r="J425" s="45"/>
      <c r="K425" s="45"/>
      <c r="L425" s="45">
        <v>2</v>
      </c>
      <c r="M425" s="291">
        <v>0.63803196066933088</v>
      </c>
      <c r="N425" s="45">
        <v>10</v>
      </c>
      <c r="O425" s="290">
        <v>0</v>
      </c>
      <c r="P425" s="290">
        <v>0</v>
      </c>
      <c r="Q425" s="290">
        <v>0</v>
      </c>
      <c r="R425" s="290">
        <v>0</v>
      </c>
      <c r="S425" s="290">
        <v>0</v>
      </c>
      <c r="T425" s="290">
        <v>0</v>
      </c>
      <c r="U425" s="290">
        <v>0</v>
      </c>
      <c r="V425" s="290">
        <v>2.21599595321837</v>
      </c>
      <c r="W425" s="290">
        <v>3.1435906259976898</v>
      </c>
      <c r="X425" s="290">
        <v>3441.17206099747</v>
      </c>
      <c r="Y425" s="290">
        <v>2.7899999999979499E-3</v>
      </c>
      <c r="Z425" s="290">
        <v>0</v>
      </c>
      <c r="AA425" s="290">
        <v>0</v>
      </c>
      <c r="AB425" s="290">
        <v>0</v>
      </c>
      <c r="AC425" s="290">
        <v>0</v>
      </c>
      <c r="AD425" s="290">
        <v>0</v>
      </c>
      <c r="AE425" s="290">
        <v>0</v>
      </c>
      <c r="AF425" s="290">
        <v>0</v>
      </c>
      <c r="AG425" s="290">
        <v>0</v>
      </c>
      <c r="AH425" s="290">
        <v>0</v>
      </c>
      <c r="AI425" s="290">
        <v>0</v>
      </c>
      <c r="AJ425" s="290">
        <v>0</v>
      </c>
      <c r="AK425" s="290">
        <v>0</v>
      </c>
      <c r="AL425" s="290">
        <v>0</v>
      </c>
      <c r="AM425" s="290">
        <v>0</v>
      </c>
      <c r="AN425" s="290">
        <v>0</v>
      </c>
      <c r="AO425" s="290">
        <v>19.2904605006858</v>
      </c>
      <c r="AP425" s="290">
        <v>3.4029317760975E-9</v>
      </c>
      <c r="AQ425" s="290">
        <v>2.0449895299124001E-7</v>
      </c>
      <c r="AR425" s="290">
        <v>0</v>
      </c>
      <c r="AS425" s="290">
        <v>0</v>
      </c>
      <c r="AT425" s="290">
        <v>0</v>
      </c>
      <c r="AU425" s="290">
        <v>0</v>
      </c>
      <c r="AV425" s="290">
        <v>0</v>
      </c>
      <c r="AW425" s="290">
        <v>0</v>
      </c>
      <c r="AX425" s="290">
        <v>0</v>
      </c>
      <c r="AY425" s="290">
        <v>0</v>
      </c>
      <c r="AZ425" s="290">
        <v>0</v>
      </c>
      <c r="BA425" s="290">
        <v>0</v>
      </c>
      <c r="BB425" s="290">
        <v>0</v>
      </c>
      <c r="BC425" s="290">
        <v>0</v>
      </c>
      <c r="BD425" s="290">
        <v>0</v>
      </c>
      <c r="BE425" s="290">
        <v>0</v>
      </c>
      <c r="BF425" s="290">
        <v>0</v>
      </c>
      <c r="BG425" s="290">
        <v>0</v>
      </c>
      <c r="BH425" s="290">
        <v>0</v>
      </c>
      <c r="BI425" s="290">
        <v>0</v>
      </c>
      <c r="BJ425" s="290">
        <v>0</v>
      </c>
      <c r="BK425" s="78">
        <v>0</v>
      </c>
      <c r="BL425" s="41" t="s">
        <v>616</v>
      </c>
      <c r="BM425" s="45"/>
    </row>
    <row r="426" spans="1:65" x14ac:dyDescent="0.35">
      <c r="A426" s="45" t="str">
        <f>Database_Productkaarten[[#This Row],[Product]]&amp;", "&amp;Database_Productkaarten[[#This Row],[Levensfase]]</f>
        <v>2L-ZOAB toplaag G.M. - PCR 2.0, B2</v>
      </c>
      <c r="B426" s="45" t="s">
        <v>1365</v>
      </c>
      <c r="C426" s="41" t="s">
        <v>443</v>
      </c>
      <c r="D426" s="41" t="s">
        <v>469</v>
      </c>
      <c r="E426" s="41" t="s">
        <v>91</v>
      </c>
      <c r="F426" s="41" t="s">
        <v>604</v>
      </c>
      <c r="G426" s="45"/>
      <c r="H426" s="45"/>
      <c r="I426" s="45"/>
      <c r="J426" s="45"/>
      <c r="K426" s="45"/>
      <c r="L426" s="45">
        <v>2</v>
      </c>
      <c r="M426" s="291">
        <v>0</v>
      </c>
      <c r="N426" s="45">
        <v>10</v>
      </c>
      <c r="O426" s="290">
        <v>0</v>
      </c>
      <c r="P426" s="290">
        <v>0</v>
      </c>
      <c r="Q426" s="290">
        <v>0</v>
      </c>
      <c r="R426" s="290">
        <v>0</v>
      </c>
      <c r="S426" s="290">
        <v>0</v>
      </c>
      <c r="T426" s="290">
        <v>0</v>
      </c>
      <c r="U426" s="290">
        <v>0</v>
      </c>
      <c r="V426" s="290">
        <v>0</v>
      </c>
      <c r="W426" s="290">
        <v>0</v>
      </c>
      <c r="X426" s="290">
        <v>0</v>
      </c>
      <c r="Y426" s="290">
        <v>0</v>
      </c>
      <c r="Z426" s="290">
        <v>0</v>
      </c>
      <c r="AA426" s="290">
        <v>0</v>
      </c>
      <c r="AB426" s="290">
        <v>0</v>
      </c>
      <c r="AC426" s="290">
        <v>0</v>
      </c>
      <c r="AD426" s="290">
        <v>0</v>
      </c>
      <c r="AE426" s="290">
        <v>0</v>
      </c>
      <c r="AF426" s="290">
        <v>0</v>
      </c>
      <c r="AG426" s="290">
        <v>0</v>
      </c>
      <c r="AH426" s="290">
        <v>0</v>
      </c>
      <c r="AI426" s="290">
        <v>0</v>
      </c>
      <c r="AJ426" s="290">
        <v>0</v>
      </c>
      <c r="AK426" s="290">
        <v>0</v>
      </c>
      <c r="AL426" s="290">
        <v>0</v>
      </c>
      <c r="AM426" s="290">
        <v>0</v>
      </c>
      <c r="AN426" s="290">
        <v>0</v>
      </c>
      <c r="AO426" s="290">
        <v>0</v>
      </c>
      <c r="AP426" s="290">
        <v>0</v>
      </c>
      <c r="AQ426" s="290">
        <v>0</v>
      </c>
      <c r="AR426" s="290">
        <v>0</v>
      </c>
      <c r="AS426" s="290">
        <v>0</v>
      </c>
      <c r="AT426" s="290">
        <v>0</v>
      </c>
      <c r="AU426" s="290">
        <v>0</v>
      </c>
      <c r="AV426" s="290">
        <v>0</v>
      </c>
      <c r="AW426" s="290">
        <v>0</v>
      </c>
      <c r="AX426" s="290">
        <v>0</v>
      </c>
      <c r="AY426" s="290">
        <v>0</v>
      </c>
      <c r="AZ426" s="290">
        <v>0</v>
      </c>
      <c r="BA426" s="290">
        <v>0</v>
      </c>
      <c r="BB426" s="290">
        <v>0</v>
      </c>
      <c r="BC426" s="290">
        <v>0</v>
      </c>
      <c r="BD426" s="290">
        <v>0</v>
      </c>
      <c r="BE426" s="290">
        <v>0</v>
      </c>
      <c r="BF426" s="290">
        <v>0</v>
      </c>
      <c r="BG426" s="290">
        <v>0</v>
      </c>
      <c r="BH426" s="290">
        <v>0</v>
      </c>
      <c r="BI426" s="290">
        <v>0</v>
      </c>
      <c r="BJ426" s="290">
        <v>0</v>
      </c>
      <c r="BK426" s="78">
        <v>0</v>
      </c>
      <c r="BL426" s="41" t="s">
        <v>616</v>
      </c>
      <c r="BM426" s="45"/>
    </row>
    <row r="427" spans="1:65" x14ac:dyDescent="0.35">
      <c r="A427" s="45" t="str">
        <f>Database_Productkaarten[[#This Row],[Product]]&amp;", "&amp;Database_Productkaarten[[#This Row],[Levensfase]]</f>
        <v>2L-ZOAB toplaag G.M. - PCR 2.0, B3</v>
      </c>
      <c r="B427" s="45" t="s">
        <v>1365</v>
      </c>
      <c r="C427" s="41" t="s">
        <v>443</v>
      </c>
      <c r="D427" s="41" t="s">
        <v>469</v>
      </c>
      <c r="E427" s="41" t="s">
        <v>91</v>
      </c>
      <c r="F427" s="41" t="s">
        <v>602</v>
      </c>
      <c r="G427" s="45"/>
      <c r="H427" s="45"/>
      <c r="I427" s="45"/>
      <c r="J427" s="45"/>
      <c r="K427" s="45"/>
      <c r="L427" s="45">
        <v>2</v>
      </c>
      <c r="M427" s="291">
        <v>0</v>
      </c>
      <c r="N427" s="45">
        <v>10</v>
      </c>
      <c r="O427" s="290">
        <v>0</v>
      </c>
      <c r="P427" s="290">
        <v>0</v>
      </c>
      <c r="Q427" s="290">
        <v>0</v>
      </c>
      <c r="R427" s="290">
        <v>0</v>
      </c>
      <c r="S427" s="290">
        <v>0</v>
      </c>
      <c r="T427" s="290">
        <v>0</v>
      </c>
      <c r="U427" s="290">
        <v>0</v>
      </c>
      <c r="V427" s="290">
        <v>0</v>
      </c>
      <c r="W427" s="290">
        <v>0</v>
      </c>
      <c r="X427" s="290">
        <v>0</v>
      </c>
      <c r="Y427" s="290">
        <v>0</v>
      </c>
      <c r="Z427" s="290">
        <v>0</v>
      </c>
      <c r="AA427" s="290">
        <v>0</v>
      </c>
      <c r="AB427" s="290">
        <v>0</v>
      </c>
      <c r="AC427" s="290">
        <v>0</v>
      </c>
      <c r="AD427" s="290">
        <v>0</v>
      </c>
      <c r="AE427" s="290">
        <v>0</v>
      </c>
      <c r="AF427" s="290">
        <v>0</v>
      </c>
      <c r="AG427" s="290">
        <v>0</v>
      </c>
      <c r="AH427" s="290">
        <v>0</v>
      </c>
      <c r="AI427" s="290">
        <v>0</v>
      </c>
      <c r="AJ427" s="290">
        <v>0</v>
      </c>
      <c r="AK427" s="290">
        <v>0</v>
      </c>
      <c r="AL427" s="290">
        <v>0</v>
      </c>
      <c r="AM427" s="290">
        <v>0</v>
      </c>
      <c r="AN427" s="290">
        <v>0</v>
      </c>
      <c r="AO427" s="290">
        <v>0</v>
      </c>
      <c r="AP427" s="290">
        <v>0</v>
      </c>
      <c r="AQ427" s="290">
        <v>0</v>
      </c>
      <c r="AR427" s="290">
        <v>0</v>
      </c>
      <c r="AS427" s="290">
        <v>0</v>
      </c>
      <c r="AT427" s="290">
        <v>0</v>
      </c>
      <c r="AU427" s="290">
        <v>0</v>
      </c>
      <c r="AV427" s="290">
        <v>0</v>
      </c>
      <c r="AW427" s="290">
        <v>0</v>
      </c>
      <c r="AX427" s="290">
        <v>0</v>
      </c>
      <c r="AY427" s="290">
        <v>0</v>
      </c>
      <c r="AZ427" s="290">
        <v>0</v>
      </c>
      <c r="BA427" s="290">
        <v>0</v>
      </c>
      <c r="BB427" s="290">
        <v>0</v>
      </c>
      <c r="BC427" s="290">
        <v>0</v>
      </c>
      <c r="BD427" s="290">
        <v>0</v>
      </c>
      <c r="BE427" s="290">
        <v>0</v>
      </c>
      <c r="BF427" s="290">
        <v>0</v>
      </c>
      <c r="BG427" s="290">
        <v>0</v>
      </c>
      <c r="BH427" s="290">
        <v>0</v>
      </c>
      <c r="BI427" s="290">
        <v>0</v>
      </c>
      <c r="BJ427" s="290">
        <v>0</v>
      </c>
      <c r="BK427" s="78">
        <v>0</v>
      </c>
      <c r="BL427" s="41" t="s">
        <v>616</v>
      </c>
      <c r="BM427" s="45"/>
    </row>
    <row r="428" spans="1:65" x14ac:dyDescent="0.35">
      <c r="A428" s="45" t="str">
        <f>Database_Productkaarten[[#This Row],[Product]]&amp;", "&amp;Database_Productkaarten[[#This Row],[Levensfase]]</f>
        <v>2L-ZOAB toplaag G.M. - PCR 2.0, B4</v>
      </c>
      <c r="B428" s="45" t="s">
        <v>1365</v>
      </c>
      <c r="C428" s="41" t="s">
        <v>443</v>
      </c>
      <c r="D428" s="41" t="s">
        <v>469</v>
      </c>
      <c r="E428" s="41" t="s">
        <v>91</v>
      </c>
      <c r="F428" s="41" t="s">
        <v>50</v>
      </c>
      <c r="G428" s="45"/>
      <c r="H428" s="45"/>
      <c r="I428" s="45"/>
      <c r="J428" s="45"/>
      <c r="K428" s="45"/>
      <c r="L428" s="45">
        <v>2</v>
      </c>
      <c r="M428" s="291">
        <v>0</v>
      </c>
      <c r="N428" s="45">
        <v>10</v>
      </c>
      <c r="O428" s="290">
        <v>0</v>
      </c>
      <c r="P428" s="290">
        <v>0</v>
      </c>
      <c r="Q428" s="290">
        <v>0</v>
      </c>
      <c r="R428" s="290">
        <v>0</v>
      </c>
      <c r="S428" s="290">
        <v>0</v>
      </c>
      <c r="T428" s="290">
        <v>0</v>
      </c>
      <c r="U428" s="290">
        <v>0</v>
      </c>
      <c r="V428" s="290">
        <v>0</v>
      </c>
      <c r="W428" s="290">
        <v>0</v>
      </c>
      <c r="X428" s="290">
        <v>0</v>
      </c>
      <c r="Y428" s="290">
        <v>0</v>
      </c>
      <c r="Z428" s="290">
        <v>0</v>
      </c>
      <c r="AA428" s="290">
        <v>0</v>
      </c>
      <c r="AB428" s="290">
        <v>0</v>
      </c>
      <c r="AC428" s="290">
        <v>0</v>
      </c>
      <c r="AD428" s="290">
        <v>0</v>
      </c>
      <c r="AE428" s="290">
        <v>0</v>
      </c>
      <c r="AF428" s="290">
        <v>0</v>
      </c>
      <c r="AG428" s="290">
        <v>0</v>
      </c>
      <c r="AH428" s="290">
        <v>0</v>
      </c>
      <c r="AI428" s="290">
        <v>0</v>
      </c>
      <c r="AJ428" s="290">
        <v>0</v>
      </c>
      <c r="AK428" s="290">
        <v>0</v>
      </c>
      <c r="AL428" s="290">
        <v>0</v>
      </c>
      <c r="AM428" s="290">
        <v>0</v>
      </c>
      <c r="AN428" s="290">
        <v>0</v>
      </c>
      <c r="AO428" s="290">
        <v>0</v>
      </c>
      <c r="AP428" s="290">
        <v>0</v>
      </c>
      <c r="AQ428" s="290">
        <v>0</v>
      </c>
      <c r="AR428" s="290">
        <v>0</v>
      </c>
      <c r="AS428" s="290">
        <v>0</v>
      </c>
      <c r="AT428" s="290">
        <v>0</v>
      </c>
      <c r="AU428" s="290">
        <v>0</v>
      </c>
      <c r="AV428" s="290">
        <v>0</v>
      </c>
      <c r="AW428" s="290">
        <v>0</v>
      </c>
      <c r="AX428" s="290">
        <v>0</v>
      </c>
      <c r="AY428" s="290">
        <v>0</v>
      </c>
      <c r="AZ428" s="290">
        <v>0</v>
      </c>
      <c r="BA428" s="290">
        <v>0</v>
      </c>
      <c r="BB428" s="290">
        <v>0</v>
      </c>
      <c r="BC428" s="290">
        <v>0</v>
      </c>
      <c r="BD428" s="290">
        <v>0</v>
      </c>
      <c r="BE428" s="290">
        <v>0</v>
      </c>
      <c r="BF428" s="290">
        <v>0</v>
      </c>
      <c r="BG428" s="290">
        <v>0</v>
      </c>
      <c r="BH428" s="290">
        <v>0</v>
      </c>
      <c r="BI428" s="290">
        <v>0</v>
      </c>
      <c r="BJ428" s="290">
        <v>0</v>
      </c>
      <c r="BK428" s="78">
        <v>0</v>
      </c>
      <c r="BL428" s="41" t="s">
        <v>616</v>
      </c>
      <c r="BM428" s="45"/>
    </row>
    <row r="429" spans="1:65" x14ac:dyDescent="0.35">
      <c r="A429" s="45" t="str">
        <f>Database_Productkaarten[[#This Row],[Product]]&amp;", "&amp;Database_Productkaarten[[#This Row],[Levensfase]]</f>
        <v>2L-ZOAB toplaag G.M. - PCR 2.0, B5</v>
      </c>
      <c r="B429" s="45" t="s">
        <v>1365</v>
      </c>
      <c r="C429" s="41" t="s">
        <v>443</v>
      </c>
      <c r="D429" s="41" t="s">
        <v>469</v>
      </c>
      <c r="E429" s="41" t="s">
        <v>91</v>
      </c>
      <c r="F429" s="41" t="s">
        <v>1358</v>
      </c>
      <c r="G429" s="45"/>
      <c r="H429" s="45"/>
      <c r="I429" s="45"/>
      <c r="J429" s="45"/>
      <c r="K429" s="45"/>
      <c r="L429" s="45">
        <v>2</v>
      </c>
      <c r="M429" s="291">
        <v>0</v>
      </c>
      <c r="N429" s="45">
        <v>10</v>
      </c>
      <c r="O429" s="290">
        <v>0</v>
      </c>
      <c r="P429" s="290">
        <v>0</v>
      </c>
      <c r="Q429" s="290">
        <v>0</v>
      </c>
      <c r="R429" s="290">
        <v>0</v>
      </c>
      <c r="S429" s="290">
        <v>0</v>
      </c>
      <c r="T429" s="290">
        <v>0</v>
      </c>
      <c r="U429" s="290">
        <v>0</v>
      </c>
      <c r="V429" s="290">
        <v>0</v>
      </c>
      <c r="W429" s="290">
        <v>0</v>
      </c>
      <c r="X429" s="290">
        <v>0</v>
      </c>
      <c r="Y429" s="290">
        <v>0</v>
      </c>
      <c r="Z429" s="290">
        <v>0</v>
      </c>
      <c r="AA429" s="290">
        <v>0</v>
      </c>
      <c r="AB429" s="290">
        <v>0</v>
      </c>
      <c r="AC429" s="290">
        <v>0</v>
      </c>
      <c r="AD429" s="290">
        <v>0</v>
      </c>
      <c r="AE429" s="290">
        <v>0</v>
      </c>
      <c r="AF429" s="290">
        <v>0</v>
      </c>
      <c r="AG429" s="290">
        <v>0</v>
      </c>
      <c r="AH429" s="290">
        <v>0</v>
      </c>
      <c r="AI429" s="290">
        <v>0</v>
      </c>
      <c r="AJ429" s="290">
        <v>0</v>
      </c>
      <c r="AK429" s="290">
        <v>0</v>
      </c>
      <c r="AL429" s="290">
        <v>0</v>
      </c>
      <c r="AM429" s="290">
        <v>0</v>
      </c>
      <c r="AN429" s="290">
        <v>0</v>
      </c>
      <c r="AO429" s="290">
        <v>0</v>
      </c>
      <c r="AP429" s="290">
        <v>0</v>
      </c>
      <c r="AQ429" s="290">
        <v>0</v>
      </c>
      <c r="AR429" s="290">
        <v>0</v>
      </c>
      <c r="AS429" s="290">
        <v>0</v>
      </c>
      <c r="AT429" s="290">
        <v>0</v>
      </c>
      <c r="AU429" s="290">
        <v>0</v>
      </c>
      <c r="AV429" s="290">
        <v>0</v>
      </c>
      <c r="AW429" s="290">
        <v>0</v>
      </c>
      <c r="AX429" s="290">
        <v>0</v>
      </c>
      <c r="AY429" s="290">
        <v>0</v>
      </c>
      <c r="AZ429" s="290">
        <v>0</v>
      </c>
      <c r="BA429" s="290">
        <v>0</v>
      </c>
      <c r="BB429" s="290">
        <v>0</v>
      </c>
      <c r="BC429" s="290">
        <v>0</v>
      </c>
      <c r="BD429" s="290">
        <v>0</v>
      </c>
      <c r="BE429" s="290">
        <v>0</v>
      </c>
      <c r="BF429" s="290">
        <v>0</v>
      </c>
      <c r="BG429" s="290">
        <v>0</v>
      </c>
      <c r="BH429" s="290">
        <v>0</v>
      </c>
      <c r="BI429" s="290">
        <v>0</v>
      </c>
      <c r="BJ429" s="290">
        <v>0</v>
      </c>
      <c r="BK429" s="78">
        <v>0</v>
      </c>
      <c r="BL429" s="41" t="s">
        <v>616</v>
      </c>
      <c r="BM429" s="45"/>
    </row>
    <row r="430" spans="1:65" x14ac:dyDescent="0.35">
      <c r="A430" s="45" t="str">
        <f>Database_Productkaarten[[#This Row],[Product]]&amp;", "&amp;Database_Productkaarten[[#This Row],[Levensfase]]</f>
        <v>2L-ZOAB toplaag G.M. - PCR 2.0, C1</v>
      </c>
      <c r="B430" s="45" t="s">
        <v>1365</v>
      </c>
      <c r="C430" s="41" t="s">
        <v>443</v>
      </c>
      <c r="D430" s="41" t="s">
        <v>469</v>
      </c>
      <c r="E430" s="41" t="s">
        <v>91</v>
      </c>
      <c r="F430" s="41" t="s">
        <v>25</v>
      </c>
      <c r="G430" s="45"/>
      <c r="H430" s="45"/>
      <c r="I430" s="45"/>
      <c r="J430" s="45"/>
      <c r="K430" s="45"/>
      <c r="L430" s="45">
        <v>2</v>
      </c>
      <c r="M430" s="291">
        <v>0.17627297072070458</v>
      </c>
      <c r="N430" s="45">
        <v>10</v>
      </c>
      <c r="O430" s="290">
        <v>2.16765911425117E-6</v>
      </c>
      <c r="P430" s="290">
        <v>9.2211787459536496E-3</v>
      </c>
      <c r="Q430" s="290">
        <v>1.8753406253549501</v>
      </c>
      <c r="R430" s="290">
        <v>2.4233987381912798E-7</v>
      </c>
      <c r="S430" s="290">
        <v>6.1516414716794197E-4</v>
      </c>
      <c r="T430" s="290">
        <v>5.3270131213469501E-3</v>
      </c>
      <c r="U430" s="290">
        <v>1.1438004846307901E-3</v>
      </c>
      <c r="V430" s="290">
        <v>0.50471239058731099</v>
      </c>
      <c r="W430" s="290">
        <v>7.1932174743180701E-3</v>
      </c>
      <c r="X430" s="290">
        <v>24.9932605176142</v>
      </c>
      <c r="Y430" s="290">
        <v>8.5184936136509302E-4</v>
      </c>
      <c r="Z430" s="290">
        <v>1.8868540256461599</v>
      </c>
      <c r="AA430" s="290">
        <v>1.88631233923568</v>
      </c>
      <c r="AB430" s="290">
        <v>4.3144591943911401E-4</v>
      </c>
      <c r="AC430" s="290">
        <v>1.10240491043574E-4</v>
      </c>
      <c r="AD430" s="290">
        <v>3.0535781244194598E-7</v>
      </c>
      <c r="AE430" s="290">
        <v>7.2305079153939496E-3</v>
      </c>
      <c r="AF430" s="290">
        <v>5.1504986805752704E-6</v>
      </c>
      <c r="AG430" s="290">
        <v>2.8044717830126502E-3</v>
      </c>
      <c r="AH430" s="290">
        <v>3.0825906122425702E-2</v>
      </c>
      <c r="AI430" s="290">
        <v>8.4242120877310502E-3</v>
      </c>
      <c r="AJ430" s="290">
        <v>2.16764210437087E-6</v>
      </c>
      <c r="AK430" s="290">
        <v>19.456124341545301</v>
      </c>
      <c r="AL430" s="290">
        <v>2.5912379659568101E-2</v>
      </c>
      <c r="AM430" s="290">
        <v>2.9948141681801098E-8</v>
      </c>
      <c r="AN430" s="290">
        <v>8.3507492776832504E-2</v>
      </c>
      <c r="AO430" s="290">
        <v>11.673738119940801</v>
      </c>
      <c r="AP430" s="290">
        <v>4.0957601857903399E-10</v>
      </c>
      <c r="AQ430" s="290">
        <v>8.1948958299215297E-9</v>
      </c>
      <c r="AR430" s="290">
        <v>2.4850957459331799</v>
      </c>
      <c r="AS430" s="290">
        <v>0</v>
      </c>
      <c r="AT430" s="290">
        <v>0</v>
      </c>
      <c r="AU430" s="290">
        <v>0.106940525574879</v>
      </c>
      <c r="AV430" s="290">
        <v>0</v>
      </c>
      <c r="AW430" s="290">
        <v>0</v>
      </c>
      <c r="AX430" s="290">
        <v>20.661788685909102</v>
      </c>
      <c r="AY430" s="290">
        <v>0</v>
      </c>
      <c r="AZ430" s="290">
        <v>0</v>
      </c>
      <c r="BA430" s="290">
        <v>0</v>
      </c>
      <c r="BB430" s="290">
        <v>1.0057526351598099E-3</v>
      </c>
      <c r="BC430" s="290">
        <v>5.2984222105443303E-5</v>
      </c>
      <c r="BD430" s="290">
        <v>2.3021881160982201E-2</v>
      </c>
      <c r="BE430" s="290">
        <v>1.35221108337648E-4</v>
      </c>
      <c r="BF430" s="290">
        <v>0</v>
      </c>
      <c r="BG430" s="290">
        <v>0</v>
      </c>
      <c r="BH430" s="290">
        <v>0</v>
      </c>
      <c r="BI430" s="290">
        <v>0</v>
      </c>
      <c r="BJ430" s="290">
        <v>0</v>
      </c>
      <c r="BK430" s="78">
        <v>0</v>
      </c>
      <c r="BL430" s="41" t="s">
        <v>616</v>
      </c>
      <c r="BM430" s="45"/>
    </row>
    <row r="431" spans="1:65" x14ac:dyDescent="0.35">
      <c r="A431" s="45" t="str">
        <f>Database_Productkaarten[[#This Row],[Product]]&amp;", "&amp;Database_Productkaarten[[#This Row],[Levensfase]]</f>
        <v>2L-ZOAB toplaag G.M. - PCR 2.0, C2</v>
      </c>
      <c r="B431" s="45" t="s">
        <v>1365</v>
      </c>
      <c r="C431" s="41" t="s">
        <v>443</v>
      </c>
      <c r="D431" s="41" t="s">
        <v>469</v>
      </c>
      <c r="E431" s="41" t="s">
        <v>91</v>
      </c>
      <c r="F431" s="41" t="s">
        <v>26</v>
      </c>
      <c r="G431" s="45"/>
      <c r="H431" s="45"/>
      <c r="I431" s="45"/>
      <c r="J431" s="45"/>
      <c r="K431" s="45"/>
      <c r="L431" s="45">
        <v>2</v>
      </c>
      <c r="M431" s="291">
        <v>0.31791357541832999</v>
      </c>
      <c r="N431" s="45">
        <v>10</v>
      </c>
      <c r="O431" s="290">
        <v>7.2195843000000002E-5</v>
      </c>
      <c r="P431" s="290">
        <v>2.5045429500000001E-2</v>
      </c>
      <c r="Q431" s="290">
        <v>3.2726104581</v>
      </c>
      <c r="R431" s="290">
        <v>6.2448211500000004E-7</v>
      </c>
      <c r="S431" s="290">
        <v>2.3663202E-3</v>
      </c>
      <c r="T431" s="290">
        <v>9.9103019999999993E-3</v>
      </c>
      <c r="U431" s="290">
        <v>1.66070541E-3</v>
      </c>
      <c r="V431" s="290">
        <v>0.89062466159999998</v>
      </c>
      <c r="W431" s="290">
        <v>3.5055542699999998E-2</v>
      </c>
      <c r="X431" s="290">
        <v>92.682047400000002</v>
      </c>
      <c r="Y431" s="290">
        <v>7.4868390000000003E-3</v>
      </c>
      <c r="Z431" s="290">
        <v>3.3150718431000001</v>
      </c>
      <c r="AA431" s="290">
        <v>3.3001817481</v>
      </c>
      <c r="AB431" s="290">
        <v>1.3607189190000001E-2</v>
      </c>
      <c r="AC431" s="290">
        <v>1.2829113599999999E-3</v>
      </c>
      <c r="AD431" s="290">
        <v>7.8107336699999998E-7</v>
      </c>
      <c r="AE431" s="290">
        <v>1.2482505E-2</v>
      </c>
      <c r="AF431" s="290">
        <v>3.4632532799999998E-5</v>
      </c>
      <c r="AG431" s="290">
        <v>2.8897329300000001E-3</v>
      </c>
      <c r="AH431" s="290">
        <v>3.3662059799999998E-2</v>
      </c>
      <c r="AI431" s="290">
        <v>1.2098522699999999E-2</v>
      </c>
      <c r="AJ431" s="290">
        <v>7.2195510000000004E-5</v>
      </c>
      <c r="AK431" s="290">
        <v>52.307882313</v>
      </c>
      <c r="AL431" s="290">
        <v>0.28570883850000001</v>
      </c>
      <c r="AM431" s="290">
        <v>2.8544027399999998E-7</v>
      </c>
      <c r="AN431" s="290">
        <v>0.22308385950000001</v>
      </c>
      <c r="AO431" s="290">
        <v>50.61443379</v>
      </c>
      <c r="AP431" s="290">
        <v>1.35209877E-9</v>
      </c>
      <c r="AQ431" s="290">
        <v>4.3221490799999998E-8</v>
      </c>
      <c r="AR431" s="290">
        <v>98.528772599999996</v>
      </c>
      <c r="AS431" s="290">
        <v>8.065825212</v>
      </c>
      <c r="AT431" s="290">
        <v>0</v>
      </c>
      <c r="AU431" s="290">
        <v>8.6963547624000004</v>
      </c>
      <c r="AV431" s="290">
        <v>0.70667511750000001</v>
      </c>
      <c r="AW431" s="290">
        <v>9.926829900000001E-4</v>
      </c>
      <c r="AX431" s="290">
        <v>55.561210727999999</v>
      </c>
      <c r="AY431" s="290">
        <v>0</v>
      </c>
      <c r="AZ431" s="290">
        <v>0</v>
      </c>
      <c r="BA431" s="290">
        <v>0</v>
      </c>
      <c r="BB431" s="290">
        <v>8.7338241000000007E-3</v>
      </c>
      <c r="BC431" s="290">
        <v>1.5376752299999999E-4</v>
      </c>
      <c r="BD431" s="290">
        <v>5.5583861609999996</v>
      </c>
      <c r="BE431" s="290">
        <v>3.4865666099999999E-4</v>
      </c>
      <c r="BF431" s="290">
        <v>0</v>
      </c>
      <c r="BG431" s="290">
        <v>0</v>
      </c>
      <c r="BH431" s="290">
        <v>0</v>
      </c>
      <c r="BI431" s="290">
        <v>0</v>
      </c>
      <c r="BJ431" s="290">
        <v>0</v>
      </c>
      <c r="BK431" s="78">
        <v>0</v>
      </c>
      <c r="BL431" s="41" t="s">
        <v>616</v>
      </c>
      <c r="BM431" s="45"/>
    </row>
    <row r="432" spans="1:65" x14ac:dyDescent="0.35">
      <c r="A432" s="45" t="str">
        <f>Database_Productkaarten[[#This Row],[Product]]&amp;", "&amp;Database_Productkaarten[[#This Row],[Levensfase]]</f>
        <v>2L-ZOAB toplaag G.M. - PCR 2.0, C3</v>
      </c>
      <c r="B432" s="45" t="s">
        <v>1365</v>
      </c>
      <c r="C432" s="41" t="s">
        <v>443</v>
      </c>
      <c r="D432" s="41" t="s">
        <v>469</v>
      </c>
      <c r="E432" s="41" t="s">
        <v>91</v>
      </c>
      <c r="F432" s="41" t="s">
        <v>27</v>
      </c>
      <c r="G432" s="45"/>
      <c r="H432" s="45"/>
      <c r="I432" s="45"/>
      <c r="J432" s="45"/>
      <c r="K432" s="45"/>
      <c r="L432" s="45">
        <v>2</v>
      </c>
      <c r="M432" s="291">
        <v>0.15929996449391112</v>
      </c>
      <c r="N432" s="45">
        <v>10</v>
      </c>
      <c r="O432" s="290">
        <v>1.8651950517975199E-6</v>
      </c>
      <c r="P432" s="290">
        <v>7.9345026418670903E-3</v>
      </c>
      <c r="Q432" s="290">
        <v>1.61366518925891</v>
      </c>
      <c r="R432" s="290">
        <v>2.0852500770483101E-7</v>
      </c>
      <c r="S432" s="290">
        <v>5.8559282669439102E-4</v>
      </c>
      <c r="T432" s="290">
        <v>5.7290955927862697E-3</v>
      </c>
      <c r="U432" s="290">
        <v>1.2820009402635399E-3</v>
      </c>
      <c r="V432" s="290">
        <v>0.43705340530303299</v>
      </c>
      <c r="W432" s="290">
        <v>6.1895127104597304E-3</v>
      </c>
      <c r="X432" s="290">
        <v>21.505828817481898</v>
      </c>
      <c r="Y432" s="290">
        <v>7.3298665977926598E-4</v>
      </c>
      <c r="Z432" s="290">
        <v>1.62432602274205</v>
      </c>
      <c r="AA432" s="290">
        <v>1.62385992048186</v>
      </c>
      <c r="AB432" s="290">
        <v>3.7124416323830602E-4</v>
      </c>
      <c r="AC432" s="290">
        <v>9.4858096944470699E-5</v>
      </c>
      <c r="AD432" s="290">
        <v>2.6274974558958202E-7</v>
      </c>
      <c r="AE432" s="290">
        <v>7.9167720434775695E-3</v>
      </c>
      <c r="AF432" s="290">
        <v>4.4318244460763901E-6</v>
      </c>
      <c r="AG432" s="290">
        <v>3.30426093538249E-3</v>
      </c>
      <c r="AH432" s="290">
        <v>3.6283310965802798E-2</v>
      </c>
      <c r="AI432" s="290">
        <v>9.6537099666509692E-3</v>
      </c>
      <c r="AJ432" s="290">
        <v>1.8651804153888899E-6</v>
      </c>
      <c r="AK432" s="290">
        <v>16.741316293887799</v>
      </c>
      <c r="AL432" s="290">
        <v>2.2296698776837699E-2</v>
      </c>
      <c r="AM432" s="290">
        <v>3.05765712985239E-8</v>
      </c>
      <c r="AN432" s="290">
        <v>7.1855284482390702E-2</v>
      </c>
      <c r="AO432" s="290">
        <v>10.0456497916317</v>
      </c>
      <c r="AP432" s="290">
        <v>3.5242587645172898E-10</v>
      </c>
      <c r="AQ432" s="290">
        <v>7.5755651387166102E-9</v>
      </c>
      <c r="AR432" s="290">
        <v>2.1383381999890201</v>
      </c>
      <c r="AS432" s="290">
        <v>0</v>
      </c>
      <c r="AT432" s="290">
        <v>0</v>
      </c>
      <c r="AU432" s="290">
        <v>9.2018591773732603E-2</v>
      </c>
      <c r="AV432" s="290">
        <v>0</v>
      </c>
      <c r="AW432" s="290">
        <v>0</v>
      </c>
      <c r="AX432" s="290">
        <v>17.7787484041543</v>
      </c>
      <c r="AY432" s="290">
        <v>0</v>
      </c>
      <c r="AZ432" s="290">
        <v>0</v>
      </c>
      <c r="BA432" s="290">
        <v>0</v>
      </c>
      <c r="BB432" s="290">
        <v>8.6541505816076995E-4</v>
      </c>
      <c r="BC432" s="290">
        <v>4.5591074834916297E-5</v>
      </c>
      <c r="BD432" s="290">
        <v>1.98095256501475E-2</v>
      </c>
      <c r="BE432" s="290">
        <v>1.16353046709139E-4</v>
      </c>
      <c r="BF432" s="290">
        <v>0</v>
      </c>
      <c r="BG432" s="290">
        <v>1000</v>
      </c>
      <c r="BH432" s="290">
        <v>0</v>
      </c>
      <c r="BI432" s="290">
        <v>0</v>
      </c>
      <c r="BJ432" s="290">
        <v>0</v>
      </c>
      <c r="BK432" s="78">
        <v>0</v>
      </c>
      <c r="BL432" s="41" t="s">
        <v>616</v>
      </c>
      <c r="BM432" s="45"/>
    </row>
    <row r="433" spans="1:65" x14ac:dyDescent="0.35">
      <c r="A433" s="45" t="str">
        <f>Database_Productkaarten[[#This Row],[Product]]&amp;", "&amp;Database_Productkaarten[[#This Row],[Levensfase]]</f>
        <v>2L-ZOAB toplaag G.M. - PCR 2.0, C4</v>
      </c>
      <c r="B433" s="45" t="s">
        <v>1365</v>
      </c>
      <c r="C433" s="41" t="s">
        <v>443</v>
      </c>
      <c r="D433" s="41" t="s">
        <v>469</v>
      </c>
      <c r="E433" s="41" t="s">
        <v>91</v>
      </c>
      <c r="F433" s="41" t="s">
        <v>28</v>
      </c>
      <c r="G433" s="45"/>
      <c r="H433" s="45"/>
      <c r="I433" s="45"/>
      <c r="J433" s="45"/>
      <c r="K433" s="45"/>
      <c r="L433" s="45">
        <v>2</v>
      </c>
      <c r="M433" s="291">
        <v>0</v>
      </c>
      <c r="N433" s="45">
        <v>10</v>
      </c>
      <c r="O433" s="290">
        <v>0</v>
      </c>
      <c r="P433" s="290">
        <v>0</v>
      </c>
      <c r="Q433" s="290">
        <v>0</v>
      </c>
      <c r="R433" s="290">
        <v>0</v>
      </c>
      <c r="S433" s="290">
        <v>0</v>
      </c>
      <c r="T433" s="290">
        <v>0</v>
      </c>
      <c r="U433" s="290">
        <v>0</v>
      </c>
      <c r="V433" s="290">
        <v>0</v>
      </c>
      <c r="W433" s="290">
        <v>0</v>
      </c>
      <c r="X433" s="290">
        <v>0</v>
      </c>
      <c r="Y433" s="290">
        <v>0</v>
      </c>
      <c r="Z433" s="290">
        <v>0</v>
      </c>
      <c r="AA433" s="290">
        <v>0</v>
      </c>
      <c r="AB433" s="290">
        <v>0</v>
      </c>
      <c r="AC433" s="290">
        <v>0</v>
      </c>
      <c r="AD433" s="290">
        <v>0</v>
      </c>
      <c r="AE433" s="290">
        <v>0</v>
      </c>
      <c r="AF433" s="290">
        <v>0</v>
      </c>
      <c r="AG433" s="290">
        <v>0</v>
      </c>
      <c r="AH433" s="290">
        <v>0</v>
      </c>
      <c r="AI433" s="290">
        <v>0</v>
      </c>
      <c r="AJ433" s="290">
        <v>0</v>
      </c>
      <c r="AK433" s="290">
        <v>0</v>
      </c>
      <c r="AL433" s="290">
        <v>0</v>
      </c>
      <c r="AM433" s="290">
        <v>0</v>
      </c>
      <c r="AN433" s="290">
        <v>0</v>
      </c>
      <c r="AO433" s="290">
        <v>0</v>
      </c>
      <c r="AP433" s="290">
        <v>0</v>
      </c>
      <c r="AQ433" s="290">
        <v>0</v>
      </c>
      <c r="AR433" s="290">
        <v>0</v>
      </c>
      <c r="AS433" s="290">
        <v>0</v>
      </c>
      <c r="AT433" s="290">
        <v>0</v>
      </c>
      <c r="AU433" s="290">
        <v>0</v>
      </c>
      <c r="AV433" s="290">
        <v>0</v>
      </c>
      <c r="AW433" s="290">
        <v>0</v>
      </c>
      <c r="AX433" s="290">
        <v>0</v>
      </c>
      <c r="AY433" s="290">
        <v>0</v>
      </c>
      <c r="AZ433" s="290">
        <v>0</v>
      </c>
      <c r="BA433" s="290">
        <v>0</v>
      </c>
      <c r="BB433" s="290">
        <v>0</v>
      </c>
      <c r="BC433" s="290">
        <v>0</v>
      </c>
      <c r="BD433" s="290">
        <v>0</v>
      </c>
      <c r="BE433" s="290">
        <v>0</v>
      </c>
      <c r="BF433" s="290">
        <v>0</v>
      </c>
      <c r="BG433" s="290">
        <v>0</v>
      </c>
      <c r="BH433" s="290">
        <v>0</v>
      </c>
      <c r="BI433" s="290">
        <v>0</v>
      </c>
      <c r="BJ433" s="290">
        <v>0</v>
      </c>
      <c r="BK433" s="78">
        <v>0</v>
      </c>
      <c r="BL433" s="41" t="s">
        <v>616</v>
      </c>
      <c r="BM433" s="45"/>
    </row>
    <row r="434" spans="1:65" x14ac:dyDescent="0.35">
      <c r="A434" s="45" t="str">
        <f>Database_Productkaarten[[#This Row],[Product]]&amp;", "&amp;Database_Productkaarten[[#This Row],[Levensfase]]</f>
        <v>2L-ZOAB toplaag G.M. - PCR 2.0, D1</v>
      </c>
      <c r="B434" s="45" t="s">
        <v>1365</v>
      </c>
      <c r="C434" s="41" t="s">
        <v>443</v>
      </c>
      <c r="D434" s="41" t="s">
        <v>469</v>
      </c>
      <c r="E434" s="41" t="s">
        <v>91</v>
      </c>
      <c r="F434" s="41" t="s">
        <v>51</v>
      </c>
      <c r="G434" s="45"/>
      <c r="H434" s="45"/>
      <c r="I434" s="45"/>
      <c r="J434" s="45"/>
      <c r="K434" s="45"/>
      <c r="L434" s="45">
        <v>2</v>
      </c>
      <c r="M434" s="291">
        <v>-3.4527744993046916</v>
      </c>
      <c r="N434" s="45">
        <v>10</v>
      </c>
      <c r="O434" s="290">
        <v>-4.75355783680986E-4</v>
      </c>
      <c r="P434" s="290">
        <v>-0.56964134209214601</v>
      </c>
      <c r="Q434" s="290">
        <v>-25.564877625846499</v>
      </c>
      <c r="R434" s="290">
        <v>-2.2242619569675798E-6</v>
      </c>
      <c r="S434" s="290">
        <v>-6.1555193074834702E-2</v>
      </c>
      <c r="T434" s="290">
        <v>-0.18188482219728</v>
      </c>
      <c r="U434" s="290">
        <v>-1.8270300674207599E-2</v>
      </c>
      <c r="V434" s="290">
        <v>-7.2354795470036501</v>
      </c>
      <c r="W434" s="290">
        <v>-0.87973260632443395</v>
      </c>
      <c r="X434" s="290">
        <v>-3835.0434186951102</v>
      </c>
      <c r="Y434" s="290">
        <v>-0.117889303288246</v>
      </c>
      <c r="Z434" s="290">
        <v>-7.6577185932375498</v>
      </c>
      <c r="AA434" s="290">
        <v>-7.5582332733966897</v>
      </c>
      <c r="AB434" s="290">
        <v>-8.96967520037176E-2</v>
      </c>
      <c r="AC434" s="290">
        <v>-9.7885678371439997E-3</v>
      </c>
      <c r="AD434" s="290">
        <v>-9.9167434772545405E-7</v>
      </c>
      <c r="AE434" s="290">
        <v>-7.5835073901001193E-2</v>
      </c>
      <c r="AF434" s="290">
        <v>-3.3014584959506499E-4</v>
      </c>
      <c r="AG434" s="290">
        <v>-2.24391120805588E-2</v>
      </c>
      <c r="AH434" s="290">
        <v>-0.28626517275605301</v>
      </c>
      <c r="AI434" s="290">
        <v>-6.9527525624984501E-2</v>
      </c>
      <c r="AJ434" s="290">
        <v>-4.7279551874145602E-4</v>
      </c>
      <c r="AK434" s="290">
        <v>-110.615492758286</v>
      </c>
      <c r="AL434" s="290">
        <v>-26.554741187994502</v>
      </c>
      <c r="AM434" s="290">
        <v>-1.08518746587582E-6</v>
      </c>
      <c r="AN434" s="290">
        <v>-0.603597863534032</v>
      </c>
      <c r="AO434" s="290">
        <v>-1136.01104888809</v>
      </c>
      <c r="AP434" s="290">
        <v>-5.7051655771911699E-9</v>
      </c>
      <c r="AQ434" s="290">
        <v>-1.2909483601696201E-7</v>
      </c>
      <c r="AR434" s="290">
        <v>-1392.46590874401</v>
      </c>
      <c r="AS434" s="290">
        <v>0</v>
      </c>
      <c r="AT434" s="290">
        <v>0</v>
      </c>
      <c r="AU434" s="290">
        <v>-13.9752261091854</v>
      </c>
      <c r="AV434" s="290">
        <v>0</v>
      </c>
      <c r="AW434" s="290">
        <v>0</v>
      </c>
      <c r="AX434" s="290">
        <v>-1287.6441109775201</v>
      </c>
      <c r="AY434" s="290">
        <v>0</v>
      </c>
      <c r="AZ434" s="290">
        <v>0</v>
      </c>
      <c r="BA434" s="290">
        <v>0</v>
      </c>
      <c r="BB434" s="290">
        <v>-13.6659630583137</v>
      </c>
      <c r="BC434" s="290">
        <v>-6.1429436081146798E-4</v>
      </c>
      <c r="BD434" s="290">
        <v>-2.3469478200214202</v>
      </c>
      <c r="BE434" s="290">
        <v>-7.8606335001310795E-4</v>
      </c>
      <c r="BF434" s="290">
        <v>0</v>
      </c>
      <c r="BG434" s="290">
        <v>0</v>
      </c>
      <c r="BH434" s="290">
        <v>0</v>
      </c>
      <c r="BI434" s="290">
        <v>0</v>
      </c>
      <c r="BJ434" s="290">
        <v>0</v>
      </c>
      <c r="BK434" s="78">
        <v>0</v>
      </c>
      <c r="BL434" s="41" t="s">
        <v>616</v>
      </c>
      <c r="BM434" s="45"/>
    </row>
    <row r="435" spans="1:65" x14ac:dyDescent="0.35">
      <c r="A435" s="45" t="str">
        <f>Database_Productkaarten[[#This Row],[Product]]&amp;", "&amp;Database_Productkaarten[[#This Row],[Levensfase]]</f>
        <v>2L-ZOAB onderlaag - PCR 2.0, Totaal</v>
      </c>
      <c r="B435" s="45" t="s">
        <v>1363</v>
      </c>
      <c r="C435" s="41" t="s">
        <v>443</v>
      </c>
      <c r="D435" s="41" t="s">
        <v>469</v>
      </c>
      <c r="E435" s="41" t="s">
        <v>91</v>
      </c>
      <c r="F435" s="41" t="s">
        <v>16</v>
      </c>
      <c r="G435" s="45"/>
      <c r="H435" s="45"/>
      <c r="I435" s="45"/>
      <c r="J435" s="45"/>
      <c r="K435" s="45"/>
      <c r="L435" s="45">
        <v>2.1</v>
      </c>
      <c r="M435" s="54">
        <f>SUM(M436:M450)</f>
        <v>10.292391185637459</v>
      </c>
      <c r="N435" s="45">
        <v>13</v>
      </c>
      <c r="O435" s="55">
        <f>SUM(O436:O450)</f>
        <v>9.1660398165957805E-4</v>
      </c>
      <c r="P435" s="55">
        <f t="shared" ref="P435" si="485">SUM(P436:P450)</f>
        <v>0.93477000556560286</v>
      </c>
      <c r="Q435" s="55">
        <f t="shared" ref="Q435" si="486">SUM(Q436:Q450)</f>
        <v>96.598141441446785</v>
      </c>
      <c r="R435" s="55">
        <f t="shared" ref="R435" si="487">SUM(R436:R450)</f>
        <v>1.1015291928721638E-5</v>
      </c>
      <c r="S435" s="55">
        <f t="shared" ref="S435" si="488">SUM(S436:S450)</f>
        <v>7.7642088513549118E-2</v>
      </c>
      <c r="T435" s="55">
        <f t="shared" ref="T435" si="489">SUM(T436:T450)</f>
        <v>0.39564696763741564</v>
      </c>
      <c r="U435" s="55">
        <f t="shared" ref="U435" si="490">SUM(U436:U450)</f>
        <v>6.6240987298695694E-2</v>
      </c>
      <c r="V435" s="55">
        <f t="shared" ref="V435" si="491">SUM(V436:V450)</f>
        <v>22.97680584157111</v>
      </c>
      <c r="W435" s="55">
        <f t="shared" ref="W435" si="492">SUM(W436:W450)</f>
        <v>4.2229873491275312</v>
      </c>
      <c r="X435" s="55">
        <f t="shared" ref="X435" si="493">SUM(X436:X450)</f>
        <v>7730.6318117190331</v>
      </c>
      <c r="Y435" s="55">
        <f t="shared" ref="Y435" si="494">SUM(Y436:Y450)</f>
        <v>0.17895894379242144</v>
      </c>
      <c r="Z435" s="55">
        <f t="shared" ref="Z435" si="495">SUM(Z436:Z450)</f>
        <v>118.18020200017783</v>
      </c>
      <c r="AA435" s="55">
        <f t="shared" ref="AA435" si="496">SUM(AA436:AA450)</f>
        <v>118.03987630447627</v>
      </c>
      <c r="AB435" s="55">
        <f t="shared" ref="AB435" si="497">SUM(AB436:AB450)</f>
        <v>8.4967265261120056E-2</v>
      </c>
      <c r="AC435" s="55">
        <f t="shared" ref="AC435" si="498">SUM(AC436:AC450)</f>
        <v>8.1734413790455318E-2</v>
      </c>
      <c r="AD435" s="55">
        <f t="shared" ref="AD435" si="499">SUM(AD436:AD450)</f>
        <v>1.5057171292911951E-5</v>
      </c>
      <c r="AE435" s="55">
        <f t="shared" ref="AE435" si="500">SUM(AE436:AE450)</f>
        <v>0.65744343269900984</v>
      </c>
      <c r="AF435" s="55">
        <f t="shared" ref="AF435" si="501">SUM(AF436:AF450)</f>
        <v>1.2968556411496134E-3</v>
      </c>
      <c r="AG435" s="55">
        <f t="shared" ref="AG435" si="502">SUM(AG436:AG450)</f>
        <v>0.17887385113891849</v>
      </c>
      <c r="AH435" s="55">
        <f t="shared" ref="AH435" si="503">SUM(AH436:AH450)</f>
        <v>1.8952330429698394</v>
      </c>
      <c r="AI435" s="55">
        <f t="shared" ref="AI435" si="504">SUM(AI436:AI450)</f>
        <v>0.71034395959006669</v>
      </c>
      <c r="AJ435" s="55">
        <f t="shared" ref="AJ435" si="505">SUM(AJ436:AJ450)</f>
        <v>9.1909532191968013E-4</v>
      </c>
      <c r="AK435" s="55">
        <f t="shared" ref="AK435" si="506">SUM(AK436:AK450)</f>
        <v>3026.6758842197723</v>
      </c>
      <c r="AL435" s="55">
        <f t="shared" ref="AL435" si="507">SUM(AL436:AL450)</f>
        <v>21.391963075011478</v>
      </c>
      <c r="AM435" s="55">
        <f t="shared" ref="AM435" si="508">SUM(AM436:AM450)</f>
        <v>2.4813935311859652E-6</v>
      </c>
      <c r="AN435" s="55">
        <f t="shared" ref="AN435" si="509">SUM(AN436:AN450)</f>
        <v>4.027737335080654</v>
      </c>
      <c r="AO435" s="55">
        <f t="shared" ref="AO435" si="510">SUM(AO436:AO450)</f>
        <v>2218.6053778847481</v>
      </c>
      <c r="AP435" s="55">
        <f t="shared" ref="AP435" si="511">SUM(AP436:AP450)</f>
        <v>3.5942043505996991E-8</v>
      </c>
      <c r="AQ435" s="55">
        <f t="shared" ref="AQ435" si="512">SUM(AQ436:AQ450)</f>
        <v>1.2586628471026817E-6</v>
      </c>
      <c r="AR435" s="55">
        <f t="shared" ref="AR435" si="513">SUM(AR436:AR450)</f>
        <v>-551.68900632636394</v>
      </c>
      <c r="AS435" s="55">
        <f t="shared" ref="AS435" si="514">SUM(AS436:AS450)</f>
        <v>8.065825212</v>
      </c>
      <c r="AT435" s="55">
        <f t="shared" ref="AT435" si="515">SUM(AT436:AT450)</f>
        <v>0</v>
      </c>
      <c r="AU435" s="55">
        <f t="shared" ref="AU435" si="516">SUM(AU436:AU450)</f>
        <v>46.472970992296737</v>
      </c>
      <c r="AV435" s="55">
        <f t="shared" ref="AV435" si="517">SUM(AV436:AV450)</f>
        <v>0.70667511750000001</v>
      </c>
      <c r="AW435" s="55">
        <f t="shared" ref="AW435" si="518">SUM(AW436:AW450)</f>
        <v>9.926829900000001E-4</v>
      </c>
      <c r="AX435" s="55">
        <f t="shared" ref="AX435" si="519">SUM(AX436:AX450)</f>
        <v>2061.1609334501463</v>
      </c>
      <c r="AY435" s="55">
        <f t="shared" ref="AY435" si="520">SUM(AY436:AY450)</f>
        <v>0</v>
      </c>
      <c r="AZ435" s="55">
        <f t="shared" ref="AZ435" si="521">SUM(AZ436:AZ450)</f>
        <v>0</v>
      </c>
      <c r="BA435" s="55">
        <f t="shared" ref="BA435" si="522">SUM(BA436:BA450)</f>
        <v>0</v>
      </c>
      <c r="BB435" s="55">
        <f t="shared" ref="BB435" si="523">SUM(BB436:BB450)</f>
        <v>-12.432236679772384</v>
      </c>
      <c r="BC435" s="55">
        <f t="shared" ref="BC435" si="524">SUM(BC436:BC450)</f>
        <v>2.2394543389612559E-3</v>
      </c>
      <c r="BD435" s="55">
        <f t="shared" ref="BD435" si="525">SUM(BD436:BD450)</f>
        <v>18.891415640389223</v>
      </c>
      <c r="BE435" s="55">
        <f t="shared" ref="BE435" si="526">SUM(BE436:BE450)</f>
        <v>4.8420043043764923E-3</v>
      </c>
      <c r="BF435" s="55">
        <f t="shared" ref="BF435" si="527">SUM(BF436:BF450)</f>
        <v>0</v>
      </c>
      <c r="BG435" s="55">
        <f t="shared" ref="BG435" si="528">SUM(BG436:BG450)</f>
        <v>1000</v>
      </c>
      <c r="BH435" s="55">
        <f t="shared" ref="BH435" si="529">SUM(BH436:BH450)</f>
        <v>0</v>
      </c>
      <c r="BI435" s="55">
        <f t="shared" ref="BI435" si="530">SUM(BI436:BI450)</f>
        <v>0</v>
      </c>
      <c r="BJ435" s="55">
        <f t="shared" ref="BJ435" si="531">SUM(BJ436:BJ450)</f>
        <v>0</v>
      </c>
      <c r="BK435" s="78">
        <v>0</v>
      </c>
      <c r="BL435" s="41" t="s">
        <v>616</v>
      </c>
      <c r="BM435" s="45"/>
    </row>
    <row r="436" spans="1:65" x14ac:dyDescent="0.35">
      <c r="A436" s="45" t="str">
        <f>Database_Productkaarten[[#This Row],[Product]]&amp;", "&amp;Database_Productkaarten[[#This Row],[Levensfase]]</f>
        <v>2L-ZOAB onderlaag - PCR 2.0, A1</v>
      </c>
      <c r="B436" s="45" t="s">
        <v>1363</v>
      </c>
      <c r="C436" s="41" t="s">
        <v>443</v>
      </c>
      <c r="D436" s="41" t="s">
        <v>469</v>
      </c>
      <c r="E436" s="41" t="s">
        <v>91</v>
      </c>
      <c r="F436" s="41" t="s">
        <v>19</v>
      </c>
      <c r="G436" s="45"/>
      <c r="H436" s="45"/>
      <c r="I436" s="45"/>
      <c r="J436" s="45"/>
      <c r="K436" s="45"/>
      <c r="L436" s="45">
        <v>2.1</v>
      </c>
      <c r="M436" s="291">
        <v>6.4875487735069139</v>
      </c>
      <c r="N436" s="45">
        <v>13</v>
      </c>
      <c r="O436" s="290">
        <v>8.6652305272699097E-4</v>
      </c>
      <c r="P436" s="290">
        <v>1.04184169316933</v>
      </c>
      <c r="Q436" s="290">
        <v>56.5197333628468</v>
      </c>
      <c r="R436" s="290">
        <v>3.9847873575016503E-6</v>
      </c>
      <c r="S436" s="290">
        <v>0.10968408859026101</v>
      </c>
      <c r="T436" s="290">
        <v>0.29401702928569101</v>
      </c>
      <c r="U436" s="290">
        <v>2.3862887833399501E-2</v>
      </c>
      <c r="V436" s="290">
        <v>12.476592349069699</v>
      </c>
      <c r="W436" s="290">
        <v>1.6104960041446901</v>
      </c>
      <c r="X436" s="290">
        <v>7002.1023650708203</v>
      </c>
      <c r="Y436" s="290">
        <v>0.21647557127904901</v>
      </c>
      <c r="Z436" s="290">
        <v>59.400352324758401</v>
      </c>
      <c r="AA436" s="290">
        <v>59.331188398775403</v>
      </c>
      <c r="AB436" s="290">
        <v>6.3058948193474906E-2</v>
      </c>
      <c r="AC436" s="290">
        <v>3.2480977789619399E-2</v>
      </c>
      <c r="AD436" s="290">
        <v>4.7778203681891497E-6</v>
      </c>
      <c r="AE436" s="290">
        <v>0.344150485449569</v>
      </c>
      <c r="AF436" s="290">
        <v>9.2269583706633201E-4</v>
      </c>
      <c r="AG436" s="290">
        <v>4.5800334395055202E-2</v>
      </c>
      <c r="AH436" s="290">
        <v>0.46550933369000402</v>
      </c>
      <c r="AI436" s="290">
        <v>0.322569762177982</v>
      </c>
      <c r="AJ436" s="290">
        <v>8.6646936177997905E-4</v>
      </c>
      <c r="AK436" s="290">
        <v>2216.34456485701</v>
      </c>
      <c r="AL436" s="290">
        <v>44.927880595176902</v>
      </c>
      <c r="AM436" s="290">
        <v>1.58960851401648E-6</v>
      </c>
      <c r="AN436" s="290">
        <v>1.7972944753008699</v>
      </c>
      <c r="AO436" s="290">
        <v>2752.4154917938499</v>
      </c>
      <c r="AP436" s="290">
        <v>1.6327523835552E-8</v>
      </c>
      <c r="AQ436" s="290">
        <v>7.3892930684526999E-7</v>
      </c>
      <c r="AR436" s="290">
        <v>304.71148649026702</v>
      </c>
      <c r="AS436" s="290">
        <v>0</v>
      </c>
      <c r="AT436" s="290">
        <v>0</v>
      </c>
      <c r="AU436" s="290">
        <v>35.359288395955097</v>
      </c>
      <c r="AV436" s="290">
        <v>0</v>
      </c>
      <c r="AW436" s="290">
        <v>0</v>
      </c>
      <c r="AX436" s="290">
        <v>2358.2584365105799</v>
      </c>
      <c r="AY436" s="290">
        <v>0</v>
      </c>
      <c r="AZ436" s="290">
        <v>0</v>
      </c>
      <c r="BA436" s="290">
        <v>0</v>
      </c>
      <c r="BB436" s="290">
        <v>1.1021562173517601</v>
      </c>
      <c r="BC436" s="290">
        <v>8.8529203500163699E-4</v>
      </c>
      <c r="BD436" s="290">
        <v>2.9684816295280201</v>
      </c>
      <c r="BE436" s="290">
        <v>1.35484370259828E-3</v>
      </c>
      <c r="BF436" s="290">
        <v>0</v>
      </c>
      <c r="BG436" s="290">
        <v>0</v>
      </c>
      <c r="BH436" s="290">
        <v>0</v>
      </c>
      <c r="BI436" s="290">
        <v>0</v>
      </c>
      <c r="BJ436" s="290">
        <v>0</v>
      </c>
      <c r="BK436" s="78">
        <v>0</v>
      </c>
      <c r="BL436" s="41" t="s">
        <v>616</v>
      </c>
      <c r="BM436" s="45"/>
    </row>
    <row r="437" spans="1:65" x14ac:dyDescent="0.35">
      <c r="A437" s="45" t="str">
        <f>Database_Productkaarten[[#This Row],[Product]]&amp;", "&amp;Database_Productkaarten[[#This Row],[Levensfase]]</f>
        <v>2L-ZOAB onderlaag - PCR 2.0, A2</v>
      </c>
      <c r="B437" s="45" t="s">
        <v>1363</v>
      </c>
      <c r="C437" s="41" t="s">
        <v>443</v>
      </c>
      <c r="D437" s="41" t="s">
        <v>469</v>
      </c>
      <c r="E437" s="41" t="s">
        <v>91</v>
      </c>
      <c r="F437" s="41" t="s">
        <v>20</v>
      </c>
      <c r="G437" s="45"/>
      <c r="H437" s="45"/>
      <c r="I437" s="45"/>
      <c r="J437" s="45"/>
      <c r="K437" s="45"/>
      <c r="L437" s="45">
        <v>2.1</v>
      </c>
      <c r="M437" s="291">
        <v>3.9979667587058727</v>
      </c>
      <c r="N437" s="45">
        <v>13</v>
      </c>
      <c r="O437" s="290">
        <v>3.5959562431778002E-4</v>
      </c>
      <c r="P437" s="290">
        <v>0.21245063313582899</v>
      </c>
      <c r="Q437" s="290">
        <v>33.462783516383297</v>
      </c>
      <c r="R437" s="290">
        <v>4.97917696114497E-6</v>
      </c>
      <c r="S437" s="290">
        <v>1.9756027688169499E-2</v>
      </c>
      <c r="T437" s="290">
        <v>0.22452129390438499</v>
      </c>
      <c r="U437" s="290">
        <v>4.96316895750804E-2</v>
      </c>
      <c r="V437" s="290">
        <v>9.0986117220456997</v>
      </c>
      <c r="W437" s="290">
        <v>0.23695959584853499</v>
      </c>
      <c r="X437" s="290">
        <v>778.76247280495795</v>
      </c>
      <c r="Y437" s="290">
        <v>4.1434061109704601E-2</v>
      </c>
      <c r="Z437" s="290">
        <v>33.8462913992811</v>
      </c>
      <c r="AA437" s="290">
        <v>33.7430664527731</v>
      </c>
      <c r="AB437" s="290">
        <v>4.8469230046065799E-2</v>
      </c>
      <c r="AC437" s="290">
        <v>5.4755716461940301E-2</v>
      </c>
      <c r="AD437" s="290">
        <v>6.19433194671388E-6</v>
      </c>
      <c r="AE437" s="290">
        <v>0.31201384927232001</v>
      </c>
      <c r="AF437" s="290">
        <v>3.9548474431739497E-4</v>
      </c>
      <c r="AG437" s="290">
        <v>0.13128693454613399</v>
      </c>
      <c r="AH437" s="290">
        <v>1.44518680033631</v>
      </c>
      <c r="AI437" s="290">
        <v>0.376018166132432</v>
      </c>
      <c r="AJ437" s="290">
        <v>3.5958114679506198E-4</v>
      </c>
      <c r="AK437" s="290">
        <v>440.323878908653</v>
      </c>
      <c r="AL437" s="290">
        <v>1.9835025195420899</v>
      </c>
      <c r="AM437" s="290">
        <v>1.13120852025092E-6</v>
      </c>
      <c r="AN437" s="290">
        <v>1.8976900616452801</v>
      </c>
      <c r="AO437" s="290">
        <v>389.81825750510899</v>
      </c>
      <c r="AP437" s="290">
        <v>1.5805364271497299E-8</v>
      </c>
      <c r="AQ437" s="290">
        <v>2.9701882617373299E-7</v>
      </c>
      <c r="AR437" s="290">
        <v>345.13469204524802</v>
      </c>
      <c r="AS437" s="290">
        <v>0</v>
      </c>
      <c r="AT437" s="290">
        <v>0</v>
      </c>
      <c r="AU437" s="290">
        <v>9.4567271205702603</v>
      </c>
      <c r="AV437" s="290">
        <v>0</v>
      </c>
      <c r="AW437" s="290">
        <v>0</v>
      </c>
      <c r="AX437" s="290">
        <v>467.30452161602</v>
      </c>
      <c r="AY437" s="290">
        <v>0</v>
      </c>
      <c r="AZ437" s="290">
        <v>0</v>
      </c>
      <c r="BA437" s="290">
        <v>0</v>
      </c>
      <c r="BB437" s="290">
        <v>7.8499178207999204E-2</v>
      </c>
      <c r="BC437" s="290">
        <v>1.14156865283044E-3</v>
      </c>
      <c r="BD437" s="290">
        <v>6.9489721518335301</v>
      </c>
      <c r="BE437" s="290">
        <v>2.8605815630412101E-3</v>
      </c>
      <c r="BF437" s="290">
        <v>0</v>
      </c>
      <c r="BG437" s="290">
        <v>0</v>
      </c>
      <c r="BH437" s="290">
        <v>0</v>
      </c>
      <c r="BI437" s="290">
        <v>0</v>
      </c>
      <c r="BJ437" s="290">
        <v>0</v>
      </c>
      <c r="BK437" s="78">
        <v>0</v>
      </c>
      <c r="BL437" s="41" t="s">
        <v>616</v>
      </c>
      <c r="BM437" s="45"/>
    </row>
    <row r="438" spans="1:65" x14ac:dyDescent="0.35">
      <c r="A438" s="45" t="str">
        <f>Database_Productkaarten[[#This Row],[Product]]&amp;", "&amp;Database_Productkaarten[[#This Row],[Levensfase]]</f>
        <v>2L-ZOAB onderlaag - PCR 2.0, A3</v>
      </c>
      <c r="B438" s="45" t="s">
        <v>1363</v>
      </c>
      <c r="C438" s="41" t="s">
        <v>443</v>
      </c>
      <c r="D438" s="41" t="s">
        <v>469</v>
      </c>
      <c r="E438" s="41" t="s">
        <v>91</v>
      </c>
      <c r="F438" s="41" t="s">
        <v>21</v>
      </c>
      <c r="G438" s="45"/>
      <c r="H438" s="45"/>
      <c r="I438" s="45"/>
      <c r="J438" s="45"/>
      <c r="K438" s="45"/>
      <c r="L438" s="45">
        <v>2.1</v>
      </c>
      <c r="M438" s="291">
        <v>1.4775812949094209</v>
      </c>
      <c r="N438" s="45">
        <v>13</v>
      </c>
      <c r="O438" s="290">
        <v>1.9717792095824001E-5</v>
      </c>
      <c r="P438" s="290">
        <v>0.17241397811428</v>
      </c>
      <c r="Q438" s="290">
        <v>20.2521989659475</v>
      </c>
      <c r="R438" s="290">
        <v>2.2923543693083999E-6</v>
      </c>
      <c r="S438" s="290">
        <v>3.3150230670284798E-3</v>
      </c>
      <c r="T438" s="290">
        <v>2.0373876249317802E-2</v>
      </c>
      <c r="U438" s="290">
        <v>3.46997480536302E-3</v>
      </c>
      <c r="V438" s="290">
        <v>3.4093486332287699</v>
      </c>
      <c r="W438" s="290">
        <v>2.25289111504865E-2</v>
      </c>
      <c r="X438" s="290">
        <v>91.387155675313494</v>
      </c>
      <c r="Y438" s="290">
        <v>2.1698339395266501E-2</v>
      </c>
      <c r="Z438" s="290">
        <v>20.553362164470801</v>
      </c>
      <c r="AA438" s="290">
        <v>20.5051619800978</v>
      </c>
      <c r="AB438" s="290">
        <v>4.6473588670332501E-2</v>
      </c>
      <c r="AC438" s="290">
        <v>1.7265957025445801E-3</v>
      </c>
      <c r="AD438" s="290">
        <v>2.5860134757582001E-6</v>
      </c>
      <c r="AE438" s="290">
        <v>2.6215347866435802E-2</v>
      </c>
      <c r="AF438" s="290">
        <v>2.3353002178278399E-4</v>
      </c>
      <c r="AG438" s="290">
        <v>7.3977318044779602E-3</v>
      </c>
      <c r="AH438" s="290">
        <v>8.3594093976711706E-2</v>
      </c>
      <c r="AI438" s="290">
        <v>2.52276644190263E-2</v>
      </c>
      <c r="AJ438" s="290">
        <v>1.97175222130363E-5</v>
      </c>
      <c r="AK438" s="290">
        <v>317.50016689956698</v>
      </c>
      <c r="AL438" s="290">
        <v>0.47217845280902698</v>
      </c>
      <c r="AM438" s="290">
        <v>1.8446544070047E-7</v>
      </c>
      <c r="AN438" s="290">
        <v>0.23678425095824801</v>
      </c>
      <c r="AO438" s="290">
        <v>67.862577820677998</v>
      </c>
      <c r="AP438" s="290">
        <v>2.5764011084211299E-9</v>
      </c>
      <c r="AQ438" s="290">
        <v>4.4248531457620198E-8</v>
      </c>
      <c r="AR438" s="290">
        <v>14.4112635368966</v>
      </c>
      <c r="AS438" s="290">
        <v>0</v>
      </c>
      <c r="AT438" s="290">
        <v>0</v>
      </c>
      <c r="AU438" s="290">
        <v>6.0349697951911896</v>
      </c>
      <c r="AV438" s="290">
        <v>0</v>
      </c>
      <c r="AW438" s="290">
        <v>0</v>
      </c>
      <c r="AX438" s="290">
        <v>350.00154820896199</v>
      </c>
      <c r="AY438" s="290">
        <v>0</v>
      </c>
      <c r="AZ438" s="290">
        <v>0</v>
      </c>
      <c r="BA438" s="290">
        <v>0</v>
      </c>
      <c r="BB438" s="290">
        <v>3.5087691036690502E-2</v>
      </c>
      <c r="BC438" s="290">
        <v>3.8656811388128201E-4</v>
      </c>
      <c r="BD438" s="290">
        <v>0.24168719463407501</v>
      </c>
      <c r="BE438" s="290">
        <v>3.02355536105754E-4</v>
      </c>
      <c r="BF438" s="290">
        <v>0</v>
      </c>
      <c r="BG438" s="290">
        <v>0</v>
      </c>
      <c r="BH438" s="290">
        <v>0</v>
      </c>
      <c r="BI438" s="290">
        <v>0</v>
      </c>
      <c r="BJ438" s="290">
        <v>0</v>
      </c>
      <c r="BK438" s="78">
        <v>0</v>
      </c>
      <c r="BL438" s="41" t="s">
        <v>616</v>
      </c>
      <c r="BM438" s="45"/>
    </row>
    <row r="439" spans="1:65" x14ac:dyDescent="0.35">
      <c r="A439" s="45" t="str">
        <f>Database_Productkaarten[[#This Row],[Product]]&amp;", "&amp;Database_Productkaarten[[#This Row],[Levensfase]]</f>
        <v>2L-ZOAB onderlaag - PCR 2.0, A4</v>
      </c>
      <c r="B439" s="45" t="s">
        <v>1363</v>
      </c>
      <c r="C439" s="41" t="s">
        <v>443</v>
      </c>
      <c r="D439" s="41" t="s">
        <v>469</v>
      </c>
      <c r="E439" s="41" t="s">
        <v>91</v>
      </c>
      <c r="F439" s="41" t="s">
        <v>22</v>
      </c>
      <c r="G439" s="45"/>
      <c r="H439" s="45"/>
      <c r="I439" s="45"/>
      <c r="J439" s="45"/>
      <c r="K439" s="45"/>
      <c r="L439" s="45">
        <v>2.1</v>
      </c>
      <c r="M439" s="291">
        <v>0.37546048090943995</v>
      </c>
      <c r="N439" s="45">
        <v>13</v>
      </c>
      <c r="O439" s="290">
        <v>6.8533509000000002E-5</v>
      </c>
      <c r="P439" s="290">
        <v>2.9713889699999999E-2</v>
      </c>
      <c r="Q439" s="290">
        <v>3.9891474704999998</v>
      </c>
      <c r="R439" s="290">
        <v>7.557213E-7</v>
      </c>
      <c r="S439" s="290">
        <v>2.4773701499999998E-3</v>
      </c>
      <c r="T439" s="290">
        <v>1.36398132E-2</v>
      </c>
      <c r="U439" s="290">
        <v>2.5682192100000001E-3</v>
      </c>
      <c r="V439" s="290">
        <v>0.8608144794</v>
      </c>
      <c r="W439" s="290">
        <v>3.6189873900000002E-2</v>
      </c>
      <c r="X439" s="290">
        <v>97.376595929999993</v>
      </c>
      <c r="Y439" s="290">
        <v>4.8437180999999999E-3</v>
      </c>
      <c r="Z439" s="290">
        <v>4.0259382761999998</v>
      </c>
      <c r="AA439" s="290">
        <v>4.0229543298000001</v>
      </c>
      <c r="AB439" s="290">
        <v>1.9814632200000001E-3</v>
      </c>
      <c r="AC439" s="290">
        <v>1.0024609799999999E-3</v>
      </c>
      <c r="AD439" s="290">
        <v>9.4976262000000003E-7</v>
      </c>
      <c r="AE439" s="290">
        <v>1.7739576E-2</v>
      </c>
      <c r="AF439" s="290">
        <v>2.7841996800000001E-5</v>
      </c>
      <c r="AG439" s="290">
        <v>5.5484582100000001E-3</v>
      </c>
      <c r="AH439" s="290">
        <v>6.1385308800000003E-2</v>
      </c>
      <c r="AI439" s="290">
        <v>1.9235744999999999E-2</v>
      </c>
      <c r="AJ439" s="290">
        <v>6.8533397999999998E-5</v>
      </c>
      <c r="AK439" s="290">
        <v>62.400806729999999</v>
      </c>
      <c r="AL439" s="290">
        <v>0.212954166</v>
      </c>
      <c r="AM439" s="290">
        <v>2.9338876200000002E-7</v>
      </c>
      <c r="AN439" s="290">
        <v>0.26868483510000002</v>
      </c>
      <c r="AO439" s="290">
        <v>45.56587296</v>
      </c>
      <c r="AP439" s="290">
        <v>1.16371179E-9</v>
      </c>
      <c r="AQ439" s="290">
        <v>3.8268015899999999E-8</v>
      </c>
      <c r="AR439" s="290">
        <v>71.806844609999999</v>
      </c>
      <c r="AS439" s="290">
        <v>0</v>
      </c>
      <c r="AT439" s="290">
        <v>0</v>
      </c>
      <c r="AU439" s="290">
        <v>0.63474917099999995</v>
      </c>
      <c r="AV439" s="290">
        <v>0</v>
      </c>
      <c r="AW439" s="290">
        <v>0</v>
      </c>
      <c r="AX439" s="290">
        <v>66.265108560000002</v>
      </c>
      <c r="AY439" s="290">
        <v>0</v>
      </c>
      <c r="AZ439" s="290">
        <v>0</v>
      </c>
      <c r="BA439" s="290">
        <v>0</v>
      </c>
      <c r="BB439" s="290">
        <v>6.7467797999999999E-3</v>
      </c>
      <c r="BC439" s="290">
        <v>1.54707915E-4</v>
      </c>
      <c r="BD439" s="290">
        <v>5.4635493149999999</v>
      </c>
      <c r="BE439" s="290">
        <v>4.25149758E-4</v>
      </c>
      <c r="BF439" s="290">
        <v>0</v>
      </c>
      <c r="BG439" s="290">
        <v>0</v>
      </c>
      <c r="BH439" s="290">
        <v>0</v>
      </c>
      <c r="BI439" s="290">
        <v>0</v>
      </c>
      <c r="BJ439" s="290">
        <v>0</v>
      </c>
      <c r="BK439" s="78">
        <v>0</v>
      </c>
      <c r="BL439" s="41" t="s">
        <v>616</v>
      </c>
      <c r="BM439" s="45"/>
    </row>
    <row r="440" spans="1:65" x14ac:dyDescent="0.35">
      <c r="A440" s="45" t="str">
        <f>Database_Productkaarten[[#This Row],[Product]]&amp;", "&amp;Database_Productkaarten[[#This Row],[Levensfase]]</f>
        <v>2L-ZOAB onderlaag - PCR 2.0, A5</v>
      </c>
      <c r="B440" s="45" t="s">
        <v>1363</v>
      </c>
      <c r="C440" s="41" t="s">
        <v>443</v>
      </c>
      <c r="D440" s="41" t="s">
        <v>469</v>
      </c>
      <c r="E440" s="41" t="s">
        <v>91</v>
      </c>
      <c r="F440" s="41" t="s">
        <v>23</v>
      </c>
      <c r="G440" s="45"/>
      <c r="H440" s="45"/>
      <c r="I440" s="45"/>
      <c r="J440" s="45"/>
      <c r="K440" s="45"/>
      <c r="L440" s="45">
        <v>2.1</v>
      </c>
      <c r="M440" s="291">
        <v>0.11508990378010658</v>
      </c>
      <c r="N440" s="45">
        <v>13</v>
      </c>
      <c r="O440" s="290">
        <v>1.36108828981769E-6</v>
      </c>
      <c r="P440" s="290">
        <v>5.79004248289125E-3</v>
      </c>
      <c r="Q440" s="290">
        <v>1.17753946298029</v>
      </c>
      <c r="R440" s="290">
        <v>1.52166897964891E-7</v>
      </c>
      <c r="S440" s="290">
        <v>3.9769491049019802E-4</v>
      </c>
      <c r="T440" s="290">
        <v>4.0133663857477202E-3</v>
      </c>
      <c r="U440" s="290">
        <v>8.9200970058883502E-4</v>
      </c>
      <c r="V440" s="290">
        <v>0.31853178933092602</v>
      </c>
      <c r="W440" s="290">
        <v>4.51667145319847E-3</v>
      </c>
      <c r="X440" s="290">
        <v>15.6934427054804</v>
      </c>
      <c r="Y440" s="290">
        <v>5.3488215943393305E-4</v>
      </c>
      <c r="Z440" s="290">
        <v>1.1857245211160901</v>
      </c>
      <c r="AA440" s="290">
        <v>1.18538439244556</v>
      </c>
      <c r="AB440" s="290">
        <v>2.70907897295604E-4</v>
      </c>
      <c r="AC440" s="290">
        <v>6.9220773232827801E-5</v>
      </c>
      <c r="AD440" s="290">
        <v>1.91736301404201E-7</v>
      </c>
      <c r="AE440" s="290">
        <v>5.5294629322026403E-3</v>
      </c>
      <c r="AF440" s="290">
        <v>3.23403406207994E-6</v>
      </c>
      <c r="AG440" s="290">
        <v>2.2810385905776501E-3</v>
      </c>
      <c r="AH440" s="290">
        <v>2.5051401718894702E-2</v>
      </c>
      <c r="AI440" s="290">
        <v>6.6437026499939402E-3</v>
      </c>
      <c r="AJ440" s="290">
        <v>1.36107760919511E-6</v>
      </c>
      <c r="AK440" s="290">
        <v>12.216636247232801</v>
      </c>
      <c r="AL440" s="290">
        <v>1.6270564011363502E-2</v>
      </c>
      <c r="AM440" s="290">
        <v>2.19447721329002E-8</v>
      </c>
      <c r="AN440" s="290">
        <v>5.2434937314588197E-2</v>
      </c>
      <c r="AO440" s="290">
        <v>7.3299436755695702</v>
      </c>
      <c r="AP440" s="290">
        <v>2.5717564081712199E-10</v>
      </c>
      <c r="AQ440" s="290">
        <v>5.8020979012863397E-9</v>
      </c>
      <c r="AR440" s="290">
        <v>1.5604089603832501</v>
      </c>
      <c r="AS440" s="290">
        <v>0</v>
      </c>
      <c r="AT440" s="290">
        <v>0</v>
      </c>
      <c r="AU440" s="290">
        <v>6.7148701818558407E-2</v>
      </c>
      <c r="AV440" s="290">
        <v>0</v>
      </c>
      <c r="AW440" s="290">
        <v>0</v>
      </c>
      <c r="AX440" s="290">
        <v>12.9736813026595</v>
      </c>
      <c r="AY440" s="290">
        <v>0</v>
      </c>
      <c r="AZ440" s="290">
        <v>0</v>
      </c>
      <c r="BA440" s="290">
        <v>0</v>
      </c>
      <c r="BB440" s="290">
        <v>6.3151909794721705E-4</v>
      </c>
      <c r="BC440" s="290">
        <v>3.3269162758990797E-5</v>
      </c>
      <c r="BD440" s="290">
        <v>1.4455599839186499E-2</v>
      </c>
      <c r="BE440" s="290">
        <v>8.4906277276028394E-5</v>
      </c>
      <c r="BF440" s="290">
        <v>0</v>
      </c>
      <c r="BG440" s="290">
        <v>0</v>
      </c>
      <c r="BH440" s="290">
        <v>0</v>
      </c>
      <c r="BI440" s="290">
        <v>0</v>
      </c>
      <c r="BJ440" s="290">
        <v>0</v>
      </c>
      <c r="BK440" s="78">
        <v>0</v>
      </c>
      <c r="BL440" s="41" t="s">
        <v>616</v>
      </c>
      <c r="BM440" s="45"/>
    </row>
    <row r="441" spans="1:65" x14ac:dyDescent="0.35">
      <c r="A441" s="45" t="str">
        <f>Database_Productkaarten[[#This Row],[Product]]&amp;", "&amp;Database_Productkaarten[[#This Row],[Levensfase]]</f>
        <v>2L-ZOAB onderlaag - PCR 2.0, B1</v>
      </c>
      <c r="B441" s="45" t="s">
        <v>1363</v>
      </c>
      <c r="C441" s="41" t="s">
        <v>443</v>
      </c>
      <c r="D441" s="41" t="s">
        <v>469</v>
      </c>
      <c r="E441" s="41" t="s">
        <v>91</v>
      </c>
      <c r="F441" s="41" t="s">
        <v>24</v>
      </c>
      <c r="G441" s="45"/>
      <c r="H441" s="45"/>
      <c r="I441" s="45"/>
      <c r="J441" s="45"/>
      <c r="K441" s="45"/>
      <c r="L441" s="45">
        <v>2.1</v>
      </c>
      <c r="M441" s="291">
        <v>0.63803196066933088</v>
      </c>
      <c r="N441" s="45">
        <v>13</v>
      </c>
      <c r="O441" s="290">
        <v>0</v>
      </c>
      <c r="P441" s="290">
        <v>0</v>
      </c>
      <c r="Q441" s="290">
        <v>0</v>
      </c>
      <c r="R441" s="290">
        <v>0</v>
      </c>
      <c r="S441" s="290">
        <v>0</v>
      </c>
      <c r="T441" s="290">
        <v>0</v>
      </c>
      <c r="U441" s="290">
        <v>0</v>
      </c>
      <c r="V441" s="290">
        <v>2.21599595321837</v>
      </c>
      <c r="W441" s="290">
        <v>3.1435906259976898</v>
      </c>
      <c r="X441" s="290">
        <v>3441.17206099747</v>
      </c>
      <c r="Y441" s="290">
        <v>2.7899999999979499E-3</v>
      </c>
      <c r="Z441" s="290">
        <v>0</v>
      </c>
      <c r="AA441" s="290">
        <v>0</v>
      </c>
      <c r="AB441" s="290">
        <v>0</v>
      </c>
      <c r="AC441" s="290">
        <v>0</v>
      </c>
      <c r="AD441" s="290">
        <v>0</v>
      </c>
      <c r="AE441" s="290">
        <v>0</v>
      </c>
      <c r="AF441" s="290">
        <v>0</v>
      </c>
      <c r="AG441" s="290">
        <v>0</v>
      </c>
      <c r="AH441" s="290">
        <v>0</v>
      </c>
      <c r="AI441" s="290">
        <v>0</v>
      </c>
      <c r="AJ441" s="290">
        <v>0</v>
      </c>
      <c r="AK441" s="290">
        <v>0</v>
      </c>
      <c r="AL441" s="290">
        <v>0</v>
      </c>
      <c r="AM441" s="290">
        <v>0</v>
      </c>
      <c r="AN441" s="290">
        <v>0</v>
      </c>
      <c r="AO441" s="290">
        <v>19.2904605006858</v>
      </c>
      <c r="AP441" s="290">
        <v>3.4029317760975E-9</v>
      </c>
      <c r="AQ441" s="290">
        <v>2.0449895299124001E-7</v>
      </c>
      <c r="AR441" s="290">
        <v>0</v>
      </c>
      <c r="AS441" s="290">
        <v>0</v>
      </c>
      <c r="AT441" s="290">
        <v>0</v>
      </c>
      <c r="AU441" s="290">
        <v>0</v>
      </c>
      <c r="AV441" s="290">
        <v>0</v>
      </c>
      <c r="AW441" s="290">
        <v>0</v>
      </c>
      <c r="AX441" s="290">
        <v>0</v>
      </c>
      <c r="AY441" s="290">
        <v>0</v>
      </c>
      <c r="AZ441" s="290">
        <v>0</v>
      </c>
      <c r="BA441" s="290">
        <v>0</v>
      </c>
      <c r="BB441" s="290">
        <v>0</v>
      </c>
      <c r="BC441" s="290">
        <v>0</v>
      </c>
      <c r="BD441" s="290">
        <v>0</v>
      </c>
      <c r="BE441" s="290">
        <v>0</v>
      </c>
      <c r="BF441" s="290">
        <v>0</v>
      </c>
      <c r="BG441" s="290">
        <v>0</v>
      </c>
      <c r="BH441" s="290">
        <v>0</v>
      </c>
      <c r="BI441" s="290">
        <v>0</v>
      </c>
      <c r="BJ441" s="290">
        <v>0</v>
      </c>
      <c r="BK441" s="78">
        <v>0</v>
      </c>
      <c r="BL441" s="41" t="s">
        <v>616</v>
      </c>
      <c r="BM441" s="45"/>
    </row>
    <row r="442" spans="1:65" x14ac:dyDescent="0.35">
      <c r="A442" s="45" t="str">
        <f>Database_Productkaarten[[#This Row],[Product]]&amp;", "&amp;Database_Productkaarten[[#This Row],[Levensfase]]</f>
        <v>2L-ZOAB onderlaag - PCR 2.0, B2</v>
      </c>
      <c r="B442" s="45" t="s">
        <v>1363</v>
      </c>
      <c r="C442" s="41" t="s">
        <v>443</v>
      </c>
      <c r="D442" s="41" t="s">
        <v>469</v>
      </c>
      <c r="E442" s="41" t="s">
        <v>91</v>
      </c>
      <c r="F442" s="41" t="s">
        <v>604</v>
      </c>
      <c r="G442" s="45"/>
      <c r="H442" s="45"/>
      <c r="I442" s="45"/>
      <c r="J442" s="45"/>
      <c r="K442" s="45"/>
      <c r="L442" s="45">
        <v>2.1</v>
      </c>
      <c r="M442" s="291">
        <v>0</v>
      </c>
      <c r="N442" s="45">
        <v>13</v>
      </c>
      <c r="O442" s="290">
        <v>0</v>
      </c>
      <c r="P442" s="290">
        <v>0</v>
      </c>
      <c r="Q442" s="290">
        <v>0</v>
      </c>
      <c r="R442" s="290">
        <v>0</v>
      </c>
      <c r="S442" s="290">
        <v>0</v>
      </c>
      <c r="T442" s="290">
        <v>0</v>
      </c>
      <c r="U442" s="290">
        <v>0</v>
      </c>
      <c r="V442" s="290">
        <v>0</v>
      </c>
      <c r="W442" s="290">
        <v>0</v>
      </c>
      <c r="X442" s="290">
        <v>0</v>
      </c>
      <c r="Y442" s="290">
        <v>0</v>
      </c>
      <c r="Z442" s="290">
        <v>0</v>
      </c>
      <c r="AA442" s="290">
        <v>0</v>
      </c>
      <c r="AB442" s="290">
        <v>0</v>
      </c>
      <c r="AC442" s="290">
        <v>0</v>
      </c>
      <c r="AD442" s="290">
        <v>0</v>
      </c>
      <c r="AE442" s="290">
        <v>0</v>
      </c>
      <c r="AF442" s="290">
        <v>0</v>
      </c>
      <c r="AG442" s="290">
        <v>0</v>
      </c>
      <c r="AH442" s="290">
        <v>0</v>
      </c>
      <c r="AI442" s="290">
        <v>0</v>
      </c>
      <c r="AJ442" s="290">
        <v>0</v>
      </c>
      <c r="AK442" s="290">
        <v>0</v>
      </c>
      <c r="AL442" s="290">
        <v>0</v>
      </c>
      <c r="AM442" s="290">
        <v>0</v>
      </c>
      <c r="AN442" s="290">
        <v>0</v>
      </c>
      <c r="AO442" s="290">
        <v>0</v>
      </c>
      <c r="AP442" s="290">
        <v>0</v>
      </c>
      <c r="AQ442" s="290">
        <v>0</v>
      </c>
      <c r="AR442" s="290">
        <v>0</v>
      </c>
      <c r="AS442" s="290">
        <v>0</v>
      </c>
      <c r="AT442" s="290">
        <v>0</v>
      </c>
      <c r="AU442" s="290">
        <v>0</v>
      </c>
      <c r="AV442" s="290">
        <v>0</v>
      </c>
      <c r="AW442" s="290">
        <v>0</v>
      </c>
      <c r="AX442" s="290">
        <v>0</v>
      </c>
      <c r="AY442" s="290">
        <v>0</v>
      </c>
      <c r="AZ442" s="290">
        <v>0</v>
      </c>
      <c r="BA442" s="290">
        <v>0</v>
      </c>
      <c r="BB442" s="290">
        <v>0</v>
      </c>
      <c r="BC442" s="290">
        <v>0</v>
      </c>
      <c r="BD442" s="290">
        <v>0</v>
      </c>
      <c r="BE442" s="290">
        <v>0</v>
      </c>
      <c r="BF442" s="290">
        <v>0</v>
      </c>
      <c r="BG442" s="290">
        <v>0</v>
      </c>
      <c r="BH442" s="290">
        <v>0</v>
      </c>
      <c r="BI442" s="290">
        <v>0</v>
      </c>
      <c r="BJ442" s="290">
        <v>0</v>
      </c>
      <c r="BK442" s="78">
        <v>0</v>
      </c>
      <c r="BL442" s="41" t="s">
        <v>616</v>
      </c>
      <c r="BM442" s="45"/>
    </row>
    <row r="443" spans="1:65" x14ac:dyDescent="0.35">
      <c r="A443" s="45" t="str">
        <f>Database_Productkaarten[[#This Row],[Product]]&amp;", "&amp;Database_Productkaarten[[#This Row],[Levensfase]]</f>
        <v>2L-ZOAB onderlaag - PCR 2.0, B3</v>
      </c>
      <c r="B443" s="45" t="s">
        <v>1363</v>
      </c>
      <c r="C443" s="41" t="s">
        <v>443</v>
      </c>
      <c r="D443" s="41" t="s">
        <v>469</v>
      </c>
      <c r="E443" s="41" t="s">
        <v>91</v>
      </c>
      <c r="F443" s="41" t="s">
        <v>602</v>
      </c>
      <c r="G443" s="45"/>
      <c r="H443" s="45"/>
      <c r="I443" s="45"/>
      <c r="J443" s="45"/>
      <c r="K443" s="45"/>
      <c r="L443" s="45">
        <v>2.1</v>
      </c>
      <c r="M443" s="291">
        <v>0</v>
      </c>
      <c r="N443" s="45">
        <v>13</v>
      </c>
      <c r="O443" s="290">
        <v>0</v>
      </c>
      <c r="P443" s="290">
        <v>0</v>
      </c>
      <c r="Q443" s="290">
        <v>0</v>
      </c>
      <c r="R443" s="290">
        <v>0</v>
      </c>
      <c r="S443" s="290">
        <v>0</v>
      </c>
      <c r="T443" s="290">
        <v>0</v>
      </c>
      <c r="U443" s="290">
        <v>0</v>
      </c>
      <c r="V443" s="290">
        <v>0</v>
      </c>
      <c r="W443" s="290">
        <v>0</v>
      </c>
      <c r="X443" s="290">
        <v>0</v>
      </c>
      <c r="Y443" s="290">
        <v>0</v>
      </c>
      <c r="Z443" s="290">
        <v>0</v>
      </c>
      <c r="AA443" s="290">
        <v>0</v>
      </c>
      <c r="AB443" s="290">
        <v>0</v>
      </c>
      <c r="AC443" s="290">
        <v>0</v>
      </c>
      <c r="AD443" s="290">
        <v>0</v>
      </c>
      <c r="AE443" s="290">
        <v>0</v>
      </c>
      <c r="AF443" s="290">
        <v>0</v>
      </c>
      <c r="AG443" s="290">
        <v>0</v>
      </c>
      <c r="AH443" s="290">
        <v>0</v>
      </c>
      <c r="AI443" s="290">
        <v>0</v>
      </c>
      <c r="AJ443" s="290">
        <v>0</v>
      </c>
      <c r="AK443" s="290">
        <v>0</v>
      </c>
      <c r="AL443" s="290">
        <v>0</v>
      </c>
      <c r="AM443" s="290">
        <v>0</v>
      </c>
      <c r="AN443" s="290">
        <v>0</v>
      </c>
      <c r="AO443" s="290">
        <v>0</v>
      </c>
      <c r="AP443" s="290">
        <v>0</v>
      </c>
      <c r="AQ443" s="290">
        <v>0</v>
      </c>
      <c r="AR443" s="290">
        <v>0</v>
      </c>
      <c r="AS443" s="290">
        <v>0</v>
      </c>
      <c r="AT443" s="290">
        <v>0</v>
      </c>
      <c r="AU443" s="290">
        <v>0</v>
      </c>
      <c r="AV443" s="290">
        <v>0</v>
      </c>
      <c r="AW443" s="290">
        <v>0</v>
      </c>
      <c r="AX443" s="290">
        <v>0</v>
      </c>
      <c r="AY443" s="290">
        <v>0</v>
      </c>
      <c r="AZ443" s="290">
        <v>0</v>
      </c>
      <c r="BA443" s="290">
        <v>0</v>
      </c>
      <c r="BB443" s="290">
        <v>0</v>
      </c>
      <c r="BC443" s="290">
        <v>0</v>
      </c>
      <c r="BD443" s="290">
        <v>0</v>
      </c>
      <c r="BE443" s="290">
        <v>0</v>
      </c>
      <c r="BF443" s="290">
        <v>0</v>
      </c>
      <c r="BG443" s="290">
        <v>0</v>
      </c>
      <c r="BH443" s="290">
        <v>0</v>
      </c>
      <c r="BI443" s="290">
        <v>0</v>
      </c>
      <c r="BJ443" s="290">
        <v>0</v>
      </c>
      <c r="BK443" s="78">
        <v>0</v>
      </c>
      <c r="BL443" s="41" t="s">
        <v>616</v>
      </c>
      <c r="BM443" s="45"/>
    </row>
    <row r="444" spans="1:65" x14ac:dyDescent="0.35">
      <c r="A444" s="45" t="str">
        <f>Database_Productkaarten[[#This Row],[Product]]&amp;", "&amp;Database_Productkaarten[[#This Row],[Levensfase]]</f>
        <v>2L-ZOAB onderlaag - PCR 2.0, B4</v>
      </c>
      <c r="B444" s="45" t="s">
        <v>1363</v>
      </c>
      <c r="C444" s="41" t="s">
        <v>443</v>
      </c>
      <c r="D444" s="41" t="s">
        <v>469</v>
      </c>
      <c r="E444" s="41" t="s">
        <v>91</v>
      </c>
      <c r="F444" s="41" t="s">
        <v>50</v>
      </c>
      <c r="G444" s="45"/>
      <c r="H444" s="45"/>
      <c r="I444" s="45"/>
      <c r="J444" s="45"/>
      <c r="K444" s="45"/>
      <c r="L444" s="45">
        <v>2.1</v>
      </c>
      <c r="M444" s="291">
        <v>0</v>
      </c>
      <c r="N444" s="45">
        <v>13</v>
      </c>
      <c r="O444" s="290">
        <v>0</v>
      </c>
      <c r="P444" s="290">
        <v>0</v>
      </c>
      <c r="Q444" s="290">
        <v>0</v>
      </c>
      <c r="R444" s="290">
        <v>0</v>
      </c>
      <c r="S444" s="290">
        <v>0</v>
      </c>
      <c r="T444" s="290">
        <v>0</v>
      </c>
      <c r="U444" s="290">
        <v>0</v>
      </c>
      <c r="V444" s="290">
        <v>0</v>
      </c>
      <c r="W444" s="290">
        <v>0</v>
      </c>
      <c r="X444" s="290">
        <v>0</v>
      </c>
      <c r="Y444" s="290">
        <v>0</v>
      </c>
      <c r="Z444" s="290">
        <v>0</v>
      </c>
      <c r="AA444" s="290">
        <v>0</v>
      </c>
      <c r="AB444" s="290">
        <v>0</v>
      </c>
      <c r="AC444" s="290">
        <v>0</v>
      </c>
      <c r="AD444" s="290">
        <v>0</v>
      </c>
      <c r="AE444" s="290">
        <v>0</v>
      </c>
      <c r="AF444" s="290">
        <v>0</v>
      </c>
      <c r="AG444" s="290">
        <v>0</v>
      </c>
      <c r="AH444" s="290">
        <v>0</v>
      </c>
      <c r="AI444" s="290">
        <v>0</v>
      </c>
      <c r="AJ444" s="290">
        <v>0</v>
      </c>
      <c r="AK444" s="290">
        <v>0</v>
      </c>
      <c r="AL444" s="290">
        <v>0</v>
      </c>
      <c r="AM444" s="290">
        <v>0</v>
      </c>
      <c r="AN444" s="290">
        <v>0</v>
      </c>
      <c r="AO444" s="290">
        <v>0</v>
      </c>
      <c r="AP444" s="290">
        <v>0</v>
      </c>
      <c r="AQ444" s="290">
        <v>0</v>
      </c>
      <c r="AR444" s="290">
        <v>0</v>
      </c>
      <c r="AS444" s="290">
        <v>0</v>
      </c>
      <c r="AT444" s="290">
        <v>0</v>
      </c>
      <c r="AU444" s="290">
        <v>0</v>
      </c>
      <c r="AV444" s="290">
        <v>0</v>
      </c>
      <c r="AW444" s="290">
        <v>0</v>
      </c>
      <c r="AX444" s="290">
        <v>0</v>
      </c>
      <c r="AY444" s="290">
        <v>0</v>
      </c>
      <c r="AZ444" s="290">
        <v>0</v>
      </c>
      <c r="BA444" s="290">
        <v>0</v>
      </c>
      <c r="BB444" s="290">
        <v>0</v>
      </c>
      <c r="BC444" s="290">
        <v>0</v>
      </c>
      <c r="BD444" s="290">
        <v>0</v>
      </c>
      <c r="BE444" s="290">
        <v>0</v>
      </c>
      <c r="BF444" s="290">
        <v>0</v>
      </c>
      <c r="BG444" s="290">
        <v>0</v>
      </c>
      <c r="BH444" s="290">
        <v>0</v>
      </c>
      <c r="BI444" s="290">
        <v>0</v>
      </c>
      <c r="BJ444" s="290">
        <v>0</v>
      </c>
      <c r="BK444" s="78">
        <v>0</v>
      </c>
      <c r="BL444" s="41" t="s">
        <v>616</v>
      </c>
      <c r="BM444" s="45"/>
    </row>
    <row r="445" spans="1:65" x14ac:dyDescent="0.35">
      <c r="A445" s="45" t="str">
        <f>Database_Productkaarten[[#This Row],[Product]]&amp;", "&amp;Database_Productkaarten[[#This Row],[Levensfase]]</f>
        <v>2L-ZOAB onderlaag - PCR 2.0, B5</v>
      </c>
      <c r="B445" s="45" t="s">
        <v>1363</v>
      </c>
      <c r="C445" s="41" t="s">
        <v>443</v>
      </c>
      <c r="D445" s="41" t="s">
        <v>469</v>
      </c>
      <c r="E445" s="41" t="s">
        <v>91</v>
      </c>
      <c r="F445" s="41" t="s">
        <v>1358</v>
      </c>
      <c r="G445" s="45"/>
      <c r="H445" s="45"/>
      <c r="I445" s="45"/>
      <c r="J445" s="45"/>
      <c r="K445" s="45"/>
      <c r="L445" s="45">
        <v>2.1</v>
      </c>
      <c r="M445" s="291">
        <v>0</v>
      </c>
      <c r="N445" s="45">
        <v>13</v>
      </c>
      <c r="O445" s="290">
        <v>0</v>
      </c>
      <c r="P445" s="290">
        <v>0</v>
      </c>
      <c r="Q445" s="290">
        <v>0</v>
      </c>
      <c r="R445" s="290">
        <v>0</v>
      </c>
      <c r="S445" s="290">
        <v>0</v>
      </c>
      <c r="T445" s="290">
        <v>0</v>
      </c>
      <c r="U445" s="290">
        <v>0</v>
      </c>
      <c r="V445" s="290">
        <v>0</v>
      </c>
      <c r="W445" s="290">
        <v>0</v>
      </c>
      <c r="X445" s="290">
        <v>0</v>
      </c>
      <c r="Y445" s="290">
        <v>0</v>
      </c>
      <c r="Z445" s="290">
        <v>0</v>
      </c>
      <c r="AA445" s="290">
        <v>0</v>
      </c>
      <c r="AB445" s="290">
        <v>0</v>
      </c>
      <c r="AC445" s="290">
        <v>0</v>
      </c>
      <c r="AD445" s="290">
        <v>0</v>
      </c>
      <c r="AE445" s="290">
        <v>0</v>
      </c>
      <c r="AF445" s="290">
        <v>0</v>
      </c>
      <c r="AG445" s="290">
        <v>0</v>
      </c>
      <c r="AH445" s="290">
        <v>0</v>
      </c>
      <c r="AI445" s="290">
        <v>0</v>
      </c>
      <c r="AJ445" s="290">
        <v>0</v>
      </c>
      <c r="AK445" s="290">
        <v>0</v>
      </c>
      <c r="AL445" s="290">
        <v>0</v>
      </c>
      <c r="AM445" s="290">
        <v>0</v>
      </c>
      <c r="AN445" s="290">
        <v>0</v>
      </c>
      <c r="AO445" s="290">
        <v>0</v>
      </c>
      <c r="AP445" s="290">
        <v>0</v>
      </c>
      <c r="AQ445" s="290">
        <v>0</v>
      </c>
      <c r="AR445" s="290">
        <v>0</v>
      </c>
      <c r="AS445" s="290">
        <v>0</v>
      </c>
      <c r="AT445" s="290">
        <v>0</v>
      </c>
      <c r="AU445" s="290">
        <v>0</v>
      </c>
      <c r="AV445" s="290">
        <v>0</v>
      </c>
      <c r="AW445" s="290">
        <v>0</v>
      </c>
      <c r="AX445" s="290">
        <v>0</v>
      </c>
      <c r="AY445" s="290">
        <v>0</v>
      </c>
      <c r="AZ445" s="290">
        <v>0</v>
      </c>
      <c r="BA445" s="290">
        <v>0</v>
      </c>
      <c r="BB445" s="290">
        <v>0</v>
      </c>
      <c r="BC445" s="290">
        <v>0</v>
      </c>
      <c r="BD445" s="290">
        <v>0</v>
      </c>
      <c r="BE445" s="290">
        <v>0</v>
      </c>
      <c r="BF445" s="290">
        <v>0</v>
      </c>
      <c r="BG445" s="290">
        <v>0</v>
      </c>
      <c r="BH445" s="290">
        <v>0</v>
      </c>
      <c r="BI445" s="290">
        <v>0</v>
      </c>
      <c r="BJ445" s="290">
        <v>0</v>
      </c>
      <c r="BK445" s="78">
        <v>0</v>
      </c>
      <c r="BL445" s="41" t="s">
        <v>616</v>
      </c>
      <c r="BM445" s="45"/>
    </row>
    <row r="446" spans="1:65" x14ac:dyDescent="0.35">
      <c r="A446" s="45" t="str">
        <f>Database_Productkaarten[[#This Row],[Product]]&amp;", "&amp;Database_Productkaarten[[#This Row],[Levensfase]]</f>
        <v>2L-ZOAB onderlaag - PCR 2.0, C1</v>
      </c>
      <c r="B446" s="45" t="s">
        <v>1363</v>
      </c>
      <c r="C446" s="41" t="s">
        <v>443</v>
      </c>
      <c r="D446" s="41" t="s">
        <v>469</v>
      </c>
      <c r="E446" s="41" t="s">
        <v>91</v>
      </c>
      <c r="F446" s="41" t="s">
        <v>25</v>
      </c>
      <c r="G446" s="45"/>
      <c r="H446" s="45"/>
      <c r="I446" s="45"/>
      <c r="J446" s="45"/>
      <c r="K446" s="45"/>
      <c r="L446" s="45">
        <v>2.1</v>
      </c>
      <c r="M446" s="291">
        <v>0.17627297096970898</v>
      </c>
      <c r="N446" s="45">
        <v>13</v>
      </c>
      <c r="O446" s="290">
        <v>2.1676591282281801E-6</v>
      </c>
      <c r="P446" s="290">
        <v>9.2211787690490293E-3</v>
      </c>
      <c r="Q446" s="290">
        <v>1.87534062622787</v>
      </c>
      <c r="R446" s="290">
        <v>2.4233987453667902E-7</v>
      </c>
      <c r="S446" s="290">
        <v>6.1516414877058902E-4</v>
      </c>
      <c r="T446" s="290">
        <v>5.3270131328580703E-3</v>
      </c>
      <c r="U446" s="290">
        <v>1.14380048612312E-3</v>
      </c>
      <c r="V446" s="290">
        <v>0.50471239202332696</v>
      </c>
      <c r="W446" s="290">
        <v>7.19321749953831E-3</v>
      </c>
      <c r="X446" s="290">
        <v>24.9932606050244</v>
      </c>
      <c r="Y446" s="290">
        <v>8.5184936502441001E-4</v>
      </c>
      <c r="Z446" s="290">
        <v>1.8868540265182101</v>
      </c>
      <c r="AA446" s="290">
        <v>1.8863123401170001</v>
      </c>
      <c r="AB446" s="290">
        <v>4.3144591050781397E-4</v>
      </c>
      <c r="AC446" s="290">
        <v>1.10240490704133E-4</v>
      </c>
      <c r="AD446" s="290">
        <v>3.0535781334742998E-7</v>
      </c>
      <c r="AE446" s="290">
        <v>7.2305079290643304E-3</v>
      </c>
      <c r="AF446" s="290">
        <v>5.1504986914606399E-6</v>
      </c>
      <c r="AG446" s="290">
        <v>2.8044717849945002E-3</v>
      </c>
      <c r="AH446" s="290">
        <v>3.0825906144911399E-2</v>
      </c>
      <c r="AI446" s="290">
        <v>8.4242120959174601E-3</v>
      </c>
      <c r="AJ446" s="290">
        <v>2.16764211834777E-6</v>
      </c>
      <c r="AK446" s="290">
        <v>19.456124393741</v>
      </c>
      <c r="AL446" s="290">
        <v>2.5912379721801101E-2</v>
      </c>
      <c r="AM446" s="290">
        <v>2.9948141766473503E-8</v>
      </c>
      <c r="AN446" s="290">
        <v>8.3507492760270197E-2</v>
      </c>
      <c r="AO446" s="290">
        <v>11.6737381577987</v>
      </c>
      <c r="AP446" s="290">
        <v>4.09576020560603E-10</v>
      </c>
      <c r="AQ446" s="290">
        <v>8.1948958501647601E-9</v>
      </c>
      <c r="AR446" s="290">
        <v>2.4850957517214698</v>
      </c>
      <c r="AS446" s="290">
        <v>0</v>
      </c>
      <c r="AT446" s="290">
        <v>0</v>
      </c>
      <c r="AU446" s="290">
        <v>0.106940525118445</v>
      </c>
      <c r="AV446" s="290">
        <v>0</v>
      </c>
      <c r="AW446" s="290">
        <v>0</v>
      </c>
      <c r="AX446" s="290">
        <v>20.661788741272598</v>
      </c>
      <c r="AY446" s="290">
        <v>0</v>
      </c>
      <c r="AZ446" s="290">
        <v>0</v>
      </c>
      <c r="BA446" s="290">
        <v>0</v>
      </c>
      <c r="BB446" s="290">
        <v>1.00575263747149E-3</v>
      </c>
      <c r="BC446" s="290">
        <v>5.2984222171726098E-5</v>
      </c>
      <c r="BD446" s="290">
        <v>2.3021881225371198E-2</v>
      </c>
      <c r="BE446" s="290">
        <v>1.35221108254416E-4</v>
      </c>
      <c r="BF446" s="290">
        <v>0</v>
      </c>
      <c r="BG446" s="290">
        <v>0</v>
      </c>
      <c r="BH446" s="290">
        <v>0</v>
      </c>
      <c r="BI446" s="290">
        <v>0</v>
      </c>
      <c r="BJ446" s="290">
        <v>0</v>
      </c>
      <c r="BK446" s="78">
        <v>0</v>
      </c>
      <c r="BL446" s="41" t="s">
        <v>616</v>
      </c>
      <c r="BM446" s="45"/>
    </row>
    <row r="447" spans="1:65" x14ac:dyDescent="0.35">
      <c r="A447" s="45" t="str">
        <f>Database_Productkaarten[[#This Row],[Product]]&amp;", "&amp;Database_Productkaarten[[#This Row],[Levensfase]]</f>
        <v>2L-ZOAB onderlaag - PCR 2.0, C2</v>
      </c>
      <c r="B447" s="45" t="s">
        <v>1363</v>
      </c>
      <c r="C447" s="41" t="s">
        <v>443</v>
      </c>
      <c r="D447" s="41" t="s">
        <v>469</v>
      </c>
      <c r="E447" s="41" t="s">
        <v>91</v>
      </c>
      <c r="F447" s="41" t="s">
        <v>26</v>
      </c>
      <c r="G447" s="45"/>
      <c r="H447" s="45"/>
      <c r="I447" s="45"/>
      <c r="J447" s="45"/>
      <c r="K447" s="45"/>
      <c r="L447" s="45">
        <v>2.1</v>
      </c>
      <c r="M447" s="291">
        <v>0.31791357541832999</v>
      </c>
      <c r="N447" s="45">
        <v>13</v>
      </c>
      <c r="O447" s="290">
        <v>7.2195843000000002E-5</v>
      </c>
      <c r="P447" s="290">
        <v>2.5045429500000001E-2</v>
      </c>
      <c r="Q447" s="290">
        <v>3.2726104581</v>
      </c>
      <c r="R447" s="290">
        <v>6.2448211500000004E-7</v>
      </c>
      <c r="S447" s="290">
        <v>2.3663202E-3</v>
      </c>
      <c r="T447" s="290">
        <v>9.9103019999999993E-3</v>
      </c>
      <c r="U447" s="290">
        <v>1.66070541E-3</v>
      </c>
      <c r="V447" s="290">
        <v>0.89062466159999998</v>
      </c>
      <c r="W447" s="290">
        <v>3.5055542699999998E-2</v>
      </c>
      <c r="X447" s="290">
        <v>92.682047400000002</v>
      </c>
      <c r="Y447" s="290">
        <v>7.4868390000000003E-3</v>
      </c>
      <c r="Z447" s="290">
        <v>3.3150718431000001</v>
      </c>
      <c r="AA447" s="290">
        <v>3.3001817481</v>
      </c>
      <c r="AB447" s="290">
        <v>1.3607189190000001E-2</v>
      </c>
      <c r="AC447" s="290">
        <v>1.2829113599999999E-3</v>
      </c>
      <c r="AD447" s="290">
        <v>7.8107336699999998E-7</v>
      </c>
      <c r="AE447" s="290">
        <v>1.2482505E-2</v>
      </c>
      <c r="AF447" s="290">
        <v>3.4632532799999998E-5</v>
      </c>
      <c r="AG447" s="290">
        <v>2.8897329300000001E-3</v>
      </c>
      <c r="AH447" s="290">
        <v>3.3662059799999998E-2</v>
      </c>
      <c r="AI447" s="290">
        <v>1.2098522699999999E-2</v>
      </c>
      <c r="AJ447" s="290">
        <v>7.2195510000000004E-5</v>
      </c>
      <c r="AK447" s="290">
        <v>52.307882313</v>
      </c>
      <c r="AL447" s="290">
        <v>0.28570883850000001</v>
      </c>
      <c r="AM447" s="290">
        <v>2.8544027399999998E-7</v>
      </c>
      <c r="AN447" s="290">
        <v>0.22308385950000001</v>
      </c>
      <c r="AO447" s="290">
        <v>50.61443379</v>
      </c>
      <c r="AP447" s="290">
        <v>1.35209877E-9</v>
      </c>
      <c r="AQ447" s="290">
        <v>4.3221490799999998E-8</v>
      </c>
      <c r="AR447" s="290">
        <v>98.528772599999996</v>
      </c>
      <c r="AS447" s="290">
        <v>8.065825212</v>
      </c>
      <c r="AT447" s="290">
        <v>0</v>
      </c>
      <c r="AU447" s="290">
        <v>8.6963547624000004</v>
      </c>
      <c r="AV447" s="290">
        <v>0.70667511750000001</v>
      </c>
      <c r="AW447" s="290">
        <v>9.926829900000001E-4</v>
      </c>
      <c r="AX447" s="290">
        <v>55.561210727999999</v>
      </c>
      <c r="AY447" s="290">
        <v>0</v>
      </c>
      <c r="AZ447" s="290">
        <v>0</v>
      </c>
      <c r="BA447" s="290">
        <v>0</v>
      </c>
      <c r="BB447" s="290">
        <v>8.7338241000000007E-3</v>
      </c>
      <c r="BC447" s="290">
        <v>1.5376752299999999E-4</v>
      </c>
      <c r="BD447" s="290">
        <v>5.5583861609999996</v>
      </c>
      <c r="BE447" s="290">
        <v>3.4865666099999999E-4</v>
      </c>
      <c r="BF447" s="290">
        <v>0</v>
      </c>
      <c r="BG447" s="290">
        <v>0</v>
      </c>
      <c r="BH447" s="290">
        <v>0</v>
      </c>
      <c r="BI447" s="290">
        <v>0</v>
      </c>
      <c r="BJ447" s="290">
        <v>0</v>
      </c>
      <c r="BK447" s="78">
        <v>0</v>
      </c>
      <c r="BL447" s="41" t="s">
        <v>616</v>
      </c>
      <c r="BM447" s="45"/>
    </row>
    <row r="448" spans="1:65" x14ac:dyDescent="0.35">
      <c r="A448" s="45" t="str">
        <f>Database_Productkaarten[[#This Row],[Product]]&amp;", "&amp;Database_Productkaarten[[#This Row],[Levensfase]]</f>
        <v>2L-ZOAB onderlaag - PCR 2.0, C3</v>
      </c>
      <c r="B448" s="45" t="s">
        <v>1363</v>
      </c>
      <c r="C448" s="41" t="s">
        <v>443</v>
      </c>
      <c r="D448" s="41" t="s">
        <v>469</v>
      </c>
      <c r="E448" s="41" t="s">
        <v>91</v>
      </c>
      <c r="F448" s="41" t="s">
        <v>27</v>
      </c>
      <c r="G448" s="45"/>
      <c r="H448" s="45"/>
      <c r="I448" s="45"/>
      <c r="J448" s="45"/>
      <c r="K448" s="45"/>
      <c r="L448" s="45">
        <v>2.1</v>
      </c>
      <c r="M448" s="291">
        <v>0.15929996470817095</v>
      </c>
      <c r="N448" s="45">
        <v>13</v>
      </c>
      <c r="O448" s="290">
        <v>1.8651950638242401E-6</v>
      </c>
      <c r="P448" s="290">
        <v>7.9345026617398604E-3</v>
      </c>
      <c r="Q448" s="290">
        <v>1.6136651900100301</v>
      </c>
      <c r="R448" s="290">
        <v>2.08525008322258E-7</v>
      </c>
      <c r="S448" s="290">
        <v>5.85592828073414E-4</v>
      </c>
      <c r="T448" s="290">
        <v>5.7290956026911999E-3</v>
      </c>
      <c r="U448" s="290">
        <v>1.2820009415476299E-3</v>
      </c>
      <c r="V448" s="290">
        <v>0.43705340653867603</v>
      </c>
      <c r="W448" s="290">
        <v>6.1895127321608696E-3</v>
      </c>
      <c r="X448" s="290">
        <v>21.505828892695501</v>
      </c>
      <c r="Y448" s="290">
        <v>7.3298666292797904E-4</v>
      </c>
      <c r="Z448" s="290">
        <v>1.62432602349241</v>
      </c>
      <c r="AA448" s="290">
        <v>1.6238599212402101</v>
      </c>
      <c r="AB448" s="290">
        <v>3.7124415555323702E-4</v>
      </c>
      <c r="AC448" s="290">
        <v>9.4858096652393695E-5</v>
      </c>
      <c r="AD448" s="290">
        <v>2.6274974636871903E-7</v>
      </c>
      <c r="AE448" s="290">
        <v>7.9167720552404692E-3</v>
      </c>
      <c r="AF448" s="290">
        <v>4.4318244554428796E-6</v>
      </c>
      <c r="AG448" s="290">
        <v>3.3042609370878E-3</v>
      </c>
      <c r="AH448" s="290">
        <v>3.6283310985150898E-2</v>
      </c>
      <c r="AI448" s="290">
        <v>9.6537099736950793E-3</v>
      </c>
      <c r="AJ448" s="290">
        <v>1.86518042741552E-6</v>
      </c>
      <c r="AK448" s="290">
        <v>16.741316338800399</v>
      </c>
      <c r="AL448" s="290">
        <v>2.2296698830386898E-2</v>
      </c>
      <c r="AM448" s="290">
        <v>3.0576571371381498E-8</v>
      </c>
      <c r="AN448" s="290">
        <v>7.1855284468139394E-2</v>
      </c>
      <c r="AO448" s="290">
        <v>10.0456498242071</v>
      </c>
      <c r="AP448" s="290">
        <v>3.5242587815679602E-10</v>
      </c>
      <c r="AQ448" s="290">
        <v>7.5755651561351893E-9</v>
      </c>
      <c r="AR448" s="290">
        <v>2.13833820496964</v>
      </c>
      <c r="AS448" s="290">
        <v>0</v>
      </c>
      <c r="AT448" s="290">
        <v>0</v>
      </c>
      <c r="AU448" s="290">
        <v>9.2018591380987294E-2</v>
      </c>
      <c r="AV448" s="290">
        <v>0</v>
      </c>
      <c r="AW448" s="290">
        <v>0</v>
      </c>
      <c r="AX448" s="290">
        <v>17.778748451792701</v>
      </c>
      <c r="AY448" s="290">
        <v>0</v>
      </c>
      <c r="AZ448" s="290">
        <v>0</v>
      </c>
      <c r="BA448" s="290">
        <v>0</v>
      </c>
      <c r="BB448" s="290">
        <v>8.6541506014988802E-4</v>
      </c>
      <c r="BC448" s="290">
        <v>4.55910748919504E-5</v>
      </c>
      <c r="BD448" s="290">
        <v>1.98095257055519E-2</v>
      </c>
      <c r="BE448" s="290">
        <v>1.16353046637521E-4</v>
      </c>
      <c r="BF448" s="290">
        <v>0</v>
      </c>
      <c r="BG448" s="290">
        <v>1000</v>
      </c>
      <c r="BH448" s="290">
        <v>0</v>
      </c>
      <c r="BI448" s="290">
        <v>0</v>
      </c>
      <c r="BJ448" s="290">
        <v>0</v>
      </c>
      <c r="BK448" s="78">
        <v>0</v>
      </c>
      <c r="BL448" s="41" t="s">
        <v>616</v>
      </c>
      <c r="BM448" s="45"/>
    </row>
    <row r="449" spans="1:65" x14ac:dyDescent="0.35">
      <c r="A449" s="45" t="str">
        <f>Database_Productkaarten[[#This Row],[Product]]&amp;", "&amp;Database_Productkaarten[[#This Row],[Levensfase]]</f>
        <v>2L-ZOAB onderlaag - PCR 2.0, C4</v>
      </c>
      <c r="B449" s="45" t="s">
        <v>1363</v>
      </c>
      <c r="C449" s="41" t="s">
        <v>443</v>
      </c>
      <c r="D449" s="41" t="s">
        <v>469</v>
      </c>
      <c r="E449" s="41" t="s">
        <v>91</v>
      </c>
      <c r="F449" s="41" t="s">
        <v>28</v>
      </c>
      <c r="G449" s="45"/>
      <c r="H449" s="45"/>
      <c r="I449" s="45"/>
      <c r="J449" s="45"/>
      <c r="K449" s="45"/>
      <c r="L449" s="45">
        <v>2.1</v>
      </c>
      <c r="M449" s="291">
        <v>0</v>
      </c>
      <c r="N449" s="45">
        <v>13</v>
      </c>
      <c r="O449" s="290">
        <v>0</v>
      </c>
      <c r="P449" s="290">
        <v>0</v>
      </c>
      <c r="Q449" s="290">
        <v>0</v>
      </c>
      <c r="R449" s="290">
        <v>0</v>
      </c>
      <c r="S449" s="290">
        <v>0</v>
      </c>
      <c r="T449" s="290">
        <v>0</v>
      </c>
      <c r="U449" s="290">
        <v>0</v>
      </c>
      <c r="V449" s="290">
        <v>0</v>
      </c>
      <c r="W449" s="290">
        <v>0</v>
      </c>
      <c r="X449" s="290">
        <v>0</v>
      </c>
      <c r="Y449" s="290">
        <v>0</v>
      </c>
      <c r="Z449" s="290">
        <v>0</v>
      </c>
      <c r="AA449" s="290">
        <v>0</v>
      </c>
      <c r="AB449" s="290">
        <v>0</v>
      </c>
      <c r="AC449" s="290">
        <v>0</v>
      </c>
      <c r="AD449" s="290">
        <v>0</v>
      </c>
      <c r="AE449" s="290">
        <v>0</v>
      </c>
      <c r="AF449" s="290">
        <v>0</v>
      </c>
      <c r="AG449" s="290">
        <v>0</v>
      </c>
      <c r="AH449" s="290">
        <v>0</v>
      </c>
      <c r="AI449" s="290">
        <v>0</v>
      </c>
      <c r="AJ449" s="290">
        <v>0</v>
      </c>
      <c r="AK449" s="290">
        <v>0</v>
      </c>
      <c r="AL449" s="290">
        <v>0</v>
      </c>
      <c r="AM449" s="290">
        <v>0</v>
      </c>
      <c r="AN449" s="290">
        <v>0</v>
      </c>
      <c r="AO449" s="290">
        <v>0</v>
      </c>
      <c r="AP449" s="290">
        <v>0</v>
      </c>
      <c r="AQ449" s="290">
        <v>0</v>
      </c>
      <c r="AR449" s="290">
        <v>0</v>
      </c>
      <c r="AS449" s="290">
        <v>0</v>
      </c>
      <c r="AT449" s="290">
        <v>0</v>
      </c>
      <c r="AU449" s="290">
        <v>0</v>
      </c>
      <c r="AV449" s="290">
        <v>0</v>
      </c>
      <c r="AW449" s="290">
        <v>0</v>
      </c>
      <c r="AX449" s="290">
        <v>0</v>
      </c>
      <c r="AY449" s="290">
        <v>0</v>
      </c>
      <c r="AZ449" s="290">
        <v>0</v>
      </c>
      <c r="BA449" s="290">
        <v>0</v>
      </c>
      <c r="BB449" s="290">
        <v>0</v>
      </c>
      <c r="BC449" s="290">
        <v>0</v>
      </c>
      <c r="BD449" s="290">
        <v>0</v>
      </c>
      <c r="BE449" s="290">
        <v>0</v>
      </c>
      <c r="BF449" s="290">
        <v>0</v>
      </c>
      <c r="BG449" s="290">
        <v>0</v>
      </c>
      <c r="BH449" s="290">
        <v>0</v>
      </c>
      <c r="BI449" s="290">
        <v>0</v>
      </c>
      <c r="BJ449" s="290">
        <v>0</v>
      </c>
      <c r="BK449" s="78">
        <v>0</v>
      </c>
      <c r="BL449" s="41" t="s">
        <v>616</v>
      </c>
      <c r="BM449" s="45"/>
    </row>
    <row r="450" spans="1:65" x14ac:dyDescent="0.35">
      <c r="A450" s="45" t="str">
        <f>Database_Productkaarten[[#This Row],[Product]]&amp;", "&amp;Database_Productkaarten[[#This Row],[Levensfase]]</f>
        <v>2L-ZOAB onderlaag - PCR 2.0, D1</v>
      </c>
      <c r="B450" s="45" t="s">
        <v>1363</v>
      </c>
      <c r="C450" s="41" t="s">
        <v>443</v>
      </c>
      <c r="D450" s="41" t="s">
        <v>469</v>
      </c>
      <c r="E450" s="41" t="s">
        <v>91</v>
      </c>
      <c r="F450" s="41" t="s">
        <v>51</v>
      </c>
      <c r="G450" s="45"/>
      <c r="H450" s="45"/>
      <c r="I450" s="45"/>
      <c r="J450" s="45"/>
      <c r="K450" s="45"/>
      <c r="L450" s="45">
        <v>2.1</v>
      </c>
      <c r="M450" s="291">
        <v>-3.4527744979398345</v>
      </c>
      <c r="N450" s="45">
        <v>13</v>
      </c>
      <c r="O450" s="290">
        <v>-4.7535578196288703E-4</v>
      </c>
      <c r="P450" s="290">
        <v>-0.56964134196751604</v>
      </c>
      <c r="Q450" s="290">
        <v>-25.564877611549001</v>
      </c>
      <c r="R450" s="290">
        <v>-2.2242619550572101E-6</v>
      </c>
      <c r="S450" s="290">
        <v>-6.1555193069244001E-2</v>
      </c>
      <c r="T450" s="290">
        <v>-0.181884822123275</v>
      </c>
      <c r="U450" s="290">
        <v>-1.8270300663406801E-2</v>
      </c>
      <c r="V450" s="290">
        <v>-7.2354795448843596</v>
      </c>
      <c r="W450" s="290">
        <v>-0.87973260629876804</v>
      </c>
      <c r="X450" s="290">
        <v>-3835.0434183627299</v>
      </c>
      <c r="Y450" s="290">
        <v>-0.117889303278983</v>
      </c>
      <c r="Z450" s="290">
        <v>-7.6577185787591704</v>
      </c>
      <c r="AA450" s="290">
        <v>-7.5582332588728001</v>
      </c>
      <c r="AB450" s="290">
        <v>-8.9696752022109805E-2</v>
      </c>
      <c r="AC450" s="290">
        <v>-9.7885678642383091E-3</v>
      </c>
      <c r="AD450" s="290">
        <v>-9.91674345869629E-7</v>
      </c>
      <c r="AE450" s="290">
        <v>-7.5835073805822398E-2</v>
      </c>
      <c r="AF450" s="290">
        <v>-3.3014584882588101E-4</v>
      </c>
      <c r="AG450" s="290">
        <v>-2.24391120594086E-2</v>
      </c>
      <c r="AH450" s="290">
        <v>-0.286265172482143</v>
      </c>
      <c r="AI450" s="290">
        <v>-6.9527525558980105E-2</v>
      </c>
      <c r="AJ450" s="290">
        <v>-4.7279551702335602E-4</v>
      </c>
      <c r="AK450" s="290">
        <v>-110.61549246823201</v>
      </c>
      <c r="AL450" s="290">
        <v>-26.554741139580099</v>
      </c>
      <c r="AM450" s="290">
        <v>-1.08518746505266E-6</v>
      </c>
      <c r="AN450" s="290">
        <v>-0.60359786196674103</v>
      </c>
      <c r="AO450" s="290">
        <v>-1136.01104814315</v>
      </c>
      <c r="AP450" s="290">
        <v>-5.7051655851054702E-9</v>
      </c>
      <c r="AQ450" s="290">
        <v>-1.2909483597276799E-7</v>
      </c>
      <c r="AR450" s="290">
        <v>-1392.46590852585</v>
      </c>
      <c r="AS450" s="290">
        <v>0</v>
      </c>
      <c r="AT450" s="290">
        <v>0</v>
      </c>
      <c r="AU450" s="290">
        <v>-13.975226071137801</v>
      </c>
      <c r="AV450" s="290">
        <v>0</v>
      </c>
      <c r="AW450" s="290">
        <v>0</v>
      </c>
      <c r="AX450" s="290">
        <v>-1287.64411066914</v>
      </c>
      <c r="AY450" s="290">
        <v>0</v>
      </c>
      <c r="AZ450" s="290">
        <v>0</v>
      </c>
      <c r="BA450" s="290">
        <v>0</v>
      </c>
      <c r="BB450" s="290">
        <v>-13.665963057064401</v>
      </c>
      <c r="BC450" s="290">
        <v>-6.1429436057476995E-4</v>
      </c>
      <c r="BD450" s="290">
        <v>-2.3469478183765098</v>
      </c>
      <c r="BE450" s="290">
        <v>-7.86063348536717E-4</v>
      </c>
      <c r="BF450" s="290">
        <v>0</v>
      </c>
      <c r="BG450" s="290">
        <v>0</v>
      </c>
      <c r="BH450" s="290">
        <v>0</v>
      </c>
      <c r="BI450" s="290">
        <v>0</v>
      </c>
      <c r="BJ450" s="290">
        <v>0</v>
      </c>
      <c r="BK450" s="78">
        <v>0</v>
      </c>
      <c r="BL450" s="41" t="s">
        <v>616</v>
      </c>
      <c r="BM450" s="45"/>
    </row>
    <row r="451" spans="1:65" x14ac:dyDescent="0.35">
      <c r="A451" s="45" t="str">
        <f>Database_Productkaarten[[#This Row],[Product]]&amp;", "&amp;Database_Productkaarten[[#This Row],[Levensfase]]</f>
        <v>2L-ZOAB onderlaag 30% PR - PCR 2.0, Totaal</v>
      </c>
      <c r="B451" s="45" t="s">
        <v>1364</v>
      </c>
      <c r="C451" s="41" t="s">
        <v>443</v>
      </c>
      <c r="D451" s="41" t="s">
        <v>469</v>
      </c>
      <c r="E451" s="41" t="s">
        <v>91</v>
      </c>
      <c r="F451" s="41" t="s">
        <v>16</v>
      </c>
      <c r="G451" s="45"/>
      <c r="H451" s="45"/>
      <c r="I451" s="45"/>
      <c r="J451" s="45"/>
      <c r="K451" s="45"/>
      <c r="L451" s="45">
        <v>2.1</v>
      </c>
      <c r="M451" s="54">
        <f>SUM(M452:M466)</f>
        <v>8.7175915455570046</v>
      </c>
      <c r="N451" s="45">
        <v>13</v>
      </c>
      <c r="O451" s="55">
        <f>SUM(O452:O466)</f>
        <v>7.270418356490854E-4</v>
      </c>
      <c r="P451" s="55">
        <f t="shared" ref="P451" si="532">SUM(P452:P466)</f>
        <v>0.86132643132230036</v>
      </c>
      <c r="Q451" s="55">
        <f t="shared" ref="Q451" si="533">SUM(Q452:Q466)</f>
        <v>78.980096401041436</v>
      </c>
      <c r="R451" s="55">
        <f t="shared" ref="R451" si="534">SUM(R452:R466)</f>
        <v>9.3584596322451902E-6</v>
      </c>
      <c r="S451" s="55">
        <f t="shared" ref="S451" si="535">SUM(S452:S466)</f>
        <v>7.0213266211394981E-2</v>
      </c>
      <c r="T451" s="55">
        <f t="shared" ref="T451" si="536">SUM(T452:T466)</f>
        <v>0.32798036807486386</v>
      </c>
      <c r="U451" s="55">
        <f t="shared" ref="U451" si="537">SUM(U452:U466)</f>
        <v>5.2579292159117719E-2</v>
      </c>
      <c r="V451" s="55">
        <f t="shared" ref="V451" si="538">SUM(V452:V466)</f>
        <v>20.313834013178912</v>
      </c>
      <c r="W451" s="55">
        <f t="shared" ref="W451" si="539">SUM(W452:W466)</f>
        <v>4.1357627380123372</v>
      </c>
      <c r="X451" s="55">
        <f t="shared" ref="X451" si="540">SUM(X452:X466)</f>
        <v>7427.5636831816282</v>
      </c>
      <c r="Y451" s="55">
        <f t="shared" ref="Y451" si="541">SUM(Y452:Y466)</f>
        <v>0.16235783686254765</v>
      </c>
      <c r="Z451" s="55">
        <f t="shared" ref="Z451" si="542">SUM(Z452:Z466)</f>
        <v>94.817014268446144</v>
      </c>
      <c r="AA451" s="55">
        <f t="shared" ref="AA451" si="543">SUM(AA452:AA466)</f>
        <v>94.826768396433494</v>
      </c>
      <c r="AB451" s="55">
        <f t="shared" ref="AB451" si="544">SUM(AB452:AB466)</f>
        <v>-5.0794275316167967E-2</v>
      </c>
      <c r="AC451" s="55">
        <f t="shared" ref="AC451" si="545">SUM(AC452:AC466)</f>
        <v>6.3271330678763171E-2</v>
      </c>
      <c r="AD451" s="55">
        <f t="shared" ref="AD451" si="546">SUM(AD452:AD466)</f>
        <v>1.254355132264238E-5</v>
      </c>
      <c r="AE451" s="55">
        <f t="shared" ref="AE451" si="547">SUM(AE452:AE466)</f>
        <v>0.52604789642685024</v>
      </c>
      <c r="AF451" s="55">
        <f t="shared" ref="AF451" si="548">SUM(AF452:AF466)</f>
        <v>1.0426261776996077E-3</v>
      </c>
      <c r="AG451" s="55">
        <f t="shared" ref="AG451" si="549">SUM(AG452:AG466)</f>
        <v>0.13986337927236872</v>
      </c>
      <c r="AH451" s="55">
        <f t="shared" ref="AH451" si="550">SUM(AH452:AH466)</f>
        <v>1.4782365119747849</v>
      </c>
      <c r="AI451" s="55">
        <f t="shared" ref="AI451" si="551">SUM(AI452:AI466)</f>
        <v>0.56731755366064496</v>
      </c>
      <c r="AJ451" s="55">
        <f t="shared" ref="AJ451" si="552">SUM(AJ452:AJ466)</f>
        <v>7.2883492976433446E-4</v>
      </c>
      <c r="AK451" s="55">
        <f t="shared" ref="AK451" si="553">SUM(AK452:AK466)</f>
        <v>2563.1052934071809</v>
      </c>
      <c r="AL451" s="55">
        <f t="shared" ref="AL451" si="554">SUM(AL452:AL466)</f>
        <v>18.994093251542449</v>
      </c>
      <c r="AM451" s="55">
        <f t="shared" ref="AM451" si="555">SUM(AM452:AM466)</f>
        <v>2.1090817938374371E-6</v>
      </c>
      <c r="AN451" s="55">
        <f t="shared" ref="AN451" si="556">SUM(AN452:AN466)</f>
        <v>3.1333287907881937</v>
      </c>
      <c r="AO451" s="55">
        <f t="shared" ref="AO451" si="557">SUM(AO452:AO466)</f>
        <v>1912.6730096007566</v>
      </c>
      <c r="AP451" s="55">
        <f t="shared" ref="AP451" si="558">SUM(AP452:AP466)</f>
        <v>3.0044987934582075E-8</v>
      </c>
      <c r="AQ451" s="55">
        <f t="shared" ref="AQ451" si="559">SUM(AQ452:AQ466)</f>
        <v>1.0442752248638701E-6</v>
      </c>
      <c r="AR451" s="55">
        <f t="shared" ref="AR451" si="560">SUM(AR452:AR466)</f>
        <v>-320.56200837635981</v>
      </c>
      <c r="AS451" s="55">
        <f t="shared" ref="AS451" si="561">SUM(AS452:AS466)</f>
        <v>8.065825212</v>
      </c>
      <c r="AT451" s="55">
        <f t="shared" ref="AT451" si="562">SUM(AT452:AT466)</f>
        <v>0</v>
      </c>
      <c r="AU451" s="55">
        <f t="shared" ref="AU451" si="563">SUM(AU452:AU466)</f>
        <v>37.820220515697677</v>
      </c>
      <c r="AV451" s="55">
        <f t="shared" ref="AV451" si="564">SUM(AV452:AV466)</f>
        <v>0.70667511750000001</v>
      </c>
      <c r="AW451" s="55">
        <f t="shared" ref="AW451" si="565">SUM(AW452:AW466)</f>
        <v>9.926829900000001E-4</v>
      </c>
      <c r="AX451" s="55">
        <f t="shared" ref="AX451" si="566">SUM(AX452:AX466)</f>
        <v>1894.0842444943719</v>
      </c>
      <c r="AY451" s="55">
        <f t="shared" ref="AY451" si="567">SUM(AY452:AY466)</f>
        <v>277.5</v>
      </c>
      <c r="AZ451" s="55">
        <f t="shared" ref="AZ451" si="568">SUM(AZ452:AZ466)</f>
        <v>0</v>
      </c>
      <c r="BA451" s="55">
        <f t="shared" ref="BA451" si="569">SUM(BA452:BA466)</f>
        <v>0</v>
      </c>
      <c r="BB451" s="55">
        <f t="shared" ref="BB451" si="570">SUM(BB452:BB466)</f>
        <v>-8.8997419965885722</v>
      </c>
      <c r="BC451" s="55">
        <f t="shared" ref="BC451" si="571">SUM(BC452:BC466)</f>
        <v>1.9496407808106174E-3</v>
      </c>
      <c r="BD451" s="55">
        <f t="shared" ref="BD451" si="572">SUM(BD452:BD466)</f>
        <v>16.780563658279156</v>
      </c>
      <c r="BE451" s="55">
        <f t="shared" ref="BE451" si="573">SUM(BE452:BE466)</f>
        <v>3.7713829209257885E-3</v>
      </c>
      <c r="BF451" s="55">
        <f t="shared" ref="BF451" si="574">SUM(BF452:BF466)</f>
        <v>0</v>
      </c>
      <c r="BG451" s="55">
        <f t="shared" ref="BG451" si="575">SUM(BG452:BG466)</f>
        <v>1000</v>
      </c>
      <c r="BH451" s="55">
        <f t="shared" ref="BH451" si="576">SUM(BH452:BH466)</f>
        <v>0</v>
      </c>
      <c r="BI451" s="55">
        <f t="shared" ref="BI451" si="577">SUM(BI452:BI466)</f>
        <v>0</v>
      </c>
      <c r="BJ451" s="55">
        <f t="shared" ref="BJ451" si="578">SUM(BJ452:BJ466)</f>
        <v>0</v>
      </c>
      <c r="BK451" s="78">
        <v>0.3</v>
      </c>
      <c r="BL451" s="41" t="s">
        <v>616</v>
      </c>
      <c r="BM451" s="45"/>
    </row>
    <row r="452" spans="1:65" x14ac:dyDescent="0.35">
      <c r="A452" s="45" t="str">
        <f>Database_Productkaarten[[#This Row],[Product]]&amp;", "&amp;Database_Productkaarten[[#This Row],[Levensfase]]</f>
        <v>2L-ZOAB onderlaag 30% PR - PCR 2.0, A1</v>
      </c>
      <c r="B452" s="45" t="s">
        <v>1364</v>
      </c>
      <c r="C452" s="41" t="s">
        <v>443</v>
      </c>
      <c r="D452" s="41" t="s">
        <v>469</v>
      </c>
      <c r="E452" s="41" t="s">
        <v>91</v>
      </c>
      <c r="F452" s="41" t="s">
        <v>19</v>
      </c>
      <c r="G452" s="45"/>
      <c r="H452" s="45"/>
      <c r="I452" s="45"/>
      <c r="J452" s="45"/>
      <c r="K452" s="45"/>
      <c r="L452" s="45">
        <v>2.1</v>
      </c>
      <c r="M452" s="291">
        <v>4.9684508522483704</v>
      </c>
      <c r="N452" s="45">
        <v>13</v>
      </c>
      <c r="O452" s="290">
        <v>6.4540691050864695E-4</v>
      </c>
      <c r="P452" s="290">
        <v>0.85778555310050497</v>
      </c>
      <c r="Q452" s="290">
        <v>39.721335216990802</v>
      </c>
      <c r="R452" s="290">
        <v>2.9002088098448398E-6</v>
      </c>
      <c r="S452" s="290">
        <v>9.0336696868963701E-2</v>
      </c>
      <c r="T452" s="290">
        <v>0.23547422833986201</v>
      </c>
      <c r="U452" s="290">
        <v>1.83558098621894E-2</v>
      </c>
      <c r="V452" s="290">
        <v>10.2357624185668</v>
      </c>
      <c r="W452" s="290">
        <v>1.3440147013880299</v>
      </c>
      <c r="X452" s="290">
        <v>5848.7467878690304</v>
      </c>
      <c r="Y452" s="290">
        <v>0.179363302935621</v>
      </c>
      <c r="Z452" s="290">
        <v>41.917424190835902</v>
      </c>
      <c r="AA452" s="290">
        <v>41.996353973736298</v>
      </c>
      <c r="AB452" s="290">
        <v>-8.2523935147704702E-2</v>
      </c>
      <c r="AC452" s="290">
        <v>2.58253522472414E-2</v>
      </c>
      <c r="AD452" s="290">
        <v>3.4844962485481601E-6</v>
      </c>
      <c r="AE452" s="290">
        <v>0.27452991779214603</v>
      </c>
      <c r="AF452" s="290">
        <v>6.9524856695510904E-4</v>
      </c>
      <c r="AG452" s="290">
        <v>3.5375397673682502E-2</v>
      </c>
      <c r="AH452" s="290">
        <v>0.35244941708507599</v>
      </c>
      <c r="AI452" s="290">
        <v>0.25980429130931298</v>
      </c>
      <c r="AJ452" s="290">
        <v>6.4536160531683605E-4</v>
      </c>
      <c r="AK452" s="290">
        <v>1822.4876501572501</v>
      </c>
      <c r="AL452" s="290">
        <v>35.7113779116521</v>
      </c>
      <c r="AM452" s="290">
        <v>1.2297958192549199E-6</v>
      </c>
      <c r="AN452" s="290">
        <v>1.2451082100980699</v>
      </c>
      <c r="AO452" s="290">
        <v>2238.5946395792898</v>
      </c>
      <c r="AP452" s="290">
        <v>1.30436348009907E-8</v>
      </c>
      <c r="AQ452" s="290">
        <v>5.7054987659167005E-7</v>
      </c>
      <c r="AR452" s="290">
        <v>243.290485635914</v>
      </c>
      <c r="AS452" s="290">
        <v>0</v>
      </c>
      <c r="AT452" s="290">
        <v>0</v>
      </c>
      <c r="AU452" s="290">
        <v>25.638970053639799</v>
      </c>
      <c r="AV452" s="290">
        <v>0</v>
      </c>
      <c r="AW452" s="290">
        <v>0</v>
      </c>
      <c r="AX452" s="290">
        <v>1939.41243348277</v>
      </c>
      <c r="AY452" s="290">
        <v>277.5</v>
      </c>
      <c r="AZ452" s="290">
        <v>0</v>
      </c>
      <c r="BA452" s="290">
        <v>0</v>
      </c>
      <c r="BB452" s="290">
        <v>0.86494114669034605</v>
      </c>
      <c r="BC452" s="290">
        <v>7.0815474483889305E-4</v>
      </c>
      <c r="BD452" s="290">
        <v>2.2264910464426402</v>
      </c>
      <c r="BE452" s="290">
        <v>8.3234320176210001E-4</v>
      </c>
      <c r="BF452" s="290">
        <v>0</v>
      </c>
      <c r="BG452" s="290">
        <v>0</v>
      </c>
      <c r="BH452" s="290">
        <v>0</v>
      </c>
      <c r="BI452" s="290">
        <v>0</v>
      </c>
      <c r="BJ452" s="290">
        <v>0</v>
      </c>
      <c r="BK452" s="78">
        <v>0.3</v>
      </c>
      <c r="BL452" s="41" t="s">
        <v>616</v>
      </c>
      <c r="BM452" s="45"/>
    </row>
    <row r="453" spans="1:65" x14ac:dyDescent="0.35">
      <c r="A453" s="45" t="str">
        <f>Database_Productkaarten[[#This Row],[Product]]&amp;", "&amp;Database_Productkaarten[[#This Row],[Levensfase]]</f>
        <v>2L-ZOAB onderlaag 30% PR - PCR 2.0, A2</v>
      </c>
      <c r="B453" s="45" t="s">
        <v>1364</v>
      </c>
      <c r="C453" s="41" t="s">
        <v>443</v>
      </c>
      <c r="D453" s="41" t="s">
        <v>469</v>
      </c>
      <c r="E453" s="41" t="s">
        <v>91</v>
      </c>
      <c r="F453" s="41" t="s">
        <v>20</v>
      </c>
      <c r="G453" s="45"/>
      <c r="H453" s="45"/>
      <c r="I453" s="45"/>
      <c r="J453" s="45"/>
      <c r="K453" s="45"/>
      <c r="L453" s="45">
        <v>2.1</v>
      </c>
      <c r="M453" s="291">
        <v>2.921009622000287</v>
      </c>
      <c r="N453" s="45">
        <v>13</v>
      </c>
      <c r="O453" s="290">
        <v>2.5987718471179099E-4</v>
      </c>
      <c r="P453" s="290">
        <v>0.15503754538159201</v>
      </c>
      <c r="Q453" s="290">
        <v>24.450411240235301</v>
      </c>
      <c r="R453" s="290">
        <v>3.6326110290931298E-6</v>
      </c>
      <c r="S453" s="290">
        <v>1.4432710216796501E-2</v>
      </c>
      <c r="T453" s="290">
        <v>0.164500408073324</v>
      </c>
      <c r="U453" s="290">
        <v>3.6384703350037802E-2</v>
      </c>
      <c r="V453" s="290">
        <v>6.6192153426023799</v>
      </c>
      <c r="W453" s="290">
        <v>0.17213030103318</v>
      </c>
      <c r="X453" s="290">
        <v>564.96238293394595</v>
      </c>
      <c r="Y453" s="290">
        <v>3.0226383520119301E-2</v>
      </c>
      <c r="Z453" s="290">
        <v>24.731053321181498</v>
      </c>
      <c r="AA453" s="290">
        <v>24.655193432513101</v>
      </c>
      <c r="AB453" s="290">
        <v>3.5605673527559903E-2</v>
      </c>
      <c r="AC453" s="290">
        <v>4.02542151408729E-2</v>
      </c>
      <c r="AD453" s="290">
        <v>4.5187762462707899E-6</v>
      </c>
      <c r="AE453" s="290">
        <v>0.22865444498077001</v>
      </c>
      <c r="AF453" s="290">
        <v>2.8928980054306698E-4</v>
      </c>
      <c r="AG453" s="290">
        <v>9.6289121789091506E-2</v>
      </c>
      <c r="AH453" s="290">
        <v>1.05992924969909</v>
      </c>
      <c r="AI453" s="290">
        <v>0.27566779077126802</v>
      </c>
      <c r="AJ453" s="290">
        <v>2.5986654185014698E-4</v>
      </c>
      <c r="AK453" s="290">
        <v>321.33596050774202</v>
      </c>
      <c r="AL453" s="290">
        <v>1.45023927176573</v>
      </c>
      <c r="AM453" s="290">
        <v>8.1554197924102395E-7</v>
      </c>
      <c r="AN453" s="290">
        <v>1.38523430299373</v>
      </c>
      <c r="AO453" s="290">
        <v>284.45944555898501</v>
      </c>
      <c r="AP453" s="290">
        <v>1.1554838803296E-8</v>
      </c>
      <c r="AQ453" s="290">
        <v>2.1586929615289199E-7</v>
      </c>
      <c r="AR453" s="290">
        <v>251.62359809433099</v>
      </c>
      <c r="AS453" s="290">
        <v>0</v>
      </c>
      <c r="AT453" s="290">
        <v>0</v>
      </c>
      <c r="AU453" s="290">
        <v>6.9276671129196696</v>
      </c>
      <c r="AV453" s="290">
        <v>0</v>
      </c>
      <c r="AW453" s="290">
        <v>0</v>
      </c>
      <c r="AX453" s="290">
        <v>341.02436582231701</v>
      </c>
      <c r="AY453" s="290">
        <v>0</v>
      </c>
      <c r="AZ453" s="290">
        <v>0</v>
      </c>
      <c r="BA453" s="290">
        <v>0</v>
      </c>
      <c r="BB453" s="290">
        <v>5.7453027858926503E-2</v>
      </c>
      <c r="BC453" s="290">
        <v>8.3325710579648595E-4</v>
      </c>
      <c r="BD453" s="290">
        <v>4.9306550477761002</v>
      </c>
      <c r="BE453" s="290">
        <v>2.0873652620729401E-3</v>
      </c>
      <c r="BF453" s="290">
        <v>0</v>
      </c>
      <c r="BG453" s="290">
        <v>0</v>
      </c>
      <c r="BH453" s="290">
        <v>0</v>
      </c>
      <c r="BI453" s="290">
        <v>0</v>
      </c>
      <c r="BJ453" s="290">
        <v>0</v>
      </c>
      <c r="BK453" s="78">
        <v>0.3</v>
      </c>
      <c r="BL453" s="41" t="s">
        <v>616</v>
      </c>
      <c r="BM453" s="45"/>
    </row>
    <row r="454" spans="1:65" x14ac:dyDescent="0.35">
      <c r="A454" s="45" t="str">
        <f>Database_Productkaarten[[#This Row],[Product]]&amp;", "&amp;Database_Productkaarten[[#This Row],[Levensfase]]</f>
        <v>2L-ZOAB onderlaag 30% PR - PCR 2.0, A3</v>
      </c>
      <c r="B454" s="45" t="s">
        <v>1364</v>
      </c>
      <c r="C454" s="41" t="s">
        <v>443</v>
      </c>
      <c r="D454" s="41" t="s">
        <v>469</v>
      </c>
      <c r="E454" s="41" t="s">
        <v>91</v>
      </c>
      <c r="F454" s="41" t="s">
        <v>21</v>
      </c>
      <c r="G454" s="45"/>
      <c r="H454" s="45"/>
      <c r="I454" s="45"/>
      <c r="J454" s="45"/>
      <c r="K454" s="45"/>
      <c r="L454" s="45">
        <v>2.1</v>
      </c>
      <c r="M454" s="291">
        <v>1.5406917879382334</v>
      </c>
      <c r="N454" s="45">
        <v>13</v>
      </c>
      <c r="O454" s="290">
        <v>1.9078997752960299E-5</v>
      </c>
      <c r="P454" s="290">
        <v>0.18236415929882199</v>
      </c>
      <c r="Q454" s="290">
        <v>21.350670806170701</v>
      </c>
      <c r="R454" s="290">
        <v>2.44943385999852E-6</v>
      </c>
      <c r="S454" s="290">
        <v>3.47534387167587E-3</v>
      </c>
      <c r="T454" s="290">
        <v>2.07979252357447E-2</v>
      </c>
      <c r="U454" s="290">
        <v>3.4923354090068198E-3</v>
      </c>
      <c r="V454" s="290">
        <v>3.4587575311122301</v>
      </c>
      <c r="W454" s="290">
        <v>2.2489099282196799E-2</v>
      </c>
      <c r="X454" s="290">
        <v>91.250145407541098</v>
      </c>
      <c r="Y454" s="290">
        <v>2.0702896662222501E-2</v>
      </c>
      <c r="Z454" s="290">
        <v>21.663323734552598</v>
      </c>
      <c r="AA454" s="290">
        <v>21.6173517839919</v>
      </c>
      <c r="AB454" s="290">
        <v>4.4267638716130403E-2</v>
      </c>
      <c r="AC454" s="290">
        <v>1.70431184452102E-3</v>
      </c>
      <c r="AD454" s="290">
        <v>2.76608369508471E-6</v>
      </c>
      <c r="AE454" s="290">
        <v>2.6755550433355601E-2</v>
      </c>
      <c r="AF454" s="290">
        <v>2.2132729806728299E-4</v>
      </c>
      <c r="AG454" s="290">
        <v>7.5831557856286796E-3</v>
      </c>
      <c r="AH454" s="290">
        <v>8.5476444338350402E-2</v>
      </c>
      <c r="AI454" s="290">
        <v>2.60232162753475E-2</v>
      </c>
      <c r="AJ454" s="290">
        <v>1.90787348297696E-5</v>
      </c>
      <c r="AK454" s="290">
        <v>336.07860995294499</v>
      </c>
      <c r="AL454" s="290">
        <v>0.45513389750693201</v>
      </c>
      <c r="AM454" s="290">
        <v>1.86493416523649E-7</v>
      </c>
      <c r="AN454" s="290">
        <v>0.239519322889159</v>
      </c>
      <c r="AO454" s="290">
        <v>65.866802447914907</v>
      </c>
      <c r="AP454" s="290">
        <v>2.63057656971886E-9</v>
      </c>
      <c r="AQ454" s="290">
        <v>4.3566052056473299E-8</v>
      </c>
      <c r="AR454" s="290">
        <v>14.0610666996325</v>
      </c>
      <c r="AS454" s="290">
        <v>0</v>
      </c>
      <c r="AT454" s="290">
        <v>0</v>
      </c>
      <c r="AU454" s="290">
        <v>5.7534724068346597</v>
      </c>
      <c r="AV454" s="290">
        <v>0</v>
      </c>
      <c r="AW454" s="290">
        <v>0</v>
      </c>
      <c r="AX454" s="290">
        <v>370.72977729173999</v>
      </c>
      <c r="AY454" s="290">
        <v>0</v>
      </c>
      <c r="AZ454" s="290">
        <v>0</v>
      </c>
      <c r="BA454" s="290">
        <v>0</v>
      </c>
      <c r="BB454" s="290">
        <v>3.3538846890688603E-2</v>
      </c>
      <c r="BC454" s="290">
        <v>4.1173670625064E-4</v>
      </c>
      <c r="BD454" s="290">
        <v>0.239864882950199</v>
      </c>
      <c r="BE454" s="290">
        <v>3.0931837388925099E-4</v>
      </c>
      <c r="BF454" s="290">
        <v>0</v>
      </c>
      <c r="BG454" s="290">
        <v>0</v>
      </c>
      <c r="BH454" s="290">
        <v>0</v>
      </c>
      <c r="BI454" s="290">
        <v>0</v>
      </c>
      <c r="BJ454" s="290">
        <v>0</v>
      </c>
      <c r="BK454" s="78">
        <v>0.3</v>
      </c>
      <c r="BL454" s="41" t="s">
        <v>616</v>
      </c>
      <c r="BM454" s="45"/>
    </row>
    <row r="455" spans="1:65" x14ac:dyDescent="0.35">
      <c r="A455" s="45" t="str">
        <f>Database_Productkaarten[[#This Row],[Product]]&amp;", "&amp;Database_Productkaarten[[#This Row],[Levensfase]]</f>
        <v>2L-ZOAB onderlaag 30% PR - PCR 2.0, A4</v>
      </c>
      <c r="B455" s="45" t="s">
        <v>1364</v>
      </c>
      <c r="C455" s="41" t="s">
        <v>443</v>
      </c>
      <c r="D455" s="41" t="s">
        <v>469</v>
      </c>
      <c r="E455" s="41" t="s">
        <v>91</v>
      </c>
      <c r="F455" s="41" t="s">
        <v>22</v>
      </c>
      <c r="G455" s="45"/>
      <c r="H455" s="45"/>
      <c r="I455" s="45"/>
      <c r="J455" s="45"/>
      <c r="K455" s="45"/>
      <c r="L455" s="45">
        <v>2.1</v>
      </c>
      <c r="M455" s="291">
        <v>0.37546048090943995</v>
      </c>
      <c r="N455" s="45">
        <v>13</v>
      </c>
      <c r="O455" s="290">
        <v>6.8533509000000002E-5</v>
      </c>
      <c r="P455" s="290">
        <v>2.9713889699999999E-2</v>
      </c>
      <c r="Q455" s="290">
        <v>3.9891474704999998</v>
      </c>
      <c r="R455" s="290">
        <v>7.557213E-7</v>
      </c>
      <c r="S455" s="290">
        <v>2.4773701499999998E-3</v>
      </c>
      <c r="T455" s="290">
        <v>1.36398132E-2</v>
      </c>
      <c r="U455" s="290">
        <v>2.5682192100000001E-3</v>
      </c>
      <c r="V455" s="290">
        <v>0.8608144794</v>
      </c>
      <c r="W455" s="290">
        <v>3.6189873900000002E-2</v>
      </c>
      <c r="X455" s="290">
        <v>97.376595929999993</v>
      </c>
      <c r="Y455" s="290">
        <v>4.8437180999999999E-3</v>
      </c>
      <c r="Z455" s="290">
        <v>4.0259382761999998</v>
      </c>
      <c r="AA455" s="290">
        <v>4.0229543298000001</v>
      </c>
      <c r="AB455" s="290">
        <v>1.9814632200000001E-3</v>
      </c>
      <c r="AC455" s="290">
        <v>1.0024609799999999E-3</v>
      </c>
      <c r="AD455" s="290">
        <v>9.4976262000000003E-7</v>
      </c>
      <c r="AE455" s="290">
        <v>1.7739576E-2</v>
      </c>
      <c r="AF455" s="290">
        <v>2.7841996800000001E-5</v>
      </c>
      <c r="AG455" s="290">
        <v>5.5484582100000001E-3</v>
      </c>
      <c r="AH455" s="290">
        <v>6.1385308800000003E-2</v>
      </c>
      <c r="AI455" s="290">
        <v>1.9235744999999999E-2</v>
      </c>
      <c r="AJ455" s="290">
        <v>6.8533397999999998E-5</v>
      </c>
      <c r="AK455" s="290">
        <v>62.400806729999999</v>
      </c>
      <c r="AL455" s="290">
        <v>0.212954166</v>
      </c>
      <c r="AM455" s="290">
        <v>2.9338876200000002E-7</v>
      </c>
      <c r="AN455" s="290">
        <v>0.26868483510000002</v>
      </c>
      <c r="AO455" s="290">
        <v>45.56587296</v>
      </c>
      <c r="AP455" s="290">
        <v>1.16371179E-9</v>
      </c>
      <c r="AQ455" s="290">
        <v>3.8268015899999999E-8</v>
      </c>
      <c r="AR455" s="290">
        <v>71.806844609999999</v>
      </c>
      <c r="AS455" s="290">
        <v>0</v>
      </c>
      <c r="AT455" s="290">
        <v>0</v>
      </c>
      <c r="AU455" s="290">
        <v>0.63474917099999995</v>
      </c>
      <c r="AV455" s="290">
        <v>0</v>
      </c>
      <c r="AW455" s="290">
        <v>0</v>
      </c>
      <c r="AX455" s="290">
        <v>66.265108560000002</v>
      </c>
      <c r="AY455" s="290">
        <v>0</v>
      </c>
      <c r="AZ455" s="290">
        <v>0</v>
      </c>
      <c r="BA455" s="290">
        <v>0</v>
      </c>
      <c r="BB455" s="290">
        <v>6.7467797999999999E-3</v>
      </c>
      <c r="BC455" s="290">
        <v>1.54707915E-4</v>
      </c>
      <c r="BD455" s="290">
        <v>5.4635493149999999</v>
      </c>
      <c r="BE455" s="290">
        <v>4.25149758E-4</v>
      </c>
      <c r="BF455" s="290">
        <v>0</v>
      </c>
      <c r="BG455" s="290">
        <v>0</v>
      </c>
      <c r="BH455" s="290">
        <v>0</v>
      </c>
      <c r="BI455" s="290">
        <v>0</v>
      </c>
      <c r="BJ455" s="290">
        <v>0</v>
      </c>
      <c r="BK455" s="78">
        <v>0.3</v>
      </c>
      <c r="BL455" s="41" t="s">
        <v>616</v>
      </c>
      <c r="BM455" s="45"/>
    </row>
    <row r="456" spans="1:65" x14ac:dyDescent="0.35">
      <c r="A456" s="45" t="str">
        <f>Database_Productkaarten[[#This Row],[Product]]&amp;", "&amp;Database_Productkaarten[[#This Row],[Levensfase]]</f>
        <v>2L-ZOAB onderlaag 30% PR - PCR 2.0, A5</v>
      </c>
      <c r="B456" s="45" t="s">
        <v>1364</v>
      </c>
      <c r="C456" s="41" t="s">
        <v>443</v>
      </c>
      <c r="D456" s="41" t="s">
        <v>469</v>
      </c>
      <c r="E456" s="41" t="s">
        <v>91</v>
      </c>
      <c r="F456" s="41" t="s">
        <v>23</v>
      </c>
      <c r="G456" s="45"/>
      <c r="H456" s="45"/>
      <c r="I456" s="45"/>
      <c r="J456" s="45"/>
      <c r="K456" s="45"/>
      <c r="L456" s="45">
        <v>2.1</v>
      </c>
      <c r="M456" s="291">
        <v>0.1150899037173802</v>
      </c>
      <c r="N456" s="45">
        <v>13</v>
      </c>
      <c r="O456" s="290">
        <v>1.3610882803202799E-6</v>
      </c>
      <c r="P456" s="290">
        <v>5.7900424655479496E-3</v>
      </c>
      <c r="Q456" s="290">
        <v>1.1775394627687701</v>
      </c>
      <c r="R456" s="290">
        <v>1.5216689743321401E-7</v>
      </c>
      <c r="S456" s="290">
        <v>3.9769491006163199E-4</v>
      </c>
      <c r="T456" s="290">
        <v>4.0133663814565399E-3</v>
      </c>
      <c r="U456" s="290">
        <v>8.9200970009758801E-4</v>
      </c>
      <c r="V456" s="290">
        <v>0.31853178909208402</v>
      </c>
      <c r="W456" s="290">
        <v>4.5166714395449403E-3</v>
      </c>
      <c r="X456" s="290">
        <v>15.6934426552481</v>
      </c>
      <c r="Y456" s="290">
        <v>5.3488215966213603E-4</v>
      </c>
      <c r="Z456" s="290">
        <v>1.18572452090862</v>
      </c>
      <c r="AA456" s="290">
        <v>1.1853843922338201</v>
      </c>
      <c r="AB456" s="290">
        <v>2.7090790137921099E-4</v>
      </c>
      <c r="AC456" s="290">
        <v>6.9220773423951502E-5</v>
      </c>
      <c r="AD456" s="290">
        <v>1.9173630072743999E-7</v>
      </c>
      <c r="AE456" s="290">
        <v>5.5294629273183998E-3</v>
      </c>
      <c r="AF456" s="290">
        <v>3.2340340731227399E-6</v>
      </c>
      <c r="AG456" s="290">
        <v>2.28103859024501E-3</v>
      </c>
      <c r="AH456" s="290">
        <v>2.5051401714889801E-2</v>
      </c>
      <c r="AI456" s="290">
        <v>6.6437026482355603E-3</v>
      </c>
      <c r="AJ456" s="290">
        <v>1.36107759969769E-6</v>
      </c>
      <c r="AK456" s="290">
        <v>12.216636209242999</v>
      </c>
      <c r="AL456" s="290">
        <v>1.62705640241394E-2</v>
      </c>
      <c r="AM456" s="290">
        <v>2.1944772103168301E-8</v>
      </c>
      <c r="AN456" s="290">
        <v>5.2434937264853897E-2</v>
      </c>
      <c r="AO456" s="290">
        <v>7.3299436612956796</v>
      </c>
      <c r="AP456" s="290">
        <v>2.5717564149839198E-10</v>
      </c>
      <c r="AQ456" s="290">
        <v>5.8020979041153197E-9</v>
      </c>
      <c r="AR456" s="290">
        <v>1.56040895601234</v>
      </c>
      <c r="AS456" s="290">
        <v>0</v>
      </c>
      <c r="AT456" s="290">
        <v>0</v>
      </c>
      <c r="AU456" s="290">
        <v>6.7148702279514999E-2</v>
      </c>
      <c r="AV456" s="290">
        <v>0</v>
      </c>
      <c r="AW456" s="290">
        <v>0</v>
      </c>
      <c r="AX456" s="290">
        <v>12.9736812623433</v>
      </c>
      <c r="AY456" s="290">
        <v>0</v>
      </c>
      <c r="AZ456" s="290">
        <v>0</v>
      </c>
      <c r="BA456" s="290">
        <v>0</v>
      </c>
      <c r="BB456" s="290">
        <v>6.3151909880966605E-4</v>
      </c>
      <c r="BC456" s="290">
        <v>3.3269162711583901E-5</v>
      </c>
      <c r="BD456" s="290">
        <v>1.4455599871999901E-2</v>
      </c>
      <c r="BE456" s="290">
        <v>8.4906277212326597E-5</v>
      </c>
      <c r="BF456" s="290">
        <v>0</v>
      </c>
      <c r="BG456" s="290">
        <v>0</v>
      </c>
      <c r="BH456" s="290">
        <v>0</v>
      </c>
      <c r="BI456" s="290">
        <v>0</v>
      </c>
      <c r="BJ456" s="290">
        <v>0</v>
      </c>
      <c r="BK456" s="78">
        <v>0.3</v>
      </c>
      <c r="BL456" s="41" t="s">
        <v>616</v>
      </c>
      <c r="BM456" s="45"/>
    </row>
    <row r="457" spans="1:65" x14ac:dyDescent="0.35">
      <c r="A457" s="45" t="str">
        <f>Database_Productkaarten[[#This Row],[Product]]&amp;", "&amp;Database_Productkaarten[[#This Row],[Levensfase]]</f>
        <v>2L-ZOAB onderlaag 30% PR - PCR 2.0, B1</v>
      </c>
      <c r="B457" s="45" t="s">
        <v>1364</v>
      </c>
      <c r="C457" s="41" t="s">
        <v>443</v>
      </c>
      <c r="D457" s="41" t="s">
        <v>469</v>
      </c>
      <c r="E457" s="41" t="s">
        <v>91</v>
      </c>
      <c r="F457" s="41" t="s">
        <v>24</v>
      </c>
      <c r="G457" s="45"/>
      <c r="H457" s="45"/>
      <c r="I457" s="45"/>
      <c r="J457" s="45"/>
      <c r="K457" s="45"/>
      <c r="L457" s="45">
        <v>2.1</v>
      </c>
      <c r="M457" s="291">
        <v>0.63803196066933088</v>
      </c>
      <c r="N457" s="45">
        <v>13</v>
      </c>
      <c r="O457" s="290">
        <v>0</v>
      </c>
      <c r="P457" s="290">
        <v>0</v>
      </c>
      <c r="Q457" s="290">
        <v>0</v>
      </c>
      <c r="R457" s="290">
        <v>0</v>
      </c>
      <c r="S457" s="290">
        <v>0</v>
      </c>
      <c r="T457" s="290">
        <v>0</v>
      </c>
      <c r="U457" s="290">
        <v>0</v>
      </c>
      <c r="V457" s="290">
        <v>2.21599595321837</v>
      </c>
      <c r="W457" s="290">
        <v>3.1435906259976898</v>
      </c>
      <c r="X457" s="290">
        <v>3441.17206099747</v>
      </c>
      <c r="Y457" s="290">
        <v>2.7899999999979499E-3</v>
      </c>
      <c r="Z457" s="290">
        <v>0</v>
      </c>
      <c r="AA457" s="290">
        <v>0</v>
      </c>
      <c r="AB457" s="290">
        <v>0</v>
      </c>
      <c r="AC457" s="290">
        <v>0</v>
      </c>
      <c r="AD457" s="290">
        <v>0</v>
      </c>
      <c r="AE457" s="290">
        <v>0</v>
      </c>
      <c r="AF457" s="290">
        <v>0</v>
      </c>
      <c r="AG457" s="290">
        <v>0</v>
      </c>
      <c r="AH457" s="290">
        <v>0</v>
      </c>
      <c r="AI457" s="290">
        <v>0</v>
      </c>
      <c r="AJ457" s="290">
        <v>0</v>
      </c>
      <c r="AK457" s="290">
        <v>0</v>
      </c>
      <c r="AL457" s="290">
        <v>0</v>
      </c>
      <c r="AM457" s="290">
        <v>0</v>
      </c>
      <c r="AN457" s="290">
        <v>0</v>
      </c>
      <c r="AO457" s="290">
        <v>19.2904605006858</v>
      </c>
      <c r="AP457" s="290">
        <v>3.4029317760975E-9</v>
      </c>
      <c r="AQ457" s="290">
        <v>2.0449895299124001E-7</v>
      </c>
      <c r="AR457" s="290">
        <v>0</v>
      </c>
      <c r="AS457" s="290">
        <v>0</v>
      </c>
      <c r="AT457" s="290">
        <v>0</v>
      </c>
      <c r="AU457" s="290">
        <v>0</v>
      </c>
      <c r="AV457" s="290">
        <v>0</v>
      </c>
      <c r="AW457" s="290">
        <v>0</v>
      </c>
      <c r="AX457" s="290">
        <v>0</v>
      </c>
      <c r="AY457" s="290">
        <v>0</v>
      </c>
      <c r="AZ457" s="290">
        <v>0</v>
      </c>
      <c r="BA457" s="290">
        <v>0</v>
      </c>
      <c r="BB457" s="290">
        <v>0</v>
      </c>
      <c r="BC457" s="290">
        <v>0</v>
      </c>
      <c r="BD457" s="290">
        <v>0</v>
      </c>
      <c r="BE457" s="290">
        <v>0</v>
      </c>
      <c r="BF457" s="290">
        <v>0</v>
      </c>
      <c r="BG457" s="290">
        <v>0</v>
      </c>
      <c r="BH457" s="290">
        <v>0</v>
      </c>
      <c r="BI457" s="290">
        <v>0</v>
      </c>
      <c r="BJ457" s="290">
        <v>0</v>
      </c>
      <c r="BK457" s="78">
        <v>0.3</v>
      </c>
      <c r="BL457" s="41" t="s">
        <v>616</v>
      </c>
      <c r="BM457" s="45"/>
    </row>
    <row r="458" spans="1:65" x14ac:dyDescent="0.35">
      <c r="A458" s="45" t="str">
        <f>Database_Productkaarten[[#This Row],[Product]]&amp;", "&amp;Database_Productkaarten[[#This Row],[Levensfase]]</f>
        <v>2L-ZOAB onderlaag 30% PR - PCR 2.0, B2</v>
      </c>
      <c r="B458" s="45" t="s">
        <v>1364</v>
      </c>
      <c r="C458" s="41" t="s">
        <v>443</v>
      </c>
      <c r="D458" s="41" t="s">
        <v>469</v>
      </c>
      <c r="E458" s="41" t="s">
        <v>91</v>
      </c>
      <c r="F458" s="41" t="s">
        <v>604</v>
      </c>
      <c r="G458" s="45"/>
      <c r="H458" s="45"/>
      <c r="I458" s="45"/>
      <c r="J458" s="45"/>
      <c r="K458" s="45"/>
      <c r="L458" s="45">
        <v>2.1</v>
      </c>
      <c r="M458" s="291">
        <v>0</v>
      </c>
      <c r="N458" s="45">
        <v>13</v>
      </c>
      <c r="O458" s="290">
        <v>0</v>
      </c>
      <c r="P458" s="290">
        <v>0</v>
      </c>
      <c r="Q458" s="290">
        <v>0</v>
      </c>
      <c r="R458" s="290">
        <v>0</v>
      </c>
      <c r="S458" s="290">
        <v>0</v>
      </c>
      <c r="T458" s="290">
        <v>0</v>
      </c>
      <c r="U458" s="290">
        <v>0</v>
      </c>
      <c r="V458" s="290">
        <v>0</v>
      </c>
      <c r="W458" s="290">
        <v>0</v>
      </c>
      <c r="X458" s="290">
        <v>0</v>
      </c>
      <c r="Y458" s="290">
        <v>0</v>
      </c>
      <c r="Z458" s="290">
        <v>0</v>
      </c>
      <c r="AA458" s="290">
        <v>0</v>
      </c>
      <c r="AB458" s="290">
        <v>0</v>
      </c>
      <c r="AC458" s="290">
        <v>0</v>
      </c>
      <c r="AD458" s="290">
        <v>0</v>
      </c>
      <c r="AE458" s="290">
        <v>0</v>
      </c>
      <c r="AF458" s="290">
        <v>0</v>
      </c>
      <c r="AG458" s="290">
        <v>0</v>
      </c>
      <c r="AH458" s="290">
        <v>0</v>
      </c>
      <c r="AI458" s="290">
        <v>0</v>
      </c>
      <c r="AJ458" s="290">
        <v>0</v>
      </c>
      <c r="AK458" s="290">
        <v>0</v>
      </c>
      <c r="AL458" s="290">
        <v>0</v>
      </c>
      <c r="AM458" s="290">
        <v>0</v>
      </c>
      <c r="AN458" s="290">
        <v>0</v>
      </c>
      <c r="AO458" s="290">
        <v>0</v>
      </c>
      <c r="AP458" s="290">
        <v>0</v>
      </c>
      <c r="AQ458" s="290">
        <v>0</v>
      </c>
      <c r="AR458" s="290">
        <v>0</v>
      </c>
      <c r="AS458" s="290">
        <v>0</v>
      </c>
      <c r="AT458" s="290">
        <v>0</v>
      </c>
      <c r="AU458" s="290">
        <v>0</v>
      </c>
      <c r="AV458" s="290">
        <v>0</v>
      </c>
      <c r="AW458" s="290">
        <v>0</v>
      </c>
      <c r="AX458" s="290">
        <v>0</v>
      </c>
      <c r="AY458" s="290">
        <v>0</v>
      </c>
      <c r="AZ458" s="290">
        <v>0</v>
      </c>
      <c r="BA458" s="290">
        <v>0</v>
      </c>
      <c r="BB458" s="290">
        <v>0</v>
      </c>
      <c r="BC458" s="290">
        <v>0</v>
      </c>
      <c r="BD458" s="290">
        <v>0</v>
      </c>
      <c r="BE458" s="290">
        <v>0</v>
      </c>
      <c r="BF458" s="290">
        <v>0</v>
      </c>
      <c r="BG458" s="290">
        <v>0</v>
      </c>
      <c r="BH458" s="290">
        <v>0</v>
      </c>
      <c r="BI458" s="290">
        <v>0</v>
      </c>
      <c r="BJ458" s="290">
        <v>0</v>
      </c>
      <c r="BK458" s="78">
        <v>0.3</v>
      </c>
      <c r="BL458" s="41" t="s">
        <v>616</v>
      </c>
      <c r="BM458" s="45"/>
    </row>
    <row r="459" spans="1:65" x14ac:dyDescent="0.35">
      <c r="A459" s="45" t="str">
        <f>Database_Productkaarten[[#This Row],[Product]]&amp;", "&amp;Database_Productkaarten[[#This Row],[Levensfase]]</f>
        <v>2L-ZOAB onderlaag 30% PR - PCR 2.0, B3</v>
      </c>
      <c r="B459" s="45" t="s">
        <v>1364</v>
      </c>
      <c r="C459" s="41" t="s">
        <v>443</v>
      </c>
      <c r="D459" s="41" t="s">
        <v>469</v>
      </c>
      <c r="E459" s="41" t="s">
        <v>91</v>
      </c>
      <c r="F459" s="41" t="s">
        <v>602</v>
      </c>
      <c r="G459" s="45"/>
      <c r="H459" s="45"/>
      <c r="I459" s="45"/>
      <c r="J459" s="45"/>
      <c r="K459" s="45"/>
      <c r="L459" s="45">
        <v>2.1</v>
      </c>
      <c r="M459" s="291">
        <v>0</v>
      </c>
      <c r="N459" s="45">
        <v>13</v>
      </c>
      <c r="O459" s="290">
        <v>0</v>
      </c>
      <c r="P459" s="290">
        <v>0</v>
      </c>
      <c r="Q459" s="290">
        <v>0</v>
      </c>
      <c r="R459" s="290">
        <v>0</v>
      </c>
      <c r="S459" s="290">
        <v>0</v>
      </c>
      <c r="T459" s="290">
        <v>0</v>
      </c>
      <c r="U459" s="290">
        <v>0</v>
      </c>
      <c r="V459" s="290">
        <v>0</v>
      </c>
      <c r="W459" s="290">
        <v>0</v>
      </c>
      <c r="X459" s="290">
        <v>0</v>
      </c>
      <c r="Y459" s="290">
        <v>0</v>
      </c>
      <c r="Z459" s="290">
        <v>0</v>
      </c>
      <c r="AA459" s="290">
        <v>0</v>
      </c>
      <c r="AB459" s="290">
        <v>0</v>
      </c>
      <c r="AC459" s="290">
        <v>0</v>
      </c>
      <c r="AD459" s="290">
        <v>0</v>
      </c>
      <c r="AE459" s="290">
        <v>0</v>
      </c>
      <c r="AF459" s="290">
        <v>0</v>
      </c>
      <c r="AG459" s="290">
        <v>0</v>
      </c>
      <c r="AH459" s="290">
        <v>0</v>
      </c>
      <c r="AI459" s="290">
        <v>0</v>
      </c>
      <c r="AJ459" s="290">
        <v>0</v>
      </c>
      <c r="AK459" s="290">
        <v>0</v>
      </c>
      <c r="AL459" s="290">
        <v>0</v>
      </c>
      <c r="AM459" s="290">
        <v>0</v>
      </c>
      <c r="AN459" s="290">
        <v>0</v>
      </c>
      <c r="AO459" s="290">
        <v>0</v>
      </c>
      <c r="AP459" s="290">
        <v>0</v>
      </c>
      <c r="AQ459" s="290">
        <v>0</v>
      </c>
      <c r="AR459" s="290">
        <v>0</v>
      </c>
      <c r="AS459" s="290">
        <v>0</v>
      </c>
      <c r="AT459" s="290">
        <v>0</v>
      </c>
      <c r="AU459" s="290">
        <v>0</v>
      </c>
      <c r="AV459" s="290">
        <v>0</v>
      </c>
      <c r="AW459" s="290">
        <v>0</v>
      </c>
      <c r="AX459" s="290">
        <v>0</v>
      </c>
      <c r="AY459" s="290">
        <v>0</v>
      </c>
      <c r="AZ459" s="290">
        <v>0</v>
      </c>
      <c r="BA459" s="290">
        <v>0</v>
      </c>
      <c r="BB459" s="290">
        <v>0</v>
      </c>
      <c r="BC459" s="290">
        <v>0</v>
      </c>
      <c r="BD459" s="290">
        <v>0</v>
      </c>
      <c r="BE459" s="290">
        <v>0</v>
      </c>
      <c r="BF459" s="290">
        <v>0</v>
      </c>
      <c r="BG459" s="290">
        <v>0</v>
      </c>
      <c r="BH459" s="290">
        <v>0</v>
      </c>
      <c r="BI459" s="290">
        <v>0</v>
      </c>
      <c r="BJ459" s="290">
        <v>0</v>
      </c>
      <c r="BK459" s="78">
        <v>0.3</v>
      </c>
      <c r="BL459" s="41" t="s">
        <v>616</v>
      </c>
      <c r="BM459" s="45"/>
    </row>
    <row r="460" spans="1:65" x14ac:dyDescent="0.35">
      <c r="A460" s="45" t="str">
        <f>Database_Productkaarten[[#This Row],[Product]]&amp;", "&amp;Database_Productkaarten[[#This Row],[Levensfase]]</f>
        <v>2L-ZOAB onderlaag 30% PR - PCR 2.0, B4</v>
      </c>
      <c r="B460" s="45" t="s">
        <v>1364</v>
      </c>
      <c r="C460" s="41" t="s">
        <v>443</v>
      </c>
      <c r="D460" s="41" t="s">
        <v>469</v>
      </c>
      <c r="E460" s="41" t="s">
        <v>91</v>
      </c>
      <c r="F460" s="41" t="s">
        <v>50</v>
      </c>
      <c r="G460" s="45"/>
      <c r="H460" s="45"/>
      <c r="I460" s="45"/>
      <c r="J460" s="45"/>
      <c r="K460" s="45"/>
      <c r="L460" s="45">
        <v>2.1</v>
      </c>
      <c r="M460" s="291">
        <v>0</v>
      </c>
      <c r="N460" s="45">
        <v>13</v>
      </c>
      <c r="O460" s="290">
        <v>0</v>
      </c>
      <c r="P460" s="290">
        <v>0</v>
      </c>
      <c r="Q460" s="290">
        <v>0</v>
      </c>
      <c r="R460" s="290">
        <v>0</v>
      </c>
      <c r="S460" s="290">
        <v>0</v>
      </c>
      <c r="T460" s="290">
        <v>0</v>
      </c>
      <c r="U460" s="290">
        <v>0</v>
      </c>
      <c r="V460" s="290">
        <v>0</v>
      </c>
      <c r="W460" s="290">
        <v>0</v>
      </c>
      <c r="X460" s="290">
        <v>0</v>
      </c>
      <c r="Y460" s="290">
        <v>0</v>
      </c>
      <c r="Z460" s="290">
        <v>0</v>
      </c>
      <c r="AA460" s="290">
        <v>0</v>
      </c>
      <c r="AB460" s="290">
        <v>0</v>
      </c>
      <c r="AC460" s="290">
        <v>0</v>
      </c>
      <c r="AD460" s="290">
        <v>0</v>
      </c>
      <c r="AE460" s="290">
        <v>0</v>
      </c>
      <c r="AF460" s="290">
        <v>0</v>
      </c>
      <c r="AG460" s="290">
        <v>0</v>
      </c>
      <c r="AH460" s="290">
        <v>0</v>
      </c>
      <c r="AI460" s="290">
        <v>0</v>
      </c>
      <c r="AJ460" s="290">
        <v>0</v>
      </c>
      <c r="AK460" s="290">
        <v>0</v>
      </c>
      <c r="AL460" s="290">
        <v>0</v>
      </c>
      <c r="AM460" s="290">
        <v>0</v>
      </c>
      <c r="AN460" s="290">
        <v>0</v>
      </c>
      <c r="AO460" s="290">
        <v>0</v>
      </c>
      <c r="AP460" s="290">
        <v>0</v>
      </c>
      <c r="AQ460" s="290">
        <v>0</v>
      </c>
      <c r="AR460" s="290">
        <v>0</v>
      </c>
      <c r="AS460" s="290">
        <v>0</v>
      </c>
      <c r="AT460" s="290">
        <v>0</v>
      </c>
      <c r="AU460" s="290">
        <v>0</v>
      </c>
      <c r="AV460" s="290">
        <v>0</v>
      </c>
      <c r="AW460" s="290">
        <v>0</v>
      </c>
      <c r="AX460" s="290">
        <v>0</v>
      </c>
      <c r="AY460" s="290">
        <v>0</v>
      </c>
      <c r="AZ460" s="290">
        <v>0</v>
      </c>
      <c r="BA460" s="290">
        <v>0</v>
      </c>
      <c r="BB460" s="290">
        <v>0</v>
      </c>
      <c r="BC460" s="290">
        <v>0</v>
      </c>
      <c r="BD460" s="290">
        <v>0</v>
      </c>
      <c r="BE460" s="290">
        <v>0</v>
      </c>
      <c r="BF460" s="290">
        <v>0</v>
      </c>
      <c r="BG460" s="290">
        <v>0</v>
      </c>
      <c r="BH460" s="290">
        <v>0</v>
      </c>
      <c r="BI460" s="290">
        <v>0</v>
      </c>
      <c r="BJ460" s="290">
        <v>0</v>
      </c>
      <c r="BK460" s="78">
        <v>0.3</v>
      </c>
      <c r="BL460" s="41" t="s">
        <v>616</v>
      </c>
      <c r="BM460" s="45"/>
    </row>
    <row r="461" spans="1:65" x14ac:dyDescent="0.35">
      <c r="A461" s="45" t="str">
        <f>Database_Productkaarten[[#This Row],[Product]]&amp;", "&amp;Database_Productkaarten[[#This Row],[Levensfase]]</f>
        <v>2L-ZOAB onderlaag 30% PR - PCR 2.0, B5</v>
      </c>
      <c r="B461" s="45" t="s">
        <v>1364</v>
      </c>
      <c r="C461" s="41" t="s">
        <v>443</v>
      </c>
      <c r="D461" s="41" t="s">
        <v>469</v>
      </c>
      <c r="E461" s="41" t="s">
        <v>91</v>
      </c>
      <c r="F461" s="41" t="s">
        <v>1358</v>
      </c>
      <c r="G461" s="45"/>
      <c r="H461" s="45"/>
      <c r="I461" s="45"/>
      <c r="J461" s="45"/>
      <c r="K461" s="45"/>
      <c r="L461" s="45">
        <v>2.1</v>
      </c>
      <c r="M461" s="291">
        <v>0</v>
      </c>
      <c r="N461" s="45">
        <v>13</v>
      </c>
      <c r="O461" s="290">
        <v>0</v>
      </c>
      <c r="P461" s="290">
        <v>0</v>
      </c>
      <c r="Q461" s="290">
        <v>0</v>
      </c>
      <c r="R461" s="290">
        <v>0</v>
      </c>
      <c r="S461" s="290">
        <v>0</v>
      </c>
      <c r="T461" s="290">
        <v>0</v>
      </c>
      <c r="U461" s="290">
        <v>0</v>
      </c>
      <c r="V461" s="290">
        <v>0</v>
      </c>
      <c r="W461" s="290">
        <v>0</v>
      </c>
      <c r="X461" s="290">
        <v>0</v>
      </c>
      <c r="Y461" s="290">
        <v>0</v>
      </c>
      <c r="Z461" s="290">
        <v>0</v>
      </c>
      <c r="AA461" s="290">
        <v>0</v>
      </c>
      <c r="AB461" s="290">
        <v>0</v>
      </c>
      <c r="AC461" s="290">
        <v>0</v>
      </c>
      <c r="AD461" s="290">
        <v>0</v>
      </c>
      <c r="AE461" s="290">
        <v>0</v>
      </c>
      <c r="AF461" s="290">
        <v>0</v>
      </c>
      <c r="AG461" s="290">
        <v>0</v>
      </c>
      <c r="AH461" s="290">
        <v>0</v>
      </c>
      <c r="AI461" s="290">
        <v>0</v>
      </c>
      <c r="AJ461" s="290">
        <v>0</v>
      </c>
      <c r="AK461" s="290">
        <v>0</v>
      </c>
      <c r="AL461" s="290">
        <v>0</v>
      </c>
      <c r="AM461" s="290">
        <v>0</v>
      </c>
      <c r="AN461" s="290">
        <v>0</v>
      </c>
      <c r="AO461" s="290">
        <v>0</v>
      </c>
      <c r="AP461" s="290">
        <v>0</v>
      </c>
      <c r="AQ461" s="290">
        <v>0</v>
      </c>
      <c r="AR461" s="290">
        <v>0</v>
      </c>
      <c r="AS461" s="290">
        <v>0</v>
      </c>
      <c r="AT461" s="290">
        <v>0</v>
      </c>
      <c r="AU461" s="290">
        <v>0</v>
      </c>
      <c r="AV461" s="290">
        <v>0</v>
      </c>
      <c r="AW461" s="290">
        <v>0</v>
      </c>
      <c r="AX461" s="290">
        <v>0</v>
      </c>
      <c r="AY461" s="290">
        <v>0</v>
      </c>
      <c r="AZ461" s="290">
        <v>0</v>
      </c>
      <c r="BA461" s="290">
        <v>0</v>
      </c>
      <c r="BB461" s="290">
        <v>0</v>
      </c>
      <c r="BC461" s="290">
        <v>0</v>
      </c>
      <c r="BD461" s="290">
        <v>0</v>
      </c>
      <c r="BE461" s="290">
        <v>0</v>
      </c>
      <c r="BF461" s="290">
        <v>0</v>
      </c>
      <c r="BG461" s="290">
        <v>0</v>
      </c>
      <c r="BH461" s="290">
        <v>0</v>
      </c>
      <c r="BI461" s="290">
        <v>0</v>
      </c>
      <c r="BJ461" s="290">
        <v>0</v>
      </c>
      <c r="BK461" s="78">
        <v>0.3</v>
      </c>
      <c r="BL461" s="41" t="s">
        <v>616</v>
      </c>
      <c r="BM461" s="45"/>
    </row>
    <row r="462" spans="1:65" x14ac:dyDescent="0.35">
      <c r="A462" s="45" t="str">
        <f>Database_Productkaarten[[#This Row],[Product]]&amp;", "&amp;Database_Productkaarten[[#This Row],[Levensfase]]</f>
        <v>2L-ZOAB onderlaag 30% PR - PCR 2.0, C1</v>
      </c>
      <c r="B462" s="45" t="s">
        <v>1364</v>
      </c>
      <c r="C462" s="41" t="s">
        <v>443</v>
      </c>
      <c r="D462" s="41" t="s">
        <v>469</v>
      </c>
      <c r="E462" s="41" t="s">
        <v>91</v>
      </c>
      <c r="F462" s="41" t="s">
        <v>25</v>
      </c>
      <c r="G462" s="45"/>
      <c r="H462" s="45"/>
      <c r="I462" s="45"/>
      <c r="J462" s="45"/>
      <c r="K462" s="45"/>
      <c r="L462" s="45">
        <v>2.1</v>
      </c>
      <c r="M462" s="291">
        <v>0.1762729708698112</v>
      </c>
      <c r="N462" s="45">
        <v>13</v>
      </c>
      <c r="O462" s="290">
        <v>2.16765911310267E-6</v>
      </c>
      <c r="P462" s="290">
        <v>9.2211787414282192E-3</v>
      </c>
      <c r="Q462" s="290">
        <v>1.8753406258909999</v>
      </c>
      <c r="R462" s="290">
        <v>2.4233987368993301E-7</v>
      </c>
      <c r="S462" s="290">
        <v>6.1516414808806099E-4</v>
      </c>
      <c r="T462" s="290">
        <v>5.3270131260239597E-3</v>
      </c>
      <c r="U462" s="290">
        <v>1.1438004853407599E-3</v>
      </c>
      <c r="V462" s="290">
        <v>0.50471239164295001</v>
      </c>
      <c r="W462" s="290">
        <v>7.1932174777938002E-3</v>
      </c>
      <c r="X462" s="290">
        <v>24.993260525024901</v>
      </c>
      <c r="Y462" s="290">
        <v>8.5184936538784803E-4</v>
      </c>
      <c r="Z462" s="290">
        <v>1.88685402618781</v>
      </c>
      <c r="AA462" s="290">
        <v>1.8863123397797901</v>
      </c>
      <c r="AB462" s="290">
        <v>4.31445917011333E-4</v>
      </c>
      <c r="AC462" s="290">
        <v>1.10240491008515E-4</v>
      </c>
      <c r="AD462" s="290">
        <v>3.0535781226962698E-7</v>
      </c>
      <c r="AE462" s="290">
        <v>7.2305079212857202E-3</v>
      </c>
      <c r="AF462" s="290">
        <v>5.15049870904733E-6</v>
      </c>
      <c r="AG462" s="290">
        <v>2.8044717844647399E-3</v>
      </c>
      <c r="AH462" s="290">
        <v>3.0825906138533199E-2</v>
      </c>
      <c r="AI462" s="290">
        <v>8.4242120931170804E-3</v>
      </c>
      <c r="AJ462" s="290">
        <v>2.1676421032222502E-6</v>
      </c>
      <c r="AK462" s="290">
        <v>19.4561243332389</v>
      </c>
      <c r="AL462" s="290">
        <v>2.5912379742147999E-2</v>
      </c>
      <c r="AM462" s="290">
        <v>2.9948141719122601E-8</v>
      </c>
      <c r="AN462" s="290">
        <v>8.3507492681063694E-2</v>
      </c>
      <c r="AO462" s="290">
        <v>11.6737381350662</v>
      </c>
      <c r="AP462" s="290">
        <v>4.0957602164558903E-10</v>
      </c>
      <c r="AQ462" s="290">
        <v>8.1948958546701499E-9</v>
      </c>
      <c r="AR462" s="290">
        <v>2.4850957447603998</v>
      </c>
      <c r="AS462" s="290">
        <v>0</v>
      </c>
      <c r="AT462" s="290">
        <v>0</v>
      </c>
      <c r="AU462" s="290">
        <v>0.106940525852561</v>
      </c>
      <c r="AV462" s="290">
        <v>0</v>
      </c>
      <c r="AW462" s="290">
        <v>0</v>
      </c>
      <c r="AX462" s="290">
        <v>20.661788677065299</v>
      </c>
      <c r="AY462" s="290">
        <v>0</v>
      </c>
      <c r="AZ462" s="290">
        <v>0</v>
      </c>
      <c r="BA462" s="290">
        <v>0</v>
      </c>
      <c r="BB462" s="290">
        <v>1.00575263884502E-3</v>
      </c>
      <c r="BC462" s="290">
        <v>5.2984222096226101E-5</v>
      </c>
      <c r="BD462" s="290">
        <v>2.30218812776295E-2</v>
      </c>
      <c r="BE462" s="290">
        <v>1.35221108152965E-4</v>
      </c>
      <c r="BF462" s="290">
        <v>0</v>
      </c>
      <c r="BG462" s="290">
        <v>0</v>
      </c>
      <c r="BH462" s="290">
        <v>0</v>
      </c>
      <c r="BI462" s="290">
        <v>0</v>
      </c>
      <c r="BJ462" s="290">
        <v>0</v>
      </c>
      <c r="BK462" s="78">
        <v>0.3</v>
      </c>
      <c r="BL462" s="41" t="s">
        <v>616</v>
      </c>
      <c r="BM462" s="45"/>
    </row>
    <row r="463" spans="1:65" x14ac:dyDescent="0.35">
      <c r="A463" s="45" t="str">
        <f>Database_Productkaarten[[#This Row],[Product]]&amp;", "&amp;Database_Productkaarten[[#This Row],[Levensfase]]</f>
        <v>2L-ZOAB onderlaag 30% PR - PCR 2.0, C2</v>
      </c>
      <c r="B463" s="45" t="s">
        <v>1364</v>
      </c>
      <c r="C463" s="41" t="s">
        <v>443</v>
      </c>
      <c r="D463" s="41" t="s">
        <v>469</v>
      </c>
      <c r="E463" s="41" t="s">
        <v>91</v>
      </c>
      <c r="F463" s="41" t="s">
        <v>26</v>
      </c>
      <c r="G463" s="45"/>
      <c r="H463" s="45"/>
      <c r="I463" s="45"/>
      <c r="J463" s="45"/>
      <c r="K463" s="45"/>
      <c r="L463" s="45">
        <v>2.1</v>
      </c>
      <c r="M463" s="291">
        <v>0.31791357541832999</v>
      </c>
      <c r="N463" s="45">
        <v>13</v>
      </c>
      <c r="O463" s="290">
        <v>7.2195843000000002E-5</v>
      </c>
      <c r="P463" s="290">
        <v>2.5045429500000001E-2</v>
      </c>
      <c r="Q463" s="290">
        <v>3.2726104581</v>
      </c>
      <c r="R463" s="290">
        <v>6.2448211500000004E-7</v>
      </c>
      <c r="S463" s="290">
        <v>2.3663202E-3</v>
      </c>
      <c r="T463" s="290">
        <v>9.9103019999999993E-3</v>
      </c>
      <c r="U463" s="290">
        <v>1.66070541E-3</v>
      </c>
      <c r="V463" s="290">
        <v>0.89062466159999998</v>
      </c>
      <c r="W463" s="290">
        <v>3.5055542699999998E-2</v>
      </c>
      <c r="X463" s="290">
        <v>92.682047400000002</v>
      </c>
      <c r="Y463" s="290">
        <v>7.4868390000000003E-3</v>
      </c>
      <c r="Z463" s="290">
        <v>3.3150718431000001</v>
      </c>
      <c r="AA463" s="290">
        <v>3.3001817481</v>
      </c>
      <c r="AB463" s="290">
        <v>1.3607189190000001E-2</v>
      </c>
      <c r="AC463" s="290">
        <v>1.2829113599999999E-3</v>
      </c>
      <c r="AD463" s="290">
        <v>7.8107336699999998E-7</v>
      </c>
      <c r="AE463" s="290">
        <v>1.2482505E-2</v>
      </c>
      <c r="AF463" s="290">
        <v>3.4632532799999998E-5</v>
      </c>
      <c r="AG463" s="290">
        <v>2.8897329300000001E-3</v>
      </c>
      <c r="AH463" s="290">
        <v>3.3662059799999998E-2</v>
      </c>
      <c r="AI463" s="290">
        <v>1.2098522699999999E-2</v>
      </c>
      <c r="AJ463" s="290">
        <v>7.2195510000000004E-5</v>
      </c>
      <c r="AK463" s="290">
        <v>52.307882313</v>
      </c>
      <c r="AL463" s="290">
        <v>0.28570883850000001</v>
      </c>
      <c r="AM463" s="290">
        <v>2.8544027399999998E-7</v>
      </c>
      <c r="AN463" s="290">
        <v>0.22308385950000001</v>
      </c>
      <c r="AO463" s="290">
        <v>50.61443379</v>
      </c>
      <c r="AP463" s="290">
        <v>1.35209877E-9</v>
      </c>
      <c r="AQ463" s="290">
        <v>4.3221490799999998E-8</v>
      </c>
      <c r="AR463" s="290">
        <v>98.528772599999996</v>
      </c>
      <c r="AS463" s="290">
        <v>8.065825212</v>
      </c>
      <c r="AT463" s="290">
        <v>0</v>
      </c>
      <c r="AU463" s="290">
        <v>8.6963547624000004</v>
      </c>
      <c r="AV463" s="290">
        <v>0.70667511750000001</v>
      </c>
      <c r="AW463" s="290">
        <v>9.926829900000001E-4</v>
      </c>
      <c r="AX463" s="290">
        <v>55.561210727999999</v>
      </c>
      <c r="AY463" s="290">
        <v>0</v>
      </c>
      <c r="AZ463" s="290">
        <v>0</v>
      </c>
      <c r="BA463" s="290">
        <v>0</v>
      </c>
      <c r="BB463" s="290">
        <v>8.7338241000000007E-3</v>
      </c>
      <c r="BC463" s="290">
        <v>1.5376752299999999E-4</v>
      </c>
      <c r="BD463" s="290">
        <v>5.5583861609999996</v>
      </c>
      <c r="BE463" s="290">
        <v>3.4865666099999999E-4</v>
      </c>
      <c r="BF463" s="290">
        <v>0</v>
      </c>
      <c r="BG463" s="290">
        <v>0</v>
      </c>
      <c r="BH463" s="290">
        <v>0</v>
      </c>
      <c r="BI463" s="290">
        <v>0</v>
      </c>
      <c r="BJ463" s="290">
        <v>0</v>
      </c>
      <c r="BK463" s="78">
        <v>0.3</v>
      </c>
      <c r="BL463" s="41" t="s">
        <v>616</v>
      </c>
      <c r="BM463" s="45"/>
    </row>
    <row r="464" spans="1:65" x14ac:dyDescent="0.35">
      <c r="A464" s="45" t="str">
        <f>Database_Productkaarten[[#This Row],[Product]]&amp;", "&amp;Database_Productkaarten[[#This Row],[Levensfase]]</f>
        <v>2L-ZOAB onderlaag 30% PR - PCR 2.0, C3</v>
      </c>
      <c r="B464" s="45" t="s">
        <v>1364</v>
      </c>
      <c r="C464" s="41" t="s">
        <v>443</v>
      </c>
      <c r="D464" s="41" t="s">
        <v>469</v>
      </c>
      <c r="E464" s="41" t="s">
        <v>91</v>
      </c>
      <c r="F464" s="41" t="s">
        <v>27</v>
      </c>
      <c r="G464" s="45"/>
      <c r="H464" s="45"/>
      <c r="I464" s="45"/>
      <c r="J464" s="45"/>
      <c r="K464" s="45"/>
      <c r="L464" s="45">
        <v>2.1</v>
      </c>
      <c r="M464" s="291">
        <v>0.1592999646222121</v>
      </c>
      <c r="N464" s="45">
        <v>13</v>
      </c>
      <c r="O464" s="290">
        <v>1.86519505080928E-6</v>
      </c>
      <c r="P464" s="290">
        <v>7.9345026379731096E-3</v>
      </c>
      <c r="Q464" s="290">
        <v>1.6136651897201599</v>
      </c>
      <c r="R464" s="290">
        <v>2.0852500759366299E-7</v>
      </c>
      <c r="S464" s="290">
        <v>5.8559282748612195E-4</v>
      </c>
      <c r="T464" s="290">
        <v>5.7290955968106799E-3</v>
      </c>
      <c r="U464" s="290">
        <v>1.2820009408744399E-3</v>
      </c>
      <c r="V464" s="290">
        <v>0.43705340621137501</v>
      </c>
      <c r="W464" s="290">
        <v>6.1895127134504596E-3</v>
      </c>
      <c r="X464" s="290">
        <v>21.505828823858501</v>
      </c>
      <c r="Y464" s="290">
        <v>7.3298666324070696E-4</v>
      </c>
      <c r="Z464" s="290">
        <v>1.62432602320811</v>
      </c>
      <c r="AA464" s="290">
        <v>1.6238599209500499</v>
      </c>
      <c r="AB464" s="290">
        <v>3.71244161149292E-4</v>
      </c>
      <c r="AC464" s="290">
        <v>9.4858096914303899E-5</v>
      </c>
      <c r="AD464" s="290">
        <v>2.6274974544130599E-7</v>
      </c>
      <c r="AE464" s="290">
        <v>7.9167720485472503E-3</v>
      </c>
      <c r="AF464" s="290">
        <v>4.4318244705756204E-6</v>
      </c>
      <c r="AG464" s="290">
        <v>3.3042609366319602E-3</v>
      </c>
      <c r="AH464" s="290">
        <v>3.62833109796626E-2</v>
      </c>
      <c r="AI464" s="290">
        <v>9.6537099712854599E-3</v>
      </c>
      <c r="AJ464" s="290">
        <v>1.8651804144005399E-6</v>
      </c>
      <c r="AK464" s="290">
        <v>16.7413162867404</v>
      </c>
      <c r="AL464" s="290">
        <v>2.22966988478948E-2</v>
      </c>
      <c r="AM464" s="290">
        <v>3.0576571330637698E-8</v>
      </c>
      <c r="AN464" s="290">
        <v>7.1855284399984995E-2</v>
      </c>
      <c r="AO464" s="290">
        <v>10.045649804646599</v>
      </c>
      <c r="AP464" s="290">
        <v>3.5242587909039099E-10</v>
      </c>
      <c r="AQ464" s="290">
        <v>7.5755651600119301E-9</v>
      </c>
      <c r="AR464" s="290">
        <v>2.1383381989798802</v>
      </c>
      <c r="AS464" s="290">
        <v>0</v>
      </c>
      <c r="AT464" s="290">
        <v>0</v>
      </c>
      <c r="AU464" s="290">
        <v>9.2018592012668599E-2</v>
      </c>
      <c r="AV464" s="290">
        <v>0</v>
      </c>
      <c r="AW464" s="290">
        <v>0</v>
      </c>
      <c r="AX464" s="290">
        <v>17.778748396544501</v>
      </c>
      <c r="AY464" s="290">
        <v>0</v>
      </c>
      <c r="AZ464" s="290">
        <v>0</v>
      </c>
      <c r="BA464" s="290">
        <v>0</v>
      </c>
      <c r="BB464" s="290">
        <v>8.6541506133176196E-4</v>
      </c>
      <c r="BC464" s="290">
        <v>4.5591074826985202E-5</v>
      </c>
      <c r="BD464" s="290">
        <v>1.9809525750518399E-2</v>
      </c>
      <c r="BE464" s="290">
        <v>1.1635304655022499E-4</v>
      </c>
      <c r="BF464" s="290">
        <v>0</v>
      </c>
      <c r="BG464" s="290">
        <v>1000</v>
      </c>
      <c r="BH464" s="290">
        <v>0</v>
      </c>
      <c r="BI464" s="290">
        <v>0</v>
      </c>
      <c r="BJ464" s="290">
        <v>0</v>
      </c>
      <c r="BK464" s="78">
        <v>0.3</v>
      </c>
      <c r="BL464" s="41" t="s">
        <v>616</v>
      </c>
      <c r="BM464" s="45"/>
    </row>
    <row r="465" spans="1:65" x14ac:dyDescent="0.35">
      <c r="A465" s="45" t="str">
        <f>Database_Productkaarten[[#This Row],[Product]]&amp;", "&amp;Database_Productkaarten[[#This Row],[Levensfase]]</f>
        <v>2L-ZOAB onderlaag 30% PR - PCR 2.0, C4</v>
      </c>
      <c r="B465" s="45" t="s">
        <v>1364</v>
      </c>
      <c r="C465" s="41" t="s">
        <v>443</v>
      </c>
      <c r="D465" s="41" t="s">
        <v>469</v>
      </c>
      <c r="E465" s="41" t="s">
        <v>91</v>
      </c>
      <c r="F465" s="41" t="s">
        <v>28</v>
      </c>
      <c r="G465" s="45"/>
      <c r="H465" s="45"/>
      <c r="I465" s="45"/>
      <c r="J465" s="45"/>
      <c r="K465" s="45"/>
      <c r="L465" s="45">
        <v>2.1</v>
      </c>
      <c r="M465" s="291">
        <v>0</v>
      </c>
      <c r="N465" s="45">
        <v>13</v>
      </c>
      <c r="O465" s="290">
        <v>0</v>
      </c>
      <c r="P465" s="290">
        <v>0</v>
      </c>
      <c r="Q465" s="290">
        <v>0</v>
      </c>
      <c r="R465" s="290">
        <v>0</v>
      </c>
      <c r="S465" s="290">
        <v>0</v>
      </c>
      <c r="T465" s="290">
        <v>0</v>
      </c>
      <c r="U465" s="290">
        <v>0</v>
      </c>
      <c r="V465" s="290">
        <v>0</v>
      </c>
      <c r="W465" s="290">
        <v>0</v>
      </c>
      <c r="X465" s="290">
        <v>0</v>
      </c>
      <c r="Y465" s="290">
        <v>0</v>
      </c>
      <c r="Z465" s="290">
        <v>0</v>
      </c>
      <c r="AA465" s="290">
        <v>0</v>
      </c>
      <c r="AB465" s="290">
        <v>0</v>
      </c>
      <c r="AC465" s="290">
        <v>0</v>
      </c>
      <c r="AD465" s="290">
        <v>0</v>
      </c>
      <c r="AE465" s="290">
        <v>0</v>
      </c>
      <c r="AF465" s="290">
        <v>0</v>
      </c>
      <c r="AG465" s="290">
        <v>0</v>
      </c>
      <c r="AH465" s="290">
        <v>0</v>
      </c>
      <c r="AI465" s="290">
        <v>0</v>
      </c>
      <c r="AJ465" s="290">
        <v>0</v>
      </c>
      <c r="AK465" s="290">
        <v>0</v>
      </c>
      <c r="AL465" s="290">
        <v>0</v>
      </c>
      <c r="AM465" s="290">
        <v>0</v>
      </c>
      <c r="AN465" s="290">
        <v>0</v>
      </c>
      <c r="AO465" s="290">
        <v>0</v>
      </c>
      <c r="AP465" s="290">
        <v>0</v>
      </c>
      <c r="AQ465" s="290">
        <v>0</v>
      </c>
      <c r="AR465" s="290">
        <v>0</v>
      </c>
      <c r="AS465" s="290">
        <v>0</v>
      </c>
      <c r="AT465" s="290">
        <v>0</v>
      </c>
      <c r="AU465" s="290">
        <v>0</v>
      </c>
      <c r="AV465" s="290">
        <v>0</v>
      </c>
      <c r="AW465" s="290">
        <v>0</v>
      </c>
      <c r="AX465" s="290">
        <v>0</v>
      </c>
      <c r="AY465" s="290">
        <v>0</v>
      </c>
      <c r="AZ465" s="290">
        <v>0</v>
      </c>
      <c r="BA465" s="290">
        <v>0</v>
      </c>
      <c r="BB465" s="290">
        <v>0</v>
      </c>
      <c r="BC465" s="290">
        <v>0</v>
      </c>
      <c r="BD465" s="290">
        <v>0</v>
      </c>
      <c r="BE465" s="290">
        <v>0</v>
      </c>
      <c r="BF465" s="290">
        <v>0</v>
      </c>
      <c r="BG465" s="290">
        <v>0</v>
      </c>
      <c r="BH465" s="290">
        <v>0</v>
      </c>
      <c r="BI465" s="290">
        <v>0</v>
      </c>
      <c r="BJ465" s="290">
        <v>0</v>
      </c>
      <c r="BK465" s="78">
        <v>0.3</v>
      </c>
      <c r="BL465" s="41" t="s">
        <v>616</v>
      </c>
      <c r="BM465" s="45"/>
    </row>
    <row r="466" spans="1:65" x14ac:dyDescent="0.35">
      <c r="A466" s="45" t="str">
        <f>Database_Productkaarten[[#This Row],[Product]]&amp;", "&amp;Database_Productkaarten[[#This Row],[Levensfase]]</f>
        <v>2L-ZOAB onderlaag 30% PR - PCR 2.0, D1</v>
      </c>
      <c r="B466" s="45" t="s">
        <v>1364</v>
      </c>
      <c r="C466" s="41" t="s">
        <v>443</v>
      </c>
      <c r="D466" s="41" t="s">
        <v>469</v>
      </c>
      <c r="E466" s="41" t="s">
        <v>91</v>
      </c>
      <c r="F466" s="41" t="s">
        <v>51</v>
      </c>
      <c r="G466" s="45"/>
      <c r="H466" s="45"/>
      <c r="I466" s="45"/>
      <c r="J466" s="45"/>
      <c r="K466" s="45"/>
      <c r="L466" s="45">
        <v>2.1</v>
      </c>
      <c r="M466" s="291">
        <v>-2.4946295728363919</v>
      </c>
      <c r="N466" s="45">
        <v>13</v>
      </c>
      <c r="O466" s="290">
        <v>-3.4344455176854501E-4</v>
      </c>
      <c r="P466" s="290">
        <v>-0.41156586950356799</v>
      </c>
      <c r="Q466" s="290">
        <v>-18.470624069335301</v>
      </c>
      <c r="R466" s="290">
        <v>-1.6070292604081101E-6</v>
      </c>
      <c r="S466" s="290">
        <v>-4.4473626981676902E-2</v>
      </c>
      <c r="T466" s="290">
        <v>-0.131411783878358</v>
      </c>
      <c r="U466" s="290">
        <v>-1.3200292208429099E-2</v>
      </c>
      <c r="V466" s="290">
        <v>-5.2276339602672799</v>
      </c>
      <c r="W466" s="290">
        <v>-0.63560680791954904</v>
      </c>
      <c r="X466" s="290">
        <v>-2770.8188693604902</v>
      </c>
      <c r="Y466" s="290">
        <v>-8.5175021543703794E-2</v>
      </c>
      <c r="Z466" s="290">
        <v>-5.5327016677283698</v>
      </c>
      <c r="AA466" s="290">
        <v>-5.4608235246714498</v>
      </c>
      <c r="AB466" s="290">
        <v>-6.4805902801693405E-2</v>
      </c>
      <c r="AC466" s="290">
        <v>-7.0722402552189003E-3</v>
      </c>
      <c r="AD466" s="290">
        <v>-7.1648471269965299E-7</v>
      </c>
      <c r="AE466" s="290">
        <v>-5.4790840676572798E-2</v>
      </c>
      <c r="AF466" s="290">
        <v>-2.3853037471859701E-4</v>
      </c>
      <c r="AG466" s="290">
        <v>-1.6212258427375701E-2</v>
      </c>
      <c r="AH466" s="290">
        <v>-0.20682658658081701</v>
      </c>
      <c r="AI466" s="290">
        <v>-5.02336371079216E-2</v>
      </c>
      <c r="AJ466" s="290">
        <v>-3.4159476034973898E-4</v>
      </c>
      <c r="AK466" s="290">
        <v>-79.919693082978696</v>
      </c>
      <c r="AL466" s="290">
        <v>-19.1858004764965</v>
      </c>
      <c r="AM466" s="290">
        <v>-7.8404794233508399E-7</v>
      </c>
      <c r="AN466" s="290">
        <v>-0.43609945413866802</v>
      </c>
      <c r="AO466" s="290">
        <v>-820.76797683712698</v>
      </c>
      <c r="AP466" s="290">
        <v>-4.1219821177553596E-9</v>
      </c>
      <c r="AQ466" s="290">
        <v>-9.32710185472027E-8</v>
      </c>
      <c r="AR466" s="290">
        <v>-1006.05661891599</v>
      </c>
      <c r="AS466" s="290">
        <v>0</v>
      </c>
      <c r="AT466" s="290">
        <v>0</v>
      </c>
      <c r="AU466" s="290">
        <v>-10.0971008112412</v>
      </c>
      <c r="AV466" s="290">
        <v>0</v>
      </c>
      <c r="AW466" s="290">
        <v>0</v>
      </c>
      <c r="AX466" s="290">
        <v>-930.32286972640804</v>
      </c>
      <c r="AY466" s="290">
        <v>0</v>
      </c>
      <c r="AZ466" s="290">
        <v>0</v>
      </c>
      <c r="BA466" s="290">
        <v>0</v>
      </c>
      <c r="BB466" s="290">
        <v>-9.8736583087275207</v>
      </c>
      <c r="BC466" s="290">
        <v>-4.43827673710197E-4</v>
      </c>
      <c r="BD466" s="290">
        <v>-1.6956698017899301</v>
      </c>
      <c r="BE466" s="290">
        <v>-5.67930767714019E-4</v>
      </c>
      <c r="BF466" s="290">
        <v>0</v>
      </c>
      <c r="BG466" s="290">
        <v>0</v>
      </c>
      <c r="BH466" s="290">
        <v>0</v>
      </c>
      <c r="BI466" s="290">
        <v>0</v>
      </c>
      <c r="BJ466" s="290">
        <v>0</v>
      </c>
      <c r="BK466" s="78">
        <v>0.3</v>
      </c>
      <c r="BL466" s="41" t="s">
        <v>616</v>
      </c>
      <c r="BM466" s="45"/>
    </row>
    <row r="467" spans="1:65" x14ac:dyDescent="0.35">
      <c r="A467" s="45" t="str">
        <f>Database_Productkaarten[[#This Row],[Product]]&amp;", "&amp;Database_Productkaarten[[#This Row],[Levensfase]]</f>
        <v>SMA 8-11 - PCR 2.0, Totaal</v>
      </c>
      <c r="B467" s="45" t="s">
        <v>1376</v>
      </c>
      <c r="C467" s="41" t="s">
        <v>443</v>
      </c>
      <c r="D467" s="45" t="s">
        <v>472</v>
      </c>
      <c r="E467" s="41" t="s">
        <v>91</v>
      </c>
      <c r="F467" s="41" t="s">
        <v>16</v>
      </c>
      <c r="G467" s="45"/>
      <c r="H467" s="45"/>
      <c r="I467" s="45"/>
      <c r="J467" s="45"/>
      <c r="K467" s="45"/>
      <c r="L467" s="45">
        <v>2.35</v>
      </c>
      <c r="M467" s="54">
        <f>SUM(M468:M482)</f>
        <v>10.812963459058208</v>
      </c>
      <c r="N467" s="45">
        <v>16</v>
      </c>
      <c r="O467" s="55">
        <f>SUM(O468:O482)</f>
        <v>8.6063175482663896E-4</v>
      </c>
      <c r="P467" s="55">
        <f t="shared" ref="P467" si="579">SUM(P468:P482)</f>
        <v>1.3295152827618482</v>
      </c>
      <c r="Q467" s="55">
        <f t="shared" ref="Q467" si="580">SUM(Q468:Q482)</f>
        <v>97.506751412351093</v>
      </c>
      <c r="R467" s="55">
        <f t="shared" ref="R467" si="581">SUM(R468:R482)</f>
        <v>1.1269160394241959E-5</v>
      </c>
      <c r="S467" s="55">
        <f t="shared" ref="S467" si="582">SUM(S468:S482)</f>
        <v>0.11835287699311338</v>
      </c>
      <c r="T467" s="55">
        <f t="shared" ref="T467" si="583">SUM(T468:T482)</f>
        <v>0.46814375958030308</v>
      </c>
      <c r="U467" s="55">
        <f t="shared" ref="U467" si="584">SUM(U468:U482)</f>
        <v>6.7661078442243658E-2</v>
      </c>
      <c r="V467" s="55">
        <f t="shared" ref="V467" si="585">SUM(V468:V482)</f>
        <v>23.892797488752766</v>
      </c>
      <c r="W467" s="55">
        <f t="shared" ref="W467" si="586">SUM(W468:W482)</f>
        <v>2.2293946179871469</v>
      </c>
      <c r="X467" s="55">
        <f t="shared" ref="X467" si="587">SUM(X468:X482)</f>
        <v>7736.118391379051</v>
      </c>
      <c r="Y467" s="55">
        <f t="shared" ref="Y467" si="588">SUM(Y468:Y482)</f>
        <v>0.25586195588758642</v>
      </c>
      <c r="Z467" s="55">
        <f t="shared" ref="Z467" si="589">SUM(Z468:Z482)</f>
        <v>126.28949236947679</v>
      </c>
      <c r="AA467" s="55">
        <f t="shared" ref="AA467" si="590">SUM(AA468:AA482)</f>
        <v>126.31242097281937</v>
      </c>
      <c r="AB467" s="55">
        <f t="shared" ref="AB467" si="591">SUM(AB468:AB482)</f>
        <v>-6.5549598958444574E-2</v>
      </c>
      <c r="AC467" s="55">
        <f t="shared" ref="AC467" si="592">SUM(AC468:AC482)</f>
        <v>8.5324978966058007E-2</v>
      </c>
      <c r="AD467" s="55">
        <f t="shared" ref="AD467" si="593">SUM(AD468:AD482)</f>
        <v>1.5924035686496725E-5</v>
      </c>
      <c r="AE467" s="55">
        <f t="shared" ref="AE467" si="594">SUM(AE468:AE482)</f>
        <v>0.78295478722965395</v>
      </c>
      <c r="AF467" s="55">
        <f t="shared" ref="AF467" si="595">SUM(AF468:AF482)</f>
        <v>1.3893467662378844E-3</v>
      </c>
      <c r="AG467" s="55">
        <f t="shared" ref="AG467" si="596">SUM(AG468:AG482)</f>
        <v>0.18515726085018186</v>
      </c>
      <c r="AH467" s="55">
        <f t="shared" ref="AH467" si="597">SUM(AH468:AH482)</f>
        <v>1.9247063296346139</v>
      </c>
      <c r="AI467" s="55">
        <f t="shared" ref="AI467" si="598">SUM(AI468:AI482)</f>
        <v>0.83687646715263364</v>
      </c>
      <c r="AJ467" s="55">
        <f t="shared" ref="AJ467" si="599">SUM(AJ468:AJ482)</f>
        <v>8.6393031480683842E-4</v>
      </c>
      <c r="AK467" s="55">
        <f t="shared" ref="AK467" si="600">SUM(AK468:AK482)</f>
        <v>4214.5887857839734</v>
      </c>
      <c r="AL467" s="55">
        <f t="shared" ref="AL467" si="601">SUM(AL468:AL482)</f>
        <v>35.852764866084499</v>
      </c>
      <c r="AM467" s="55">
        <f t="shared" ref="AM467" si="602">SUM(AM468:AM482)</f>
        <v>2.9482743890763485E-6</v>
      </c>
      <c r="AN467" s="55">
        <f t="shared" ref="AN467" si="603">SUM(AN468:AN482)</f>
        <v>3.9109562573572263</v>
      </c>
      <c r="AO467" s="55">
        <f t="shared" ref="AO467" si="604">SUM(AO468:AO482)</f>
        <v>3717.2905261974065</v>
      </c>
      <c r="AP467" s="55">
        <f t="shared" ref="AP467" si="605">SUM(AP468:AP482)</f>
        <v>3.6483027233831911E-8</v>
      </c>
      <c r="AQ467" s="55">
        <f t="shared" ref="AQ467" si="606">SUM(AQ468:AQ482)</f>
        <v>1.3036421193853645E-6</v>
      </c>
      <c r="AR467" s="55">
        <f t="shared" ref="AR467" si="607">SUM(AR468:AR482)</f>
        <v>-239.55822169676435</v>
      </c>
      <c r="AS467" s="55">
        <f t="shared" ref="AS467" si="608">SUM(AS468:AS482)</f>
        <v>8.065825212</v>
      </c>
      <c r="AT467" s="55">
        <f t="shared" ref="AT467" si="609">SUM(AT468:AT482)</f>
        <v>0</v>
      </c>
      <c r="AU467" s="55">
        <f t="shared" ref="AU467" si="610">SUM(AU468:AU482)</f>
        <v>42.11408268592686</v>
      </c>
      <c r="AV467" s="55">
        <f t="shared" ref="AV467" si="611">SUM(AV468:AV482)</f>
        <v>0.70667511750000001</v>
      </c>
      <c r="AW467" s="55">
        <f t="shared" ref="AW467" si="612">SUM(AW468:AW482)</f>
        <v>9.926829900000001E-4</v>
      </c>
      <c r="AX467" s="55">
        <f t="shared" ref="AX467" si="613">SUM(AX468:AX482)</f>
        <v>2946.4305185695039</v>
      </c>
      <c r="AY467" s="55">
        <f t="shared" ref="AY467" si="614">SUM(AY468:AY482)</f>
        <v>0</v>
      </c>
      <c r="AZ467" s="55">
        <f t="shared" ref="AZ467" si="615">SUM(AZ468:AZ482)</f>
        <v>0</v>
      </c>
      <c r="BA467" s="55">
        <f t="shared" ref="BA467" si="616">SUM(BA468:BA482)</f>
        <v>0</v>
      </c>
      <c r="BB467" s="55">
        <f t="shared" ref="BB467" si="617">SUM(BB468:BB482)</f>
        <v>-16.34789298324219</v>
      </c>
      <c r="BC467" s="55">
        <f t="shared" ref="BC467" si="618">SUM(BC468:BC482)</f>
        <v>2.4347147908218127E-3</v>
      </c>
      <c r="BD467" s="55">
        <f t="shared" ref="BD467" si="619">SUM(BD468:BD482)</f>
        <v>18.913068299816981</v>
      </c>
      <c r="BE467" s="55">
        <f t="shared" ref="BE467" si="620">SUM(BE468:BE482)</f>
        <v>4.3116552001131866E-3</v>
      </c>
      <c r="BF467" s="55">
        <f t="shared" ref="BF467" si="621">SUM(BF468:BF482)</f>
        <v>0</v>
      </c>
      <c r="BG467" s="55">
        <f t="shared" ref="BG467" si="622">SUM(BG468:BG482)</f>
        <v>1000</v>
      </c>
      <c r="BH467" s="55">
        <f t="shared" ref="BH467" si="623">SUM(BH468:BH482)</f>
        <v>0</v>
      </c>
      <c r="BI467" s="55">
        <f t="shared" ref="BI467" si="624">SUM(BI468:BI482)</f>
        <v>0</v>
      </c>
      <c r="BJ467" s="55">
        <f t="shared" ref="BJ467" si="625">SUM(BJ468:BJ482)</f>
        <v>0</v>
      </c>
      <c r="BK467" s="78">
        <v>0</v>
      </c>
      <c r="BL467" s="41" t="s">
        <v>616</v>
      </c>
      <c r="BM467" s="45"/>
    </row>
    <row r="468" spans="1:65" x14ac:dyDescent="0.35">
      <c r="A468" s="45" t="str">
        <f>Database_Productkaarten[[#This Row],[Product]]&amp;", "&amp;Database_Productkaarten[[#This Row],[Levensfase]]</f>
        <v>SMA 8-11 - PCR 2.0, A1</v>
      </c>
      <c r="B468" s="45" t="s">
        <v>1376</v>
      </c>
      <c r="C468" s="41" t="s">
        <v>443</v>
      </c>
      <c r="D468" s="45" t="s">
        <v>472</v>
      </c>
      <c r="E468" s="41" t="s">
        <v>91</v>
      </c>
      <c r="F468" s="41" t="s">
        <v>19</v>
      </c>
      <c r="G468" s="45"/>
      <c r="H468" s="45"/>
      <c r="I468" s="45"/>
      <c r="J468" s="45"/>
      <c r="K468" s="45"/>
      <c r="L468" s="45">
        <v>2.35</v>
      </c>
      <c r="M468" s="291">
        <v>8.5564591237137009</v>
      </c>
      <c r="N468" s="45">
        <v>16</v>
      </c>
      <c r="O468" s="290">
        <v>8.4118242326634905E-4</v>
      </c>
      <c r="P468" s="290">
        <v>1.60749523685128</v>
      </c>
      <c r="Q468" s="290">
        <v>64.192731646963196</v>
      </c>
      <c r="R468" s="290">
        <v>4.89762791036313E-6</v>
      </c>
      <c r="S468" s="290">
        <v>0.170116874235205</v>
      </c>
      <c r="T468" s="290">
        <v>0.42907216797813003</v>
      </c>
      <c r="U468" s="290">
        <v>3.2336766356416601E-2</v>
      </c>
      <c r="V468" s="290">
        <v>17.0799731157412</v>
      </c>
      <c r="W468" s="290">
        <v>2.5363237793573399</v>
      </c>
      <c r="X468" s="290">
        <v>11088.0456605009</v>
      </c>
      <c r="Y468" s="290">
        <v>0.328276800101721</v>
      </c>
      <c r="Z468" s="290">
        <v>68.392782711509099</v>
      </c>
      <c r="AA468" s="290">
        <v>68.482542650512102</v>
      </c>
      <c r="AB468" s="290">
        <v>-8.9754716158337605E-2</v>
      </c>
      <c r="AC468" s="290">
        <v>4.2698777155409401E-2</v>
      </c>
      <c r="AD468" s="290">
        <v>5.9427260851654098E-6</v>
      </c>
      <c r="AE468" s="290">
        <v>0.49916161401452402</v>
      </c>
      <c r="AF468" s="290">
        <v>1.03111371368173E-3</v>
      </c>
      <c r="AG468" s="290">
        <v>6.4110900563792095E-2</v>
      </c>
      <c r="AH468" s="290">
        <v>0.62676051263697197</v>
      </c>
      <c r="AI468" s="290">
        <v>0.48359961473260499</v>
      </c>
      <c r="AJ468" s="290">
        <v>8.4110329148858604E-4</v>
      </c>
      <c r="AK468" s="290">
        <v>3413.3546754952599</v>
      </c>
      <c r="AL468" s="290">
        <v>63.625508182292201</v>
      </c>
      <c r="AM468" s="290">
        <v>2.1785203041684799E-6</v>
      </c>
      <c r="AN468" s="290">
        <v>1.8423771671470901</v>
      </c>
      <c r="AO468" s="290">
        <v>4286.3302080020703</v>
      </c>
      <c r="AP468" s="290">
        <v>2.0994113465683301E-8</v>
      </c>
      <c r="AQ468" s="290">
        <v>9.5977542561878489E-7</v>
      </c>
      <c r="AR468" s="290">
        <v>657.503658778253</v>
      </c>
      <c r="AS468" s="290">
        <v>0</v>
      </c>
      <c r="AT468" s="290">
        <v>0</v>
      </c>
      <c r="AU468" s="290">
        <v>32.760827900228001</v>
      </c>
      <c r="AV468" s="290">
        <v>0</v>
      </c>
      <c r="AW468" s="290">
        <v>0</v>
      </c>
      <c r="AX468" s="290">
        <v>3632.5559229926098</v>
      </c>
      <c r="AY468" s="290">
        <v>0</v>
      </c>
      <c r="AZ468" s="290">
        <v>0</v>
      </c>
      <c r="BA468" s="290">
        <v>0</v>
      </c>
      <c r="BB468" s="290">
        <v>1.5180447548527001</v>
      </c>
      <c r="BC468" s="290">
        <v>1.28418644528239E-3</v>
      </c>
      <c r="BD468" s="290">
        <v>3.6707695724875999</v>
      </c>
      <c r="BE468" s="290">
        <v>1.09759665926028E-3</v>
      </c>
      <c r="BF468" s="290">
        <v>0</v>
      </c>
      <c r="BG468" s="290">
        <v>0</v>
      </c>
      <c r="BH468" s="290">
        <v>0</v>
      </c>
      <c r="BI468" s="290">
        <v>0</v>
      </c>
      <c r="BJ468" s="290">
        <v>0</v>
      </c>
      <c r="BK468" s="78">
        <v>0</v>
      </c>
      <c r="BL468" s="41" t="s">
        <v>616</v>
      </c>
      <c r="BM468" s="45"/>
    </row>
    <row r="469" spans="1:65" x14ac:dyDescent="0.35">
      <c r="A469" s="45" t="str">
        <f>Database_Productkaarten[[#This Row],[Product]]&amp;", "&amp;Database_Productkaarten[[#This Row],[Levensfase]]</f>
        <v>SMA 8-11 - PCR 2.0, A2</v>
      </c>
      <c r="B469" s="45" t="s">
        <v>1376</v>
      </c>
      <c r="C469" s="41" t="s">
        <v>443</v>
      </c>
      <c r="D469" s="45" t="s">
        <v>472</v>
      </c>
      <c r="E469" s="41" t="s">
        <v>91</v>
      </c>
      <c r="F469" s="41" t="s">
        <v>20</v>
      </c>
      <c r="G469" s="45"/>
      <c r="H469" s="45"/>
      <c r="I469" s="45"/>
      <c r="J469" s="45"/>
      <c r="K469" s="45"/>
      <c r="L469" s="45">
        <v>2.35</v>
      </c>
      <c r="M469" s="291">
        <v>3.624634398132383</v>
      </c>
      <c r="N469" s="45">
        <v>16</v>
      </c>
      <c r="O469" s="290">
        <v>3.38660578773901E-4</v>
      </c>
      <c r="P469" s="290">
        <v>0.19342738877293</v>
      </c>
      <c r="Q469" s="290">
        <v>30.330448516796402</v>
      </c>
      <c r="R469" s="290">
        <v>4.5376903586259901E-6</v>
      </c>
      <c r="S469" s="290">
        <v>1.79179093280557E-2</v>
      </c>
      <c r="T469" s="290">
        <v>0.201516781415602</v>
      </c>
      <c r="U469" s="290">
        <v>4.4453455949507101E-2</v>
      </c>
      <c r="V469" s="290">
        <v>8.3750987591225403</v>
      </c>
      <c r="W469" s="290">
        <v>0.21925693480535999</v>
      </c>
      <c r="X469" s="290">
        <v>723.86410304796095</v>
      </c>
      <c r="Y469" s="290">
        <v>3.7770319191041499E-2</v>
      </c>
      <c r="Z469" s="290">
        <v>30.676184157507599</v>
      </c>
      <c r="AA469" s="290">
        <v>30.584554884857599</v>
      </c>
      <c r="AB469" s="290">
        <v>4.3087909259489597E-2</v>
      </c>
      <c r="AC469" s="290">
        <v>4.8541363390497097E-2</v>
      </c>
      <c r="AD469" s="290">
        <v>5.64671511710711E-6</v>
      </c>
      <c r="AE469" s="290">
        <v>0.27981998382761097</v>
      </c>
      <c r="AF469" s="290">
        <v>3.5705013652520898E-4</v>
      </c>
      <c r="AG469" s="290">
        <v>0.117396785992601</v>
      </c>
      <c r="AH469" s="290">
        <v>1.2923167260514901</v>
      </c>
      <c r="AI469" s="290">
        <v>0.33673795969186399</v>
      </c>
      <c r="AJ469" s="290">
        <v>3.3864774241151998E-4</v>
      </c>
      <c r="AK469" s="290">
        <v>400.86939588181099</v>
      </c>
      <c r="AL469" s="290">
        <v>1.79364823158693</v>
      </c>
      <c r="AM469" s="290">
        <v>1.07410474302821E-6</v>
      </c>
      <c r="AN469" s="290">
        <v>1.72608318351743</v>
      </c>
      <c r="AO469" s="290">
        <v>354.973201668775</v>
      </c>
      <c r="AP469" s="290">
        <v>1.4298133250972201E-8</v>
      </c>
      <c r="AQ469" s="290">
        <v>2.74336066688064E-7</v>
      </c>
      <c r="AR469" s="290">
        <v>315.30001864656998</v>
      </c>
      <c r="AS469" s="290">
        <v>0</v>
      </c>
      <c r="AT469" s="290">
        <v>0</v>
      </c>
      <c r="AU469" s="290">
        <v>8.4922646196180693</v>
      </c>
      <c r="AV469" s="290">
        <v>0</v>
      </c>
      <c r="AW469" s="290">
        <v>0</v>
      </c>
      <c r="AX469" s="290">
        <v>425.43828038776297</v>
      </c>
      <c r="AY469" s="290">
        <v>0</v>
      </c>
      <c r="AZ469" s="290">
        <v>0</v>
      </c>
      <c r="BA469" s="290">
        <v>0</v>
      </c>
      <c r="BB469" s="290">
        <v>7.0727029373840997E-2</v>
      </c>
      <c r="BC469" s="290">
        <v>1.0385156951504199E-3</v>
      </c>
      <c r="BD469" s="290">
        <v>6.9492750786339998</v>
      </c>
      <c r="BE469" s="290">
        <v>2.6051797657451301E-3</v>
      </c>
      <c r="BF469" s="290">
        <v>0</v>
      </c>
      <c r="BG469" s="290">
        <v>0</v>
      </c>
      <c r="BH469" s="290">
        <v>0</v>
      </c>
      <c r="BI469" s="290">
        <v>0</v>
      </c>
      <c r="BJ469" s="290">
        <v>0</v>
      </c>
      <c r="BK469" s="78">
        <v>0</v>
      </c>
      <c r="BL469" s="41" t="s">
        <v>616</v>
      </c>
      <c r="BM469" s="45"/>
    </row>
    <row r="470" spans="1:65" x14ac:dyDescent="0.35">
      <c r="A470" s="45" t="str">
        <f>Database_Productkaarten[[#This Row],[Product]]&amp;", "&amp;Database_Productkaarten[[#This Row],[Levensfase]]</f>
        <v>SMA 8-11 - PCR 2.0, A3</v>
      </c>
      <c r="B470" s="45" t="s">
        <v>1376</v>
      </c>
      <c r="C470" s="41" t="s">
        <v>443</v>
      </c>
      <c r="D470" s="45" t="s">
        <v>472</v>
      </c>
      <c r="E470" s="41" t="s">
        <v>91</v>
      </c>
      <c r="F470" s="41" t="s">
        <v>21</v>
      </c>
      <c r="G470" s="45"/>
      <c r="H470" s="45"/>
      <c r="I470" s="45"/>
      <c r="J470" s="45"/>
      <c r="K470" s="45"/>
      <c r="L470" s="45">
        <v>2.35</v>
      </c>
      <c r="M470" s="291">
        <v>1.6338062362706796</v>
      </c>
      <c r="N470" s="45">
        <v>16</v>
      </c>
      <c r="O470" s="290">
        <v>2.3994972742492198E-5</v>
      </c>
      <c r="P470" s="290">
        <v>0.19197042178352799</v>
      </c>
      <c r="Q470" s="290">
        <v>22.616190324055701</v>
      </c>
      <c r="R470" s="290">
        <v>2.5169752834762498E-6</v>
      </c>
      <c r="S470" s="290">
        <v>3.6636727486878901E-3</v>
      </c>
      <c r="T470" s="290">
        <v>2.3087557753461399E-2</v>
      </c>
      <c r="U470" s="290">
        <v>3.9601990021627502E-3</v>
      </c>
      <c r="V470" s="290">
        <v>3.5975028373407998</v>
      </c>
      <c r="W470" s="290">
        <v>2.62456547827138E-2</v>
      </c>
      <c r="X470" s="290">
        <v>107.104036077476</v>
      </c>
      <c r="Y470" s="290">
        <v>2.68284664299944E-2</v>
      </c>
      <c r="Z470" s="290">
        <v>22.958522533168502</v>
      </c>
      <c r="AA470" s="290">
        <v>22.898833690555399</v>
      </c>
      <c r="AB470" s="290">
        <v>5.7623423534978603E-2</v>
      </c>
      <c r="AC470" s="290">
        <v>2.0654190782425498E-3</v>
      </c>
      <c r="AD470" s="290">
        <v>2.8343803788578098E-6</v>
      </c>
      <c r="AE470" s="290">
        <v>2.965094961337E-2</v>
      </c>
      <c r="AF470" s="290">
        <v>2.9071515231592797E-4</v>
      </c>
      <c r="AG470" s="290">
        <v>8.2075074163398595E-3</v>
      </c>
      <c r="AH470" s="290">
        <v>9.3105619865529093E-2</v>
      </c>
      <c r="AI470" s="290">
        <v>2.7928125583036201E-2</v>
      </c>
      <c r="AJ470" s="290">
        <v>2.3994645785132801E-5</v>
      </c>
      <c r="AK470" s="290">
        <v>353.085711219899</v>
      </c>
      <c r="AL470" s="290">
        <v>0.577992690506414</v>
      </c>
      <c r="AM470" s="290">
        <v>1.9600627588992901E-7</v>
      </c>
      <c r="AN470" s="290">
        <v>0.27292046805998599</v>
      </c>
      <c r="AO470" s="290">
        <v>82.123050129760301</v>
      </c>
      <c r="AP470" s="290">
        <v>2.9139772600449801E-9</v>
      </c>
      <c r="AQ470" s="290">
        <v>5.2689314058077003E-8</v>
      </c>
      <c r="AR470" s="290">
        <v>17.3535059288239</v>
      </c>
      <c r="AS470" s="290">
        <v>0</v>
      </c>
      <c r="AT470" s="290">
        <v>0</v>
      </c>
      <c r="AU470" s="290">
        <v>7.47422749020018</v>
      </c>
      <c r="AV470" s="290">
        <v>0</v>
      </c>
      <c r="AW470" s="290">
        <v>0</v>
      </c>
      <c r="AX470" s="290">
        <v>388.97738885024302</v>
      </c>
      <c r="AY470" s="290">
        <v>0</v>
      </c>
      <c r="AZ470" s="290">
        <v>0</v>
      </c>
      <c r="BA470" s="290">
        <v>0</v>
      </c>
      <c r="BB470" s="290">
        <v>4.3331985092934101E-2</v>
      </c>
      <c r="BC470" s="290">
        <v>4.25382712628512E-4</v>
      </c>
      <c r="BD470" s="290">
        <v>0.28720248501386703</v>
      </c>
      <c r="BE470" s="290">
        <v>3.4293279267640298E-4</v>
      </c>
      <c r="BF470" s="290">
        <v>0</v>
      </c>
      <c r="BG470" s="290">
        <v>0</v>
      </c>
      <c r="BH470" s="290">
        <v>0</v>
      </c>
      <c r="BI470" s="290">
        <v>0</v>
      </c>
      <c r="BJ470" s="290">
        <v>0</v>
      </c>
      <c r="BK470" s="78">
        <v>0</v>
      </c>
      <c r="BL470" s="41" t="s">
        <v>616</v>
      </c>
      <c r="BM470" s="45"/>
    </row>
    <row r="471" spans="1:65" x14ac:dyDescent="0.35">
      <c r="A471" s="45" t="str">
        <f>Database_Productkaarten[[#This Row],[Product]]&amp;", "&amp;Database_Productkaarten[[#This Row],[Levensfase]]</f>
        <v>SMA 8-11 - PCR 2.0, A4</v>
      </c>
      <c r="B471" s="45" t="s">
        <v>1376</v>
      </c>
      <c r="C471" s="41" t="s">
        <v>443</v>
      </c>
      <c r="D471" s="45" t="s">
        <v>472</v>
      </c>
      <c r="E471" s="41" t="s">
        <v>91</v>
      </c>
      <c r="F471" s="41" t="s">
        <v>22</v>
      </c>
      <c r="G471" s="45"/>
      <c r="H471" s="45"/>
      <c r="I471" s="45"/>
      <c r="J471" s="45"/>
      <c r="K471" s="45"/>
      <c r="L471" s="45">
        <v>2.35</v>
      </c>
      <c r="M471" s="291">
        <v>0.37546048090943995</v>
      </c>
      <c r="N471" s="45">
        <v>16</v>
      </c>
      <c r="O471" s="290">
        <v>6.8533509000000002E-5</v>
      </c>
      <c r="P471" s="290">
        <v>2.9713889699999999E-2</v>
      </c>
      <c r="Q471" s="290">
        <v>3.9891474704999998</v>
      </c>
      <c r="R471" s="290">
        <v>7.557213E-7</v>
      </c>
      <c r="S471" s="290">
        <v>2.4773701499999998E-3</v>
      </c>
      <c r="T471" s="290">
        <v>1.36398132E-2</v>
      </c>
      <c r="U471" s="290">
        <v>2.5682192100000001E-3</v>
      </c>
      <c r="V471" s="290">
        <v>0.8608144794</v>
      </c>
      <c r="W471" s="290">
        <v>3.6189873900000002E-2</v>
      </c>
      <c r="X471" s="290">
        <v>97.376595929999993</v>
      </c>
      <c r="Y471" s="290">
        <v>4.8437180999999999E-3</v>
      </c>
      <c r="Z471" s="290">
        <v>4.0259382761999998</v>
      </c>
      <c r="AA471" s="290">
        <v>4.0229543298000001</v>
      </c>
      <c r="AB471" s="290">
        <v>1.9814632200000001E-3</v>
      </c>
      <c r="AC471" s="290">
        <v>1.0024609799999999E-3</v>
      </c>
      <c r="AD471" s="290">
        <v>9.4976262000000003E-7</v>
      </c>
      <c r="AE471" s="290">
        <v>1.7739576E-2</v>
      </c>
      <c r="AF471" s="290">
        <v>2.7841996800000001E-5</v>
      </c>
      <c r="AG471" s="290">
        <v>5.5484582100000001E-3</v>
      </c>
      <c r="AH471" s="290">
        <v>6.1385308800000003E-2</v>
      </c>
      <c r="AI471" s="290">
        <v>1.9235744999999999E-2</v>
      </c>
      <c r="AJ471" s="290">
        <v>6.8533397999999998E-5</v>
      </c>
      <c r="AK471" s="290">
        <v>62.400806729999999</v>
      </c>
      <c r="AL471" s="290">
        <v>0.212954166</v>
      </c>
      <c r="AM471" s="290">
        <v>2.9338876200000002E-7</v>
      </c>
      <c r="AN471" s="290">
        <v>0.26868483510000002</v>
      </c>
      <c r="AO471" s="290">
        <v>45.56587296</v>
      </c>
      <c r="AP471" s="290">
        <v>1.16371179E-9</v>
      </c>
      <c r="AQ471" s="290">
        <v>3.8268015899999999E-8</v>
      </c>
      <c r="AR471" s="290">
        <v>71.806844609999999</v>
      </c>
      <c r="AS471" s="290">
        <v>0</v>
      </c>
      <c r="AT471" s="290">
        <v>0</v>
      </c>
      <c r="AU471" s="290">
        <v>0.63474917099999995</v>
      </c>
      <c r="AV471" s="290">
        <v>0</v>
      </c>
      <c r="AW471" s="290">
        <v>0</v>
      </c>
      <c r="AX471" s="290">
        <v>66.265108560000002</v>
      </c>
      <c r="AY471" s="290">
        <v>0</v>
      </c>
      <c r="AZ471" s="290">
        <v>0</v>
      </c>
      <c r="BA471" s="290">
        <v>0</v>
      </c>
      <c r="BB471" s="290">
        <v>6.7467797999999999E-3</v>
      </c>
      <c r="BC471" s="290">
        <v>1.54707915E-4</v>
      </c>
      <c r="BD471" s="290">
        <v>5.4635493149999999</v>
      </c>
      <c r="BE471" s="290">
        <v>4.25149758E-4</v>
      </c>
      <c r="BF471" s="290">
        <v>0</v>
      </c>
      <c r="BG471" s="290">
        <v>0</v>
      </c>
      <c r="BH471" s="290">
        <v>0</v>
      </c>
      <c r="BI471" s="290">
        <v>0</v>
      </c>
      <c r="BJ471" s="290">
        <v>0</v>
      </c>
      <c r="BK471" s="78">
        <v>0</v>
      </c>
      <c r="BL471" s="41" t="s">
        <v>616</v>
      </c>
      <c r="BM471" s="45"/>
    </row>
    <row r="472" spans="1:65" x14ac:dyDescent="0.35">
      <c r="A472" s="45" t="str">
        <f>Database_Productkaarten[[#This Row],[Product]]&amp;", "&amp;Database_Productkaarten[[#This Row],[Levensfase]]</f>
        <v>SMA 8-11 - PCR 2.0, A5</v>
      </c>
      <c r="B472" s="45" t="s">
        <v>1376</v>
      </c>
      <c r="C472" s="41" t="s">
        <v>443</v>
      </c>
      <c r="D472" s="45" t="s">
        <v>472</v>
      </c>
      <c r="E472" s="41" t="s">
        <v>91</v>
      </c>
      <c r="F472" s="41" t="s">
        <v>23</v>
      </c>
      <c r="G472" s="45"/>
      <c r="H472" s="45"/>
      <c r="I472" s="45"/>
      <c r="J472" s="45"/>
      <c r="K472" s="45"/>
      <c r="L472" s="45">
        <v>2.35</v>
      </c>
      <c r="M472" s="291">
        <v>0.2597053336061183</v>
      </c>
      <c r="N472" s="45">
        <v>16</v>
      </c>
      <c r="O472" s="290">
        <v>2.9238192601566899E-6</v>
      </c>
      <c r="P472" s="290">
        <v>1.2437869082647501E-2</v>
      </c>
      <c r="Q472" s="290">
        <v>2.5295292172695301</v>
      </c>
      <c r="R472" s="290">
        <v>3.26877041223101E-7</v>
      </c>
      <c r="S472" s="290">
        <v>9.4117069382570703E-4</v>
      </c>
      <c r="T472" s="290">
        <v>1.04973944636062E-2</v>
      </c>
      <c r="U472" s="290">
        <v>2.4039520987081502E-3</v>
      </c>
      <c r="V472" s="290">
        <v>0.68877614098758899</v>
      </c>
      <c r="W472" s="290">
        <v>9.70247944156938E-3</v>
      </c>
      <c r="X472" s="290">
        <v>33.711839975113598</v>
      </c>
      <c r="Y472" s="290">
        <v>1.14900611681374E-3</v>
      </c>
      <c r="Z472" s="290">
        <v>2.5482276291047801</v>
      </c>
      <c r="AA472" s="290">
        <v>2.5474969823195002</v>
      </c>
      <c r="AB472" s="290">
        <v>5.8195030848014401E-4</v>
      </c>
      <c r="AC472" s="290">
        <v>1.4869647680517201E-4</v>
      </c>
      <c r="AD472" s="290">
        <v>4.1187798224910598E-7</v>
      </c>
      <c r="AE472" s="290">
        <v>1.4654717119940401E-2</v>
      </c>
      <c r="AF472" s="290">
        <v>6.9471842668600303E-6</v>
      </c>
      <c r="AG472" s="290">
        <v>6.3596059807787602E-3</v>
      </c>
      <c r="AH472" s="290">
        <v>6.9798399555511204E-2</v>
      </c>
      <c r="AI472" s="290">
        <v>1.8200499463318101E-2</v>
      </c>
      <c r="AJ472" s="290">
        <v>2.9237963165969499E-6</v>
      </c>
      <c r="AK472" s="290">
        <v>26.2431446264793</v>
      </c>
      <c r="AL472" s="290">
        <v>3.4951581827788299E-2</v>
      </c>
      <c r="AM472" s="290">
        <v>5.4485692668444001E-8</v>
      </c>
      <c r="AN472" s="290">
        <v>0.11263801417770899</v>
      </c>
      <c r="AO472" s="290">
        <v>15.7470628327907</v>
      </c>
      <c r="AP472" s="290">
        <v>5.5245137302842195E-10</v>
      </c>
      <c r="AQ472" s="290">
        <v>1.3239865434751001E-8</v>
      </c>
      <c r="AR472" s="290">
        <v>3.3519896295273299</v>
      </c>
      <c r="AS472" s="290">
        <v>0</v>
      </c>
      <c r="AT472" s="290">
        <v>0</v>
      </c>
      <c r="AU472" s="290">
        <v>0.144245360416561</v>
      </c>
      <c r="AV472" s="290">
        <v>0</v>
      </c>
      <c r="AW472" s="290">
        <v>0</v>
      </c>
      <c r="AX472" s="290">
        <v>27.869389566283299</v>
      </c>
      <c r="AY472" s="290">
        <v>0</v>
      </c>
      <c r="AZ472" s="290">
        <v>0</v>
      </c>
      <c r="BA472" s="290">
        <v>0</v>
      </c>
      <c r="BB472" s="290">
        <v>1.35659657975171E-3</v>
      </c>
      <c r="BC472" s="290">
        <v>7.1467090743758304E-5</v>
      </c>
      <c r="BD472" s="290">
        <v>3.1052769961088501E-2</v>
      </c>
      <c r="BE472" s="290">
        <v>1.82391263466533E-4</v>
      </c>
      <c r="BF472" s="290">
        <v>0</v>
      </c>
      <c r="BG472" s="290">
        <v>0</v>
      </c>
      <c r="BH472" s="290">
        <v>0</v>
      </c>
      <c r="BI472" s="290">
        <v>0</v>
      </c>
      <c r="BJ472" s="290">
        <v>0</v>
      </c>
      <c r="BK472" s="78">
        <v>0</v>
      </c>
      <c r="BL472" s="41" t="s">
        <v>616</v>
      </c>
      <c r="BM472" s="45"/>
    </row>
    <row r="473" spans="1:65" x14ac:dyDescent="0.35">
      <c r="A473" s="45" t="str">
        <f>Database_Productkaarten[[#This Row],[Product]]&amp;", "&amp;Database_Productkaarten[[#This Row],[Levensfase]]</f>
        <v>SMA 8-11 - PCR 2.0, B1</v>
      </c>
      <c r="B473" s="45" t="s">
        <v>1376</v>
      </c>
      <c r="C473" s="41" t="s">
        <v>443</v>
      </c>
      <c r="D473" s="45" t="s">
        <v>472</v>
      </c>
      <c r="E473" s="41" t="s">
        <v>91</v>
      </c>
      <c r="F473" s="41" t="s">
        <v>24</v>
      </c>
      <c r="G473" s="45"/>
      <c r="H473" s="45"/>
      <c r="I473" s="45"/>
      <c r="J473" s="45"/>
      <c r="K473" s="45"/>
      <c r="L473" s="45">
        <v>2.35</v>
      </c>
      <c r="M473" s="291">
        <v>0.11825486639676779</v>
      </c>
      <c r="N473" s="45">
        <v>16</v>
      </c>
      <c r="O473" s="290">
        <v>0</v>
      </c>
      <c r="P473" s="290">
        <v>0</v>
      </c>
      <c r="Q473" s="290">
        <v>0</v>
      </c>
      <c r="R473" s="290">
        <v>0</v>
      </c>
      <c r="S473" s="290">
        <v>0</v>
      </c>
      <c r="T473" s="290">
        <v>0</v>
      </c>
      <c r="U473" s="290">
        <v>0</v>
      </c>
      <c r="V473" s="290">
        <v>0.47637814426189901</v>
      </c>
      <c r="W473" s="290">
        <v>0.51070836809688902</v>
      </c>
      <c r="X473" s="290">
        <v>600.42146990351</v>
      </c>
      <c r="Y473" s="290">
        <v>2.9058966565328201E-4</v>
      </c>
      <c r="Z473" s="290">
        <v>0</v>
      </c>
      <c r="AA473" s="290">
        <v>0</v>
      </c>
      <c r="AB473" s="290">
        <v>0</v>
      </c>
      <c r="AC473" s="290">
        <v>0</v>
      </c>
      <c r="AD473" s="290">
        <v>0</v>
      </c>
      <c r="AE473" s="290">
        <v>0</v>
      </c>
      <c r="AF473" s="290">
        <v>0</v>
      </c>
      <c r="AG473" s="290">
        <v>0</v>
      </c>
      <c r="AH473" s="290">
        <v>0</v>
      </c>
      <c r="AI473" s="290">
        <v>0</v>
      </c>
      <c r="AJ473" s="290">
        <v>0</v>
      </c>
      <c r="AK473" s="290">
        <v>0</v>
      </c>
      <c r="AL473" s="290">
        <v>0</v>
      </c>
      <c r="AM473" s="290">
        <v>0</v>
      </c>
      <c r="AN473" s="290">
        <v>0</v>
      </c>
      <c r="AO473" s="290">
        <v>3.5405688217834199</v>
      </c>
      <c r="AP473" s="290">
        <v>8.8497327752214597E-10</v>
      </c>
      <c r="AQ473" s="290">
        <v>5.3167546814193901E-8</v>
      </c>
      <c r="AR473" s="290">
        <v>0</v>
      </c>
      <c r="AS473" s="290">
        <v>0</v>
      </c>
      <c r="AT473" s="290">
        <v>0</v>
      </c>
      <c r="AU473" s="290">
        <v>0</v>
      </c>
      <c r="AV473" s="290">
        <v>0</v>
      </c>
      <c r="AW473" s="290">
        <v>0</v>
      </c>
      <c r="AX473" s="290">
        <v>0</v>
      </c>
      <c r="AY473" s="290">
        <v>0</v>
      </c>
      <c r="AZ473" s="290">
        <v>0</v>
      </c>
      <c r="BA473" s="290">
        <v>0</v>
      </c>
      <c r="BB473" s="290">
        <v>0</v>
      </c>
      <c r="BC473" s="290">
        <v>0</v>
      </c>
      <c r="BD473" s="290">
        <v>0</v>
      </c>
      <c r="BE473" s="290">
        <v>0</v>
      </c>
      <c r="BF473" s="290">
        <v>0</v>
      </c>
      <c r="BG473" s="290">
        <v>0</v>
      </c>
      <c r="BH473" s="290">
        <v>0</v>
      </c>
      <c r="BI473" s="290">
        <v>0</v>
      </c>
      <c r="BJ473" s="290">
        <v>0</v>
      </c>
      <c r="BK473" s="78">
        <v>0</v>
      </c>
      <c r="BL473" s="41" t="s">
        <v>616</v>
      </c>
      <c r="BM473" s="45"/>
    </row>
    <row r="474" spans="1:65" x14ac:dyDescent="0.35">
      <c r="A474" s="45" t="str">
        <f>Database_Productkaarten[[#This Row],[Product]]&amp;", "&amp;Database_Productkaarten[[#This Row],[Levensfase]]</f>
        <v>SMA 8-11 - PCR 2.0, B2</v>
      </c>
      <c r="B474" s="45" t="s">
        <v>1376</v>
      </c>
      <c r="C474" s="41" t="s">
        <v>443</v>
      </c>
      <c r="D474" s="45" t="s">
        <v>472</v>
      </c>
      <c r="E474" s="41" t="s">
        <v>91</v>
      </c>
      <c r="F474" s="41" t="s">
        <v>604</v>
      </c>
      <c r="G474" s="45"/>
      <c r="H474" s="45"/>
      <c r="I474" s="45"/>
      <c r="J474" s="45"/>
      <c r="K474" s="45"/>
      <c r="L474" s="45">
        <v>2.35</v>
      </c>
      <c r="M474" s="291">
        <v>0</v>
      </c>
      <c r="N474" s="45">
        <v>16</v>
      </c>
      <c r="O474" s="290">
        <v>0</v>
      </c>
      <c r="P474" s="290">
        <v>0</v>
      </c>
      <c r="Q474" s="290">
        <v>0</v>
      </c>
      <c r="R474" s="290">
        <v>0</v>
      </c>
      <c r="S474" s="290">
        <v>0</v>
      </c>
      <c r="T474" s="290">
        <v>0</v>
      </c>
      <c r="U474" s="290">
        <v>0</v>
      </c>
      <c r="V474" s="290">
        <v>0</v>
      </c>
      <c r="W474" s="290">
        <v>0</v>
      </c>
      <c r="X474" s="290">
        <v>0</v>
      </c>
      <c r="Y474" s="290">
        <v>0</v>
      </c>
      <c r="Z474" s="290">
        <v>0</v>
      </c>
      <c r="AA474" s="290">
        <v>0</v>
      </c>
      <c r="AB474" s="290">
        <v>0</v>
      </c>
      <c r="AC474" s="290">
        <v>0</v>
      </c>
      <c r="AD474" s="290">
        <v>0</v>
      </c>
      <c r="AE474" s="290">
        <v>0</v>
      </c>
      <c r="AF474" s="290">
        <v>0</v>
      </c>
      <c r="AG474" s="290">
        <v>0</v>
      </c>
      <c r="AH474" s="290">
        <v>0</v>
      </c>
      <c r="AI474" s="290">
        <v>0</v>
      </c>
      <c r="AJ474" s="290">
        <v>0</v>
      </c>
      <c r="AK474" s="290">
        <v>0</v>
      </c>
      <c r="AL474" s="290">
        <v>0</v>
      </c>
      <c r="AM474" s="290">
        <v>0</v>
      </c>
      <c r="AN474" s="290">
        <v>0</v>
      </c>
      <c r="AO474" s="290">
        <v>0</v>
      </c>
      <c r="AP474" s="290">
        <v>0</v>
      </c>
      <c r="AQ474" s="290">
        <v>0</v>
      </c>
      <c r="AR474" s="290">
        <v>0</v>
      </c>
      <c r="AS474" s="290">
        <v>0</v>
      </c>
      <c r="AT474" s="290">
        <v>0</v>
      </c>
      <c r="AU474" s="290">
        <v>0</v>
      </c>
      <c r="AV474" s="290">
        <v>0</v>
      </c>
      <c r="AW474" s="290">
        <v>0</v>
      </c>
      <c r="AX474" s="290">
        <v>0</v>
      </c>
      <c r="AY474" s="290">
        <v>0</v>
      </c>
      <c r="AZ474" s="290">
        <v>0</v>
      </c>
      <c r="BA474" s="290">
        <v>0</v>
      </c>
      <c r="BB474" s="290">
        <v>0</v>
      </c>
      <c r="BC474" s="290">
        <v>0</v>
      </c>
      <c r="BD474" s="290">
        <v>0</v>
      </c>
      <c r="BE474" s="290">
        <v>0</v>
      </c>
      <c r="BF474" s="290">
        <v>0</v>
      </c>
      <c r="BG474" s="290">
        <v>0</v>
      </c>
      <c r="BH474" s="290">
        <v>0</v>
      </c>
      <c r="BI474" s="290">
        <v>0</v>
      </c>
      <c r="BJ474" s="290">
        <v>0</v>
      </c>
      <c r="BK474" s="78">
        <v>0</v>
      </c>
      <c r="BL474" s="41" t="s">
        <v>616</v>
      </c>
      <c r="BM474" s="45"/>
    </row>
    <row r="475" spans="1:65" x14ac:dyDescent="0.35">
      <c r="A475" s="45" t="str">
        <f>Database_Productkaarten[[#This Row],[Product]]&amp;", "&amp;Database_Productkaarten[[#This Row],[Levensfase]]</f>
        <v>SMA 8-11 - PCR 2.0, B3</v>
      </c>
      <c r="B475" s="45" t="s">
        <v>1376</v>
      </c>
      <c r="C475" s="41" t="s">
        <v>443</v>
      </c>
      <c r="D475" s="45" t="s">
        <v>472</v>
      </c>
      <c r="E475" s="41" t="s">
        <v>91</v>
      </c>
      <c r="F475" s="41" t="s">
        <v>602</v>
      </c>
      <c r="G475" s="45"/>
      <c r="H475" s="45"/>
      <c r="I475" s="45"/>
      <c r="J475" s="45"/>
      <c r="K475" s="45"/>
      <c r="L475" s="45">
        <v>2.35</v>
      </c>
      <c r="M475" s="291">
        <v>0</v>
      </c>
      <c r="N475" s="45">
        <v>16</v>
      </c>
      <c r="O475" s="290">
        <v>0</v>
      </c>
      <c r="P475" s="290">
        <v>0</v>
      </c>
      <c r="Q475" s="290">
        <v>0</v>
      </c>
      <c r="R475" s="290">
        <v>0</v>
      </c>
      <c r="S475" s="290">
        <v>0</v>
      </c>
      <c r="T475" s="290">
        <v>0</v>
      </c>
      <c r="U475" s="290">
        <v>0</v>
      </c>
      <c r="V475" s="290">
        <v>0</v>
      </c>
      <c r="W475" s="290">
        <v>0</v>
      </c>
      <c r="X475" s="290">
        <v>0</v>
      </c>
      <c r="Y475" s="290">
        <v>0</v>
      </c>
      <c r="Z475" s="290">
        <v>0</v>
      </c>
      <c r="AA475" s="290">
        <v>0</v>
      </c>
      <c r="AB475" s="290">
        <v>0</v>
      </c>
      <c r="AC475" s="290">
        <v>0</v>
      </c>
      <c r="AD475" s="290">
        <v>0</v>
      </c>
      <c r="AE475" s="290">
        <v>0</v>
      </c>
      <c r="AF475" s="290">
        <v>0</v>
      </c>
      <c r="AG475" s="290">
        <v>0</v>
      </c>
      <c r="AH475" s="290">
        <v>0</v>
      </c>
      <c r="AI475" s="290">
        <v>0</v>
      </c>
      <c r="AJ475" s="290">
        <v>0</v>
      </c>
      <c r="AK475" s="290">
        <v>0</v>
      </c>
      <c r="AL475" s="290">
        <v>0</v>
      </c>
      <c r="AM475" s="290">
        <v>0</v>
      </c>
      <c r="AN475" s="290">
        <v>0</v>
      </c>
      <c r="AO475" s="290">
        <v>0</v>
      </c>
      <c r="AP475" s="290">
        <v>0</v>
      </c>
      <c r="AQ475" s="290">
        <v>0</v>
      </c>
      <c r="AR475" s="290">
        <v>0</v>
      </c>
      <c r="AS475" s="290">
        <v>0</v>
      </c>
      <c r="AT475" s="290">
        <v>0</v>
      </c>
      <c r="AU475" s="290">
        <v>0</v>
      </c>
      <c r="AV475" s="290">
        <v>0</v>
      </c>
      <c r="AW475" s="290">
        <v>0</v>
      </c>
      <c r="AX475" s="290">
        <v>0</v>
      </c>
      <c r="AY475" s="290">
        <v>0</v>
      </c>
      <c r="AZ475" s="290">
        <v>0</v>
      </c>
      <c r="BA475" s="290">
        <v>0</v>
      </c>
      <c r="BB475" s="290">
        <v>0</v>
      </c>
      <c r="BC475" s="290">
        <v>0</v>
      </c>
      <c r="BD475" s="290">
        <v>0</v>
      </c>
      <c r="BE475" s="290">
        <v>0</v>
      </c>
      <c r="BF475" s="290">
        <v>0</v>
      </c>
      <c r="BG475" s="290">
        <v>0</v>
      </c>
      <c r="BH475" s="290">
        <v>0</v>
      </c>
      <c r="BI475" s="290">
        <v>0</v>
      </c>
      <c r="BJ475" s="290">
        <v>0</v>
      </c>
      <c r="BK475" s="78">
        <v>0</v>
      </c>
      <c r="BL475" s="41" t="s">
        <v>616</v>
      </c>
      <c r="BM475" s="45"/>
    </row>
    <row r="476" spans="1:65" x14ac:dyDescent="0.35">
      <c r="A476" s="45" t="str">
        <f>Database_Productkaarten[[#This Row],[Product]]&amp;", "&amp;Database_Productkaarten[[#This Row],[Levensfase]]</f>
        <v>SMA 8-11 - PCR 2.0, B4</v>
      </c>
      <c r="B476" s="45" t="s">
        <v>1376</v>
      </c>
      <c r="C476" s="41" t="s">
        <v>443</v>
      </c>
      <c r="D476" s="45" t="s">
        <v>472</v>
      </c>
      <c r="E476" s="41" t="s">
        <v>91</v>
      </c>
      <c r="F476" s="41" t="s">
        <v>50</v>
      </c>
      <c r="G476" s="45"/>
      <c r="H476" s="45"/>
      <c r="I476" s="45"/>
      <c r="J476" s="45"/>
      <c r="K476" s="45"/>
      <c r="L476" s="45">
        <v>2.35</v>
      </c>
      <c r="M476" s="291">
        <v>0</v>
      </c>
      <c r="N476" s="45">
        <v>16</v>
      </c>
      <c r="O476" s="290">
        <v>0</v>
      </c>
      <c r="P476" s="290">
        <v>0</v>
      </c>
      <c r="Q476" s="290">
        <v>0</v>
      </c>
      <c r="R476" s="290">
        <v>0</v>
      </c>
      <c r="S476" s="290">
        <v>0</v>
      </c>
      <c r="T476" s="290">
        <v>0</v>
      </c>
      <c r="U476" s="290">
        <v>0</v>
      </c>
      <c r="V476" s="290">
        <v>0</v>
      </c>
      <c r="W476" s="290">
        <v>0</v>
      </c>
      <c r="X476" s="290">
        <v>0</v>
      </c>
      <c r="Y476" s="290">
        <v>0</v>
      </c>
      <c r="Z476" s="290">
        <v>0</v>
      </c>
      <c r="AA476" s="290">
        <v>0</v>
      </c>
      <c r="AB476" s="290">
        <v>0</v>
      </c>
      <c r="AC476" s="290">
        <v>0</v>
      </c>
      <c r="AD476" s="290">
        <v>0</v>
      </c>
      <c r="AE476" s="290">
        <v>0</v>
      </c>
      <c r="AF476" s="290">
        <v>0</v>
      </c>
      <c r="AG476" s="290">
        <v>0</v>
      </c>
      <c r="AH476" s="290">
        <v>0</v>
      </c>
      <c r="AI476" s="290">
        <v>0</v>
      </c>
      <c r="AJ476" s="290">
        <v>0</v>
      </c>
      <c r="AK476" s="290">
        <v>0</v>
      </c>
      <c r="AL476" s="290">
        <v>0</v>
      </c>
      <c r="AM476" s="290">
        <v>0</v>
      </c>
      <c r="AN476" s="290">
        <v>0</v>
      </c>
      <c r="AO476" s="290">
        <v>0</v>
      </c>
      <c r="AP476" s="290">
        <v>0</v>
      </c>
      <c r="AQ476" s="290">
        <v>0</v>
      </c>
      <c r="AR476" s="290">
        <v>0</v>
      </c>
      <c r="AS476" s="290">
        <v>0</v>
      </c>
      <c r="AT476" s="290">
        <v>0</v>
      </c>
      <c r="AU476" s="290">
        <v>0</v>
      </c>
      <c r="AV476" s="290">
        <v>0</v>
      </c>
      <c r="AW476" s="290">
        <v>0</v>
      </c>
      <c r="AX476" s="290">
        <v>0</v>
      </c>
      <c r="AY476" s="290">
        <v>0</v>
      </c>
      <c r="AZ476" s="290">
        <v>0</v>
      </c>
      <c r="BA476" s="290">
        <v>0</v>
      </c>
      <c r="BB476" s="290">
        <v>0</v>
      </c>
      <c r="BC476" s="290">
        <v>0</v>
      </c>
      <c r="BD476" s="290">
        <v>0</v>
      </c>
      <c r="BE476" s="290">
        <v>0</v>
      </c>
      <c r="BF476" s="290">
        <v>0</v>
      </c>
      <c r="BG476" s="290">
        <v>0</v>
      </c>
      <c r="BH476" s="290">
        <v>0</v>
      </c>
      <c r="BI476" s="290">
        <v>0</v>
      </c>
      <c r="BJ476" s="290">
        <v>0</v>
      </c>
      <c r="BK476" s="78">
        <v>0</v>
      </c>
      <c r="BL476" s="41" t="s">
        <v>616</v>
      </c>
      <c r="BM476" s="45"/>
    </row>
    <row r="477" spans="1:65" x14ac:dyDescent="0.35">
      <c r="A477" s="45" t="str">
        <f>Database_Productkaarten[[#This Row],[Product]]&amp;", "&amp;Database_Productkaarten[[#This Row],[Levensfase]]</f>
        <v>SMA 8-11 - PCR 2.0, B5</v>
      </c>
      <c r="B477" s="45" t="s">
        <v>1376</v>
      </c>
      <c r="C477" s="41" t="s">
        <v>443</v>
      </c>
      <c r="D477" s="45" t="s">
        <v>472</v>
      </c>
      <c r="E477" s="41" t="s">
        <v>91</v>
      </c>
      <c r="F477" s="41" t="s">
        <v>1358</v>
      </c>
      <c r="G477" s="45"/>
      <c r="H477" s="45"/>
      <c r="I477" s="45"/>
      <c r="J477" s="45"/>
      <c r="K477" s="45"/>
      <c r="L477" s="45">
        <v>2.35</v>
      </c>
      <c r="M477" s="291">
        <v>0</v>
      </c>
      <c r="N477" s="45">
        <v>16</v>
      </c>
      <c r="O477" s="290">
        <v>0</v>
      </c>
      <c r="P477" s="290">
        <v>0</v>
      </c>
      <c r="Q477" s="290">
        <v>0</v>
      </c>
      <c r="R477" s="290">
        <v>0</v>
      </c>
      <c r="S477" s="290">
        <v>0</v>
      </c>
      <c r="T477" s="290">
        <v>0</v>
      </c>
      <c r="U477" s="290">
        <v>0</v>
      </c>
      <c r="V477" s="290">
        <v>0</v>
      </c>
      <c r="W477" s="290">
        <v>0</v>
      </c>
      <c r="X477" s="290">
        <v>0</v>
      </c>
      <c r="Y477" s="290">
        <v>0</v>
      </c>
      <c r="Z477" s="290">
        <v>0</v>
      </c>
      <c r="AA477" s="290">
        <v>0</v>
      </c>
      <c r="AB477" s="290">
        <v>0</v>
      </c>
      <c r="AC477" s="290">
        <v>0</v>
      </c>
      <c r="AD477" s="290">
        <v>0</v>
      </c>
      <c r="AE477" s="290">
        <v>0</v>
      </c>
      <c r="AF477" s="290">
        <v>0</v>
      </c>
      <c r="AG477" s="290">
        <v>0</v>
      </c>
      <c r="AH477" s="290">
        <v>0</v>
      </c>
      <c r="AI477" s="290">
        <v>0</v>
      </c>
      <c r="AJ477" s="290">
        <v>0</v>
      </c>
      <c r="AK477" s="290">
        <v>0</v>
      </c>
      <c r="AL477" s="290">
        <v>0</v>
      </c>
      <c r="AM477" s="290">
        <v>0</v>
      </c>
      <c r="AN477" s="290">
        <v>0</v>
      </c>
      <c r="AO477" s="290">
        <v>0</v>
      </c>
      <c r="AP477" s="290">
        <v>0</v>
      </c>
      <c r="AQ477" s="290">
        <v>0</v>
      </c>
      <c r="AR477" s="290">
        <v>0</v>
      </c>
      <c r="AS477" s="290">
        <v>0</v>
      </c>
      <c r="AT477" s="290">
        <v>0</v>
      </c>
      <c r="AU477" s="290">
        <v>0</v>
      </c>
      <c r="AV477" s="290">
        <v>0</v>
      </c>
      <c r="AW477" s="290">
        <v>0</v>
      </c>
      <c r="AX477" s="290">
        <v>0</v>
      </c>
      <c r="AY477" s="290">
        <v>0</v>
      </c>
      <c r="AZ477" s="290">
        <v>0</v>
      </c>
      <c r="BA477" s="290">
        <v>0</v>
      </c>
      <c r="BB477" s="290">
        <v>0</v>
      </c>
      <c r="BC477" s="290">
        <v>0</v>
      </c>
      <c r="BD477" s="290">
        <v>0</v>
      </c>
      <c r="BE477" s="290">
        <v>0</v>
      </c>
      <c r="BF477" s="290">
        <v>0</v>
      </c>
      <c r="BG477" s="290">
        <v>0</v>
      </c>
      <c r="BH477" s="290">
        <v>0</v>
      </c>
      <c r="BI477" s="290">
        <v>0</v>
      </c>
      <c r="BJ477" s="290">
        <v>0</v>
      </c>
      <c r="BK477" s="78">
        <v>0</v>
      </c>
      <c r="BL477" s="41" t="s">
        <v>616</v>
      </c>
      <c r="BM477" s="45"/>
    </row>
    <row r="478" spans="1:65" x14ac:dyDescent="0.35">
      <c r="A478" s="45" t="str">
        <f>Database_Productkaarten[[#This Row],[Product]]&amp;", "&amp;Database_Productkaarten[[#This Row],[Levensfase]]</f>
        <v>SMA 8-11 - PCR 2.0, C1</v>
      </c>
      <c r="B478" s="45" t="s">
        <v>1376</v>
      </c>
      <c r="C478" s="41" t="s">
        <v>443</v>
      </c>
      <c r="D478" s="45" t="s">
        <v>472</v>
      </c>
      <c r="E478" s="41" t="s">
        <v>91</v>
      </c>
      <c r="F478" s="41" t="s">
        <v>25</v>
      </c>
      <c r="G478" s="45"/>
      <c r="H478" s="45"/>
      <c r="I478" s="45"/>
      <c r="J478" s="45"/>
      <c r="K478" s="45"/>
      <c r="L478" s="45">
        <v>2.35</v>
      </c>
      <c r="M478" s="291">
        <v>0.13541602871149014</v>
      </c>
      <c r="N478" s="45">
        <v>16</v>
      </c>
      <c r="O478" s="290">
        <v>1.66355233767536E-6</v>
      </c>
      <c r="P478" s="290">
        <v>7.0767186159891096E-3</v>
      </c>
      <c r="Q478" s="290">
        <v>1.4392148994809399</v>
      </c>
      <c r="R478" s="290">
        <v>1.8598176483383299E-7</v>
      </c>
      <c r="S478" s="290">
        <v>4.7349882919510297E-4</v>
      </c>
      <c r="T478" s="290">
        <v>4.1086089189493798E-3</v>
      </c>
      <c r="U478" s="290">
        <v>8.8311374581697397E-4</v>
      </c>
      <c r="V478" s="290">
        <v>0.38738647406190602</v>
      </c>
      <c r="W478" s="290">
        <v>5.52037623399638E-3</v>
      </c>
      <c r="X478" s="290">
        <v>19.1808744685991</v>
      </c>
      <c r="Y478" s="290">
        <v>6.5374485956643696E-4</v>
      </c>
      <c r="Z478" s="290">
        <v>1.4480810804389299</v>
      </c>
      <c r="AA478" s="290">
        <v>1.4476653676128199</v>
      </c>
      <c r="AB478" s="290">
        <v>3.3110965827318298E-4</v>
      </c>
      <c r="AC478" s="290">
        <v>8.4603167837425398E-5</v>
      </c>
      <c r="AD478" s="290">
        <v>2.34344369210698E-7</v>
      </c>
      <c r="AE478" s="290">
        <v>5.57923980962278E-3</v>
      </c>
      <c r="AF478" s="290">
        <v>3.9527082897651801E-6</v>
      </c>
      <c r="AG478" s="290">
        <v>2.1681682890645798E-3</v>
      </c>
      <c r="AH478" s="290">
        <v>2.3831205885041E-2</v>
      </c>
      <c r="AI478" s="290">
        <v>6.50871025326933E-3</v>
      </c>
      <c r="AJ478" s="290">
        <v>1.6635392835810201E-6</v>
      </c>
      <c r="AK478" s="290">
        <v>14.9314443564451</v>
      </c>
      <c r="AL478" s="290">
        <v>1.9886244833052E-2</v>
      </c>
      <c r="AM478" s="290">
        <v>2.30495801061881E-8</v>
      </c>
      <c r="AN478" s="290">
        <v>6.4087145997662104E-2</v>
      </c>
      <c r="AO478" s="290">
        <v>8.9589318481386204</v>
      </c>
      <c r="AP478" s="290">
        <v>3.1432578120582601E-10</v>
      </c>
      <c r="AQ478" s="290">
        <v>6.3100664550100597E-9</v>
      </c>
      <c r="AR478" s="290">
        <v>1.9071665133517599</v>
      </c>
      <c r="AS478" s="290">
        <v>0</v>
      </c>
      <c r="AT478" s="290">
        <v>0</v>
      </c>
      <c r="AU478" s="290">
        <v>8.2070636099077901E-2</v>
      </c>
      <c r="AV478" s="290">
        <v>0</v>
      </c>
      <c r="AW478" s="290">
        <v>0</v>
      </c>
      <c r="AX478" s="290">
        <v>15.8567216497819</v>
      </c>
      <c r="AY478" s="290">
        <v>0</v>
      </c>
      <c r="AZ478" s="290">
        <v>0</v>
      </c>
      <c r="BA478" s="290">
        <v>0</v>
      </c>
      <c r="BB478" s="290">
        <v>7.7185667468631898E-4</v>
      </c>
      <c r="BC478" s="290">
        <v>4.0662310250759001E-5</v>
      </c>
      <c r="BD478" s="290">
        <v>1.7667955322688299E-2</v>
      </c>
      <c r="BE478" s="290">
        <v>1.03774339558545E-4</v>
      </c>
      <c r="BF478" s="290">
        <v>0</v>
      </c>
      <c r="BG478" s="290">
        <v>0</v>
      </c>
      <c r="BH478" s="290">
        <v>0</v>
      </c>
      <c r="BI478" s="290">
        <v>0</v>
      </c>
      <c r="BJ478" s="290">
        <v>0</v>
      </c>
      <c r="BK478" s="78">
        <v>0</v>
      </c>
      <c r="BL478" s="41" t="s">
        <v>616</v>
      </c>
      <c r="BM478" s="45"/>
    </row>
    <row r="479" spans="1:65" x14ac:dyDescent="0.35">
      <c r="A479" s="45" t="str">
        <f>Database_Productkaarten[[#This Row],[Product]]&amp;", "&amp;Database_Productkaarten[[#This Row],[Levensfase]]</f>
        <v>SMA 8-11 - PCR 2.0, C2</v>
      </c>
      <c r="B479" s="45" t="s">
        <v>1376</v>
      </c>
      <c r="C479" s="41" t="s">
        <v>443</v>
      </c>
      <c r="D479" s="45" t="s">
        <v>472</v>
      </c>
      <c r="E479" s="41" t="s">
        <v>91</v>
      </c>
      <c r="F479" s="41" t="s">
        <v>26</v>
      </c>
      <c r="G479" s="45"/>
      <c r="H479" s="45"/>
      <c r="I479" s="45"/>
      <c r="J479" s="45"/>
      <c r="K479" s="45"/>
      <c r="L479" s="45">
        <v>2.35</v>
      </c>
      <c r="M479" s="291">
        <v>0.31791357541832999</v>
      </c>
      <c r="N479" s="45">
        <v>16</v>
      </c>
      <c r="O479" s="290">
        <v>7.2195843000000002E-5</v>
      </c>
      <c r="P479" s="290">
        <v>2.5045429500000001E-2</v>
      </c>
      <c r="Q479" s="290">
        <v>3.2726104581</v>
      </c>
      <c r="R479" s="290">
        <v>6.2448211500000004E-7</v>
      </c>
      <c r="S479" s="290">
        <v>2.3663202E-3</v>
      </c>
      <c r="T479" s="290">
        <v>9.9103019999999993E-3</v>
      </c>
      <c r="U479" s="290">
        <v>1.66070541E-3</v>
      </c>
      <c r="V479" s="290">
        <v>0.89062466159999998</v>
      </c>
      <c r="W479" s="290">
        <v>3.5055542699999998E-2</v>
      </c>
      <c r="X479" s="290">
        <v>92.682047400000002</v>
      </c>
      <c r="Y479" s="290">
        <v>7.4868390000000003E-3</v>
      </c>
      <c r="Z479" s="290">
        <v>3.3150718431000001</v>
      </c>
      <c r="AA479" s="290">
        <v>3.3001817481</v>
      </c>
      <c r="AB479" s="290">
        <v>1.3607189190000001E-2</v>
      </c>
      <c r="AC479" s="290">
        <v>1.2829113599999999E-3</v>
      </c>
      <c r="AD479" s="290">
        <v>7.8107336699999998E-7</v>
      </c>
      <c r="AE479" s="290">
        <v>1.2482505E-2</v>
      </c>
      <c r="AF479" s="290">
        <v>3.4632532799999998E-5</v>
      </c>
      <c r="AG479" s="290">
        <v>2.8897329300000001E-3</v>
      </c>
      <c r="AH479" s="290">
        <v>3.3662059799999998E-2</v>
      </c>
      <c r="AI479" s="290">
        <v>1.2098522699999999E-2</v>
      </c>
      <c r="AJ479" s="290">
        <v>7.2195510000000004E-5</v>
      </c>
      <c r="AK479" s="290">
        <v>52.307882313</v>
      </c>
      <c r="AL479" s="290">
        <v>0.28570883850000001</v>
      </c>
      <c r="AM479" s="290">
        <v>2.8544027399999998E-7</v>
      </c>
      <c r="AN479" s="290">
        <v>0.22308385950000001</v>
      </c>
      <c r="AO479" s="290">
        <v>50.61443379</v>
      </c>
      <c r="AP479" s="290">
        <v>1.35209877E-9</v>
      </c>
      <c r="AQ479" s="290">
        <v>4.3221490799999998E-8</v>
      </c>
      <c r="AR479" s="290">
        <v>98.528772599999996</v>
      </c>
      <c r="AS479" s="290">
        <v>8.065825212</v>
      </c>
      <c r="AT479" s="290">
        <v>0</v>
      </c>
      <c r="AU479" s="290">
        <v>8.6963547624000004</v>
      </c>
      <c r="AV479" s="290">
        <v>0.70667511750000001</v>
      </c>
      <c r="AW479" s="290">
        <v>9.926829900000001E-4</v>
      </c>
      <c r="AX479" s="290">
        <v>55.561210727999999</v>
      </c>
      <c r="AY479" s="290">
        <v>0</v>
      </c>
      <c r="AZ479" s="290">
        <v>0</v>
      </c>
      <c r="BA479" s="290">
        <v>0</v>
      </c>
      <c r="BB479" s="290">
        <v>8.7338241000000007E-3</v>
      </c>
      <c r="BC479" s="290">
        <v>1.5376752299999999E-4</v>
      </c>
      <c r="BD479" s="290">
        <v>5.5583861609999996</v>
      </c>
      <c r="BE479" s="290">
        <v>3.4865666099999999E-4</v>
      </c>
      <c r="BF479" s="290">
        <v>0</v>
      </c>
      <c r="BG479" s="290">
        <v>0</v>
      </c>
      <c r="BH479" s="290">
        <v>0</v>
      </c>
      <c r="BI479" s="290">
        <v>0</v>
      </c>
      <c r="BJ479" s="290">
        <v>0</v>
      </c>
      <c r="BK479" s="78">
        <v>0</v>
      </c>
      <c r="BL479" s="41" t="s">
        <v>616</v>
      </c>
      <c r="BM479" s="45"/>
    </row>
    <row r="480" spans="1:65" x14ac:dyDescent="0.35">
      <c r="A480" s="45" t="str">
        <f>Database_Productkaarten[[#This Row],[Product]]&amp;", "&amp;Database_Productkaarten[[#This Row],[Levensfase]]</f>
        <v>SMA 8-11 - PCR 2.0, C3</v>
      </c>
      <c r="B480" s="45" t="s">
        <v>1376</v>
      </c>
      <c r="C480" s="41" t="s">
        <v>443</v>
      </c>
      <c r="D480" s="45" t="s">
        <v>472</v>
      </c>
      <c r="E480" s="41" t="s">
        <v>91</v>
      </c>
      <c r="F480" s="41" t="s">
        <v>27</v>
      </c>
      <c r="G480" s="45"/>
      <c r="H480" s="45"/>
      <c r="I480" s="45"/>
      <c r="J480" s="45"/>
      <c r="K480" s="45"/>
      <c r="L480" s="45">
        <v>2.35</v>
      </c>
      <c r="M480" s="291">
        <v>0.15929996470859115</v>
      </c>
      <c r="N480" s="45">
        <v>16</v>
      </c>
      <c r="O480" s="290">
        <v>1.8651950452723701E-6</v>
      </c>
      <c r="P480" s="290">
        <v>7.9345026906544498E-3</v>
      </c>
      <c r="Q480" s="290">
        <v>1.61366519032711</v>
      </c>
      <c r="R480" s="290">
        <v>2.0852500905611699E-7</v>
      </c>
      <c r="S480" s="290">
        <v>5.8559282781739104E-4</v>
      </c>
      <c r="T480" s="290">
        <v>5.7290956060941298E-3</v>
      </c>
      <c r="U480" s="290">
        <v>1.2820009422794801E-3</v>
      </c>
      <c r="V480" s="290">
        <v>0.43705340603001602</v>
      </c>
      <c r="W480" s="290">
        <v>6.1895127472080501E-3</v>
      </c>
      <c r="X480" s="290">
        <v>21.505828949641401</v>
      </c>
      <c r="Y480" s="290">
        <v>7.32986660726004E-4</v>
      </c>
      <c r="Z480" s="290">
        <v>1.62432602382546</v>
      </c>
      <c r="AA480" s="290">
        <v>1.62385992156589</v>
      </c>
      <c r="AB480" s="290">
        <v>3.7124416230629803E-4</v>
      </c>
      <c r="AC480" s="290">
        <v>9.4858097272264901E-5</v>
      </c>
      <c r="AD480" s="290">
        <v>2.62749747296844E-7</v>
      </c>
      <c r="AE480" s="290">
        <v>7.9167720592731097E-3</v>
      </c>
      <c r="AF480" s="290">
        <v>4.4318244461003603E-6</v>
      </c>
      <c r="AG480" s="290">
        <v>3.3042609377385902E-3</v>
      </c>
      <c r="AH480" s="290">
        <v>3.6283310992313397E-2</v>
      </c>
      <c r="AI480" s="290">
        <v>9.6537099748764208E-3</v>
      </c>
      <c r="AJ480" s="290">
        <v>1.86518040886357E-6</v>
      </c>
      <c r="AK480" s="290">
        <v>16.7413163996506</v>
      </c>
      <c r="AL480" s="290">
        <v>2.2296698752209701E-2</v>
      </c>
      <c r="AM480" s="290">
        <v>3.0576571358147701E-8</v>
      </c>
      <c r="AN480" s="290">
        <v>7.1855284906469793E-2</v>
      </c>
      <c r="AO480" s="290">
        <v>10.045649855578199</v>
      </c>
      <c r="AP480" s="290">
        <v>3.5242587589744399E-10</v>
      </c>
      <c r="AQ480" s="290">
        <v>7.5755651453537404E-9</v>
      </c>
      <c r="AR480" s="290">
        <v>2.1383382119398502</v>
      </c>
      <c r="AS480" s="290">
        <v>0</v>
      </c>
      <c r="AT480" s="290">
        <v>0</v>
      </c>
      <c r="AU480" s="290">
        <v>9.2018591989875095E-2</v>
      </c>
      <c r="AV480" s="290">
        <v>0</v>
      </c>
      <c r="AW480" s="290">
        <v>0</v>
      </c>
      <c r="AX480" s="290">
        <v>17.778748516422102</v>
      </c>
      <c r="AY480" s="290">
        <v>0</v>
      </c>
      <c r="AZ480" s="290">
        <v>0</v>
      </c>
      <c r="BA480" s="290">
        <v>0</v>
      </c>
      <c r="BB480" s="290">
        <v>8.65415059496781E-4</v>
      </c>
      <c r="BC480" s="290">
        <v>4.5591075129638897E-5</v>
      </c>
      <c r="BD480" s="290">
        <v>1.9809525664832298E-2</v>
      </c>
      <c r="BE480" s="290">
        <v>1.16353047383823E-4</v>
      </c>
      <c r="BF480" s="290">
        <v>0</v>
      </c>
      <c r="BG480" s="290">
        <v>1000</v>
      </c>
      <c r="BH480" s="290">
        <v>0</v>
      </c>
      <c r="BI480" s="290">
        <v>0</v>
      </c>
      <c r="BJ480" s="290">
        <v>0</v>
      </c>
      <c r="BK480" s="78">
        <v>0</v>
      </c>
      <c r="BL480" s="41" t="s">
        <v>616</v>
      </c>
      <c r="BM480" s="45"/>
    </row>
    <row r="481" spans="1:65" x14ac:dyDescent="0.35">
      <c r="A481" s="45" t="str">
        <f>Database_Productkaarten[[#This Row],[Product]]&amp;", "&amp;Database_Productkaarten[[#This Row],[Levensfase]]</f>
        <v>SMA 8-11 - PCR 2.0, C4</v>
      </c>
      <c r="B481" s="45" t="s">
        <v>1376</v>
      </c>
      <c r="C481" s="41" t="s">
        <v>443</v>
      </c>
      <c r="D481" s="45" t="s">
        <v>472</v>
      </c>
      <c r="E481" s="41" t="s">
        <v>91</v>
      </c>
      <c r="F481" s="41" t="s">
        <v>28</v>
      </c>
      <c r="G481" s="45"/>
      <c r="H481" s="45"/>
      <c r="I481" s="45"/>
      <c r="J481" s="45"/>
      <c r="K481" s="45"/>
      <c r="L481" s="45">
        <v>2.35</v>
      </c>
      <c r="M481" s="291">
        <v>0</v>
      </c>
      <c r="N481" s="45">
        <v>16</v>
      </c>
      <c r="O481" s="290">
        <v>0</v>
      </c>
      <c r="P481" s="290">
        <v>0</v>
      </c>
      <c r="Q481" s="290">
        <v>0</v>
      </c>
      <c r="R481" s="290">
        <v>0</v>
      </c>
      <c r="S481" s="290">
        <v>0</v>
      </c>
      <c r="T481" s="290">
        <v>0</v>
      </c>
      <c r="U481" s="290">
        <v>0</v>
      </c>
      <c r="V481" s="290">
        <v>0</v>
      </c>
      <c r="W481" s="290">
        <v>0</v>
      </c>
      <c r="X481" s="290">
        <v>0</v>
      </c>
      <c r="Y481" s="290">
        <v>0</v>
      </c>
      <c r="Z481" s="290">
        <v>0</v>
      </c>
      <c r="AA481" s="290">
        <v>0</v>
      </c>
      <c r="AB481" s="290">
        <v>0</v>
      </c>
      <c r="AC481" s="290">
        <v>0</v>
      </c>
      <c r="AD481" s="290">
        <v>0</v>
      </c>
      <c r="AE481" s="290">
        <v>0</v>
      </c>
      <c r="AF481" s="290">
        <v>0</v>
      </c>
      <c r="AG481" s="290">
        <v>0</v>
      </c>
      <c r="AH481" s="290">
        <v>0</v>
      </c>
      <c r="AI481" s="290">
        <v>0</v>
      </c>
      <c r="AJ481" s="290">
        <v>0</v>
      </c>
      <c r="AK481" s="290">
        <v>0</v>
      </c>
      <c r="AL481" s="290">
        <v>0</v>
      </c>
      <c r="AM481" s="290">
        <v>0</v>
      </c>
      <c r="AN481" s="290">
        <v>0</v>
      </c>
      <c r="AO481" s="290">
        <v>0</v>
      </c>
      <c r="AP481" s="290">
        <v>0</v>
      </c>
      <c r="AQ481" s="290">
        <v>0</v>
      </c>
      <c r="AR481" s="290">
        <v>0</v>
      </c>
      <c r="AS481" s="290">
        <v>0</v>
      </c>
      <c r="AT481" s="290">
        <v>0</v>
      </c>
      <c r="AU481" s="290">
        <v>0</v>
      </c>
      <c r="AV481" s="290">
        <v>0</v>
      </c>
      <c r="AW481" s="290">
        <v>0</v>
      </c>
      <c r="AX481" s="290">
        <v>0</v>
      </c>
      <c r="AY481" s="290">
        <v>0</v>
      </c>
      <c r="AZ481" s="290">
        <v>0</v>
      </c>
      <c r="BA481" s="290">
        <v>0</v>
      </c>
      <c r="BB481" s="290">
        <v>0</v>
      </c>
      <c r="BC481" s="290">
        <v>0</v>
      </c>
      <c r="BD481" s="290">
        <v>0</v>
      </c>
      <c r="BE481" s="290">
        <v>0</v>
      </c>
      <c r="BF481" s="290">
        <v>0</v>
      </c>
      <c r="BG481" s="290">
        <v>0</v>
      </c>
      <c r="BH481" s="290">
        <v>0</v>
      </c>
      <c r="BI481" s="290">
        <v>0</v>
      </c>
      <c r="BJ481" s="290">
        <v>0</v>
      </c>
      <c r="BK481" s="78">
        <v>0</v>
      </c>
      <c r="BL481" s="41" t="s">
        <v>616</v>
      </c>
      <c r="BM481" s="45"/>
    </row>
    <row r="482" spans="1:65" x14ac:dyDescent="0.35">
      <c r="A482" s="45" t="str">
        <f>Database_Productkaarten[[#This Row],[Product]]&amp;", "&amp;Database_Productkaarten[[#This Row],[Levensfase]]</f>
        <v>SMA 8-11 - PCR 2.0, D1</v>
      </c>
      <c r="B482" s="45" t="s">
        <v>1376</v>
      </c>
      <c r="C482" s="41" t="s">
        <v>443</v>
      </c>
      <c r="D482" s="45" t="s">
        <v>472</v>
      </c>
      <c r="E482" s="41" t="s">
        <v>91</v>
      </c>
      <c r="F482" s="41" t="s">
        <v>51</v>
      </c>
      <c r="G482" s="45"/>
      <c r="H482" s="45"/>
      <c r="I482" s="45"/>
      <c r="J482" s="45"/>
      <c r="K482" s="45"/>
      <c r="L482" s="45">
        <v>2.35</v>
      </c>
      <c r="M482" s="291">
        <v>-4.3679865488092933</v>
      </c>
      <c r="N482" s="45">
        <v>16</v>
      </c>
      <c r="O482" s="290">
        <v>-4.9038813859920798E-4</v>
      </c>
      <c r="P482" s="290">
        <v>-0.74558617423518103</v>
      </c>
      <c r="Q482" s="290">
        <v>-32.476786311141801</v>
      </c>
      <c r="R482" s="290">
        <v>-2.7847203883364602E-6</v>
      </c>
      <c r="S482" s="290">
        <v>-8.0189532019673396E-2</v>
      </c>
      <c r="T482" s="290">
        <v>-0.22941796175554</v>
      </c>
      <c r="U482" s="290">
        <v>-2.1887334272647399E-2</v>
      </c>
      <c r="V482" s="290">
        <v>-8.9008105297931799</v>
      </c>
      <c r="W482" s="290">
        <v>-1.15579790407793</v>
      </c>
      <c r="X482" s="290">
        <v>-5047.7740648741501</v>
      </c>
      <c r="Y482" s="290">
        <v>-0.15217051423792999</v>
      </c>
      <c r="Z482" s="290">
        <v>-8.6996418853775808</v>
      </c>
      <c r="AA482" s="290">
        <v>-8.5956686025039204</v>
      </c>
      <c r="AB482" s="290">
        <v>-9.3379172133634794E-2</v>
      </c>
      <c r="AC482" s="290">
        <v>-1.0594110740005901E-2</v>
      </c>
      <c r="AD482" s="290">
        <v>-1.1395939803902499E-6</v>
      </c>
      <c r="AE482" s="290">
        <v>-8.4050570214687398E-2</v>
      </c>
      <c r="AF482" s="290">
        <v>-3.67338482887708E-4</v>
      </c>
      <c r="AG482" s="290">
        <v>-2.4828159470133001E-2</v>
      </c>
      <c r="AH482" s="290">
        <v>-0.31243681395224299</v>
      </c>
      <c r="AI482" s="290">
        <v>-7.7086420246335496E-2</v>
      </c>
      <c r="AJ482" s="290">
        <v>-4.8699678888744198E-4</v>
      </c>
      <c r="AK482" s="290">
        <v>-125.345591238572</v>
      </c>
      <c r="AL482" s="290">
        <v>-30.720181768214101</v>
      </c>
      <c r="AM482" s="290">
        <v>-1.1872978141430501E-6</v>
      </c>
      <c r="AN482" s="290">
        <v>-0.67077370104912104</v>
      </c>
      <c r="AO482" s="290">
        <v>-1140.60845371149</v>
      </c>
      <c r="AP482" s="290">
        <v>-6.3431836105224197E-9</v>
      </c>
      <c r="AQ482" s="290">
        <v>-1.4494123752886999E-7</v>
      </c>
      <c r="AR482" s="290">
        <v>-1407.4485166152299</v>
      </c>
      <c r="AS482" s="290">
        <v>0</v>
      </c>
      <c r="AT482" s="290">
        <v>0</v>
      </c>
      <c r="AU482" s="290">
        <v>-16.262675846024901</v>
      </c>
      <c r="AV482" s="290">
        <v>0</v>
      </c>
      <c r="AW482" s="290">
        <v>0</v>
      </c>
      <c r="AX482" s="290">
        <v>-1683.8722526816</v>
      </c>
      <c r="AY482" s="290">
        <v>0</v>
      </c>
      <c r="AZ482" s="290">
        <v>0</v>
      </c>
      <c r="BA482" s="290">
        <v>0</v>
      </c>
      <c r="BB482" s="290">
        <v>-17.998471224775599</v>
      </c>
      <c r="BC482" s="290">
        <v>-7.7956597636366501E-4</v>
      </c>
      <c r="BD482" s="290">
        <v>-3.0846445632671</v>
      </c>
      <c r="BE482" s="290">
        <v>-9.1037908697752697E-4</v>
      </c>
      <c r="BF482" s="290">
        <v>0</v>
      </c>
      <c r="BG482" s="290">
        <v>0</v>
      </c>
      <c r="BH482" s="290">
        <v>0</v>
      </c>
      <c r="BI482" s="290">
        <v>0</v>
      </c>
      <c r="BJ482" s="290">
        <v>0</v>
      </c>
      <c r="BK482" s="78">
        <v>0</v>
      </c>
      <c r="BL482" s="41" t="s">
        <v>616</v>
      </c>
      <c r="BM482" s="45"/>
    </row>
    <row r="483" spans="1:65" x14ac:dyDescent="0.35">
      <c r="A483" s="45" t="str">
        <f>Database_Productkaarten[[#This Row],[Product]]&amp;", "&amp;Database_Productkaarten[[#This Row],[Levensfase]]</f>
        <v>SMA 8-11 G.M. - PCR 2.0, Totaal</v>
      </c>
      <c r="B483" s="45" t="s">
        <v>1378</v>
      </c>
      <c r="C483" s="41" t="s">
        <v>443</v>
      </c>
      <c r="D483" s="45" t="s">
        <v>472</v>
      </c>
      <c r="E483" s="41" t="s">
        <v>91</v>
      </c>
      <c r="F483" s="41" t="s">
        <v>16</v>
      </c>
      <c r="G483" s="45"/>
      <c r="H483" s="45"/>
      <c r="I483" s="45"/>
      <c r="J483" s="45"/>
      <c r="K483" s="45"/>
      <c r="L483" s="45">
        <v>2.35</v>
      </c>
      <c r="M483" s="54">
        <f>SUM(M484:M498)</f>
        <v>12.786719965481852</v>
      </c>
      <c r="N483" s="45">
        <v>16</v>
      </c>
      <c r="O483" s="55">
        <f>SUM(O484:O498)</f>
        <v>8.1078480106956362E-3</v>
      </c>
      <c r="P483" s="55">
        <f t="shared" ref="P483" si="626">SUM(P484:P498)</f>
        <v>1.4755935649793326</v>
      </c>
      <c r="Q483" s="55">
        <f t="shared" ref="Q483" si="627">SUM(Q484:Q498)</f>
        <v>115.91023795611461</v>
      </c>
      <c r="R483" s="55">
        <f t="shared" ref="R483" si="628">SUM(R484:R498)</f>
        <v>1.5018529260025287E-5</v>
      </c>
      <c r="S483" s="55">
        <f t="shared" ref="S483" si="629">SUM(S484:S498)</f>
        <v>0.12497486987890621</v>
      </c>
      <c r="T483" s="55">
        <f t="shared" ref="T483" si="630">SUM(T484:T498)</f>
        <v>0.53013889395345792</v>
      </c>
      <c r="U483" s="55">
        <f t="shared" ref="U483" si="631">SUM(U484:U498)</f>
        <v>7.7652972240974893E-2</v>
      </c>
      <c r="V483" s="55">
        <f t="shared" ref="V483" si="632">SUM(V484:V498)</f>
        <v>31.803700727828964</v>
      </c>
      <c r="W483" s="55">
        <f t="shared" ref="W483" si="633">SUM(W484:W498)</f>
        <v>2.1874631511272535</v>
      </c>
      <c r="X483" s="55">
        <f t="shared" ref="X483" si="634">SUM(X484:X498)</f>
        <v>7398.5266143073941</v>
      </c>
      <c r="Y483" s="55">
        <f t="shared" ref="Y483" si="635">SUM(Y484:Y498)</f>
        <v>0.26955997517224339</v>
      </c>
      <c r="Z483" s="55">
        <f t="shared" ref="Z483" si="636">SUM(Z484:Z498)</f>
        <v>144.43786970602861</v>
      </c>
      <c r="AA483" s="55">
        <f t="shared" ref="AA483" si="637">SUM(AA484:AA498)</f>
        <v>144.75477435247831</v>
      </c>
      <c r="AB483" s="55">
        <f t="shared" ref="AB483" si="638">SUM(AB484:AB498)</f>
        <v>-0.37710840454428085</v>
      </c>
      <c r="AC483" s="55">
        <f t="shared" ref="AC483" si="639">SUM(AC484:AC498)</f>
        <v>9.8637341444417076E-2</v>
      </c>
      <c r="AD483" s="55">
        <f t="shared" ref="AD483" si="640">SUM(AD484:AD498)</f>
        <v>2.0430012326157269E-5</v>
      </c>
      <c r="AE483" s="55">
        <f t="shared" ref="AE483" si="641">SUM(AE484:AE498)</f>
        <v>0.85973934784239381</v>
      </c>
      <c r="AF483" s="55">
        <f t="shared" ref="AF483" si="642">SUM(AF484:AF498)</f>
        <v>2.1605335022092751E-3</v>
      </c>
      <c r="AG483" s="55">
        <f t="shared" ref="AG483" si="643">SUM(AG484:AG498)</f>
        <v>0.20015098188295261</v>
      </c>
      <c r="AH483" s="55">
        <f t="shared" ref="AH483" si="644">SUM(AH484:AH498)</f>
        <v>2.1099231157616098</v>
      </c>
      <c r="AI483" s="55">
        <f t="shared" ref="AI483" si="645">SUM(AI484:AI498)</f>
        <v>0.8900254606864948</v>
      </c>
      <c r="AJ483" s="55">
        <f t="shared" ref="AJ483" si="646">SUM(AJ484:AJ498)</f>
        <v>8.1111517385736315E-3</v>
      </c>
      <c r="AK483" s="55">
        <f t="shared" ref="AK483" si="647">SUM(AK484:AK498)</f>
        <v>4494.7565257848973</v>
      </c>
      <c r="AL483" s="55">
        <f t="shared" ref="AL483" si="648">SUM(AL484:AL498)</f>
        <v>43.291350241981107</v>
      </c>
      <c r="AM483" s="55">
        <f t="shared" ref="AM483" si="649">SUM(AM484:AM498)</f>
        <v>4.2019036084556647E-6</v>
      </c>
      <c r="AN483" s="55">
        <f t="shared" ref="AN483" si="650">SUM(AN484:AN498)</f>
        <v>5.5810747574272366</v>
      </c>
      <c r="AO483" s="55">
        <f t="shared" ref="AO483" si="651">SUM(AO484:AO498)</f>
        <v>3793.928220160692</v>
      </c>
      <c r="AP483" s="55">
        <f t="shared" ref="AP483" si="652">SUM(AP484:AP498)</f>
        <v>4.6232013801894622E-8</v>
      </c>
      <c r="AQ483" s="55">
        <f t="shared" ref="AQ483" si="653">SUM(AQ484:AQ498)</f>
        <v>1.4999166156555036E-6</v>
      </c>
      <c r="AR483" s="55">
        <f t="shared" ref="AR483" si="654">SUM(AR484:AR498)</f>
        <v>-128.56638961405338</v>
      </c>
      <c r="AS483" s="55">
        <f t="shared" ref="AS483" si="655">SUM(AS484:AS498)</f>
        <v>8.065825212</v>
      </c>
      <c r="AT483" s="55">
        <f t="shared" ref="AT483" si="656">SUM(AT484:AT498)</f>
        <v>0</v>
      </c>
      <c r="AU483" s="55">
        <f t="shared" ref="AU483" si="657">SUM(AU484:AU498)</f>
        <v>66.565754110840132</v>
      </c>
      <c r="AV483" s="55">
        <f t="shared" ref="AV483" si="658">SUM(AV484:AV498)</f>
        <v>0.70667511750000001</v>
      </c>
      <c r="AW483" s="55">
        <f t="shared" ref="AW483" si="659">SUM(AW484:AW498)</f>
        <v>9.926829900000001E-4</v>
      </c>
      <c r="AX483" s="55">
        <f t="shared" ref="AX483" si="660">SUM(AX484:AX498)</f>
        <v>3246.7839352702708</v>
      </c>
      <c r="AY483" s="55">
        <f t="shared" ref="AY483" si="661">SUM(AY484:AY498)</f>
        <v>0</v>
      </c>
      <c r="AZ483" s="55">
        <f t="shared" ref="AZ483" si="662">SUM(AZ484:AZ498)</f>
        <v>0</v>
      </c>
      <c r="BA483" s="55">
        <f t="shared" ref="BA483" si="663">SUM(BA484:BA498)</f>
        <v>0</v>
      </c>
      <c r="BB483" s="55">
        <f t="shared" ref="BB483" si="664">SUM(BB484:BB498)</f>
        <v>-16.125188956537112</v>
      </c>
      <c r="BC483" s="55">
        <f t="shared" ref="BC483" si="665">SUM(BC484:BC498)</f>
        <v>2.7343982862973689E-3</v>
      </c>
      <c r="BD483" s="55">
        <f t="shared" ref="BD483" si="666">SUM(BD484:BD498)</f>
        <v>21.184894712603143</v>
      </c>
      <c r="BE483" s="55">
        <f t="shared" ref="BE483" si="667">SUM(BE484:BE498)</f>
        <v>6.6292321599408397E-3</v>
      </c>
      <c r="BF483" s="55">
        <f t="shared" ref="BF483" si="668">SUM(BF484:BF498)</f>
        <v>0</v>
      </c>
      <c r="BG483" s="55">
        <f t="shared" ref="BG483" si="669">SUM(BG484:BG498)</f>
        <v>1000</v>
      </c>
      <c r="BH483" s="55">
        <f t="shared" ref="BH483" si="670">SUM(BH484:BH498)</f>
        <v>0</v>
      </c>
      <c r="BI483" s="55">
        <f t="shared" ref="BI483" si="671">SUM(BI484:BI498)</f>
        <v>0</v>
      </c>
      <c r="BJ483" s="55">
        <f t="shared" ref="BJ483" si="672">SUM(BJ484:BJ498)</f>
        <v>0</v>
      </c>
      <c r="BK483" s="78">
        <v>0</v>
      </c>
      <c r="BL483" s="41" t="s">
        <v>616</v>
      </c>
      <c r="BM483" s="45"/>
    </row>
    <row r="484" spans="1:65" x14ac:dyDescent="0.35">
      <c r="A484" s="45" t="str">
        <f>Database_Productkaarten[[#This Row],[Product]]&amp;", "&amp;Database_Productkaarten[[#This Row],[Levensfase]]</f>
        <v>SMA 8-11 G.M. - PCR 2.0, A1</v>
      </c>
      <c r="B484" s="45" t="s">
        <v>1378</v>
      </c>
      <c r="C484" s="41" t="s">
        <v>443</v>
      </c>
      <c r="D484" s="45" t="s">
        <v>472</v>
      </c>
      <c r="E484" s="41" t="s">
        <v>91</v>
      </c>
      <c r="F484" s="41" t="s">
        <v>19</v>
      </c>
      <c r="G484" s="45"/>
      <c r="H484" s="45"/>
      <c r="I484" s="45"/>
      <c r="J484" s="45"/>
      <c r="K484" s="45"/>
      <c r="L484" s="45">
        <v>2.35</v>
      </c>
      <c r="M484" s="291">
        <v>10.639894525209048</v>
      </c>
      <c r="N484" s="45">
        <v>16</v>
      </c>
      <c r="O484" s="290">
        <v>8.1116501476564806E-3</v>
      </c>
      <c r="P484" s="290">
        <v>1.76026520670717</v>
      </c>
      <c r="Q484" s="290">
        <v>83.506219487724707</v>
      </c>
      <c r="R484" s="290">
        <v>8.8084434503888407E-6</v>
      </c>
      <c r="S484" s="290">
        <v>0.17728795188600599</v>
      </c>
      <c r="T484" s="290">
        <v>0.49506848531023201</v>
      </c>
      <c r="U484" s="290">
        <v>4.3114729904972698E-2</v>
      </c>
      <c r="V484" s="290">
        <v>25.374008762258701</v>
      </c>
      <c r="W484" s="290">
        <v>2.5055774878257502</v>
      </c>
      <c r="X484" s="290">
        <v>10790.6873549709</v>
      </c>
      <c r="Y484" s="290">
        <v>0.34332895882812697</v>
      </c>
      <c r="Z484" s="290">
        <v>87.459607247361006</v>
      </c>
      <c r="AA484" s="290">
        <v>87.842582712182093</v>
      </c>
      <c r="AB484" s="290">
        <v>-0.40088927553395798</v>
      </c>
      <c r="AC484" s="290">
        <v>5.6347410712814301E-2</v>
      </c>
      <c r="AD484" s="290">
        <v>1.06512581571845E-5</v>
      </c>
      <c r="AE484" s="290">
        <v>0.58126851714593197</v>
      </c>
      <c r="AF484" s="290">
        <v>1.8115577375154501E-3</v>
      </c>
      <c r="AG484" s="290">
        <v>8.0980087301939105E-2</v>
      </c>
      <c r="AH484" s="290">
        <v>0.83265452730266498</v>
      </c>
      <c r="AI484" s="290">
        <v>0.54265210596805102</v>
      </c>
      <c r="AJ484" s="290">
        <v>8.1115760928254007E-3</v>
      </c>
      <c r="AK484" s="290">
        <v>3707.36295732179</v>
      </c>
      <c r="AL484" s="290">
        <v>71.113602539295002</v>
      </c>
      <c r="AM484" s="290">
        <v>3.5145606202932598E-6</v>
      </c>
      <c r="AN484" s="290">
        <v>3.57048552144047</v>
      </c>
      <c r="AO484" s="290">
        <v>4375.3098093517201</v>
      </c>
      <c r="AP484" s="290">
        <v>3.11435434569271E-8</v>
      </c>
      <c r="AQ484" s="290">
        <v>1.16954788884471E-6</v>
      </c>
      <c r="AR484" s="290">
        <v>780.49854501030097</v>
      </c>
      <c r="AS484" s="290">
        <v>0</v>
      </c>
      <c r="AT484" s="290">
        <v>0</v>
      </c>
      <c r="AU484" s="290">
        <v>57.385766380121098</v>
      </c>
      <c r="AV484" s="290">
        <v>0</v>
      </c>
      <c r="AW484" s="290">
        <v>0</v>
      </c>
      <c r="AX484" s="290">
        <v>3947.6040916288998</v>
      </c>
      <c r="AY484" s="290">
        <v>0</v>
      </c>
      <c r="AZ484" s="290">
        <v>0</v>
      </c>
      <c r="BA484" s="290">
        <v>0</v>
      </c>
      <c r="BB484" s="290">
        <v>1.74243451146163</v>
      </c>
      <c r="BC484" s="290">
        <v>1.61894294978207E-3</v>
      </c>
      <c r="BD484" s="290">
        <v>6.8205435516451001</v>
      </c>
      <c r="BE484" s="290">
        <v>3.50605883468456E-3</v>
      </c>
      <c r="BF484" s="290">
        <v>0</v>
      </c>
      <c r="BG484" s="290">
        <v>0</v>
      </c>
      <c r="BH484" s="290">
        <v>0</v>
      </c>
      <c r="BI484" s="290">
        <v>0</v>
      </c>
      <c r="BJ484" s="290">
        <v>0</v>
      </c>
      <c r="BK484" s="78">
        <v>0</v>
      </c>
      <c r="BL484" s="41" t="s">
        <v>616</v>
      </c>
      <c r="BM484" s="45"/>
    </row>
    <row r="485" spans="1:65" x14ac:dyDescent="0.35">
      <c r="A485" s="45" t="str">
        <f>Database_Productkaarten[[#This Row],[Product]]&amp;", "&amp;Database_Productkaarten[[#This Row],[Levensfase]]</f>
        <v>SMA 8-11 G.M. - PCR 2.0, A2</v>
      </c>
      <c r="B485" s="45" t="s">
        <v>1378</v>
      </c>
      <c r="C485" s="41" t="s">
        <v>443</v>
      </c>
      <c r="D485" s="45" t="s">
        <v>472</v>
      </c>
      <c r="E485" s="41" t="s">
        <v>91</v>
      </c>
      <c r="F485" s="41" t="s">
        <v>20</v>
      </c>
      <c r="G485" s="45"/>
      <c r="H485" s="45"/>
      <c r="I485" s="45"/>
      <c r="J485" s="45"/>
      <c r="K485" s="45"/>
      <c r="L485" s="45">
        <v>2.35</v>
      </c>
      <c r="M485" s="291">
        <v>3.5149555011492208</v>
      </c>
      <c r="N485" s="45">
        <v>16</v>
      </c>
      <c r="O485" s="290">
        <v>3.15409109033715E-4</v>
      </c>
      <c r="P485" s="290">
        <v>0.18673570054420999</v>
      </c>
      <c r="Q485" s="290">
        <v>29.4204471561074</v>
      </c>
      <c r="R485" s="290">
        <v>4.3762436699706401E-6</v>
      </c>
      <c r="S485" s="290">
        <v>1.7368824561244601E-2</v>
      </c>
      <c r="T485" s="290">
        <v>0.19751559856913001</v>
      </c>
      <c r="U485" s="290">
        <v>4.3667386215602802E-2</v>
      </c>
      <c r="V485" s="290">
        <v>7.9919663600198696</v>
      </c>
      <c r="W485" s="290">
        <v>0.208071759508316</v>
      </c>
      <c r="X485" s="290">
        <v>683.63063167459904</v>
      </c>
      <c r="Y485" s="290">
        <v>3.6416179921682099E-2</v>
      </c>
      <c r="Z485" s="290">
        <v>29.757736892347399</v>
      </c>
      <c r="AA485" s="290">
        <v>29.666868137562599</v>
      </c>
      <c r="AB485" s="290">
        <v>4.2663662403156E-2</v>
      </c>
      <c r="AC485" s="290">
        <v>4.8205092381574298E-2</v>
      </c>
      <c r="AD485" s="290">
        <v>5.4441596657991798E-6</v>
      </c>
      <c r="AE485" s="290">
        <v>0.27449764144521599</v>
      </c>
      <c r="AF485" s="290">
        <v>3.4779285348861402E-4</v>
      </c>
      <c r="AG485" s="290">
        <v>0.115521320292024</v>
      </c>
      <c r="AH485" s="290">
        <v>1.27163949767505</v>
      </c>
      <c r="AI485" s="290">
        <v>0.33083446199487099</v>
      </c>
      <c r="AJ485" s="290">
        <v>3.1539636362244299E-4</v>
      </c>
      <c r="AK485" s="290">
        <v>387.02885351671802</v>
      </c>
      <c r="AL485" s="290">
        <v>1.74413921138223</v>
      </c>
      <c r="AM485" s="290">
        <v>9.9169364622139895E-7</v>
      </c>
      <c r="AN485" s="290">
        <v>1.6680933334801999</v>
      </c>
      <c r="AO485" s="290">
        <v>342.63130106348302</v>
      </c>
      <c r="AP485" s="290">
        <v>1.38976898431559E-8</v>
      </c>
      <c r="AQ485" s="290">
        <v>2.6083810012089001E-7</v>
      </c>
      <c r="AR485" s="290">
        <v>303.29696537739397</v>
      </c>
      <c r="AS485" s="290">
        <v>0</v>
      </c>
      <c r="AT485" s="290">
        <v>0</v>
      </c>
      <c r="AU485" s="290">
        <v>8.3189976803714405</v>
      </c>
      <c r="AV485" s="290">
        <v>0</v>
      </c>
      <c r="AW485" s="290">
        <v>0</v>
      </c>
      <c r="AX485" s="290">
        <v>410.74352781212599</v>
      </c>
      <c r="AY485" s="290">
        <v>0</v>
      </c>
      <c r="AZ485" s="290">
        <v>0</v>
      </c>
      <c r="BA485" s="290">
        <v>0</v>
      </c>
      <c r="BB485" s="290">
        <v>6.9041298775639096E-2</v>
      </c>
      <c r="BC485" s="290">
        <v>1.00344268087237E-3</v>
      </c>
      <c r="BD485" s="290">
        <v>6.07132751019134</v>
      </c>
      <c r="BE485" s="290">
        <v>2.5142945504070999E-3</v>
      </c>
      <c r="BF485" s="290">
        <v>0</v>
      </c>
      <c r="BG485" s="290">
        <v>0</v>
      </c>
      <c r="BH485" s="290">
        <v>0</v>
      </c>
      <c r="BI485" s="290">
        <v>0</v>
      </c>
      <c r="BJ485" s="290">
        <v>0</v>
      </c>
      <c r="BK485" s="78">
        <v>0</v>
      </c>
      <c r="BL485" s="41" t="s">
        <v>616</v>
      </c>
      <c r="BM485" s="45"/>
    </row>
    <row r="486" spans="1:65" x14ac:dyDescent="0.35">
      <c r="A486" s="45" t="str">
        <f>Database_Productkaarten[[#This Row],[Product]]&amp;", "&amp;Database_Productkaarten[[#This Row],[Levensfase]]</f>
        <v>SMA 8-11 G.M. - PCR 2.0, A3</v>
      </c>
      <c r="B486" s="45" t="s">
        <v>1378</v>
      </c>
      <c r="C486" s="41" t="s">
        <v>443</v>
      </c>
      <c r="D486" s="45" t="s">
        <v>472</v>
      </c>
      <c r="E486" s="41" t="s">
        <v>91</v>
      </c>
      <c r="F486" s="41" t="s">
        <v>21</v>
      </c>
      <c r="G486" s="45"/>
      <c r="H486" s="45"/>
      <c r="I486" s="45"/>
      <c r="J486" s="45"/>
      <c r="K486" s="45"/>
      <c r="L486" s="45">
        <v>2.35</v>
      </c>
      <c r="M486" s="291">
        <v>1.633806244071959</v>
      </c>
      <c r="N486" s="45">
        <v>16</v>
      </c>
      <c r="O486" s="290">
        <v>2.3994972756162101E-5</v>
      </c>
      <c r="P486" s="290">
        <v>0.19197042269683501</v>
      </c>
      <c r="Q486" s="290">
        <v>22.616190433793999</v>
      </c>
      <c r="R486" s="290">
        <v>2.5169753019766699E-6</v>
      </c>
      <c r="S486" s="290">
        <v>3.6636727658607101E-3</v>
      </c>
      <c r="T486" s="290">
        <v>2.3087557911507999E-2</v>
      </c>
      <c r="U486" s="290">
        <v>3.96019903873027E-3</v>
      </c>
      <c r="V486" s="290">
        <v>3.5975028490102199</v>
      </c>
      <c r="W486" s="290">
        <v>2.6245655050666498E-2</v>
      </c>
      <c r="X486" s="290">
        <v>107.104037193396</v>
      </c>
      <c r="Y486" s="290">
        <v>2.6828466466000199E-2</v>
      </c>
      <c r="Z486" s="290">
        <v>22.958522646512801</v>
      </c>
      <c r="AA486" s="290">
        <v>22.898833802127498</v>
      </c>
      <c r="AB486" s="290">
        <v>5.7623425289260399E-2</v>
      </c>
      <c r="AC486" s="290">
        <v>2.0654190960719999E-3</v>
      </c>
      <c r="AD486" s="290">
        <v>2.8343803997564699E-6</v>
      </c>
      <c r="AE486" s="290">
        <v>2.9650949823188399E-2</v>
      </c>
      <c r="AF486" s="290">
        <v>2.9071515590315999E-4</v>
      </c>
      <c r="AG486" s="290">
        <v>8.2075074792283195E-3</v>
      </c>
      <c r="AH486" s="290">
        <v>9.31056206100499E-2</v>
      </c>
      <c r="AI486" s="290">
        <v>2.7928125773848501E-2</v>
      </c>
      <c r="AJ486" s="290">
        <v>2.39946457987965E-5</v>
      </c>
      <c r="AK486" s="290">
        <v>353.08571285758501</v>
      </c>
      <c r="AL486" s="290">
        <v>0.57799269452650104</v>
      </c>
      <c r="AM486" s="290">
        <v>1.96006277380364E-7</v>
      </c>
      <c r="AN486" s="290">
        <v>0.27292047094947702</v>
      </c>
      <c r="AO486" s="290">
        <v>82.123051666601498</v>
      </c>
      <c r="AP486" s="290">
        <v>2.91397728013967E-9</v>
      </c>
      <c r="AQ486" s="290">
        <v>5.2689314599103502E-8</v>
      </c>
      <c r="AR486" s="290">
        <v>17.3535060562707</v>
      </c>
      <c r="AS486" s="290">
        <v>0</v>
      </c>
      <c r="AT486" s="290">
        <v>0</v>
      </c>
      <c r="AU486" s="290">
        <v>7.4742275570227799</v>
      </c>
      <c r="AV486" s="290">
        <v>0</v>
      </c>
      <c r="AW486" s="290">
        <v>0</v>
      </c>
      <c r="AX486" s="290">
        <v>388.97739063329101</v>
      </c>
      <c r="AY486" s="290">
        <v>0</v>
      </c>
      <c r="AZ486" s="290">
        <v>0</v>
      </c>
      <c r="BA486" s="290">
        <v>0</v>
      </c>
      <c r="BB486" s="290">
        <v>4.3331985572712797E-2</v>
      </c>
      <c r="BC486" s="290">
        <v>4.2538271470696199E-4</v>
      </c>
      <c r="BD486" s="290">
        <v>0.287202487775293</v>
      </c>
      <c r="BE486" s="290">
        <v>3.4293279689086097E-4</v>
      </c>
      <c r="BF486" s="290">
        <v>0</v>
      </c>
      <c r="BG486" s="290">
        <v>0</v>
      </c>
      <c r="BH486" s="290">
        <v>0</v>
      </c>
      <c r="BI486" s="290">
        <v>0</v>
      </c>
      <c r="BJ486" s="290">
        <v>0</v>
      </c>
      <c r="BK486" s="78">
        <v>0</v>
      </c>
      <c r="BL486" s="41" t="s">
        <v>616</v>
      </c>
      <c r="BM486" s="45"/>
    </row>
    <row r="487" spans="1:65" x14ac:dyDescent="0.35">
      <c r="A487" s="45" t="str">
        <f>Database_Productkaarten[[#This Row],[Product]]&amp;", "&amp;Database_Productkaarten[[#This Row],[Levensfase]]</f>
        <v>SMA 8-11 G.M. - PCR 2.0, A4</v>
      </c>
      <c r="B487" s="45" t="s">
        <v>1378</v>
      </c>
      <c r="C487" s="41" t="s">
        <v>443</v>
      </c>
      <c r="D487" s="45" t="s">
        <v>472</v>
      </c>
      <c r="E487" s="41" t="s">
        <v>91</v>
      </c>
      <c r="F487" s="41" t="s">
        <v>22</v>
      </c>
      <c r="G487" s="45"/>
      <c r="H487" s="45"/>
      <c r="I487" s="45"/>
      <c r="J487" s="45"/>
      <c r="K487" s="45"/>
      <c r="L487" s="45">
        <v>2.35</v>
      </c>
      <c r="M487" s="291">
        <v>0.37546048090943995</v>
      </c>
      <c r="N487" s="45">
        <v>16</v>
      </c>
      <c r="O487" s="290">
        <v>6.8533509000000002E-5</v>
      </c>
      <c r="P487" s="290">
        <v>2.9713889699999999E-2</v>
      </c>
      <c r="Q487" s="290">
        <v>3.9891474704999998</v>
      </c>
      <c r="R487" s="290">
        <v>7.557213E-7</v>
      </c>
      <c r="S487" s="290">
        <v>2.4773701499999998E-3</v>
      </c>
      <c r="T487" s="290">
        <v>1.36398132E-2</v>
      </c>
      <c r="U487" s="290">
        <v>2.5682192100000001E-3</v>
      </c>
      <c r="V487" s="290">
        <v>0.8608144794</v>
      </c>
      <c r="W487" s="290">
        <v>3.6189873900000002E-2</v>
      </c>
      <c r="X487" s="290">
        <v>97.376595929999993</v>
      </c>
      <c r="Y487" s="290">
        <v>4.8437180999999999E-3</v>
      </c>
      <c r="Z487" s="290">
        <v>4.0259382761999998</v>
      </c>
      <c r="AA487" s="290">
        <v>4.0229543298000001</v>
      </c>
      <c r="AB487" s="290">
        <v>1.9814632200000001E-3</v>
      </c>
      <c r="AC487" s="290">
        <v>1.0024609799999999E-3</v>
      </c>
      <c r="AD487" s="290">
        <v>9.4976262000000003E-7</v>
      </c>
      <c r="AE487" s="290">
        <v>1.7739576E-2</v>
      </c>
      <c r="AF487" s="290">
        <v>2.7841996800000001E-5</v>
      </c>
      <c r="AG487" s="290">
        <v>5.5484582100000001E-3</v>
      </c>
      <c r="AH487" s="290">
        <v>6.1385308800000003E-2</v>
      </c>
      <c r="AI487" s="290">
        <v>1.9235744999999999E-2</v>
      </c>
      <c r="AJ487" s="290">
        <v>6.8533397999999998E-5</v>
      </c>
      <c r="AK487" s="290">
        <v>62.400806729999999</v>
      </c>
      <c r="AL487" s="290">
        <v>0.212954166</v>
      </c>
      <c r="AM487" s="290">
        <v>2.9338876200000002E-7</v>
      </c>
      <c r="AN487" s="290">
        <v>0.26868483510000002</v>
      </c>
      <c r="AO487" s="290">
        <v>45.56587296</v>
      </c>
      <c r="AP487" s="290">
        <v>1.16371179E-9</v>
      </c>
      <c r="AQ487" s="290">
        <v>3.8268015899999999E-8</v>
      </c>
      <c r="AR487" s="290">
        <v>71.806844609999999</v>
      </c>
      <c r="AS487" s="290">
        <v>0</v>
      </c>
      <c r="AT487" s="290">
        <v>0</v>
      </c>
      <c r="AU487" s="290">
        <v>0.63474917099999995</v>
      </c>
      <c r="AV487" s="290">
        <v>0</v>
      </c>
      <c r="AW487" s="290">
        <v>0</v>
      </c>
      <c r="AX487" s="290">
        <v>66.265108560000002</v>
      </c>
      <c r="AY487" s="290">
        <v>0</v>
      </c>
      <c r="AZ487" s="290">
        <v>0</v>
      </c>
      <c r="BA487" s="290">
        <v>0</v>
      </c>
      <c r="BB487" s="290">
        <v>6.7467797999999999E-3</v>
      </c>
      <c r="BC487" s="290">
        <v>1.54707915E-4</v>
      </c>
      <c r="BD487" s="290">
        <v>5.4635493149999999</v>
      </c>
      <c r="BE487" s="290">
        <v>4.25149758E-4</v>
      </c>
      <c r="BF487" s="290">
        <v>0</v>
      </c>
      <c r="BG487" s="290">
        <v>0</v>
      </c>
      <c r="BH487" s="290">
        <v>0</v>
      </c>
      <c r="BI487" s="290">
        <v>0</v>
      </c>
      <c r="BJ487" s="290">
        <v>0</v>
      </c>
      <c r="BK487" s="78">
        <v>0</v>
      </c>
      <c r="BL487" s="41" t="s">
        <v>616</v>
      </c>
      <c r="BM487" s="45"/>
    </row>
    <row r="488" spans="1:65" x14ac:dyDescent="0.35">
      <c r="A488" s="45" t="str">
        <f>Database_Productkaarten[[#This Row],[Product]]&amp;", "&amp;Database_Productkaarten[[#This Row],[Levensfase]]</f>
        <v>SMA 8-11 G.M. - PCR 2.0, A5</v>
      </c>
      <c r="B488" s="45" t="s">
        <v>1378</v>
      </c>
      <c r="C488" s="41" t="s">
        <v>443</v>
      </c>
      <c r="D488" s="45" t="s">
        <v>472</v>
      </c>
      <c r="E488" s="41" t="s">
        <v>91</v>
      </c>
      <c r="F488" s="41" t="s">
        <v>23</v>
      </c>
      <c r="G488" s="45"/>
      <c r="H488" s="45"/>
      <c r="I488" s="45"/>
      <c r="J488" s="45"/>
      <c r="K488" s="45"/>
      <c r="L488" s="45">
        <v>2.35</v>
      </c>
      <c r="M488" s="291">
        <v>0.2597053337787914</v>
      </c>
      <c r="N488" s="45">
        <v>16</v>
      </c>
      <c r="O488" s="290">
        <v>2.9238192814477198E-6</v>
      </c>
      <c r="P488" s="290">
        <v>1.2437869090607401E-2</v>
      </c>
      <c r="Q488" s="290">
        <v>2.5295292177078901</v>
      </c>
      <c r="R488" s="290">
        <v>3.2687704153464501E-7</v>
      </c>
      <c r="S488" s="290">
        <v>9.41170695593257E-4</v>
      </c>
      <c r="T488" s="290">
        <v>1.0497394468115401E-2</v>
      </c>
      <c r="U488" s="290">
        <v>2.4039520991419802E-3</v>
      </c>
      <c r="V488" s="290">
        <v>0.688776142316325</v>
      </c>
      <c r="W488" s="290">
        <v>9.7024794539388604E-3</v>
      </c>
      <c r="X488" s="290">
        <v>33.711840013179199</v>
      </c>
      <c r="Y488" s="290">
        <v>1.1490061206239101E-3</v>
      </c>
      <c r="Z488" s="290">
        <v>2.5482276295534101</v>
      </c>
      <c r="AA488" s="290">
        <v>2.5474969827618001</v>
      </c>
      <c r="AB488" s="290">
        <v>5.8195031507652501E-4</v>
      </c>
      <c r="AC488" s="290">
        <v>1.4869647653104699E-4</v>
      </c>
      <c r="AD488" s="290">
        <v>4.1187798263569499E-7</v>
      </c>
      <c r="AE488" s="290">
        <v>1.4654717125157399E-2</v>
      </c>
      <c r="AF488" s="290">
        <v>6.9471842634864903E-6</v>
      </c>
      <c r="AG488" s="290">
        <v>6.3596059813714996E-3</v>
      </c>
      <c r="AH488" s="290">
        <v>6.97983995619256E-2</v>
      </c>
      <c r="AI488" s="290">
        <v>1.8200499468351401E-2</v>
      </c>
      <c r="AJ488" s="290">
        <v>2.9237963378879798E-6</v>
      </c>
      <c r="AK488" s="290">
        <v>26.2431446460734</v>
      </c>
      <c r="AL488" s="290">
        <v>3.4951581948955202E-2</v>
      </c>
      <c r="AM488" s="290">
        <v>5.4485692724514697E-8</v>
      </c>
      <c r="AN488" s="290">
        <v>0.112638014199544</v>
      </c>
      <c r="AO488" s="290">
        <v>15.7470628359518</v>
      </c>
      <c r="AP488" s="290">
        <v>5.52451376540438E-10</v>
      </c>
      <c r="AQ488" s="290">
        <v>1.32398654611375E-8</v>
      </c>
      <c r="AR488" s="290">
        <v>3.35198963216554</v>
      </c>
      <c r="AS488" s="290">
        <v>0</v>
      </c>
      <c r="AT488" s="290">
        <v>0</v>
      </c>
      <c r="AU488" s="290">
        <v>0.14424536025460999</v>
      </c>
      <c r="AV488" s="290">
        <v>0</v>
      </c>
      <c r="AW488" s="290">
        <v>0</v>
      </c>
      <c r="AX488" s="290">
        <v>27.8693895870164</v>
      </c>
      <c r="AY488" s="290">
        <v>0</v>
      </c>
      <c r="AZ488" s="290">
        <v>0</v>
      </c>
      <c r="BA488" s="290">
        <v>0</v>
      </c>
      <c r="BB488" s="290">
        <v>1.35659658318307E-3</v>
      </c>
      <c r="BC488" s="290">
        <v>7.1467090699886605E-5</v>
      </c>
      <c r="BD488" s="290">
        <v>3.1052769995257402E-2</v>
      </c>
      <c r="BE488" s="290">
        <v>1.82391263493328E-4</v>
      </c>
      <c r="BF488" s="290">
        <v>0</v>
      </c>
      <c r="BG488" s="290">
        <v>0</v>
      </c>
      <c r="BH488" s="290">
        <v>0</v>
      </c>
      <c r="BI488" s="290">
        <v>0</v>
      </c>
      <c r="BJ488" s="290">
        <v>0</v>
      </c>
      <c r="BK488" s="78">
        <v>0</v>
      </c>
      <c r="BL488" s="41" t="s">
        <v>616</v>
      </c>
      <c r="BM488" s="45"/>
    </row>
    <row r="489" spans="1:65" x14ac:dyDescent="0.35">
      <c r="A489" s="45" t="str">
        <f>Database_Productkaarten[[#This Row],[Product]]&amp;", "&amp;Database_Productkaarten[[#This Row],[Levensfase]]</f>
        <v>SMA 8-11 G.M. - PCR 2.0, B1</v>
      </c>
      <c r="B489" s="45" t="s">
        <v>1378</v>
      </c>
      <c r="C489" s="41" t="s">
        <v>443</v>
      </c>
      <c r="D489" s="45" t="s">
        <v>472</v>
      </c>
      <c r="E489" s="41" t="s">
        <v>91</v>
      </c>
      <c r="F489" s="41" t="s">
        <v>24</v>
      </c>
      <c r="G489" s="45"/>
      <c r="H489" s="45"/>
      <c r="I489" s="45"/>
      <c r="J489" s="45"/>
      <c r="K489" s="45"/>
      <c r="L489" s="45">
        <v>2.35</v>
      </c>
      <c r="M489" s="291">
        <v>0.11825486639676779</v>
      </c>
      <c r="N489" s="45">
        <v>16</v>
      </c>
      <c r="O489" s="290">
        <v>0</v>
      </c>
      <c r="P489" s="290">
        <v>0</v>
      </c>
      <c r="Q489" s="290">
        <v>0</v>
      </c>
      <c r="R489" s="290">
        <v>0</v>
      </c>
      <c r="S489" s="290">
        <v>0</v>
      </c>
      <c r="T489" s="290">
        <v>0</v>
      </c>
      <c r="U489" s="290">
        <v>0</v>
      </c>
      <c r="V489" s="290">
        <v>0.47637814426189901</v>
      </c>
      <c r="W489" s="290">
        <v>0.51070836809688902</v>
      </c>
      <c r="X489" s="290">
        <v>600.42146990351</v>
      </c>
      <c r="Y489" s="290">
        <v>2.9058966565328201E-4</v>
      </c>
      <c r="Z489" s="290">
        <v>0</v>
      </c>
      <c r="AA489" s="290">
        <v>0</v>
      </c>
      <c r="AB489" s="290">
        <v>0</v>
      </c>
      <c r="AC489" s="290">
        <v>0</v>
      </c>
      <c r="AD489" s="290">
        <v>0</v>
      </c>
      <c r="AE489" s="290">
        <v>0</v>
      </c>
      <c r="AF489" s="290">
        <v>0</v>
      </c>
      <c r="AG489" s="290">
        <v>0</v>
      </c>
      <c r="AH489" s="290">
        <v>0</v>
      </c>
      <c r="AI489" s="290">
        <v>0</v>
      </c>
      <c r="AJ489" s="290">
        <v>0</v>
      </c>
      <c r="AK489" s="290">
        <v>0</v>
      </c>
      <c r="AL489" s="290">
        <v>0</v>
      </c>
      <c r="AM489" s="290">
        <v>0</v>
      </c>
      <c r="AN489" s="290">
        <v>0</v>
      </c>
      <c r="AO489" s="290">
        <v>3.5405688217834199</v>
      </c>
      <c r="AP489" s="290">
        <v>8.8497327752214597E-10</v>
      </c>
      <c r="AQ489" s="290">
        <v>5.3167546814193901E-8</v>
      </c>
      <c r="AR489" s="290">
        <v>0</v>
      </c>
      <c r="AS489" s="290">
        <v>0</v>
      </c>
      <c r="AT489" s="290">
        <v>0</v>
      </c>
      <c r="AU489" s="290">
        <v>0</v>
      </c>
      <c r="AV489" s="290">
        <v>0</v>
      </c>
      <c r="AW489" s="290">
        <v>0</v>
      </c>
      <c r="AX489" s="290">
        <v>0</v>
      </c>
      <c r="AY489" s="290">
        <v>0</v>
      </c>
      <c r="AZ489" s="290">
        <v>0</v>
      </c>
      <c r="BA489" s="290">
        <v>0</v>
      </c>
      <c r="BB489" s="290">
        <v>0</v>
      </c>
      <c r="BC489" s="290">
        <v>0</v>
      </c>
      <c r="BD489" s="290">
        <v>0</v>
      </c>
      <c r="BE489" s="290">
        <v>0</v>
      </c>
      <c r="BF489" s="290">
        <v>0</v>
      </c>
      <c r="BG489" s="290">
        <v>0</v>
      </c>
      <c r="BH489" s="290">
        <v>0</v>
      </c>
      <c r="BI489" s="290">
        <v>0</v>
      </c>
      <c r="BJ489" s="290">
        <v>0</v>
      </c>
      <c r="BK489" s="78">
        <v>0</v>
      </c>
      <c r="BL489" s="41" t="s">
        <v>616</v>
      </c>
      <c r="BM489" s="45"/>
    </row>
    <row r="490" spans="1:65" x14ac:dyDescent="0.35">
      <c r="A490" s="45" t="str">
        <f>Database_Productkaarten[[#This Row],[Product]]&amp;", "&amp;Database_Productkaarten[[#This Row],[Levensfase]]</f>
        <v>SMA 8-11 G.M. - PCR 2.0, B2</v>
      </c>
      <c r="B490" s="45" t="s">
        <v>1378</v>
      </c>
      <c r="C490" s="41" t="s">
        <v>443</v>
      </c>
      <c r="D490" s="45" t="s">
        <v>472</v>
      </c>
      <c r="E490" s="41" t="s">
        <v>91</v>
      </c>
      <c r="F490" s="41" t="s">
        <v>604</v>
      </c>
      <c r="G490" s="45"/>
      <c r="H490" s="45"/>
      <c r="I490" s="45"/>
      <c r="J490" s="45"/>
      <c r="K490" s="45"/>
      <c r="L490" s="45">
        <v>2.35</v>
      </c>
      <c r="M490" s="291">
        <v>0</v>
      </c>
      <c r="N490" s="45">
        <v>16</v>
      </c>
      <c r="O490" s="290">
        <v>0</v>
      </c>
      <c r="P490" s="290">
        <v>0</v>
      </c>
      <c r="Q490" s="290">
        <v>0</v>
      </c>
      <c r="R490" s="290">
        <v>0</v>
      </c>
      <c r="S490" s="290">
        <v>0</v>
      </c>
      <c r="T490" s="290">
        <v>0</v>
      </c>
      <c r="U490" s="290">
        <v>0</v>
      </c>
      <c r="V490" s="290">
        <v>0</v>
      </c>
      <c r="W490" s="290">
        <v>0</v>
      </c>
      <c r="X490" s="290">
        <v>0</v>
      </c>
      <c r="Y490" s="290">
        <v>0</v>
      </c>
      <c r="Z490" s="290">
        <v>0</v>
      </c>
      <c r="AA490" s="290">
        <v>0</v>
      </c>
      <c r="AB490" s="290">
        <v>0</v>
      </c>
      <c r="AC490" s="290">
        <v>0</v>
      </c>
      <c r="AD490" s="290">
        <v>0</v>
      </c>
      <c r="AE490" s="290">
        <v>0</v>
      </c>
      <c r="AF490" s="290">
        <v>0</v>
      </c>
      <c r="AG490" s="290">
        <v>0</v>
      </c>
      <c r="AH490" s="290">
        <v>0</v>
      </c>
      <c r="AI490" s="290">
        <v>0</v>
      </c>
      <c r="AJ490" s="290">
        <v>0</v>
      </c>
      <c r="AK490" s="290">
        <v>0</v>
      </c>
      <c r="AL490" s="290">
        <v>0</v>
      </c>
      <c r="AM490" s="290">
        <v>0</v>
      </c>
      <c r="AN490" s="290">
        <v>0</v>
      </c>
      <c r="AO490" s="290">
        <v>0</v>
      </c>
      <c r="AP490" s="290">
        <v>0</v>
      </c>
      <c r="AQ490" s="290">
        <v>0</v>
      </c>
      <c r="AR490" s="290">
        <v>0</v>
      </c>
      <c r="AS490" s="290">
        <v>0</v>
      </c>
      <c r="AT490" s="290">
        <v>0</v>
      </c>
      <c r="AU490" s="290">
        <v>0</v>
      </c>
      <c r="AV490" s="290">
        <v>0</v>
      </c>
      <c r="AW490" s="290">
        <v>0</v>
      </c>
      <c r="AX490" s="290">
        <v>0</v>
      </c>
      <c r="AY490" s="290">
        <v>0</v>
      </c>
      <c r="AZ490" s="290">
        <v>0</v>
      </c>
      <c r="BA490" s="290">
        <v>0</v>
      </c>
      <c r="BB490" s="290">
        <v>0</v>
      </c>
      <c r="BC490" s="290">
        <v>0</v>
      </c>
      <c r="BD490" s="290">
        <v>0</v>
      </c>
      <c r="BE490" s="290">
        <v>0</v>
      </c>
      <c r="BF490" s="290">
        <v>0</v>
      </c>
      <c r="BG490" s="290">
        <v>0</v>
      </c>
      <c r="BH490" s="290">
        <v>0</v>
      </c>
      <c r="BI490" s="290">
        <v>0</v>
      </c>
      <c r="BJ490" s="290">
        <v>0</v>
      </c>
      <c r="BK490" s="78">
        <v>0</v>
      </c>
      <c r="BL490" s="41" t="s">
        <v>616</v>
      </c>
      <c r="BM490" s="45"/>
    </row>
    <row r="491" spans="1:65" x14ac:dyDescent="0.35">
      <c r="A491" s="45" t="str">
        <f>Database_Productkaarten[[#This Row],[Product]]&amp;", "&amp;Database_Productkaarten[[#This Row],[Levensfase]]</f>
        <v>SMA 8-11 G.M. - PCR 2.0, B3</v>
      </c>
      <c r="B491" s="45" t="s">
        <v>1378</v>
      </c>
      <c r="C491" s="41" t="s">
        <v>443</v>
      </c>
      <c r="D491" s="45" t="s">
        <v>472</v>
      </c>
      <c r="E491" s="41" t="s">
        <v>91</v>
      </c>
      <c r="F491" s="41" t="s">
        <v>602</v>
      </c>
      <c r="G491" s="45"/>
      <c r="H491" s="45"/>
      <c r="I491" s="45"/>
      <c r="J491" s="45"/>
      <c r="K491" s="45"/>
      <c r="L491" s="45">
        <v>2.35</v>
      </c>
      <c r="M491" s="291">
        <v>0</v>
      </c>
      <c r="N491" s="45">
        <v>16</v>
      </c>
      <c r="O491" s="290">
        <v>0</v>
      </c>
      <c r="P491" s="290">
        <v>0</v>
      </c>
      <c r="Q491" s="290">
        <v>0</v>
      </c>
      <c r="R491" s="290">
        <v>0</v>
      </c>
      <c r="S491" s="290">
        <v>0</v>
      </c>
      <c r="T491" s="290">
        <v>0</v>
      </c>
      <c r="U491" s="290">
        <v>0</v>
      </c>
      <c r="V491" s="290">
        <v>0</v>
      </c>
      <c r="W491" s="290">
        <v>0</v>
      </c>
      <c r="X491" s="290">
        <v>0</v>
      </c>
      <c r="Y491" s="290">
        <v>0</v>
      </c>
      <c r="Z491" s="290">
        <v>0</v>
      </c>
      <c r="AA491" s="290">
        <v>0</v>
      </c>
      <c r="AB491" s="290">
        <v>0</v>
      </c>
      <c r="AC491" s="290">
        <v>0</v>
      </c>
      <c r="AD491" s="290">
        <v>0</v>
      </c>
      <c r="AE491" s="290">
        <v>0</v>
      </c>
      <c r="AF491" s="290">
        <v>0</v>
      </c>
      <c r="AG491" s="290">
        <v>0</v>
      </c>
      <c r="AH491" s="290">
        <v>0</v>
      </c>
      <c r="AI491" s="290">
        <v>0</v>
      </c>
      <c r="AJ491" s="290">
        <v>0</v>
      </c>
      <c r="AK491" s="290">
        <v>0</v>
      </c>
      <c r="AL491" s="290">
        <v>0</v>
      </c>
      <c r="AM491" s="290">
        <v>0</v>
      </c>
      <c r="AN491" s="290">
        <v>0</v>
      </c>
      <c r="AO491" s="290">
        <v>0</v>
      </c>
      <c r="AP491" s="290">
        <v>0</v>
      </c>
      <c r="AQ491" s="290">
        <v>0</v>
      </c>
      <c r="AR491" s="290">
        <v>0</v>
      </c>
      <c r="AS491" s="290">
        <v>0</v>
      </c>
      <c r="AT491" s="290">
        <v>0</v>
      </c>
      <c r="AU491" s="290">
        <v>0</v>
      </c>
      <c r="AV491" s="290">
        <v>0</v>
      </c>
      <c r="AW491" s="290">
        <v>0</v>
      </c>
      <c r="AX491" s="290">
        <v>0</v>
      </c>
      <c r="AY491" s="290">
        <v>0</v>
      </c>
      <c r="AZ491" s="290">
        <v>0</v>
      </c>
      <c r="BA491" s="290">
        <v>0</v>
      </c>
      <c r="BB491" s="290">
        <v>0</v>
      </c>
      <c r="BC491" s="290">
        <v>0</v>
      </c>
      <c r="BD491" s="290">
        <v>0</v>
      </c>
      <c r="BE491" s="290">
        <v>0</v>
      </c>
      <c r="BF491" s="290">
        <v>0</v>
      </c>
      <c r="BG491" s="290">
        <v>0</v>
      </c>
      <c r="BH491" s="290">
        <v>0</v>
      </c>
      <c r="BI491" s="290">
        <v>0</v>
      </c>
      <c r="BJ491" s="290">
        <v>0</v>
      </c>
      <c r="BK491" s="78">
        <v>0</v>
      </c>
      <c r="BL491" s="41" t="s">
        <v>616</v>
      </c>
      <c r="BM491" s="45"/>
    </row>
    <row r="492" spans="1:65" x14ac:dyDescent="0.35">
      <c r="A492" s="45" t="str">
        <f>Database_Productkaarten[[#This Row],[Product]]&amp;", "&amp;Database_Productkaarten[[#This Row],[Levensfase]]</f>
        <v>SMA 8-11 G.M. - PCR 2.0, B4</v>
      </c>
      <c r="B492" s="45" t="s">
        <v>1378</v>
      </c>
      <c r="C492" s="41" t="s">
        <v>443</v>
      </c>
      <c r="D492" s="45" t="s">
        <v>472</v>
      </c>
      <c r="E492" s="41" t="s">
        <v>91</v>
      </c>
      <c r="F492" s="41" t="s">
        <v>50</v>
      </c>
      <c r="G492" s="45"/>
      <c r="H492" s="45"/>
      <c r="I492" s="45"/>
      <c r="J492" s="45"/>
      <c r="K492" s="45"/>
      <c r="L492" s="45">
        <v>2.35</v>
      </c>
      <c r="M492" s="291">
        <v>0</v>
      </c>
      <c r="N492" s="45">
        <v>16</v>
      </c>
      <c r="O492" s="290">
        <v>0</v>
      </c>
      <c r="P492" s="290">
        <v>0</v>
      </c>
      <c r="Q492" s="290">
        <v>0</v>
      </c>
      <c r="R492" s="290">
        <v>0</v>
      </c>
      <c r="S492" s="290">
        <v>0</v>
      </c>
      <c r="T492" s="290">
        <v>0</v>
      </c>
      <c r="U492" s="290">
        <v>0</v>
      </c>
      <c r="V492" s="290">
        <v>0</v>
      </c>
      <c r="W492" s="290">
        <v>0</v>
      </c>
      <c r="X492" s="290">
        <v>0</v>
      </c>
      <c r="Y492" s="290">
        <v>0</v>
      </c>
      <c r="Z492" s="290">
        <v>0</v>
      </c>
      <c r="AA492" s="290">
        <v>0</v>
      </c>
      <c r="AB492" s="290">
        <v>0</v>
      </c>
      <c r="AC492" s="290">
        <v>0</v>
      </c>
      <c r="AD492" s="290">
        <v>0</v>
      </c>
      <c r="AE492" s="290">
        <v>0</v>
      </c>
      <c r="AF492" s="290">
        <v>0</v>
      </c>
      <c r="AG492" s="290">
        <v>0</v>
      </c>
      <c r="AH492" s="290">
        <v>0</v>
      </c>
      <c r="AI492" s="290">
        <v>0</v>
      </c>
      <c r="AJ492" s="290">
        <v>0</v>
      </c>
      <c r="AK492" s="290">
        <v>0</v>
      </c>
      <c r="AL492" s="290">
        <v>0</v>
      </c>
      <c r="AM492" s="290">
        <v>0</v>
      </c>
      <c r="AN492" s="290">
        <v>0</v>
      </c>
      <c r="AO492" s="290">
        <v>0</v>
      </c>
      <c r="AP492" s="290">
        <v>0</v>
      </c>
      <c r="AQ492" s="290">
        <v>0</v>
      </c>
      <c r="AR492" s="290">
        <v>0</v>
      </c>
      <c r="AS492" s="290">
        <v>0</v>
      </c>
      <c r="AT492" s="290">
        <v>0</v>
      </c>
      <c r="AU492" s="290">
        <v>0</v>
      </c>
      <c r="AV492" s="290">
        <v>0</v>
      </c>
      <c r="AW492" s="290">
        <v>0</v>
      </c>
      <c r="AX492" s="290">
        <v>0</v>
      </c>
      <c r="AY492" s="290">
        <v>0</v>
      </c>
      <c r="AZ492" s="290">
        <v>0</v>
      </c>
      <c r="BA492" s="290">
        <v>0</v>
      </c>
      <c r="BB492" s="290">
        <v>0</v>
      </c>
      <c r="BC492" s="290">
        <v>0</v>
      </c>
      <c r="BD492" s="290">
        <v>0</v>
      </c>
      <c r="BE492" s="290">
        <v>0</v>
      </c>
      <c r="BF492" s="290">
        <v>0</v>
      </c>
      <c r="BG492" s="290">
        <v>0</v>
      </c>
      <c r="BH492" s="290">
        <v>0</v>
      </c>
      <c r="BI492" s="290">
        <v>0</v>
      </c>
      <c r="BJ492" s="290">
        <v>0</v>
      </c>
      <c r="BK492" s="78">
        <v>0</v>
      </c>
      <c r="BL492" s="41" t="s">
        <v>616</v>
      </c>
      <c r="BM492" s="45"/>
    </row>
    <row r="493" spans="1:65" x14ac:dyDescent="0.35">
      <c r="A493" s="45" t="str">
        <f>Database_Productkaarten[[#This Row],[Product]]&amp;", "&amp;Database_Productkaarten[[#This Row],[Levensfase]]</f>
        <v>SMA 8-11 G.M. - PCR 2.0, B5</v>
      </c>
      <c r="B493" s="45" t="s">
        <v>1378</v>
      </c>
      <c r="C493" s="41" t="s">
        <v>443</v>
      </c>
      <c r="D493" s="45" t="s">
        <v>472</v>
      </c>
      <c r="E493" s="41" t="s">
        <v>91</v>
      </c>
      <c r="F493" s="41" t="s">
        <v>1358</v>
      </c>
      <c r="G493" s="45"/>
      <c r="H493" s="45"/>
      <c r="I493" s="45"/>
      <c r="J493" s="45"/>
      <c r="K493" s="45"/>
      <c r="L493" s="45">
        <v>2.35</v>
      </c>
      <c r="M493" s="291">
        <v>0</v>
      </c>
      <c r="N493" s="45">
        <v>16</v>
      </c>
      <c r="O493" s="290">
        <v>0</v>
      </c>
      <c r="P493" s="290">
        <v>0</v>
      </c>
      <c r="Q493" s="290">
        <v>0</v>
      </c>
      <c r="R493" s="290">
        <v>0</v>
      </c>
      <c r="S493" s="290">
        <v>0</v>
      </c>
      <c r="T493" s="290">
        <v>0</v>
      </c>
      <c r="U493" s="290">
        <v>0</v>
      </c>
      <c r="V493" s="290">
        <v>0</v>
      </c>
      <c r="W493" s="290">
        <v>0</v>
      </c>
      <c r="X493" s="290">
        <v>0</v>
      </c>
      <c r="Y493" s="290">
        <v>0</v>
      </c>
      <c r="Z493" s="290">
        <v>0</v>
      </c>
      <c r="AA493" s="290">
        <v>0</v>
      </c>
      <c r="AB493" s="290">
        <v>0</v>
      </c>
      <c r="AC493" s="290">
        <v>0</v>
      </c>
      <c r="AD493" s="290">
        <v>0</v>
      </c>
      <c r="AE493" s="290">
        <v>0</v>
      </c>
      <c r="AF493" s="290">
        <v>0</v>
      </c>
      <c r="AG493" s="290">
        <v>0</v>
      </c>
      <c r="AH493" s="290">
        <v>0</v>
      </c>
      <c r="AI493" s="290">
        <v>0</v>
      </c>
      <c r="AJ493" s="290">
        <v>0</v>
      </c>
      <c r="AK493" s="290">
        <v>0</v>
      </c>
      <c r="AL493" s="290">
        <v>0</v>
      </c>
      <c r="AM493" s="290">
        <v>0</v>
      </c>
      <c r="AN493" s="290">
        <v>0</v>
      </c>
      <c r="AO493" s="290">
        <v>0</v>
      </c>
      <c r="AP493" s="290">
        <v>0</v>
      </c>
      <c r="AQ493" s="290">
        <v>0</v>
      </c>
      <c r="AR493" s="290">
        <v>0</v>
      </c>
      <c r="AS493" s="290">
        <v>0</v>
      </c>
      <c r="AT493" s="290">
        <v>0</v>
      </c>
      <c r="AU493" s="290">
        <v>0</v>
      </c>
      <c r="AV493" s="290">
        <v>0</v>
      </c>
      <c r="AW493" s="290">
        <v>0</v>
      </c>
      <c r="AX493" s="290">
        <v>0</v>
      </c>
      <c r="AY493" s="290">
        <v>0</v>
      </c>
      <c r="AZ493" s="290">
        <v>0</v>
      </c>
      <c r="BA493" s="290">
        <v>0</v>
      </c>
      <c r="BB493" s="290">
        <v>0</v>
      </c>
      <c r="BC493" s="290">
        <v>0</v>
      </c>
      <c r="BD493" s="290">
        <v>0</v>
      </c>
      <c r="BE493" s="290">
        <v>0</v>
      </c>
      <c r="BF493" s="290">
        <v>0</v>
      </c>
      <c r="BG493" s="290">
        <v>0</v>
      </c>
      <c r="BH493" s="290">
        <v>0</v>
      </c>
      <c r="BI493" s="290">
        <v>0</v>
      </c>
      <c r="BJ493" s="290">
        <v>0</v>
      </c>
      <c r="BK493" s="78">
        <v>0</v>
      </c>
      <c r="BL493" s="41" t="s">
        <v>616</v>
      </c>
      <c r="BM493" s="45"/>
    </row>
    <row r="494" spans="1:65" x14ac:dyDescent="0.35">
      <c r="A494" s="45" t="str">
        <f>Database_Productkaarten[[#This Row],[Product]]&amp;", "&amp;Database_Productkaarten[[#This Row],[Levensfase]]</f>
        <v>SMA 8-11 G.M. - PCR 2.0, C1</v>
      </c>
      <c r="B494" s="45" t="s">
        <v>1378</v>
      </c>
      <c r="C494" s="41" t="s">
        <v>443</v>
      </c>
      <c r="D494" s="45" t="s">
        <v>472</v>
      </c>
      <c r="E494" s="41" t="s">
        <v>91</v>
      </c>
      <c r="F494" s="41" t="s">
        <v>25</v>
      </c>
      <c r="G494" s="45"/>
      <c r="H494" s="45"/>
      <c r="I494" s="45"/>
      <c r="J494" s="45"/>
      <c r="K494" s="45"/>
      <c r="L494" s="45">
        <v>2.35</v>
      </c>
      <c r="M494" s="291">
        <v>0.13541602880973516</v>
      </c>
      <c r="N494" s="45">
        <v>16</v>
      </c>
      <c r="O494" s="290">
        <v>1.6635523497892201E-6</v>
      </c>
      <c r="P494" s="290">
        <v>7.0767186205179904E-3</v>
      </c>
      <c r="Q494" s="290">
        <v>1.43921489973035</v>
      </c>
      <c r="R494" s="290">
        <v>1.85981765011091E-7</v>
      </c>
      <c r="S494" s="290">
        <v>4.7349883020077898E-4</v>
      </c>
      <c r="T494" s="290">
        <v>4.1086089215149604E-3</v>
      </c>
      <c r="U494" s="290">
        <v>8.8311374606381103E-4</v>
      </c>
      <c r="V494" s="290">
        <v>0.387386474817911</v>
      </c>
      <c r="W494" s="290">
        <v>5.5203762410341696E-3</v>
      </c>
      <c r="X494" s="290">
        <v>19.180874490257199</v>
      </c>
      <c r="Y494" s="290">
        <v>6.5374486173429302E-4</v>
      </c>
      <c r="Z494" s="290">
        <v>1.44808108069418</v>
      </c>
      <c r="AA494" s="290">
        <v>1.44766536786447</v>
      </c>
      <c r="AB494" s="290">
        <v>3.3110966202629598E-4</v>
      </c>
      <c r="AC494" s="290">
        <v>8.4603167681457494E-5</v>
      </c>
      <c r="AD494" s="290">
        <v>2.3434436943065401E-7</v>
      </c>
      <c r="AE494" s="290">
        <v>5.5792398125911E-3</v>
      </c>
      <c r="AF494" s="290">
        <v>3.9527082878457501E-6</v>
      </c>
      <c r="AG494" s="290">
        <v>2.16816828940183E-3</v>
      </c>
      <c r="AH494" s="290">
        <v>2.3831205888690601E-2</v>
      </c>
      <c r="AI494" s="290">
        <v>6.50871025613308E-3</v>
      </c>
      <c r="AJ494" s="290">
        <v>1.66353929569488E-6</v>
      </c>
      <c r="AK494" s="290">
        <v>14.9314443675935</v>
      </c>
      <c r="AL494" s="290">
        <v>1.9886244901991701E-2</v>
      </c>
      <c r="AM494" s="290">
        <v>2.3049580138090401E-8</v>
      </c>
      <c r="AN494" s="290">
        <v>6.4087146010085402E-2</v>
      </c>
      <c r="AO494" s="290">
        <v>8.9589318499371906</v>
      </c>
      <c r="AP494" s="290">
        <v>3.1432578320404301E-10</v>
      </c>
      <c r="AQ494" s="290">
        <v>6.3100664700230197E-9</v>
      </c>
      <c r="AR494" s="290">
        <v>1.9071665148528101</v>
      </c>
      <c r="AS494" s="290">
        <v>0</v>
      </c>
      <c r="AT494" s="290">
        <v>0</v>
      </c>
      <c r="AU494" s="290">
        <v>8.2070636006933206E-2</v>
      </c>
      <c r="AV494" s="290">
        <v>0</v>
      </c>
      <c r="AW494" s="290">
        <v>0</v>
      </c>
      <c r="AX494" s="290">
        <v>15.8567216615783</v>
      </c>
      <c r="AY494" s="290">
        <v>0</v>
      </c>
      <c r="AZ494" s="290">
        <v>0</v>
      </c>
      <c r="BA494" s="290">
        <v>0</v>
      </c>
      <c r="BB494" s="290">
        <v>7.7185667663863999E-4</v>
      </c>
      <c r="BC494" s="290">
        <v>4.0662310225797597E-5</v>
      </c>
      <c r="BD494" s="290">
        <v>1.7667955342129199E-2</v>
      </c>
      <c r="BE494" s="290">
        <v>1.0377433957379E-4</v>
      </c>
      <c r="BF494" s="290">
        <v>0</v>
      </c>
      <c r="BG494" s="290">
        <v>0</v>
      </c>
      <c r="BH494" s="290">
        <v>0</v>
      </c>
      <c r="BI494" s="290">
        <v>0</v>
      </c>
      <c r="BJ494" s="290">
        <v>0</v>
      </c>
      <c r="BK494" s="78">
        <v>0</v>
      </c>
      <c r="BL494" s="41" t="s">
        <v>616</v>
      </c>
      <c r="BM494" s="45"/>
    </row>
    <row r="495" spans="1:65" x14ac:dyDescent="0.35">
      <c r="A495" s="45" t="str">
        <f>Database_Productkaarten[[#This Row],[Product]]&amp;", "&amp;Database_Productkaarten[[#This Row],[Levensfase]]</f>
        <v>SMA 8-11 G.M. - PCR 2.0, C2</v>
      </c>
      <c r="B495" s="45" t="s">
        <v>1378</v>
      </c>
      <c r="C495" s="41" t="s">
        <v>443</v>
      </c>
      <c r="D495" s="45" t="s">
        <v>472</v>
      </c>
      <c r="E495" s="41" t="s">
        <v>91</v>
      </c>
      <c r="F495" s="41" t="s">
        <v>26</v>
      </c>
      <c r="G495" s="45"/>
      <c r="H495" s="45"/>
      <c r="I495" s="45"/>
      <c r="J495" s="45"/>
      <c r="K495" s="45"/>
      <c r="L495" s="45">
        <v>2.35</v>
      </c>
      <c r="M495" s="291">
        <v>0.31791357541832999</v>
      </c>
      <c r="N495" s="45">
        <v>16</v>
      </c>
      <c r="O495" s="290">
        <v>7.2195843000000002E-5</v>
      </c>
      <c r="P495" s="290">
        <v>2.5045429500000001E-2</v>
      </c>
      <c r="Q495" s="290">
        <v>3.2726104581</v>
      </c>
      <c r="R495" s="290">
        <v>6.2448211500000004E-7</v>
      </c>
      <c r="S495" s="290">
        <v>2.3663202E-3</v>
      </c>
      <c r="T495" s="290">
        <v>9.9103019999999993E-3</v>
      </c>
      <c r="U495" s="290">
        <v>1.66070541E-3</v>
      </c>
      <c r="V495" s="290">
        <v>0.89062466159999998</v>
      </c>
      <c r="W495" s="290">
        <v>3.5055542699999998E-2</v>
      </c>
      <c r="X495" s="290">
        <v>92.682047400000002</v>
      </c>
      <c r="Y495" s="290">
        <v>7.4868390000000003E-3</v>
      </c>
      <c r="Z495" s="290">
        <v>3.3150718431000001</v>
      </c>
      <c r="AA495" s="290">
        <v>3.3001817481</v>
      </c>
      <c r="AB495" s="290">
        <v>1.3607189190000001E-2</v>
      </c>
      <c r="AC495" s="290">
        <v>1.2829113599999999E-3</v>
      </c>
      <c r="AD495" s="290">
        <v>7.8107336699999998E-7</v>
      </c>
      <c r="AE495" s="290">
        <v>1.2482505E-2</v>
      </c>
      <c r="AF495" s="290">
        <v>3.4632532799999998E-5</v>
      </c>
      <c r="AG495" s="290">
        <v>2.8897329300000001E-3</v>
      </c>
      <c r="AH495" s="290">
        <v>3.3662059799999998E-2</v>
      </c>
      <c r="AI495" s="290">
        <v>1.2098522699999999E-2</v>
      </c>
      <c r="AJ495" s="290">
        <v>7.2195510000000004E-5</v>
      </c>
      <c r="AK495" s="290">
        <v>52.307882313</v>
      </c>
      <c r="AL495" s="290">
        <v>0.28570883850000001</v>
      </c>
      <c r="AM495" s="290">
        <v>2.8544027399999998E-7</v>
      </c>
      <c r="AN495" s="290">
        <v>0.22308385950000001</v>
      </c>
      <c r="AO495" s="290">
        <v>50.61443379</v>
      </c>
      <c r="AP495" s="290">
        <v>1.35209877E-9</v>
      </c>
      <c r="AQ495" s="290">
        <v>4.3221490799999998E-8</v>
      </c>
      <c r="AR495" s="290">
        <v>98.528772599999996</v>
      </c>
      <c r="AS495" s="290">
        <v>8.065825212</v>
      </c>
      <c r="AT495" s="290">
        <v>0</v>
      </c>
      <c r="AU495" s="290">
        <v>8.6963547624000004</v>
      </c>
      <c r="AV495" s="290">
        <v>0.70667511750000001</v>
      </c>
      <c r="AW495" s="290">
        <v>9.926829900000001E-4</v>
      </c>
      <c r="AX495" s="290">
        <v>55.561210727999999</v>
      </c>
      <c r="AY495" s="290">
        <v>0</v>
      </c>
      <c r="AZ495" s="290">
        <v>0</v>
      </c>
      <c r="BA495" s="290">
        <v>0</v>
      </c>
      <c r="BB495" s="290">
        <v>8.7338241000000007E-3</v>
      </c>
      <c r="BC495" s="290">
        <v>1.5376752299999999E-4</v>
      </c>
      <c r="BD495" s="290">
        <v>5.5583861609999996</v>
      </c>
      <c r="BE495" s="290">
        <v>3.4865666099999999E-4</v>
      </c>
      <c r="BF495" s="290">
        <v>0</v>
      </c>
      <c r="BG495" s="290">
        <v>0</v>
      </c>
      <c r="BH495" s="290">
        <v>0</v>
      </c>
      <c r="BI495" s="290">
        <v>0</v>
      </c>
      <c r="BJ495" s="290">
        <v>0</v>
      </c>
      <c r="BK495" s="78">
        <v>0</v>
      </c>
      <c r="BL495" s="41" t="s">
        <v>616</v>
      </c>
      <c r="BM495" s="45"/>
    </row>
    <row r="496" spans="1:65" x14ac:dyDescent="0.35">
      <c r="A496" s="45" t="str">
        <f>Database_Productkaarten[[#This Row],[Product]]&amp;", "&amp;Database_Productkaarten[[#This Row],[Levensfase]]</f>
        <v>SMA 8-11 G.M. - PCR 2.0, C3</v>
      </c>
      <c r="B496" s="45" t="s">
        <v>1378</v>
      </c>
      <c r="C496" s="41" t="s">
        <v>443</v>
      </c>
      <c r="D496" s="45" t="s">
        <v>472</v>
      </c>
      <c r="E496" s="41" t="s">
        <v>91</v>
      </c>
      <c r="F496" s="41" t="s">
        <v>27</v>
      </c>
      <c r="G496" s="45"/>
      <c r="H496" s="45"/>
      <c r="I496" s="45"/>
      <c r="J496" s="45"/>
      <c r="K496" s="45"/>
      <c r="L496" s="45">
        <v>2.35</v>
      </c>
      <c r="M496" s="291">
        <v>0.15929996481874498</v>
      </c>
      <c r="N496" s="45">
        <v>16</v>
      </c>
      <c r="O496" s="290">
        <v>1.86519505885458E-6</v>
      </c>
      <c r="P496" s="290">
        <v>7.9345026957322908E-3</v>
      </c>
      <c r="Q496" s="290">
        <v>1.6136651906067601</v>
      </c>
      <c r="R496" s="290">
        <v>2.0852500925485999E-7</v>
      </c>
      <c r="S496" s="290">
        <v>5.8559282894496596E-4</v>
      </c>
      <c r="T496" s="290">
        <v>5.7290956089707003E-3</v>
      </c>
      <c r="U496" s="290">
        <v>1.2820009425562301E-3</v>
      </c>
      <c r="V496" s="290">
        <v>0.43705340687765698</v>
      </c>
      <c r="W496" s="290">
        <v>6.1895127550989299E-3</v>
      </c>
      <c r="X496" s="290">
        <v>21.5058289739247</v>
      </c>
      <c r="Y496" s="290">
        <v>7.3298666315663402E-4</v>
      </c>
      <c r="Z496" s="290">
        <v>1.6243260241116599</v>
      </c>
      <c r="AA496" s="290">
        <v>1.6238599218480401</v>
      </c>
      <c r="AB496" s="290">
        <v>3.7124416651432898E-4</v>
      </c>
      <c r="AC496" s="290">
        <v>9.4858097097391805E-5</v>
      </c>
      <c r="AD496" s="290">
        <v>2.6274974754346103E-7</v>
      </c>
      <c r="AE496" s="290">
        <v>7.9167720626012201E-3</v>
      </c>
      <c r="AF496" s="290">
        <v>4.43182444394828E-6</v>
      </c>
      <c r="AG496" s="290">
        <v>3.30426093811672E-3</v>
      </c>
      <c r="AH496" s="290">
        <v>3.6283310996405402E-2</v>
      </c>
      <c r="AI496" s="290">
        <v>9.6537099780873107E-3</v>
      </c>
      <c r="AJ496" s="290">
        <v>1.86518042244578E-6</v>
      </c>
      <c r="AK496" s="290">
        <v>16.741316412150301</v>
      </c>
      <c r="AL496" s="290">
        <v>2.2296698829505801E-2</v>
      </c>
      <c r="AM496" s="290">
        <v>3.0576571393916903E-8</v>
      </c>
      <c r="AN496" s="290">
        <v>7.1855284920398596E-2</v>
      </c>
      <c r="AO496" s="290">
        <v>10.0456498575947</v>
      </c>
      <c r="AP496" s="290">
        <v>3.5242587813786801E-10</v>
      </c>
      <c r="AQ496" s="290">
        <v>7.5755651621864605E-9</v>
      </c>
      <c r="AR496" s="290">
        <v>2.1383382136228501</v>
      </c>
      <c r="AS496" s="290">
        <v>0</v>
      </c>
      <c r="AT496" s="290">
        <v>0</v>
      </c>
      <c r="AU496" s="290">
        <v>9.2018591886561404E-2</v>
      </c>
      <c r="AV496" s="290">
        <v>0</v>
      </c>
      <c r="AW496" s="290">
        <v>0</v>
      </c>
      <c r="AX496" s="290">
        <v>17.7787485296484</v>
      </c>
      <c r="AY496" s="290">
        <v>0</v>
      </c>
      <c r="AZ496" s="290">
        <v>0</v>
      </c>
      <c r="BA496" s="290">
        <v>0</v>
      </c>
      <c r="BB496" s="290">
        <v>8.65415061685748E-4</v>
      </c>
      <c r="BC496" s="290">
        <v>4.5591075101651702E-5</v>
      </c>
      <c r="BD496" s="290">
        <v>1.9809525686629699E-2</v>
      </c>
      <c r="BE496" s="290">
        <v>1.16353047400916E-4</v>
      </c>
      <c r="BF496" s="290">
        <v>0</v>
      </c>
      <c r="BG496" s="290">
        <v>1000</v>
      </c>
      <c r="BH496" s="290">
        <v>0</v>
      </c>
      <c r="BI496" s="290">
        <v>0</v>
      </c>
      <c r="BJ496" s="290">
        <v>0</v>
      </c>
      <c r="BK496" s="78">
        <v>0</v>
      </c>
      <c r="BL496" s="41" t="s">
        <v>616</v>
      </c>
      <c r="BM496" s="45"/>
    </row>
    <row r="497" spans="1:65" x14ac:dyDescent="0.35">
      <c r="A497" s="45" t="str">
        <f>Database_Productkaarten[[#This Row],[Product]]&amp;", "&amp;Database_Productkaarten[[#This Row],[Levensfase]]</f>
        <v>SMA 8-11 G.M. - PCR 2.0, C4</v>
      </c>
      <c r="B497" s="45" t="s">
        <v>1378</v>
      </c>
      <c r="C497" s="41" t="s">
        <v>443</v>
      </c>
      <c r="D497" s="45" t="s">
        <v>472</v>
      </c>
      <c r="E497" s="41" t="s">
        <v>91</v>
      </c>
      <c r="F497" s="41" t="s">
        <v>28</v>
      </c>
      <c r="G497" s="45"/>
      <c r="H497" s="45"/>
      <c r="I497" s="45"/>
      <c r="J497" s="45"/>
      <c r="K497" s="45"/>
      <c r="L497" s="45">
        <v>2.35</v>
      </c>
      <c r="M497" s="291">
        <v>0</v>
      </c>
      <c r="N497" s="45">
        <v>16</v>
      </c>
      <c r="O497" s="290">
        <v>0</v>
      </c>
      <c r="P497" s="290">
        <v>0</v>
      </c>
      <c r="Q497" s="290">
        <v>0</v>
      </c>
      <c r="R497" s="290">
        <v>0</v>
      </c>
      <c r="S497" s="290">
        <v>0</v>
      </c>
      <c r="T497" s="290">
        <v>0</v>
      </c>
      <c r="U497" s="290">
        <v>0</v>
      </c>
      <c r="V497" s="290">
        <v>0</v>
      </c>
      <c r="W497" s="290">
        <v>0</v>
      </c>
      <c r="X497" s="290">
        <v>0</v>
      </c>
      <c r="Y497" s="290">
        <v>0</v>
      </c>
      <c r="Z497" s="290">
        <v>0</v>
      </c>
      <c r="AA497" s="290">
        <v>0</v>
      </c>
      <c r="AB497" s="290">
        <v>0</v>
      </c>
      <c r="AC497" s="290">
        <v>0</v>
      </c>
      <c r="AD497" s="290">
        <v>0</v>
      </c>
      <c r="AE497" s="290">
        <v>0</v>
      </c>
      <c r="AF497" s="290">
        <v>0</v>
      </c>
      <c r="AG497" s="290">
        <v>0</v>
      </c>
      <c r="AH497" s="290">
        <v>0</v>
      </c>
      <c r="AI497" s="290">
        <v>0</v>
      </c>
      <c r="AJ497" s="290">
        <v>0</v>
      </c>
      <c r="AK497" s="290">
        <v>0</v>
      </c>
      <c r="AL497" s="290">
        <v>0</v>
      </c>
      <c r="AM497" s="290">
        <v>0</v>
      </c>
      <c r="AN497" s="290">
        <v>0</v>
      </c>
      <c r="AO497" s="290">
        <v>0</v>
      </c>
      <c r="AP497" s="290">
        <v>0</v>
      </c>
      <c r="AQ497" s="290">
        <v>0</v>
      </c>
      <c r="AR497" s="290">
        <v>0</v>
      </c>
      <c r="AS497" s="290">
        <v>0</v>
      </c>
      <c r="AT497" s="290">
        <v>0</v>
      </c>
      <c r="AU497" s="290">
        <v>0</v>
      </c>
      <c r="AV497" s="290">
        <v>0</v>
      </c>
      <c r="AW497" s="290">
        <v>0</v>
      </c>
      <c r="AX497" s="290">
        <v>0</v>
      </c>
      <c r="AY497" s="290">
        <v>0</v>
      </c>
      <c r="AZ497" s="290">
        <v>0</v>
      </c>
      <c r="BA497" s="290">
        <v>0</v>
      </c>
      <c r="BB497" s="290">
        <v>0</v>
      </c>
      <c r="BC497" s="290">
        <v>0</v>
      </c>
      <c r="BD497" s="290">
        <v>0</v>
      </c>
      <c r="BE497" s="290">
        <v>0</v>
      </c>
      <c r="BF497" s="290">
        <v>0</v>
      </c>
      <c r="BG497" s="290">
        <v>0</v>
      </c>
      <c r="BH497" s="290">
        <v>0</v>
      </c>
      <c r="BI497" s="290">
        <v>0</v>
      </c>
      <c r="BJ497" s="290">
        <v>0</v>
      </c>
      <c r="BK497" s="78">
        <v>0</v>
      </c>
      <c r="BL497" s="41" t="s">
        <v>616</v>
      </c>
      <c r="BM497" s="45"/>
    </row>
    <row r="498" spans="1:65" x14ac:dyDescent="0.35">
      <c r="A498" s="45" t="str">
        <f>Database_Productkaarten[[#This Row],[Product]]&amp;", "&amp;Database_Productkaarten[[#This Row],[Levensfase]]</f>
        <v>SMA 8-11 G.M. - PCR 2.0, D1</v>
      </c>
      <c r="B498" s="45" t="s">
        <v>1378</v>
      </c>
      <c r="C498" s="41" t="s">
        <v>443</v>
      </c>
      <c r="D498" s="45" t="s">
        <v>472</v>
      </c>
      <c r="E498" s="41" t="s">
        <v>91</v>
      </c>
      <c r="F498" s="41" t="s">
        <v>51</v>
      </c>
      <c r="G498" s="45"/>
      <c r="H498" s="45"/>
      <c r="I498" s="45"/>
      <c r="J498" s="45"/>
      <c r="K498" s="45"/>
      <c r="L498" s="45">
        <v>2.35</v>
      </c>
      <c r="M498" s="291">
        <v>-4.3679865550801846</v>
      </c>
      <c r="N498" s="45">
        <v>16</v>
      </c>
      <c r="O498" s="290">
        <v>-4.9038813744081298E-4</v>
      </c>
      <c r="P498" s="290">
        <v>-0.74558617457573995</v>
      </c>
      <c r="Q498" s="290">
        <v>-32.476786358156502</v>
      </c>
      <c r="R498" s="290">
        <v>-2.7847203931114602E-6</v>
      </c>
      <c r="S498" s="290">
        <v>-8.0189532038944106E-2</v>
      </c>
      <c r="T498" s="290">
        <v>-0.229417962036013</v>
      </c>
      <c r="U498" s="290">
        <v>-2.1887334326092901E-2</v>
      </c>
      <c r="V498" s="290">
        <v>-8.9008105527336205</v>
      </c>
      <c r="W498" s="290">
        <v>-1.15579790440444</v>
      </c>
      <c r="X498" s="290">
        <v>-5047.7740662423703</v>
      </c>
      <c r="Y498" s="290">
        <v>-0.15217051445473401</v>
      </c>
      <c r="Z498" s="290">
        <v>-8.6996419338518791</v>
      </c>
      <c r="AA498" s="290">
        <v>-8.5956686497681698</v>
      </c>
      <c r="AB498" s="290">
        <v>-9.3379173256356404E-2</v>
      </c>
      <c r="AC498" s="290">
        <v>-1.05941108273534E-2</v>
      </c>
      <c r="AD498" s="290">
        <v>-1.13959398319269E-6</v>
      </c>
      <c r="AE498" s="290">
        <v>-8.4050570572292399E-2</v>
      </c>
      <c r="AF498" s="290">
        <v>-3.6733849129322999E-4</v>
      </c>
      <c r="AG498" s="290">
        <v>-2.48281595391289E-2</v>
      </c>
      <c r="AH498" s="290">
        <v>-0.31243681487317698</v>
      </c>
      <c r="AI498" s="290">
        <v>-7.7086420452847595E-2</v>
      </c>
      <c r="AJ498" s="290">
        <v>-4.8699678772903799E-4</v>
      </c>
      <c r="AK498" s="290">
        <v>-125.345592380013</v>
      </c>
      <c r="AL498" s="290">
        <v>-30.720181733403098</v>
      </c>
      <c r="AM498" s="290">
        <v>-1.18729781569588E-6</v>
      </c>
      <c r="AN498" s="290">
        <v>-0.67077370817293902</v>
      </c>
      <c r="AO498" s="290">
        <v>-1140.6084620363799</v>
      </c>
      <c r="AP498" s="290">
        <v>-6.3431836537325399E-9</v>
      </c>
      <c r="AQ498" s="290">
        <v>-1.4494123851674099E-7</v>
      </c>
      <c r="AR498" s="290">
        <v>-1407.4485176286601</v>
      </c>
      <c r="AS498" s="290">
        <v>0</v>
      </c>
      <c r="AT498" s="290">
        <v>0</v>
      </c>
      <c r="AU498" s="290">
        <v>-16.2626760282233</v>
      </c>
      <c r="AV498" s="290">
        <v>0</v>
      </c>
      <c r="AW498" s="290">
        <v>0</v>
      </c>
      <c r="AX498" s="290">
        <v>-1683.87225387029</v>
      </c>
      <c r="AY498" s="290">
        <v>0</v>
      </c>
      <c r="AZ498" s="290">
        <v>0</v>
      </c>
      <c r="BA498" s="290">
        <v>0</v>
      </c>
      <c r="BB498" s="290">
        <v>-17.9984712245686</v>
      </c>
      <c r="BC498" s="290">
        <v>-7.7956597309136895E-4</v>
      </c>
      <c r="BD498" s="290">
        <v>-3.0846445640326001</v>
      </c>
      <c r="BE498" s="290">
        <v>-9.1037909150971604E-4</v>
      </c>
      <c r="BF498" s="290">
        <v>0</v>
      </c>
      <c r="BG498" s="290">
        <v>0</v>
      </c>
      <c r="BH498" s="290">
        <v>0</v>
      </c>
      <c r="BI498" s="290">
        <v>0</v>
      </c>
      <c r="BJ498" s="290">
        <v>0</v>
      </c>
      <c r="BK498" s="78">
        <v>0</v>
      </c>
      <c r="BL498" s="41" t="s">
        <v>616</v>
      </c>
      <c r="BM498" s="45"/>
    </row>
    <row r="499" spans="1:65" x14ac:dyDescent="0.35">
      <c r="A499" s="45" t="str">
        <f>Database_Productkaarten[[#This Row],[Product]]&amp;", "&amp;Database_Productkaarten[[#This Row],[Levensfase]]</f>
        <v>SMA 5 - PCR 2.0, Totaal</v>
      </c>
      <c r="B499" s="45" t="s">
        <v>1370</v>
      </c>
      <c r="C499" s="41" t="s">
        <v>443</v>
      </c>
      <c r="D499" s="45" t="s">
        <v>472</v>
      </c>
      <c r="E499" s="41" t="s">
        <v>91</v>
      </c>
      <c r="F499" s="41" t="s">
        <v>16</v>
      </c>
      <c r="G499" s="45"/>
      <c r="H499" s="45"/>
      <c r="I499" s="45"/>
      <c r="J499" s="45"/>
      <c r="K499" s="45"/>
      <c r="L499" s="45">
        <v>2.2999999999999998</v>
      </c>
      <c r="M499" s="54">
        <f>SUM(M500:M514)</f>
        <v>12.008630152304272</v>
      </c>
      <c r="N499" s="45">
        <v>13</v>
      </c>
      <c r="O499" s="55">
        <f>SUM(O500:O514)</f>
        <v>8.2883499961403431E-4</v>
      </c>
      <c r="P499" s="55">
        <f t="shared" ref="P499" si="673">SUM(P500:P514)</f>
        <v>1.4818043607564457</v>
      </c>
      <c r="Q499" s="55">
        <f t="shared" ref="Q499" si="674">SUM(Q500:Q514)</f>
        <v>110.24297066461943</v>
      </c>
      <c r="R499" s="55">
        <f t="shared" ref="R499" si="675">SUM(R500:R514)</f>
        <v>1.2064877144474568E-5</v>
      </c>
      <c r="S499" s="55">
        <f t="shared" ref="S499" si="676">SUM(S500:S514)</f>
        <v>0.13478590152349462</v>
      </c>
      <c r="T499" s="55">
        <f t="shared" ref="T499" si="677">SUM(T500:T514)</f>
        <v>0.51464245401631126</v>
      </c>
      <c r="U499" s="55">
        <f t="shared" ref="U499" si="678">SUM(U500:U514)</f>
        <v>7.1247104379706286E-2</v>
      </c>
      <c r="V499" s="55">
        <f t="shared" ref="V499" si="679">SUM(V500:V514)</f>
        <v>25.600962446976975</v>
      </c>
      <c r="W499" s="55">
        <f t="shared" ref="W499" si="680">SUM(W500:W514)</f>
        <v>2.5709587499688102</v>
      </c>
      <c r="X499" s="55">
        <f t="shared" ref="X499" si="681">SUM(X500:X514)</f>
        <v>8910.6839861261433</v>
      </c>
      <c r="Y499" s="55">
        <f t="shared" ref="Y499" si="682">SUM(Y500:Y514)</f>
        <v>0.28748369281321956</v>
      </c>
      <c r="Z499" s="55">
        <f t="shared" ref="Z499" si="683">SUM(Z500:Z514)</f>
        <v>139.58051340760048</v>
      </c>
      <c r="AA499" s="55">
        <f t="shared" ref="AA499" si="684">SUM(AA500:AA514)</f>
        <v>139.49133163256681</v>
      </c>
      <c r="AB499" s="55">
        <f t="shared" ref="AB499" si="685">SUM(AB500:AB514)</f>
        <v>4.6309849240844067E-2</v>
      </c>
      <c r="AC499" s="55">
        <f t="shared" ref="AC499" si="686">SUM(AC500:AC514)</f>
        <v>8.9343909142992589E-2</v>
      </c>
      <c r="AD499" s="55">
        <f t="shared" ref="AD499" si="687">SUM(AD500:AD514)</f>
        <v>1.688946441244185E-5</v>
      </c>
      <c r="AE499" s="55">
        <f t="shared" ref="AE499" si="688">SUM(AE500:AE514)</f>
        <v>0.83645069872320676</v>
      </c>
      <c r="AF499" s="55">
        <f t="shared" ref="AF499" si="689">SUM(AF500:AF514)</f>
        <v>1.5601641757495867E-3</v>
      </c>
      <c r="AG499" s="55">
        <f t="shared" ref="AG499" si="690">SUM(AG500:AG514)</f>
        <v>0.19138657494512895</v>
      </c>
      <c r="AH499" s="55">
        <f t="shared" ref="AH499" si="691">SUM(AH500:AH514)</f>
        <v>1.9837159400384565</v>
      </c>
      <c r="AI499" s="55">
        <f t="shared" ref="AI499" si="692">SUM(AI500:AI514)</f>
        <v>0.88359277871106345</v>
      </c>
      <c r="AJ499" s="55">
        <f t="shared" ref="AJ499" si="693">SUM(AJ500:AJ514)</f>
        <v>8.321266116171072E-4</v>
      </c>
      <c r="AK499" s="55">
        <f t="shared" ref="AK499" si="694">SUM(AK500:AK514)</f>
        <v>4544.7661450038995</v>
      </c>
      <c r="AL499" s="55">
        <f t="shared" ref="AL499" si="695">SUM(AL500:AL514)</f>
        <v>42.678125721109552</v>
      </c>
      <c r="AM499" s="55">
        <f t="shared" ref="AM499" si="696">SUM(AM500:AM514)</f>
        <v>3.1749941326290689E-6</v>
      </c>
      <c r="AN499" s="55">
        <f t="shared" ref="AN499" si="697">SUM(AN500:AN514)</f>
        <v>4.3594763279444884</v>
      </c>
      <c r="AO499" s="55">
        <f t="shared" ref="AO499" si="698">SUM(AO500:AO514)</f>
        <v>4100.5560081158819</v>
      </c>
      <c r="AP499" s="55">
        <f t="shared" ref="AP499" si="699">SUM(AP500:AP514)</f>
        <v>3.8175211101023959E-8</v>
      </c>
      <c r="AQ499" s="55">
        <f t="shared" ref="AQ499" si="700">SUM(AQ500:AQ514)</f>
        <v>1.4446083007184584E-6</v>
      </c>
      <c r="AR499" s="55">
        <f t="shared" ref="AR499" si="701">SUM(AR500:AR514)</f>
        <v>-468.49147755951321</v>
      </c>
      <c r="AS499" s="55">
        <f t="shared" ref="AS499" si="702">SUM(AS500:AS514)</f>
        <v>8.065825212</v>
      </c>
      <c r="AT499" s="55">
        <f t="shared" ref="AT499" si="703">SUM(AT500:AT514)</f>
        <v>0</v>
      </c>
      <c r="AU499" s="55">
        <f t="shared" ref="AU499" si="704">SUM(AU500:AU514)</f>
        <v>51.251137238069859</v>
      </c>
      <c r="AV499" s="55">
        <f t="shared" ref="AV499" si="705">SUM(AV500:AV514)</f>
        <v>0.70667511750000001</v>
      </c>
      <c r="AW499" s="55">
        <f t="shared" ref="AW499" si="706">SUM(AW500:AW514)</f>
        <v>9.926829900000001E-4</v>
      </c>
      <c r="AX499" s="55">
        <f t="shared" ref="AX499" si="707">SUM(AX500:AX514)</f>
        <v>3296.3196457819931</v>
      </c>
      <c r="AY499" s="55">
        <f t="shared" ref="AY499" si="708">SUM(AY500:AY514)</f>
        <v>0</v>
      </c>
      <c r="AZ499" s="55">
        <f t="shared" ref="AZ499" si="709">SUM(AZ500:AZ514)</f>
        <v>0</v>
      </c>
      <c r="BA499" s="55">
        <f t="shared" ref="BA499" si="710">SUM(BA500:BA514)</f>
        <v>0</v>
      </c>
      <c r="BB499" s="55">
        <f t="shared" ref="BB499" si="711">SUM(BB500:BB514)</f>
        <v>-16.167996038799263</v>
      </c>
      <c r="BC499" s="55">
        <f t="shared" ref="BC499" si="712">SUM(BC500:BC514)</f>
        <v>2.52193488153429E-3</v>
      </c>
      <c r="BD499" s="55">
        <f t="shared" ref="BD499" si="713">SUM(BD500:BD514)</f>
        <v>20.31409345795144</v>
      </c>
      <c r="BE499" s="55">
        <f t="shared" ref="BE499" si="714">SUM(BE500:BE514)</f>
        <v>4.7686919256938586E-3</v>
      </c>
      <c r="BF499" s="55">
        <f t="shared" ref="BF499" si="715">SUM(BF500:BF514)</f>
        <v>0</v>
      </c>
      <c r="BG499" s="55">
        <f t="shared" ref="BG499" si="716">SUM(BG500:BG514)</f>
        <v>1000</v>
      </c>
      <c r="BH499" s="55">
        <f t="shared" ref="BH499" si="717">SUM(BH500:BH514)</f>
        <v>0</v>
      </c>
      <c r="BI499" s="55">
        <f t="shared" ref="BI499" si="718">SUM(BI500:BI514)</f>
        <v>0</v>
      </c>
      <c r="BJ499" s="55">
        <f t="shared" ref="BJ499" si="719">SUM(BJ500:BJ514)</f>
        <v>0</v>
      </c>
      <c r="BK499" s="78">
        <v>0</v>
      </c>
      <c r="BL499" s="41" t="s">
        <v>616</v>
      </c>
      <c r="BM499" s="45"/>
    </row>
    <row r="500" spans="1:65" x14ac:dyDescent="0.35">
      <c r="A500" s="45" t="str">
        <f>Database_Productkaarten[[#This Row],[Product]]&amp;", "&amp;Database_Productkaarten[[#This Row],[Levensfase]]</f>
        <v>SMA 5 - PCR 2.0, A1</v>
      </c>
      <c r="B500" s="45" t="s">
        <v>1370</v>
      </c>
      <c r="C500" s="41" t="s">
        <v>443</v>
      </c>
      <c r="D500" s="45" t="s">
        <v>472</v>
      </c>
      <c r="E500" s="41" t="s">
        <v>91</v>
      </c>
      <c r="F500" s="41" t="s">
        <v>19</v>
      </c>
      <c r="G500" s="45"/>
      <c r="H500" s="45"/>
      <c r="I500" s="45"/>
      <c r="J500" s="45"/>
      <c r="K500" s="45"/>
      <c r="L500" s="45">
        <v>2.2999999999999998</v>
      </c>
      <c r="M500" s="291">
        <v>9.6818731737250214</v>
      </c>
      <c r="N500" s="45">
        <v>13</v>
      </c>
      <c r="O500" s="290">
        <v>7.7562297151886005E-4</v>
      </c>
      <c r="P500" s="290">
        <v>1.7633403983810101</v>
      </c>
      <c r="Q500" s="290">
        <v>77.197889100783996</v>
      </c>
      <c r="R500" s="290">
        <v>5.6781399123178896E-6</v>
      </c>
      <c r="S500" s="290">
        <v>0.18612387724104701</v>
      </c>
      <c r="T500" s="290">
        <v>0.47291321977837297</v>
      </c>
      <c r="U500" s="290">
        <v>3.5418500861472697E-2</v>
      </c>
      <c r="V500" s="290">
        <v>18.258087203405701</v>
      </c>
      <c r="W500" s="290">
        <v>2.7649114892534099</v>
      </c>
      <c r="X500" s="290">
        <v>12092.663054663701</v>
      </c>
      <c r="Y500" s="290">
        <v>0.357352854545327</v>
      </c>
      <c r="Z500" s="290">
        <v>81.958499519038597</v>
      </c>
      <c r="AA500" s="290">
        <v>81.937774552743207</v>
      </c>
      <c r="AB500" s="290">
        <v>2.0208472312760399E-2</v>
      </c>
      <c r="AC500" s="290">
        <v>4.6988493982606801E-2</v>
      </c>
      <c r="AD500" s="290">
        <v>6.8687024048335802E-6</v>
      </c>
      <c r="AE500" s="290">
        <v>0.54929540924891496</v>
      </c>
      <c r="AF500" s="290">
        <v>1.1817015308990999E-3</v>
      </c>
      <c r="AG500" s="290">
        <v>6.9462846512765505E-2</v>
      </c>
      <c r="AH500" s="290">
        <v>0.67591097628860897</v>
      </c>
      <c r="AI500" s="290">
        <v>0.52721477307610898</v>
      </c>
      <c r="AJ500" s="290">
        <v>7.7553682598355299E-4</v>
      </c>
      <c r="AK500" s="290">
        <v>3748.56202616778</v>
      </c>
      <c r="AL500" s="290">
        <v>70.384637926896303</v>
      </c>
      <c r="AM500" s="290">
        <v>2.287837018695E-6</v>
      </c>
      <c r="AN500" s="290">
        <v>2.2277283577065798</v>
      </c>
      <c r="AO500" s="290">
        <v>4652.7430430346903</v>
      </c>
      <c r="AP500" s="290">
        <v>2.2163025683659502E-8</v>
      </c>
      <c r="AQ500" s="290">
        <v>1.07218723366005E-6</v>
      </c>
      <c r="AR500" s="290">
        <v>413.60139405399002</v>
      </c>
      <c r="AS500" s="290">
        <v>0</v>
      </c>
      <c r="AT500" s="290">
        <v>0</v>
      </c>
      <c r="AU500" s="290">
        <v>41.508207262928799</v>
      </c>
      <c r="AV500" s="290">
        <v>0</v>
      </c>
      <c r="AW500" s="290">
        <v>0</v>
      </c>
      <c r="AX500" s="290">
        <v>3988.9062738716402</v>
      </c>
      <c r="AY500" s="290">
        <v>0</v>
      </c>
      <c r="AZ500" s="290">
        <v>0</v>
      </c>
      <c r="BA500" s="290">
        <v>0</v>
      </c>
      <c r="BB500" s="290">
        <v>1.6949960934644199</v>
      </c>
      <c r="BC500" s="290">
        <v>1.35901832814216E-3</v>
      </c>
      <c r="BD500" s="290">
        <v>3.7144097420461599</v>
      </c>
      <c r="BE500" s="290">
        <v>1.45613205490544E-3</v>
      </c>
      <c r="BF500" s="290">
        <v>0</v>
      </c>
      <c r="BG500" s="290">
        <v>0</v>
      </c>
      <c r="BH500" s="290">
        <v>0</v>
      </c>
      <c r="BI500" s="290">
        <v>0</v>
      </c>
      <c r="BJ500" s="290">
        <v>0</v>
      </c>
      <c r="BK500" s="78">
        <v>0</v>
      </c>
      <c r="BL500" s="41" t="s">
        <v>616</v>
      </c>
      <c r="BM500" s="45"/>
    </row>
    <row r="501" spans="1:65" x14ac:dyDescent="0.35">
      <c r="A501" s="45" t="str">
        <f>Database_Productkaarten[[#This Row],[Product]]&amp;", "&amp;Database_Productkaarten[[#This Row],[Levensfase]]</f>
        <v>SMA 5 - PCR 2.0, A2</v>
      </c>
      <c r="B501" s="45" t="s">
        <v>1370</v>
      </c>
      <c r="C501" s="41" t="s">
        <v>443</v>
      </c>
      <c r="D501" s="45" t="s">
        <v>472</v>
      </c>
      <c r="E501" s="41" t="s">
        <v>91</v>
      </c>
      <c r="F501" s="41" t="s">
        <v>20</v>
      </c>
      <c r="G501" s="45"/>
      <c r="H501" s="45"/>
      <c r="I501" s="45"/>
      <c r="J501" s="45"/>
      <c r="K501" s="45"/>
      <c r="L501" s="45">
        <v>2.2999999999999998</v>
      </c>
      <c r="M501" s="291">
        <v>3.7460392798365416</v>
      </c>
      <c r="N501" s="45">
        <v>13</v>
      </c>
      <c r="O501" s="290">
        <v>3.7190398794563403E-4</v>
      </c>
      <c r="P501" s="290">
        <v>0.201318616771334</v>
      </c>
      <c r="Q501" s="290">
        <v>31.333251071402302</v>
      </c>
      <c r="R501" s="290">
        <v>4.7303312797012602E-6</v>
      </c>
      <c r="S501" s="290">
        <v>1.8529681425807E-2</v>
      </c>
      <c r="T501" s="290">
        <v>0.204735553766942</v>
      </c>
      <c r="U501" s="290">
        <v>4.5000864814470201E-2</v>
      </c>
      <c r="V501" s="290">
        <v>8.8740625078812805</v>
      </c>
      <c r="W501" s="290">
        <v>0.234264644477476</v>
      </c>
      <c r="X501" s="290">
        <v>778.97937012404304</v>
      </c>
      <c r="Y501" s="290">
        <v>3.9391161681549401E-2</v>
      </c>
      <c r="Z501" s="290">
        <v>31.687172014768301</v>
      </c>
      <c r="AA501" s="290">
        <v>31.595862352104799</v>
      </c>
      <c r="AB501" s="290">
        <v>4.30498110589713E-2</v>
      </c>
      <c r="AC501" s="290">
        <v>4.8259851604614601E-2</v>
      </c>
      <c r="AD501" s="290">
        <v>5.8892180723047504E-6</v>
      </c>
      <c r="AE501" s="290">
        <v>0.28389609795412202</v>
      </c>
      <c r="AF501" s="290">
        <v>3.6640428641644001E-4</v>
      </c>
      <c r="AG501" s="290">
        <v>0.11850483328455801</v>
      </c>
      <c r="AH501" s="290">
        <v>1.30456794904465</v>
      </c>
      <c r="AI501" s="290">
        <v>0.34079867137825998</v>
      </c>
      <c r="AJ501" s="290">
        <v>3.71891222613015E-4</v>
      </c>
      <c r="AK501" s="290">
        <v>417.17699585661302</v>
      </c>
      <c r="AL501" s="290">
        <v>1.8456996135972701</v>
      </c>
      <c r="AM501" s="290">
        <v>1.1941353165847999E-6</v>
      </c>
      <c r="AN501" s="290">
        <v>1.7935974732729401</v>
      </c>
      <c r="AO501" s="290">
        <v>369.55852628290103</v>
      </c>
      <c r="AP501" s="290">
        <v>1.47227976295946E-8</v>
      </c>
      <c r="AQ501" s="290">
        <v>2.9227679569994799E-7</v>
      </c>
      <c r="AR501" s="290">
        <v>330.00762929766103</v>
      </c>
      <c r="AS501" s="290">
        <v>0</v>
      </c>
      <c r="AT501" s="290">
        <v>0</v>
      </c>
      <c r="AU501" s="290">
        <v>8.6357407722046595</v>
      </c>
      <c r="AV501" s="290">
        <v>0</v>
      </c>
      <c r="AW501" s="290">
        <v>0</v>
      </c>
      <c r="AX501" s="290">
        <v>442.75535591437603</v>
      </c>
      <c r="AY501" s="290">
        <v>0</v>
      </c>
      <c r="AZ501" s="290">
        <v>0</v>
      </c>
      <c r="BA501" s="290">
        <v>0</v>
      </c>
      <c r="BB501" s="290">
        <v>7.2330684656779096E-2</v>
      </c>
      <c r="BC501" s="290">
        <v>1.0794442708460801E-3</v>
      </c>
      <c r="BD501" s="290">
        <v>8.3064769842310806</v>
      </c>
      <c r="BE501" s="290">
        <v>2.7127396323501501E-3</v>
      </c>
      <c r="BF501" s="290">
        <v>0</v>
      </c>
      <c r="BG501" s="290">
        <v>0</v>
      </c>
      <c r="BH501" s="290">
        <v>0</v>
      </c>
      <c r="BI501" s="290">
        <v>0</v>
      </c>
      <c r="BJ501" s="290">
        <v>0</v>
      </c>
      <c r="BK501" s="78">
        <v>0</v>
      </c>
      <c r="BL501" s="41" t="s">
        <v>616</v>
      </c>
      <c r="BM501" s="45"/>
    </row>
    <row r="502" spans="1:65" x14ac:dyDescent="0.35">
      <c r="A502" s="45" t="str">
        <f>Database_Productkaarten[[#This Row],[Product]]&amp;", "&amp;Database_Productkaarten[[#This Row],[Levensfase]]</f>
        <v>SMA 5 - PCR 2.0, A3</v>
      </c>
      <c r="B502" s="45" t="s">
        <v>1370</v>
      </c>
      <c r="C502" s="41" t="s">
        <v>443</v>
      </c>
      <c r="D502" s="45" t="s">
        <v>472</v>
      </c>
      <c r="E502" s="41" t="s">
        <v>91</v>
      </c>
      <c r="F502" s="41" t="s">
        <v>21</v>
      </c>
      <c r="G502" s="45"/>
      <c r="H502" s="45"/>
      <c r="I502" s="45"/>
      <c r="J502" s="45"/>
      <c r="K502" s="45"/>
      <c r="L502" s="45">
        <v>2.2999999999999998</v>
      </c>
      <c r="M502" s="291">
        <v>1.5599456357757979</v>
      </c>
      <c r="N502" s="45">
        <v>13</v>
      </c>
      <c r="O502" s="290">
        <v>2.4514260105643702E-5</v>
      </c>
      <c r="P502" s="290">
        <v>0.18052311024999201</v>
      </c>
      <c r="Q502" s="290">
        <v>21.344449567897399</v>
      </c>
      <c r="R502" s="290">
        <v>2.33953911067883E-6</v>
      </c>
      <c r="S502" s="290">
        <v>3.4779221754758401E-3</v>
      </c>
      <c r="T502" s="290">
        <v>2.2526428037886601E-2</v>
      </c>
      <c r="U502" s="290">
        <v>3.9170815696061697E-3</v>
      </c>
      <c r="V502" s="290">
        <v>3.5371115473813299</v>
      </c>
      <c r="W502" s="290">
        <v>2.61435573804835E-2</v>
      </c>
      <c r="X502" s="290">
        <v>106.638643843346</v>
      </c>
      <c r="Y502" s="290">
        <v>2.7697504782819401E-2</v>
      </c>
      <c r="Z502" s="290">
        <v>21.672838906502001</v>
      </c>
      <c r="AA502" s="290">
        <v>21.6112049808245</v>
      </c>
      <c r="AB502" s="290">
        <v>5.9557781463687502E-2</v>
      </c>
      <c r="AC502" s="290">
        <v>2.0761442138622298E-3</v>
      </c>
      <c r="AD502" s="290">
        <v>2.6313298299371202E-6</v>
      </c>
      <c r="AE502" s="290">
        <v>2.89369517460209E-2</v>
      </c>
      <c r="AF502" s="290">
        <v>3.0159059471902898E-4</v>
      </c>
      <c r="AG502" s="290">
        <v>7.9768282703565393E-3</v>
      </c>
      <c r="AH502" s="290">
        <v>9.0713543624574802E-2</v>
      </c>
      <c r="AI502" s="290">
        <v>2.6968567111565901E-2</v>
      </c>
      <c r="AJ502" s="290">
        <v>2.4513927898939699E-5</v>
      </c>
      <c r="AK502" s="290">
        <v>331.74811979250302</v>
      </c>
      <c r="AL502" s="290">
        <v>0.59217241891702399</v>
      </c>
      <c r="AM502" s="290">
        <v>1.9337873135954E-7</v>
      </c>
      <c r="AN502" s="290">
        <v>0.26857505833224798</v>
      </c>
      <c r="AO502" s="290">
        <v>83.710480562523898</v>
      </c>
      <c r="AP502" s="290">
        <v>2.84264400995483E-9</v>
      </c>
      <c r="AQ502" s="290">
        <v>5.3093248261382897E-8</v>
      </c>
      <c r="AR502" s="290">
        <v>17.614904139246601</v>
      </c>
      <c r="AS502" s="290">
        <v>0</v>
      </c>
      <c r="AT502" s="290">
        <v>0</v>
      </c>
      <c r="AU502" s="290">
        <v>7.7204265270557899</v>
      </c>
      <c r="AV502" s="290">
        <v>0</v>
      </c>
      <c r="AW502" s="290">
        <v>0</v>
      </c>
      <c r="AX502" s="290">
        <v>365.19908965708902</v>
      </c>
      <c r="AY502" s="290">
        <v>0</v>
      </c>
      <c r="AZ502" s="290">
        <v>0</v>
      </c>
      <c r="BA502" s="290">
        <v>0</v>
      </c>
      <c r="BB502" s="290">
        <v>4.4673935641203699E-2</v>
      </c>
      <c r="BC502" s="290">
        <v>3.96842344785559E-4</v>
      </c>
      <c r="BD502" s="290">
        <v>0.28738556799268899</v>
      </c>
      <c r="BE502" s="290">
        <v>3.3387425600689402E-4</v>
      </c>
      <c r="BF502" s="290">
        <v>0</v>
      </c>
      <c r="BG502" s="290">
        <v>0</v>
      </c>
      <c r="BH502" s="290">
        <v>0</v>
      </c>
      <c r="BI502" s="290">
        <v>0</v>
      </c>
      <c r="BJ502" s="290">
        <v>0</v>
      </c>
      <c r="BK502" s="78">
        <v>0</v>
      </c>
      <c r="BL502" s="41" t="s">
        <v>616</v>
      </c>
      <c r="BM502" s="45"/>
    </row>
    <row r="503" spans="1:65" x14ac:dyDescent="0.35">
      <c r="A503" s="45" t="str">
        <f>Database_Productkaarten[[#This Row],[Product]]&amp;", "&amp;Database_Productkaarten[[#This Row],[Levensfase]]</f>
        <v>SMA 5 - PCR 2.0, A4</v>
      </c>
      <c r="B503" s="45" t="s">
        <v>1370</v>
      </c>
      <c r="C503" s="41" t="s">
        <v>443</v>
      </c>
      <c r="D503" s="45" t="s">
        <v>472</v>
      </c>
      <c r="E503" s="41" t="s">
        <v>91</v>
      </c>
      <c r="F503" s="41" t="s">
        <v>22</v>
      </c>
      <c r="G503" s="45"/>
      <c r="H503" s="45"/>
      <c r="I503" s="45"/>
      <c r="J503" s="45"/>
      <c r="K503" s="45"/>
      <c r="L503" s="45">
        <v>2.2999999999999998</v>
      </c>
      <c r="M503" s="291">
        <v>0.37546048090943995</v>
      </c>
      <c r="N503" s="45">
        <v>13</v>
      </c>
      <c r="O503" s="290">
        <v>6.8533509000000002E-5</v>
      </c>
      <c r="P503" s="290">
        <v>2.9713889699999999E-2</v>
      </c>
      <c r="Q503" s="290">
        <v>3.9891474704999998</v>
      </c>
      <c r="R503" s="290">
        <v>7.557213E-7</v>
      </c>
      <c r="S503" s="290">
        <v>2.4773701499999998E-3</v>
      </c>
      <c r="T503" s="290">
        <v>1.36398132E-2</v>
      </c>
      <c r="U503" s="290">
        <v>2.5682192100000001E-3</v>
      </c>
      <c r="V503" s="290">
        <v>0.8608144794</v>
      </c>
      <c r="W503" s="290">
        <v>3.6189873900000002E-2</v>
      </c>
      <c r="X503" s="290">
        <v>97.376595929999993</v>
      </c>
      <c r="Y503" s="290">
        <v>4.8437180999999999E-3</v>
      </c>
      <c r="Z503" s="290">
        <v>4.0259382761999998</v>
      </c>
      <c r="AA503" s="290">
        <v>4.0229543298000001</v>
      </c>
      <c r="AB503" s="290">
        <v>1.9814632200000001E-3</v>
      </c>
      <c r="AC503" s="290">
        <v>1.0024609799999999E-3</v>
      </c>
      <c r="AD503" s="290">
        <v>9.4976262000000003E-7</v>
      </c>
      <c r="AE503" s="290">
        <v>1.7739576E-2</v>
      </c>
      <c r="AF503" s="290">
        <v>2.7841996800000001E-5</v>
      </c>
      <c r="AG503" s="290">
        <v>5.5484582100000001E-3</v>
      </c>
      <c r="AH503" s="290">
        <v>6.1385308800000003E-2</v>
      </c>
      <c r="AI503" s="290">
        <v>1.9235744999999999E-2</v>
      </c>
      <c r="AJ503" s="290">
        <v>6.8533397999999998E-5</v>
      </c>
      <c r="AK503" s="290">
        <v>62.400806729999999</v>
      </c>
      <c r="AL503" s="290">
        <v>0.212954166</v>
      </c>
      <c r="AM503" s="290">
        <v>2.9338876200000002E-7</v>
      </c>
      <c r="AN503" s="290">
        <v>0.26868483510000002</v>
      </c>
      <c r="AO503" s="290">
        <v>45.56587296</v>
      </c>
      <c r="AP503" s="290">
        <v>1.16371179E-9</v>
      </c>
      <c r="AQ503" s="290">
        <v>3.8268015899999999E-8</v>
      </c>
      <c r="AR503" s="290">
        <v>71.806844609999999</v>
      </c>
      <c r="AS503" s="290">
        <v>0</v>
      </c>
      <c r="AT503" s="290">
        <v>0</v>
      </c>
      <c r="AU503" s="290">
        <v>0.63474917099999995</v>
      </c>
      <c r="AV503" s="290">
        <v>0</v>
      </c>
      <c r="AW503" s="290">
        <v>0</v>
      </c>
      <c r="AX503" s="290">
        <v>66.265108560000002</v>
      </c>
      <c r="AY503" s="290">
        <v>0</v>
      </c>
      <c r="AZ503" s="290">
        <v>0</v>
      </c>
      <c r="BA503" s="290">
        <v>0</v>
      </c>
      <c r="BB503" s="290">
        <v>6.7467797999999999E-3</v>
      </c>
      <c r="BC503" s="290">
        <v>1.54707915E-4</v>
      </c>
      <c r="BD503" s="290">
        <v>5.4635493149999999</v>
      </c>
      <c r="BE503" s="290">
        <v>4.25149758E-4</v>
      </c>
      <c r="BF503" s="290">
        <v>0</v>
      </c>
      <c r="BG503" s="290">
        <v>0</v>
      </c>
      <c r="BH503" s="290">
        <v>0</v>
      </c>
      <c r="BI503" s="290">
        <v>0</v>
      </c>
      <c r="BJ503" s="290">
        <v>0</v>
      </c>
      <c r="BK503" s="78">
        <v>0</v>
      </c>
      <c r="BL503" s="41" t="s">
        <v>616</v>
      </c>
      <c r="BM503" s="45"/>
    </row>
    <row r="504" spans="1:65" x14ac:dyDescent="0.35">
      <c r="A504" s="45" t="str">
        <f>Database_Productkaarten[[#This Row],[Product]]&amp;", "&amp;Database_Productkaarten[[#This Row],[Levensfase]]</f>
        <v>SMA 5 - PCR 2.0, A5</v>
      </c>
      <c r="B504" s="45" t="s">
        <v>1370</v>
      </c>
      <c r="C504" s="41" t="s">
        <v>443</v>
      </c>
      <c r="D504" s="45" t="s">
        <v>472</v>
      </c>
      <c r="E504" s="41" t="s">
        <v>91</v>
      </c>
      <c r="F504" s="41" t="s">
        <v>23</v>
      </c>
      <c r="G504" s="45"/>
      <c r="H504" s="45"/>
      <c r="I504" s="45"/>
      <c r="J504" s="45"/>
      <c r="K504" s="45"/>
      <c r="L504" s="45">
        <v>2.2999999999999998</v>
      </c>
      <c r="M504" s="291">
        <v>0.2597053336061183</v>
      </c>
      <c r="N504" s="45">
        <v>13</v>
      </c>
      <c r="O504" s="290">
        <v>2.9238192601566899E-6</v>
      </c>
      <c r="P504" s="290">
        <v>1.2437869082647501E-2</v>
      </c>
      <c r="Q504" s="290">
        <v>2.5295292172695301</v>
      </c>
      <c r="R504" s="290">
        <v>3.26877041223101E-7</v>
      </c>
      <c r="S504" s="290">
        <v>9.4117069382570703E-4</v>
      </c>
      <c r="T504" s="290">
        <v>1.04973944636062E-2</v>
      </c>
      <c r="U504" s="290">
        <v>2.4039520987081502E-3</v>
      </c>
      <c r="V504" s="290">
        <v>0.68877614098758899</v>
      </c>
      <c r="W504" s="290">
        <v>9.70247944156938E-3</v>
      </c>
      <c r="X504" s="290">
        <v>33.711839975113598</v>
      </c>
      <c r="Y504" s="290">
        <v>1.14900611681374E-3</v>
      </c>
      <c r="Z504" s="290">
        <v>2.5482276291047801</v>
      </c>
      <c r="AA504" s="290">
        <v>2.5474969823195002</v>
      </c>
      <c r="AB504" s="290">
        <v>5.8195030848014401E-4</v>
      </c>
      <c r="AC504" s="290">
        <v>1.4869647680517201E-4</v>
      </c>
      <c r="AD504" s="290">
        <v>4.1187798224910598E-7</v>
      </c>
      <c r="AE504" s="290">
        <v>1.4654717119940401E-2</v>
      </c>
      <c r="AF504" s="290">
        <v>6.9471842668600303E-6</v>
      </c>
      <c r="AG504" s="290">
        <v>6.3596059807787602E-3</v>
      </c>
      <c r="AH504" s="290">
        <v>6.9798399555511204E-2</v>
      </c>
      <c r="AI504" s="290">
        <v>1.8200499463318101E-2</v>
      </c>
      <c r="AJ504" s="290">
        <v>2.9237963165969499E-6</v>
      </c>
      <c r="AK504" s="290">
        <v>26.2431446264793</v>
      </c>
      <c r="AL504" s="290">
        <v>3.4951581827788299E-2</v>
      </c>
      <c r="AM504" s="290">
        <v>5.4485692668444001E-8</v>
      </c>
      <c r="AN504" s="290">
        <v>0.11263801417770899</v>
      </c>
      <c r="AO504" s="290">
        <v>15.7470628327907</v>
      </c>
      <c r="AP504" s="290">
        <v>5.5245137302842195E-10</v>
      </c>
      <c r="AQ504" s="290">
        <v>1.3239865434751001E-8</v>
      </c>
      <c r="AR504" s="290">
        <v>3.3519896295273299</v>
      </c>
      <c r="AS504" s="290">
        <v>0</v>
      </c>
      <c r="AT504" s="290">
        <v>0</v>
      </c>
      <c r="AU504" s="290">
        <v>0.144245360416561</v>
      </c>
      <c r="AV504" s="290">
        <v>0</v>
      </c>
      <c r="AW504" s="290">
        <v>0</v>
      </c>
      <c r="AX504" s="290">
        <v>27.869389566283299</v>
      </c>
      <c r="AY504" s="290">
        <v>0</v>
      </c>
      <c r="AZ504" s="290">
        <v>0</v>
      </c>
      <c r="BA504" s="290">
        <v>0</v>
      </c>
      <c r="BB504" s="290">
        <v>1.35659657975171E-3</v>
      </c>
      <c r="BC504" s="290">
        <v>7.1467090743758304E-5</v>
      </c>
      <c r="BD504" s="290">
        <v>3.1052769961088501E-2</v>
      </c>
      <c r="BE504" s="290">
        <v>1.82391263466533E-4</v>
      </c>
      <c r="BF504" s="290">
        <v>0</v>
      </c>
      <c r="BG504" s="290">
        <v>0</v>
      </c>
      <c r="BH504" s="290">
        <v>0</v>
      </c>
      <c r="BI504" s="290">
        <v>0</v>
      </c>
      <c r="BJ504" s="290">
        <v>0</v>
      </c>
      <c r="BK504" s="78">
        <v>0</v>
      </c>
      <c r="BL504" s="41" t="s">
        <v>616</v>
      </c>
      <c r="BM504" s="45"/>
    </row>
    <row r="505" spans="1:65" x14ac:dyDescent="0.35">
      <c r="A505" s="45" t="str">
        <f>Database_Productkaarten[[#This Row],[Product]]&amp;", "&amp;Database_Productkaarten[[#This Row],[Levensfase]]</f>
        <v>SMA 5 - PCR 2.0, B1</v>
      </c>
      <c r="B505" s="45" t="s">
        <v>1370</v>
      </c>
      <c r="C505" s="41" t="s">
        <v>443</v>
      </c>
      <c r="D505" s="45" t="s">
        <v>472</v>
      </c>
      <c r="E505" s="41" t="s">
        <v>91</v>
      </c>
      <c r="F505" s="41" t="s">
        <v>24</v>
      </c>
      <c r="G505" s="45"/>
      <c r="H505" s="45"/>
      <c r="I505" s="45"/>
      <c r="J505" s="45"/>
      <c r="K505" s="45"/>
      <c r="L505" s="45">
        <v>2.2999999999999998</v>
      </c>
      <c r="M505" s="291">
        <v>0.14096322842223419</v>
      </c>
      <c r="N505" s="45">
        <v>13</v>
      </c>
      <c r="O505" s="290">
        <v>0</v>
      </c>
      <c r="P505" s="290">
        <v>0</v>
      </c>
      <c r="Q505" s="290">
        <v>0</v>
      </c>
      <c r="R505" s="290">
        <v>0</v>
      </c>
      <c r="S505" s="290">
        <v>0</v>
      </c>
      <c r="T505" s="290">
        <v>0</v>
      </c>
      <c r="U505" s="290">
        <v>0</v>
      </c>
      <c r="V505" s="290">
        <v>0.56785655602233698</v>
      </c>
      <c r="W505" s="290">
        <v>0.60877917791259695</v>
      </c>
      <c r="X505" s="290">
        <v>715.71979564585104</v>
      </c>
      <c r="Y505" s="290">
        <v>3.4639130434757198E-4</v>
      </c>
      <c r="Z505" s="290">
        <v>0</v>
      </c>
      <c r="AA505" s="290">
        <v>0</v>
      </c>
      <c r="AB505" s="290">
        <v>0</v>
      </c>
      <c r="AC505" s="290">
        <v>0</v>
      </c>
      <c r="AD505" s="290">
        <v>0</v>
      </c>
      <c r="AE505" s="290">
        <v>0</v>
      </c>
      <c r="AF505" s="290">
        <v>0</v>
      </c>
      <c r="AG505" s="290">
        <v>0</v>
      </c>
      <c r="AH505" s="290">
        <v>0</v>
      </c>
      <c r="AI505" s="290">
        <v>0</v>
      </c>
      <c r="AJ505" s="290">
        <v>0</v>
      </c>
      <c r="AK505" s="290">
        <v>0</v>
      </c>
      <c r="AL505" s="290">
        <v>0</v>
      </c>
      <c r="AM505" s="290">
        <v>0</v>
      </c>
      <c r="AN505" s="290">
        <v>0</v>
      </c>
      <c r="AO505" s="290">
        <v>4.2204606607490804</v>
      </c>
      <c r="AP505" s="290">
        <v>1.0549137982057499E-9</v>
      </c>
      <c r="AQ505" s="290">
        <v>6.3377256890832599E-8</v>
      </c>
      <c r="AR505" s="290">
        <v>0</v>
      </c>
      <c r="AS505" s="290">
        <v>0</v>
      </c>
      <c r="AT505" s="290">
        <v>0</v>
      </c>
      <c r="AU505" s="290">
        <v>0</v>
      </c>
      <c r="AV505" s="290">
        <v>0</v>
      </c>
      <c r="AW505" s="290">
        <v>0</v>
      </c>
      <c r="AX505" s="290">
        <v>0</v>
      </c>
      <c r="AY505" s="290">
        <v>0</v>
      </c>
      <c r="AZ505" s="290">
        <v>0</v>
      </c>
      <c r="BA505" s="290">
        <v>0</v>
      </c>
      <c r="BB505" s="290">
        <v>0</v>
      </c>
      <c r="BC505" s="290">
        <v>0</v>
      </c>
      <c r="BD505" s="290">
        <v>0</v>
      </c>
      <c r="BE505" s="290">
        <v>0</v>
      </c>
      <c r="BF505" s="290">
        <v>0</v>
      </c>
      <c r="BG505" s="290">
        <v>0</v>
      </c>
      <c r="BH505" s="290">
        <v>0</v>
      </c>
      <c r="BI505" s="290">
        <v>0</v>
      </c>
      <c r="BJ505" s="290">
        <v>0</v>
      </c>
      <c r="BK505" s="78">
        <v>0</v>
      </c>
      <c r="BL505" s="41" t="s">
        <v>616</v>
      </c>
      <c r="BM505" s="45"/>
    </row>
    <row r="506" spans="1:65" x14ac:dyDescent="0.35">
      <c r="A506" s="45" t="str">
        <f>Database_Productkaarten[[#This Row],[Product]]&amp;", "&amp;Database_Productkaarten[[#This Row],[Levensfase]]</f>
        <v>SMA 5 - PCR 2.0, B2</v>
      </c>
      <c r="B506" s="45" t="s">
        <v>1370</v>
      </c>
      <c r="C506" s="41" t="s">
        <v>443</v>
      </c>
      <c r="D506" s="45" t="s">
        <v>472</v>
      </c>
      <c r="E506" s="41" t="s">
        <v>91</v>
      </c>
      <c r="F506" s="41" t="s">
        <v>604</v>
      </c>
      <c r="G506" s="45"/>
      <c r="H506" s="45"/>
      <c r="I506" s="45"/>
      <c r="J506" s="45"/>
      <c r="K506" s="45"/>
      <c r="L506" s="45">
        <v>2.2999999999999998</v>
      </c>
      <c r="M506" s="291">
        <v>0</v>
      </c>
      <c r="N506" s="45">
        <v>13</v>
      </c>
      <c r="O506" s="290">
        <v>0</v>
      </c>
      <c r="P506" s="290">
        <v>0</v>
      </c>
      <c r="Q506" s="290">
        <v>0</v>
      </c>
      <c r="R506" s="290">
        <v>0</v>
      </c>
      <c r="S506" s="290">
        <v>0</v>
      </c>
      <c r="T506" s="290">
        <v>0</v>
      </c>
      <c r="U506" s="290">
        <v>0</v>
      </c>
      <c r="V506" s="290">
        <v>0</v>
      </c>
      <c r="W506" s="290">
        <v>0</v>
      </c>
      <c r="X506" s="290">
        <v>0</v>
      </c>
      <c r="Y506" s="290">
        <v>0</v>
      </c>
      <c r="Z506" s="290">
        <v>0</v>
      </c>
      <c r="AA506" s="290">
        <v>0</v>
      </c>
      <c r="AB506" s="290">
        <v>0</v>
      </c>
      <c r="AC506" s="290">
        <v>0</v>
      </c>
      <c r="AD506" s="290">
        <v>0</v>
      </c>
      <c r="AE506" s="290">
        <v>0</v>
      </c>
      <c r="AF506" s="290">
        <v>0</v>
      </c>
      <c r="AG506" s="290">
        <v>0</v>
      </c>
      <c r="AH506" s="290">
        <v>0</v>
      </c>
      <c r="AI506" s="290">
        <v>0</v>
      </c>
      <c r="AJ506" s="290">
        <v>0</v>
      </c>
      <c r="AK506" s="290">
        <v>0</v>
      </c>
      <c r="AL506" s="290">
        <v>0</v>
      </c>
      <c r="AM506" s="290">
        <v>0</v>
      </c>
      <c r="AN506" s="290">
        <v>0</v>
      </c>
      <c r="AO506" s="290">
        <v>0</v>
      </c>
      <c r="AP506" s="290">
        <v>0</v>
      </c>
      <c r="AQ506" s="290">
        <v>0</v>
      </c>
      <c r="AR506" s="290">
        <v>0</v>
      </c>
      <c r="AS506" s="290">
        <v>0</v>
      </c>
      <c r="AT506" s="290">
        <v>0</v>
      </c>
      <c r="AU506" s="290">
        <v>0</v>
      </c>
      <c r="AV506" s="290">
        <v>0</v>
      </c>
      <c r="AW506" s="290">
        <v>0</v>
      </c>
      <c r="AX506" s="290">
        <v>0</v>
      </c>
      <c r="AY506" s="290">
        <v>0</v>
      </c>
      <c r="AZ506" s="290">
        <v>0</v>
      </c>
      <c r="BA506" s="290">
        <v>0</v>
      </c>
      <c r="BB506" s="290">
        <v>0</v>
      </c>
      <c r="BC506" s="290">
        <v>0</v>
      </c>
      <c r="BD506" s="290">
        <v>0</v>
      </c>
      <c r="BE506" s="290">
        <v>0</v>
      </c>
      <c r="BF506" s="290">
        <v>0</v>
      </c>
      <c r="BG506" s="290">
        <v>0</v>
      </c>
      <c r="BH506" s="290">
        <v>0</v>
      </c>
      <c r="BI506" s="290">
        <v>0</v>
      </c>
      <c r="BJ506" s="290">
        <v>0</v>
      </c>
      <c r="BK506" s="78">
        <v>0</v>
      </c>
      <c r="BL506" s="41" t="s">
        <v>616</v>
      </c>
      <c r="BM506" s="45"/>
    </row>
    <row r="507" spans="1:65" x14ac:dyDescent="0.35">
      <c r="A507" s="45" t="str">
        <f>Database_Productkaarten[[#This Row],[Product]]&amp;", "&amp;Database_Productkaarten[[#This Row],[Levensfase]]</f>
        <v>SMA 5 - PCR 2.0, B3</v>
      </c>
      <c r="B507" s="45" t="s">
        <v>1370</v>
      </c>
      <c r="C507" s="41" t="s">
        <v>443</v>
      </c>
      <c r="D507" s="45" t="s">
        <v>472</v>
      </c>
      <c r="E507" s="41" t="s">
        <v>91</v>
      </c>
      <c r="F507" s="41" t="s">
        <v>602</v>
      </c>
      <c r="G507" s="45"/>
      <c r="H507" s="45"/>
      <c r="I507" s="45"/>
      <c r="J507" s="45"/>
      <c r="K507" s="45"/>
      <c r="L507" s="45">
        <v>2.2999999999999998</v>
      </c>
      <c r="M507" s="291">
        <v>0</v>
      </c>
      <c r="N507" s="45">
        <v>13</v>
      </c>
      <c r="O507" s="290">
        <v>0</v>
      </c>
      <c r="P507" s="290">
        <v>0</v>
      </c>
      <c r="Q507" s="290">
        <v>0</v>
      </c>
      <c r="R507" s="290">
        <v>0</v>
      </c>
      <c r="S507" s="290">
        <v>0</v>
      </c>
      <c r="T507" s="290">
        <v>0</v>
      </c>
      <c r="U507" s="290">
        <v>0</v>
      </c>
      <c r="V507" s="290">
        <v>0</v>
      </c>
      <c r="W507" s="290">
        <v>0</v>
      </c>
      <c r="X507" s="290">
        <v>0</v>
      </c>
      <c r="Y507" s="290">
        <v>0</v>
      </c>
      <c r="Z507" s="290">
        <v>0</v>
      </c>
      <c r="AA507" s="290">
        <v>0</v>
      </c>
      <c r="AB507" s="290">
        <v>0</v>
      </c>
      <c r="AC507" s="290">
        <v>0</v>
      </c>
      <c r="AD507" s="290">
        <v>0</v>
      </c>
      <c r="AE507" s="290">
        <v>0</v>
      </c>
      <c r="AF507" s="290">
        <v>0</v>
      </c>
      <c r="AG507" s="290">
        <v>0</v>
      </c>
      <c r="AH507" s="290">
        <v>0</v>
      </c>
      <c r="AI507" s="290">
        <v>0</v>
      </c>
      <c r="AJ507" s="290">
        <v>0</v>
      </c>
      <c r="AK507" s="290">
        <v>0</v>
      </c>
      <c r="AL507" s="290">
        <v>0</v>
      </c>
      <c r="AM507" s="290">
        <v>0</v>
      </c>
      <c r="AN507" s="290">
        <v>0</v>
      </c>
      <c r="AO507" s="290">
        <v>0</v>
      </c>
      <c r="AP507" s="290">
        <v>0</v>
      </c>
      <c r="AQ507" s="290">
        <v>0</v>
      </c>
      <c r="AR507" s="290">
        <v>0</v>
      </c>
      <c r="AS507" s="290">
        <v>0</v>
      </c>
      <c r="AT507" s="290">
        <v>0</v>
      </c>
      <c r="AU507" s="290">
        <v>0</v>
      </c>
      <c r="AV507" s="290">
        <v>0</v>
      </c>
      <c r="AW507" s="290">
        <v>0</v>
      </c>
      <c r="AX507" s="290">
        <v>0</v>
      </c>
      <c r="AY507" s="290">
        <v>0</v>
      </c>
      <c r="AZ507" s="290">
        <v>0</v>
      </c>
      <c r="BA507" s="290">
        <v>0</v>
      </c>
      <c r="BB507" s="290">
        <v>0</v>
      </c>
      <c r="BC507" s="290">
        <v>0</v>
      </c>
      <c r="BD507" s="290">
        <v>0</v>
      </c>
      <c r="BE507" s="290">
        <v>0</v>
      </c>
      <c r="BF507" s="290">
        <v>0</v>
      </c>
      <c r="BG507" s="290">
        <v>0</v>
      </c>
      <c r="BH507" s="290">
        <v>0</v>
      </c>
      <c r="BI507" s="290">
        <v>0</v>
      </c>
      <c r="BJ507" s="290">
        <v>0</v>
      </c>
      <c r="BK507" s="78">
        <v>0</v>
      </c>
      <c r="BL507" s="41" t="s">
        <v>616</v>
      </c>
      <c r="BM507" s="45"/>
    </row>
    <row r="508" spans="1:65" x14ac:dyDescent="0.35">
      <c r="A508" s="45" t="str">
        <f>Database_Productkaarten[[#This Row],[Product]]&amp;", "&amp;Database_Productkaarten[[#This Row],[Levensfase]]</f>
        <v>SMA 5 - PCR 2.0, B4</v>
      </c>
      <c r="B508" s="45" t="s">
        <v>1370</v>
      </c>
      <c r="C508" s="41" t="s">
        <v>443</v>
      </c>
      <c r="D508" s="45" t="s">
        <v>472</v>
      </c>
      <c r="E508" s="41" t="s">
        <v>91</v>
      </c>
      <c r="F508" s="41" t="s">
        <v>50</v>
      </c>
      <c r="G508" s="45"/>
      <c r="H508" s="45"/>
      <c r="I508" s="45"/>
      <c r="J508" s="45"/>
      <c r="K508" s="45"/>
      <c r="L508" s="45">
        <v>2.2999999999999998</v>
      </c>
      <c r="M508" s="291">
        <v>0</v>
      </c>
      <c r="N508" s="45">
        <v>13</v>
      </c>
      <c r="O508" s="290">
        <v>0</v>
      </c>
      <c r="P508" s="290">
        <v>0</v>
      </c>
      <c r="Q508" s="290">
        <v>0</v>
      </c>
      <c r="R508" s="290">
        <v>0</v>
      </c>
      <c r="S508" s="290">
        <v>0</v>
      </c>
      <c r="T508" s="290">
        <v>0</v>
      </c>
      <c r="U508" s="290">
        <v>0</v>
      </c>
      <c r="V508" s="290">
        <v>0</v>
      </c>
      <c r="W508" s="290">
        <v>0</v>
      </c>
      <c r="X508" s="290">
        <v>0</v>
      </c>
      <c r="Y508" s="290">
        <v>0</v>
      </c>
      <c r="Z508" s="290">
        <v>0</v>
      </c>
      <c r="AA508" s="290">
        <v>0</v>
      </c>
      <c r="AB508" s="290">
        <v>0</v>
      </c>
      <c r="AC508" s="290">
        <v>0</v>
      </c>
      <c r="AD508" s="290">
        <v>0</v>
      </c>
      <c r="AE508" s="290">
        <v>0</v>
      </c>
      <c r="AF508" s="290">
        <v>0</v>
      </c>
      <c r="AG508" s="290">
        <v>0</v>
      </c>
      <c r="AH508" s="290">
        <v>0</v>
      </c>
      <c r="AI508" s="290">
        <v>0</v>
      </c>
      <c r="AJ508" s="290">
        <v>0</v>
      </c>
      <c r="AK508" s="290">
        <v>0</v>
      </c>
      <c r="AL508" s="290">
        <v>0</v>
      </c>
      <c r="AM508" s="290">
        <v>0</v>
      </c>
      <c r="AN508" s="290">
        <v>0</v>
      </c>
      <c r="AO508" s="290">
        <v>0</v>
      </c>
      <c r="AP508" s="290">
        <v>0</v>
      </c>
      <c r="AQ508" s="290">
        <v>0</v>
      </c>
      <c r="AR508" s="290">
        <v>0</v>
      </c>
      <c r="AS508" s="290">
        <v>0</v>
      </c>
      <c r="AT508" s="290">
        <v>0</v>
      </c>
      <c r="AU508" s="290">
        <v>0</v>
      </c>
      <c r="AV508" s="290">
        <v>0</v>
      </c>
      <c r="AW508" s="290">
        <v>0</v>
      </c>
      <c r="AX508" s="290">
        <v>0</v>
      </c>
      <c r="AY508" s="290">
        <v>0</v>
      </c>
      <c r="AZ508" s="290">
        <v>0</v>
      </c>
      <c r="BA508" s="290">
        <v>0</v>
      </c>
      <c r="BB508" s="290">
        <v>0</v>
      </c>
      <c r="BC508" s="290">
        <v>0</v>
      </c>
      <c r="BD508" s="290">
        <v>0</v>
      </c>
      <c r="BE508" s="290">
        <v>0</v>
      </c>
      <c r="BF508" s="290">
        <v>0</v>
      </c>
      <c r="BG508" s="290">
        <v>0</v>
      </c>
      <c r="BH508" s="290">
        <v>0</v>
      </c>
      <c r="BI508" s="290">
        <v>0</v>
      </c>
      <c r="BJ508" s="290">
        <v>0</v>
      </c>
      <c r="BK508" s="78">
        <v>0</v>
      </c>
      <c r="BL508" s="41" t="s">
        <v>616</v>
      </c>
      <c r="BM508" s="45"/>
    </row>
    <row r="509" spans="1:65" x14ac:dyDescent="0.35">
      <c r="A509" s="45" t="str">
        <f>Database_Productkaarten[[#This Row],[Product]]&amp;", "&amp;Database_Productkaarten[[#This Row],[Levensfase]]</f>
        <v>SMA 5 - PCR 2.0, B5</v>
      </c>
      <c r="B509" s="45" t="s">
        <v>1370</v>
      </c>
      <c r="C509" s="41" t="s">
        <v>443</v>
      </c>
      <c r="D509" s="45" t="s">
        <v>472</v>
      </c>
      <c r="E509" s="41" t="s">
        <v>91</v>
      </c>
      <c r="F509" s="41" t="s">
        <v>1358</v>
      </c>
      <c r="G509" s="45"/>
      <c r="H509" s="45"/>
      <c r="I509" s="45"/>
      <c r="J509" s="45"/>
      <c r="K509" s="45"/>
      <c r="L509" s="45">
        <v>2.2999999999999998</v>
      </c>
      <c r="M509" s="291">
        <v>0</v>
      </c>
      <c r="N509" s="45">
        <v>13</v>
      </c>
      <c r="O509" s="290">
        <v>0</v>
      </c>
      <c r="P509" s="290">
        <v>0</v>
      </c>
      <c r="Q509" s="290">
        <v>0</v>
      </c>
      <c r="R509" s="290">
        <v>0</v>
      </c>
      <c r="S509" s="290">
        <v>0</v>
      </c>
      <c r="T509" s="290">
        <v>0</v>
      </c>
      <c r="U509" s="290">
        <v>0</v>
      </c>
      <c r="V509" s="290">
        <v>0</v>
      </c>
      <c r="W509" s="290">
        <v>0</v>
      </c>
      <c r="X509" s="290">
        <v>0</v>
      </c>
      <c r="Y509" s="290">
        <v>0</v>
      </c>
      <c r="Z509" s="290">
        <v>0</v>
      </c>
      <c r="AA509" s="290">
        <v>0</v>
      </c>
      <c r="AB509" s="290">
        <v>0</v>
      </c>
      <c r="AC509" s="290">
        <v>0</v>
      </c>
      <c r="AD509" s="290">
        <v>0</v>
      </c>
      <c r="AE509" s="290">
        <v>0</v>
      </c>
      <c r="AF509" s="290">
        <v>0</v>
      </c>
      <c r="AG509" s="290">
        <v>0</v>
      </c>
      <c r="AH509" s="290">
        <v>0</v>
      </c>
      <c r="AI509" s="290">
        <v>0</v>
      </c>
      <c r="AJ509" s="290">
        <v>0</v>
      </c>
      <c r="AK509" s="290">
        <v>0</v>
      </c>
      <c r="AL509" s="290">
        <v>0</v>
      </c>
      <c r="AM509" s="290">
        <v>0</v>
      </c>
      <c r="AN509" s="290">
        <v>0</v>
      </c>
      <c r="AO509" s="290">
        <v>0</v>
      </c>
      <c r="AP509" s="290">
        <v>0</v>
      </c>
      <c r="AQ509" s="290">
        <v>0</v>
      </c>
      <c r="AR509" s="290">
        <v>0</v>
      </c>
      <c r="AS509" s="290">
        <v>0</v>
      </c>
      <c r="AT509" s="290">
        <v>0</v>
      </c>
      <c r="AU509" s="290">
        <v>0</v>
      </c>
      <c r="AV509" s="290">
        <v>0</v>
      </c>
      <c r="AW509" s="290">
        <v>0</v>
      </c>
      <c r="AX509" s="290">
        <v>0</v>
      </c>
      <c r="AY509" s="290">
        <v>0</v>
      </c>
      <c r="AZ509" s="290">
        <v>0</v>
      </c>
      <c r="BA509" s="290">
        <v>0</v>
      </c>
      <c r="BB509" s="290">
        <v>0</v>
      </c>
      <c r="BC509" s="290">
        <v>0</v>
      </c>
      <c r="BD509" s="290">
        <v>0</v>
      </c>
      <c r="BE509" s="290">
        <v>0</v>
      </c>
      <c r="BF509" s="290">
        <v>0</v>
      </c>
      <c r="BG509" s="290">
        <v>0</v>
      </c>
      <c r="BH509" s="290">
        <v>0</v>
      </c>
      <c r="BI509" s="290">
        <v>0</v>
      </c>
      <c r="BJ509" s="290">
        <v>0</v>
      </c>
      <c r="BK509" s="78">
        <v>0</v>
      </c>
      <c r="BL509" s="41" t="s">
        <v>616</v>
      </c>
      <c r="BM509" s="45"/>
    </row>
    <row r="510" spans="1:65" x14ac:dyDescent="0.35">
      <c r="A510" s="45" t="str">
        <f>Database_Productkaarten[[#This Row],[Product]]&amp;", "&amp;Database_Productkaarten[[#This Row],[Levensfase]]</f>
        <v>SMA 5 - PCR 2.0, C1</v>
      </c>
      <c r="B510" s="45" t="s">
        <v>1370</v>
      </c>
      <c r="C510" s="41" t="s">
        <v>443</v>
      </c>
      <c r="D510" s="45" t="s">
        <v>472</v>
      </c>
      <c r="E510" s="41" t="s">
        <v>91</v>
      </c>
      <c r="F510" s="41" t="s">
        <v>25</v>
      </c>
      <c r="G510" s="45"/>
      <c r="H510" s="45"/>
      <c r="I510" s="45"/>
      <c r="J510" s="45"/>
      <c r="K510" s="45"/>
      <c r="L510" s="45">
        <v>2.2999999999999998</v>
      </c>
      <c r="M510" s="291">
        <v>0.13541602871149014</v>
      </c>
      <c r="N510" s="45">
        <v>13</v>
      </c>
      <c r="O510" s="290">
        <v>1.66355233767536E-6</v>
      </c>
      <c r="P510" s="290">
        <v>7.0767186159891096E-3</v>
      </c>
      <c r="Q510" s="290">
        <v>1.4392148994809399</v>
      </c>
      <c r="R510" s="290">
        <v>1.8598176483383299E-7</v>
      </c>
      <c r="S510" s="290">
        <v>4.7349882919510297E-4</v>
      </c>
      <c r="T510" s="290">
        <v>4.1086089189493798E-3</v>
      </c>
      <c r="U510" s="290">
        <v>8.8311374581697397E-4</v>
      </c>
      <c r="V510" s="290">
        <v>0.38738647406190602</v>
      </c>
      <c r="W510" s="290">
        <v>5.52037623399638E-3</v>
      </c>
      <c r="X510" s="290">
        <v>19.1808744685991</v>
      </c>
      <c r="Y510" s="290">
        <v>6.5374485956643696E-4</v>
      </c>
      <c r="Z510" s="290">
        <v>1.4480810804389299</v>
      </c>
      <c r="AA510" s="290">
        <v>1.4476653676128199</v>
      </c>
      <c r="AB510" s="290">
        <v>3.3110965827318298E-4</v>
      </c>
      <c r="AC510" s="290">
        <v>8.4603167837425398E-5</v>
      </c>
      <c r="AD510" s="290">
        <v>2.34344369210698E-7</v>
      </c>
      <c r="AE510" s="290">
        <v>5.57923980962278E-3</v>
      </c>
      <c r="AF510" s="290">
        <v>3.9527082897651801E-6</v>
      </c>
      <c r="AG510" s="290">
        <v>2.1681682890645798E-3</v>
      </c>
      <c r="AH510" s="290">
        <v>2.3831205885041E-2</v>
      </c>
      <c r="AI510" s="290">
        <v>6.50871025326933E-3</v>
      </c>
      <c r="AJ510" s="290">
        <v>1.6635392835810201E-6</v>
      </c>
      <c r="AK510" s="290">
        <v>14.9314443564451</v>
      </c>
      <c r="AL510" s="290">
        <v>1.9886244833052E-2</v>
      </c>
      <c r="AM510" s="290">
        <v>2.30495801061881E-8</v>
      </c>
      <c r="AN510" s="290">
        <v>6.4087145997662104E-2</v>
      </c>
      <c r="AO510" s="290">
        <v>8.9589318481386204</v>
      </c>
      <c r="AP510" s="290">
        <v>3.1432578120582601E-10</v>
      </c>
      <c r="AQ510" s="290">
        <v>6.3100664550100597E-9</v>
      </c>
      <c r="AR510" s="290">
        <v>1.9071665133517599</v>
      </c>
      <c r="AS510" s="290">
        <v>0</v>
      </c>
      <c r="AT510" s="290">
        <v>0</v>
      </c>
      <c r="AU510" s="290">
        <v>8.2070636099077901E-2</v>
      </c>
      <c r="AV510" s="290">
        <v>0</v>
      </c>
      <c r="AW510" s="290">
        <v>0</v>
      </c>
      <c r="AX510" s="290">
        <v>15.8567216497819</v>
      </c>
      <c r="AY510" s="290">
        <v>0</v>
      </c>
      <c r="AZ510" s="290">
        <v>0</v>
      </c>
      <c r="BA510" s="290">
        <v>0</v>
      </c>
      <c r="BB510" s="290">
        <v>7.7185667468631898E-4</v>
      </c>
      <c r="BC510" s="290">
        <v>4.0662310250759001E-5</v>
      </c>
      <c r="BD510" s="290">
        <v>1.7667955322688299E-2</v>
      </c>
      <c r="BE510" s="290">
        <v>1.03774339558545E-4</v>
      </c>
      <c r="BF510" s="290">
        <v>0</v>
      </c>
      <c r="BG510" s="290">
        <v>0</v>
      </c>
      <c r="BH510" s="290">
        <v>0</v>
      </c>
      <c r="BI510" s="290">
        <v>0</v>
      </c>
      <c r="BJ510" s="290">
        <v>0</v>
      </c>
      <c r="BK510" s="78">
        <v>0</v>
      </c>
      <c r="BL510" s="41" t="s">
        <v>616</v>
      </c>
      <c r="BM510" s="45"/>
    </row>
    <row r="511" spans="1:65" x14ac:dyDescent="0.35">
      <c r="A511" s="45" t="str">
        <f>Database_Productkaarten[[#This Row],[Product]]&amp;", "&amp;Database_Productkaarten[[#This Row],[Levensfase]]</f>
        <v>SMA 5 - PCR 2.0, C2</v>
      </c>
      <c r="B511" s="45" t="s">
        <v>1370</v>
      </c>
      <c r="C511" s="41" t="s">
        <v>443</v>
      </c>
      <c r="D511" s="45" t="s">
        <v>472</v>
      </c>
      <c r="E511" s="41" t="s">
        <v>91</v>
      </c>
      <c r="F511" s="41" t="s">
        <v>26</v>
      </c>
      <c r="G511" s="45"/>
      <c r="H511" s="45"/>
      <c r="I511" s="45"/>
      <c r="J511" s="45"/>
      <c r="K511" s="45"/>
      <c r="L511" s="45">
        <v>2.2999999999999998</v>
      </c>
      <c r="M511" s="291">
        <v>0.31791357541832999</v>
      </c>
      <c r="N511" s="45">
        <v>13</v>
      </c>
      <c r="O511" s="290">
        <v>7.2195843000000002E-5</v>
      </c>
      <c r="P511" s="290">
        <v>2.5045429500000001E-2</v>
      </c>
      <c r="Q511" s="290">
        <v>3.2726104581</v>
      </c>
      <c r="R511" s="290">
        <v>6.2448211500000004E-7</v>
      </c>
      <c r="S511" s="290">
        <v>2.3663202E-3</v>
      </c>
      <c r="T511" s="290">
        <v>9.9103019999999993E-3</v>
      </c>
      <c r="U511" s="290">
        <v>1.66070541E-3</v>
      </c>
      <c r="V511" s="290">
        <v>0.89062466159999998</v>
      </c>
      <c r="W511" s="290">
        <v>3.5055542699999998E-2</v>
      </c>
      <c r="X511" s="290">
        <v>92.682047400000002</v>
      </c>
      <c r="Y511" s="290">
        <v>7.4868390000000003E-3</v>
      </c>
      <c r="Z511" s="290">
        <v>3.3150718431000001</v>
      </c>
      <c r="AA511" s="290">
        <v>3.3001817481</v>
      </c>
      <c r="AB511" s="290">
        <v>1.3607189190000001E-2</v>
      </c>
      <c r="AC511" s="290">
        <v>1.2829113599999999E-3</v>
      </c>
      <c r="AD511" s="290">
        <v>7.8107336699999998E-7</v>
      </c>
      <c r="AE511" s="290">
        <v>1.2482505E-2</v>
      </c>
      <c r="AF511" s="290">
        <v>3.4632532799999998E-5</v>
      </c>
      <c r="AG511" s="290">
        <v>2.8897329300000001E-3</v>
      </c>
      <c r="AH511" s="290">
        <v>3.3662059799999998E-2</v>
      </c>
      <c r="AI511" s="290">
        <v>1.2098522699999999E-2</v>
      </c>
      <c r="AJ511" s="290">
        <v>7.2195510000000004E-5</v>
      </c>
      <c r="AK511" s="290">
        <v>52.307882313</v>
      </c>
      <c r="AL511" s="290">
        <v>0.28570883850000001</v>
      </c>
      <c r="AM511" s="290">
        <v>2.8544027399999998E-7</v>
      </c>
      <c r="AN511" s="290">
        <v>0.22308385950000001</v>
      </c>
      <c r="AO511" s="290">
        <v>50.61443379</v>
      </c>
      <c r="AP511" s="290">
        <v>1.35209877E-9</v>
      </c>
      <c r="AQ511" s="290">
        <v>4.3221490799999998E-8</v>
      </c>
      <c r="AR511" s="290">
        <v>98.528772599999996</v>
      </c>
      <c r="AS511" s="290">
        <v>8.065825212</v>
      </c>
      <c r="AT511" s="290">
        <v>0</v>
      </c>
      <c r="AU511" s="290">
        <v>8.6963547624000004</v>
      </c>
      <c r="AV511" s="290">
        <v>0.70667511750000001</v>
      </c>
      <c r="AW511" s="290">
        <v>9.926829900000001E-4</v>
      </c>
      <c r="AX511" s="290">
        <v>55.561210727999999</v>
      </c>
      <c r="AY511" s="290">
        <v>0</v>
      </c>
      <c r="AZ511" s="290">
        <v>0</v>
      </c>
      <c r="BA511" s="290">
        <v>0</v>
      </c>
      <c r="BB511" s="290">
        <v>8.7338241000000007E-3</v>
      </c>
      <c r="BC511" s="290">
        <v>1.5376752299999999E-4</v>
      </c>
      <c r="BD511" s="290">
        <v>5.5583861609999996</v>
      </c>
      <c r="BE511" s="290">
        <v>3.4865666099999999E-4</v>
      </c>
      <c r="BF511" s="290">
        <v>0</v>
      </c>
      <c r="BG511" s="290">
        <v>0</v>
      </c>
      <c r="BH511" s="290">
        <v>0</v>
      </c>
      <c r="BI511" s="290">
        <v>0</v>
      </c>
      <c r="BJ511" s="290">
        <v>0</v>
      </c>
      <c r="BK511" s="78">
        <v>0</v>
      </c>
      <c r="BL511" s="41" t="s">
        <v>616</v>
      </c>
      <c r="BM511" s="45"/>
    </row>
    <row r="512" spans="1:65" x14ac:dyDescent="0.35">
      <c r="A512" s="45" t="str">
        <f>Database_Productkaarten[[#This Row],[Product]]&amp;", "&amp;Database_Productkaarten[[#This Row],[Levensfase]]</f>
        <v>SMA 5 - PCR 2.0, C3</v>
      </c>
      <c r="B512" s="45" t="s">
        <v>1370</v>
      </c>
      <c r="C512" s="41" t="s">
        <v>443</v>
      </c>
      <c r="D512" s="45" t="s">
        <v>472</v>
      </c>
      <c r="E512" s="41" t="s">
        <v>91</v>
      </c>
      <c r="F512" s="41" t="s">
        <v>27</v>
      </c>
      <c r="G512" s="45"/>
      <c r="H512" s="45"/>
      <c r="I512" s="45"/>
      <c r="J512" s="45"/>
      <c r="K512" s="45"/>
      <c r="L512" s="45">
        <v>2.2999999999999998</v>
      </c>
      <c r="M512" s="291">
        <v>0.15929996470859115</v>
      </c>
      <c r="N512" s="45">
        <v>13</v>
      </c>
      <c r="O512" s="290">
        <v>1.8651950452723701E-6</v>
      </c>
      <c r="P512" s="290">
        <v>7.9345026906544498E-3</v>
      </c>
      <c r="Q512" s="290">
        <v>1.61366519032711</v>
      </c>
      <c r="R512" s="290">
        <v>2.0852500905611699E-7</v>
      </c>
      <c r="S512" s="290">
        <v>5.8559282781739104E-4</v>
      </c>
      <c r="T512" s="290">
        <v>5.7290956060941298E-3</v>
      </c>
      <c r="U512" s="290">
        <v>1.2820009422794801E-3</v>
      </c>
      <c r="V512" s="290">
        <v>0.43705340603001602</v>
      </c>
      <c r="W512" s="290">
        <v>6.1895127472080501E-3</v>
      </c>
      <c r="X512" s="290">
        <v>21.505828949641401</v>
      </c>
      <c r="Y512" s="290">
        <v>7.32986660726004E-4</v>
      </c>
      <c r="Z512" s="290">
        <v>1.62432602382546</v>
      </c>
      <c r="AA512" s="290">
        <v>1.62385992156589</v>
      </c>
      <c r="AB512" s="290">
        <v>3.7124416230629803E-4</v>
      </c>
      <c r="AC512" s="290">
        <v>9.4858097272264901E-5</v>
      </c>
      <c r="AD512" s="290">
        <v>2.62749747296844E-7</v>
      </c>
      <c r="AE512" s="290">
        <v>7.9167720592731097E-3</v>
      </c>
      <c r="AF512" s="290">
        <v>4.4318244461003603E-6</v>
      </c>
      <c r="AG512" s="290">
        <v>3.3042609377385902E-3</v>
      </c>
      <c r="AH512" s="290">
        <v>3.6283310992313397E-2</v>
      </c>
      <c r="AI512" s="290">
        <v>9.6537099748764208E-3</v>
      </c>
      <c r="AJ512" s="290">
        <v>1.86518040886357E-6</v>
      </c>
      <c r="AK512" s="290">
        <v>16.7413163996506</v>
      </c>
      <c r="AL512" s="290">
        <v>2.2296698752209701E-2</v>
      </c>
      <c r="AM512" s="290">
        <v>3.0576571358147701E-8</v>
      </c>
      <c r="AN512" s="290">
        <v>7.1855284906469793E-2</v>
      </c>
      <c r="AO512" s="290">
        <v>10.045649855578199</v>
      </c>
      <c r="AP512" s="290">
        <v>3.5242587589744399E-10</v>
      </c>
      <c r="AQ512" s="290">
        <v>7.5755651453537404E-9</v>
      </c>
      <c r="AR512" s="290">
        <v>2.1383382119398502</v>
      </c>
      <c r="AS512" s="290">
        <v>0</v>
      </c>
      <c r="AT512" s="290">
        <v>0</v>
      </c>
      <c r="AU512" s="290">
        <v>9.2018591989875095E-2</v>
      </c>
      <c r="AV512" s="290">
        <v>0</v>
      </c>
      <c r="AW512" s="290">
        <v>0</v>
      </c>
      <c r="AX512" s="290">
        <v>17.778748516422102</v>
      </c>
      <c r="AY512" s="290">
        <v>0</v>
      </c>
      <c r="AZ512" s="290">
        <v>0</v>
      </c>
      <c r="BA512" s="290">
        <v>0</v>
      </c>
      <c r="BB512" s="290">
        <v>8.65415059496781E-4</v>
      </c>
      <c r="BC512" s="290">
        <v>4.5591075129638897E-5</v>
      </c>
      <c r="BD512" s="290">
        <v>1.9809525664832298E-2</v>
      </c>
      <c r="BE512" s="290">
        <v>1.16353047383823E-4</v>
      </c>
      <c r="BF512" s="290">
        <v>0</v>
      </c>
      <c r="BG512" s="290">
        <v>1000</v>
      </c>
      <c r="BH512" s="290">
        <v>0</v>
      </c>
      <c r="BI512" s="290">
        <v>0</v>
      </c>
      <c r="BJ512" s="290">
        <v>0</v>
      </c>
      <c r="BK512" s="78">
        <v>0</v>
      </c>
      <c r="BL512" s="41" t="s">
        <v>616</v>
      </c>
      <c r="BM512" s="45"/>
    </row>
    <row r="513" spans="1:65" x14ac:dyDescent="0.35">
      <c r="A513" s="45" t="str">
        <f>Database_Productkaarten[[#This Row],[Product]]&amp;", "&amp;Database_Productkaarten[[#This Row],[Levensfase]]</f>
        <v>SMA 5 - PCR 2.0, C4</v>
      </c>
      <c r="B513" s="45" t="s">
        <v>1370</v>
      </c>
      <c r="C513" s="41" t="s">
        <v>443</v>
      </c>
      <c r="D513" s="45" t="s">
        <v>472</v>
      </c>
      <c r="E513" s="41" t="s">
        <v>91</v>
      </c>
      <c r="F513" s="41" t="s">
        <v>28</v>
      </c>
      <c r="G513" s="45"/>
      <c r="H513" s="45"/>
      <c r="I513" s="45"/>
      <c r="J513" s="45"/>
      <c r="K513" s="45"/>
      <c r="L513" s="45">
        <v>2.2999999999999998</v>
      </c>
      <c r="M513" s="291">
        <v>0</v>
      </c>
      <c r="N513" s="45">
        <v>13</v>
      </c>
      <c r="O513" s="290">
        <v>0</v>
      </c>
      <c r="P513" s="290">
        <v>0</v>
      </c>
      <c r="Q513" s="290">
        <v>0</v>
      </c>
      <c r="R513" s="290">
        <v>0</v>
      </c>
      <c r="S513" s="290">
        <v>0</v>
      </c>
      <c r="T513" s="290">
        <v>0</v>
      </c>
      <c r="U513" s="290">
        <v>0</v>
      </c>
      <c r="V513" s="290">
        <v>0</v>
      </c>
      <c r="W513" s="290">
        <v>0</v>
      </c>
      <c r="X513" s="290">
        <v>0</v>
      </c>
      <c r="Y513" s="290">
        <v>0</v>
      </c>
      <c r="Z513" s="290">
        <v>0</v>
      </c>
      <c r="AA513" s="290">
        <v>0</v>
      </c>
      <c r="AB513" s="290">
        <v>0</v>
      </c>
      <c r="AC513" s="290">
        <v>0</v>
      </c>
      <c r="AD513" s="290">
        <v>0</v>
      </c>
      <c r="AE513" s="290">
        <v>0</v>
      </c>
      <c r="AF513" s="290">
        <v>0</v>
      </c>
      <c r="AG513" s="290">
        <v>0</v>
      </c>
      <c r="AH513" s="290">
        <v>0</v>
      </c>
      <c r="AI513" s="290">
        <v>0</v>
      </c>
      <c r="AJ513" s="290">
        <v>0</v>
      </c>
      <c r="AK513" s="290">
        <v>0</v>
      </c>
      <c r="AL513" s="290">
        <v>0</v>
      </c>
      <c r="AM513" s="290">
        <v>0</v>
      </c>
      <c r="AN513" s="290">
        <v>0</v>
      </c>
      <c r="AO513" s="290">
        <v>0</v>
      </c>
      <c r="AP513" s="290">
        <v>0</v>
      </c>
      <c r="AQ513" s="290">
        <v>0</v>
      </c>
      <c r="AR513" s="290">
        <v>0</v>
      </c>
      <c r="AS513" s="290">
        <v>0</v>
      </c>
      <c r="AT513" s="290">
        <v>0</v>
      </c>
      <c r="AU513" s="290">
        <v>0</v>
      </c>
      <c r="AV513" s="290">
        <v>0</v>
      </c>
      <c r="AW513" s="290">
        <v>0</v>
      </c>
      <c r="AX513" s="290">
        <v>0</v>
      </c>
      <c r="AY513" s="290">
        <v>0</v>
      </c>
      <c r="AZ513" s="290">
        <v>0</v>
      </c>
      <c r="BA513" s="290">
        <v>0</v>
      </c>
      <c r="BB513" s="290">
        <v>0</v>
      </c>
      <c r="BC513" s="290">
        <v>0</v>
      </c>
      <c r="BD513" s="290">
        <v>0</v>
      </c>
      <c r="BE513" s="290">
        <v>0</v>
      </c>
      <c r="BF513" s="290">
        <v>0</v>
      </c>
      <c r="BG513" s="290">
        <v>0</v>
      </c>
      <c r="BH513" s="290">
        <v>0</v>
      </c>
      <c r="BI513" s="290">
        <v>0</v>
      </c>
      <c r="BJ513" s="290">
        <v>0</v>
      </c>
      <c r="BK513" s="78">
        <v>0</v>
      </c>
      <c r="BL513" s="41" t="s">
        <v>616</v>
      </c>
      <c r="BM513" s="45"/>
    </row>
    <row r="514" spans="1:65" x14ac:dyDescent="0.35">
      <c r="A514" s="45" t="str">
        <f>Database_Productkaarten[[#This Row],[Product]]&amp;", "&amp;Database_Productkaarten[[#This Row],[Levensfase]]</f>
        <v>SMA 5 - PCR 2.0, D1</v>
      </c>
      <c r="B514" s="45" t="s">
        <v>1370</v>
      </c>
      <c r="C514" s="41" t="s">
        <v>443</v>
      </c>
      <c r="D514" s="45" t="s">
        <v>472</v>
      </c>
      <c r="E514" s="41" t="s">
        <v>91</v>
      </c>
      <c r="F514" s="41" t="s">
        <v>51</v>
      </c>
      <c r="G514" s="45"/>
      <c r="H514" s="45"/>
      <c r="I514" s="45"/>
      <c r="J514" s="45"/>
      <c r="K514" s="45"/>
      <c r="L514" s="45">
        <v>2.2999999999999998</v>
      </c>
      <c r="M514" s="291">
        <v>-4.3679865488092933</v>
      </c>
      <c r="N514" s="45">
        <v>13</v>
      </c>
      <c r="O514" s="290">
        <v>-4.9038813859920798E-4</v>
      </c>
      <c r="P514" s="290">
        <v>-0.74558617423518103</v>
      </c>
      <c r="Q514" s="290">
        <v>-32.476786311141801</v>
      </c>
      <c r="R514" s="290">
        <v>-2.7847203883364602E-6</v>
      </c>
      <c r="S514" s="290">
        <v>-8.0189532019673396E-2</v>
      </c>
      <c r="T514" s="290">
        <v>-0.22941796175554</v>
      </c>
      <c r="U514" s="290">
        <v>-2.1887334272647399E-2</v>
      </c>
      <c r="V514" s="290">
        <v>-8.9008105297931799</v>
      </c>
      <c r="W514" s="290">
        <v>-1.15579790407793</v>
      </c>
      <c r="X514" s="290">
        <v>-5047.7740648741501</v>
      </c>
      <c r="Y514" s="290">
        <v>-0.15217051423792999</v>
      </c>
      <c r="Z514" s="290">
        <v>-8.6996418853775808</v>
      </c>
      <c r="AA514" s="290">
        <v>-8.5956686025039204</v>
      </c>
      <c r="AB514" s="290">
        <v>-9.3379172133634794E-2</v>
      </c>
      <c r="AC514" s="290">
        <v>-1.0594110740005901E-2</v>
      </c>
      <c r="AD514" s="290">
        <v>-1.1395939803902499E-6</v>
      </c>
      <c r="AE514" s="290">
        <v>-8.4050570214687398E-2</v>
      </c>
      <c r="AF514" s="290">
        <v>-3.67338482887708E-4</v>
      </c>
      <c r="AG514" s="290">
        <v>-2.4828159470133001E-2</v>
      </c>
      <c r="AH514" s="290">
        <v>-0.31243681395224299</v>
      </c>
      <c r="AI514" s="290">
        <v>-7.7086420246335496E-2</v>
      </c>
      <c r="AJ514" s="290">
        <v>-4.8699678888744198E-4</v>
      </c>
      <c r="AK514" s="290">
        <v>-125.345591238572</v>
      </c>
      <c r="AL514" s="290">
        <v>-30.720181768214101</v>
      </c>
      <c r="AM514" s="290">
        <v>-1.1872978141430501E-6</v>
      </c>
      <c r="AN514" s="290">
        <v>-0.67077370104912104</v>
      </c>
      <c r="AO514" s="290">
        <v>-1140.60845371149</v>
      </c>
      <c r="AP514" s="290">
        <v>-6.3431836105224197E-9</v>
      </c>
      <c r="AQ514" s="290">
        <v>-1.4494123752886999E-7</v>
      </c>
      <c r="AR514" s="290">
        <v>-1407.4485166152299</v>
      </c>
      <c r="AS514" s="290">
        <v>0</v>
      </c>
      <c r="AT514" s="290">
        <v>0</v>
      </c>
      <c r="AU514" s="290">
        <v>-16.262675846024901</v>
      </c>
      <c r="AV514" s="290">
        <v>0</v>
      </c>
      <c r="AW514" s="290">
        <v>0</v>
      </c>
      <c r="AX514" s="290">
        <v>-1683.8722526816</v>
      </c>
      <c r="AY514" s="290">
        <v>0</v>
      </c>
      <c r="AZ514" s="290">
        <v>0</v>
      </c>
      <c r="BA514" s="290">
        <v>0</v>
      </c>
      <c r="BB514" s="290">
        <v>-17.998471224775599</v>
      </c>
      <c r="BC514" s="290">
        <v>-7.7956597636366501E-4</v>
      </c>
      <c r="BD514" s="290">
        <v>-3.0846445632671</v>
      </c>
      <c r="BE514" s="290">
        <v>-9.1037908697752697E-4</v>
      </c>
      <c r="BF514" s="290">
        <v>0</v>
      </c>
      <c r="BG514" s="290">
        <v>0</v>
      </c>
      <c r="BH514" s="290">
        <v>0</v>
      </c>
      <c r="BI514" s="290">
        <v>0</v>
      </c>
      <c r="BJ514" s="290">
        <v>0</v>
      </c>
      <c r="BK514" s="78">
        <v>0</v>
      </c>
      <c r="BL514" s="41" t="s">
        <v>616</v>
      </c>
      <c r="BM514" s="45"/>
    </row>
    <row r="515" spans="1:65" x14ac:dyDescent="0.35">
      <c r="A515" s="45" t="str">
        <f>Database_Productkaarten[[#This Row],[Product]]&amp;", "&amp;Database_Productkaarten[[#This Row],[Levensfase]]</f>
        <v>SMA G.R. (obv 8G+) - PCR 2.0, Totaal</v>
      </c>
      <c r="B515" s="45" t="s">
        <v>1371</v>
      </c>
      <c r="C515" s="41" t="s">
        <v>443</v>
      </c>
      <c r="D515" s="45" t="s">
        <v>472</v>
      </c>
      <c r="E515" s="41" t="s">
        <v>91</v>
      </c>
      <c r="F515" s="41" t="s">
        <v>16</v>
      </c>
      <c r="G515" s="45"/>
      <c r="H515" s="45"/>
      <c r="I515" s="45"/>
      <c r="J515" s="45"/>
      <c r="K515" s="45"/>
      <c r="L515" s="45">
        <v>2.2999999999999998</v>
      </c>
      <c r="M515" s="54">
        <f>SUM(M516:M530)</f>
        <v>13.232241951101633</v>
      </c>
      <c r="N515" s="45">
        <v>16</v>
      </c>
      <c r="O515" s="55">
        <f>SUM(O516:O530)</f>
        <v>8.1001983207987221E-3</v>
      </c>
      <c r="P515" s="55">
        <f t="shared" ref="P515" si="720">SUM(P516:P530)</f>
        <v>1.4894466060101497</v>
      </c>
      <c r="Q515" s="55">
        <f t="shared" ref="Q515" si="721">SUM(Q516:Q530)</f>
        <v>121.8591373576685</v>
      </c>
      <c r="R515" s="55">
        <f t="shared" ref="R515" si="722">SUM(R516:R530)</f>
        <v>1.5408059596429698E-5</v>
      </c>
      <c r="S515" s="55">
        <f t="shared" ref="S515" si="723">SUM(S516:S530)</f>
        <v>0.12664500176061919</v>
      </c>
      <c r="T515" s="55">
        <f t="shared" ref="T515" si="724">SUM(T516:T530)</f>
        <v>0.54461821098494556</v>
      </c>
      <c r="U515" s="55">
        <f t="shared" ref="U515" si="725">SUM(U516:U530)</f>
        <v>7.9924946013448323E-2</v>
      </c>
      <c r="V515" s="55">
        <f t="shared" ref="V515" si="726">SUM(V516:V530)</f>
        <v>32.260891048018806</v>
      </c>
      <c r="W515" s="55">
        <f t="shared" ref="W515" si="727">SUM(W516:W530)</f>
        <v>2.3051983681158661</v>
      </c>
      <c r="X515" s="55">
        <f t="shared" ref="X515" si="728">SUM(X516:X530)</f>
        <v>7591.0872428532084</v>
      </c>
      <c r="Y515" s="55">
        <f t="shared" ref="Y515" si="729">SUM(Y516:Y530)</f>
        <v>0.27305202508042792</v>
      </c>
      <c r="Z515" s="55">
        <f t="shared" ref="Z515" si="730">SUM(Z516:Z530)</f>
        <v>150.5552863388354</v>
      </c>
      <c r="AA515" s="55">
        <f t="shared" ref="AA515" si="731">SUM(AA516:AA530)</f>
        <v>150.76705765411714</v>
      </c>
      <c r="AB515" s="55">
        <f t="shared" ref="AB515" si="732">SUM(AB516:AB530)</f>
        <v>-0.27475528591825427</v>
      </c>
      <c r="AC515" s="55">
        <f t="shared" ref="AC515" si="733">SUM(AC516:AC530)</f>
        <v>0.10141755398662239</v>
      </c>
      <c r="AD515" s="55">
        <f t="shared" ref="AD515" si="734">SUM(AD516:AD530)</f>
        <v>2.0898619321795286E-5</v>
      </c>
      <c r="AE515" s="55">
        <f t="shared" ref="AE515" si="735">SUM(AE516:AE530)</f>
        <v>0.87791078836925063</v>
      </c>
      <c r="AF515" s="55">
        <f t="shared" ref="AF515" si="736">SUM(AF516:AF530)</f>
        <v>2.2555994572745308E-3</v>
      </c>
      <c r="AG515" s="55">
        <f t="shared" ref="AG515" si="737">SUM(AG516:AG530)</f>
        <v>0.20505577313064624</v>
      </c>
      <c r="AH515" s="55">
        <f t="shared" ref="AH515" si="738">SUM(AH516:AH530)</f>
        <v>2.1625993509130952</v>
      </c>
      <c r="AI515" s="55">
        <f t="shared" ref="AI515" si="739">SUM(AI516:AI530)</f>
        <v>0.90569547039235565</v>
      </c>
      <c r="AJ515" s="55">
        <f t="shared" ref="AJ515" si="740">SUM(AJ516:AJ530)</f>
        <v>8.1035021038935295E-3</v>
      </c>
      <c r="AK515" s="55">
        <f t="shared" ref="AK515" si="741">SUM(AK516:AK530)</f>
        <v>4529.3241335543808</v>
      </c>
      <c r="AL515" s="55">
        <f t="shared" ref="AL515" si="742">SUM(AL516:AL530)</f>
        <v>44.920638668223631</v>
      </c>
      <c r="AM515" s="55">
        <f t="shared" ref="AM515" si="743">SUM(AM516:AM530)</f>
        <v>4.2422207054997256E-6</v>
      </c>
      <c r="AN515" s="55">
        <f t="shared" ref="AN515" si="744">SUM(AN516:AN530)</f>
        <v>5.8739330968907471</v>
      </c>
      <c r="AO515" s="55">
        <f t="shared" ref="AO515" si="745">SUM(AO516:AO530)</f>
        <v>3765.8174472136643</v>
      </c>
      <c r="AP515" s="55">
        <f t="shared" ref="AP515" si="746">SUM(AP516:AP530)</f>
        <v>4.6984167448567939E-8</v>
      </c>
      <c r="AQ515" s="55">
        <f t="shared" ref="AQ515" si="747">SUM(AQ516:AQ530)</f>
        <v>1.5565077760215622E-6</v>
      </c>
      <c r="AR515" s="55">
        <f t="shared" ref="AR515" si="748">SUM(AR516:AR530)</f>
        <v>-381.11170239515877</v>
      </c>
      <c r="AS515" s="55">
        <f t="shared" ref="AS515" si="749">SUM(AS516:AS530)</f>
        <v>8.065825212</v>
      </c>
      <c r="AT515" s="55">
        <f t="shared" ref="AT515" si="750">SUM(AT516:AT530)</f>
        <v>0</v>
      </c>
      <c r="AU515" s="55">
        <f t="shared" ref="AU515" si="751">SUM(AU516:AU530)</f>
        <v>71.160160601478992</v>
      </c>
      <c r="AV515" s="55">
        <f t="shared" ref="AV515" si="752">SUM(AV516:AV530)</f>
        <v>0.70667511750000001</v>
      </c>
      <c r="AW515" s="55">
        <f t="shared" ref="AW515" si="753">SUM(AW516:AW530)</f>
        <v>9.926829900000001E-4</v>
      </c>
      <c r="AX515" s="55">
        <f t="shared" ref="AX515" si="754">SUM(AX516:AX530)</f>
        <v>3282.419707901126</v>
      </c>
      <c r="AY515" s="55">
        <f t="shared" ref="AY515" si="755">SUM(AY516:AY530)</f>
        <v>0</v>
      </c>
      <c r="AZ515" s="55">
        <f t="shared" ref="AZ515" si="756">SUM(AZ516:AZ530)</f>
        <v>0</v>
      </c>
      <c r="BA515" s="55">
        <f t="shared" ref="BA515" si="757">SUM(BA516:BA530)</f>
        <v>0</v>
      </c>
      <c r="BB515" s="55">
        <f t="shared" ref="BB515" si="758">SUM(BB516:BB530)</f>
        <v>-16.072762140409079</v>
      </c>
      <c r="BC515" s="55">
        <f t="shared" ref="BC515" si="759">SUM(BC516:BC530)</f>
        <v>2.751862462844925E-3</v>
      </c>
      <c r="BD515" s="55">
        <f t="shared" ref="BD515" si="760">SUM(BD516:BD530)</f>
        <v>21.880870560037057</v>
      </c>
      <c r="BE515" s="55">
        <f t="shared" ref="BE515" si="761">SUM(BE516:BE530)</f>
        <v>6.9784761450071876E-3</v>
      </c>
      <c r="BF515" s="55">
        <f t="shared" ref="BF515" si="762">SUM(BF516:BF530)</f>
        <v>0</v>
      </c>
      <c r="BG515" s="55">
        <f t="shared" ref="BG515" si="763">SUM(BG516:BG530)</f>
        <v>1000</v>
      </c>
      <c r="BH515" s="55">
        <f t="shared" ref="BH515" si="764">SUM(BH516:BH530)</f>
        <v>0</v>
      </c>
      <c r="BI515" s="55">
        <f t="shared" ref="BI515" si="765">SUM(BI516:BI530)</f>
        <v>0</v>
      </c>
      <c r="BJ515" s="55">
        <f t="shared" ref="BJ515" si="766">SUM(BJ516:BJ530)</f>
        <v>0</v>
      </c>
      <c r="BK515" s="78">
        <v>0</v>
      </c>
      <c r="BL515" s="41" t="s">
        <v>616</v>
      </c>
      <c r="BM515" s="45"/>
    </row>
    <row r="516" spans="1:65" x14ac:dyDescent="0.35">
      <c r="A516" s="45" t="str">
        <f>Database_Productkaarten[[#This Row],[Product]]&amp;", "&amp;Database_Productkaarten[[#This Row],[Levensfase]]</f>
        <v>SMA G.R. (obv 8G+) - PCR 2.0, A1</v>
      </c>
      <c r="B516" s="45" t="s">
        <v>1371</v>
      </c>
      <c r="C516" s="41" t="s">
        <v>443</v>
      </c>
      <c r="D516" s="45" t="s">
        <v>472</v>
      </c>
      <c r="E516" s="41" t="s">
        <v>91</v>
      </c>
      <c r="F516" s="41" t="s">
        <v>19</v>
      </c>
      <c r="G516" s="45"/>
      <c r="H516" s="45"/>
      <c r="I516" s="45"/>
      <c r="J516" s="45"/>
      <c r="K516" s="45"/>
      <c r="L516" s="45">
        <v>2.2999999999999998</v>
      </c>
      <c r="M516" s="291">
        <v>10.928361363273851</v>
      </c>
      <c r="N516" s="45">
        <v>16</v>
      </c>
      <c r="O516" s="290">
        <v>8.0762691796710997E-3</v>
      </c>
      <c r="P516" s="290">
        <v>1.7727184852285001</v>
      </c>
      <c r="Q516" s="290">
        <v>88.901136638666102</v>
      </c>
      <c r="R516" s="290">
        <v>9.0705370258173493E-6</v>
      </c>
      <c r="S516" s="290">
        <v>0.178114524904642</v>
      </c>
      <c r="T516" s="290">
        <v>0.50043314450993204</v>
      </c>
      <c r="U516" s="290">
        <v>4.33765373950609E-2</v>
      </c>
      <c r="V516" s="290">
        <v>25.244908639142199</v>
      </c>
      <c r="W516" s="290">
        <v>2.5103833151621702</v>
      </c>
      <c r="X516" s="290">
        <v>10817.190459363201</v>
      </c>
      <c r="Y516" s="290">
        <v>0.34470778676538899</v>
      </c>
      <c r="Z516" s="290">
        <v>93.019808066132299</v>
      </c>
      <c r="AA516" s="290">
        <v>93.300930043718196</v>
      </c>
      <c r="AB516" s="290">
        <v>-0.29991776635740502</v>
      </c>
      <c r="AC516" s="290">
        <v>5.7229388771670602E-2</v>
      </c>
      <c r="AD516" s="290">
        <v>1.0944438639766699E-5</v>
      </c>
      <c r="AE516" s="290">
        <v>0.58685580211685895</v>
      </c>
      <c r="AF516" s="290">
        <v>1.8892430647806499E-3</v>
      </c>
      <c r="AG516" s="290">
        <v>8.0717025792903394E-2</v>
      </c>
      <c r="AH516" s="290">
        <v>0.82841602223863597</v>
      </c>
      <c r="AI516" s="290">
        <v>0.54337770339573799</v>
      </c>
      <c r="AJ516" s="290">
        <v>8.0761956897301302E-3</v>
      </c>
      <c r="AK516" s="290">
        <v>3736.8269554317499</v>
      </c>
      <c r="AL516" s="290">
        <v>72.652136740005005</v>
      </c>
      <c r="AM516" s="290">
        <v>3.4632964946646999E-6</v>
      </c>
      <c r="AN516" s="290">
        <v>3.7704401110483499</v>
      </c>
      <c r="AO516" s="290">
        <v>4326.5756103759704</v>
      </c>
      <c r="AP516" s="290">
        <v>3.10393348985202E-8</v>
      </c>
      <c r="AQ516" s="290">
        <v>1.1979072984615599E-6</v>
      </c>
      <c r="AR516" s="290">
        <v>508.80620222504501</v>
      </c>
      <c r="AS516" s="290">
        <v>0</v>
      </c>
      <c r="AT516" s="290">
        <v>0</v>
      </c>
      <c r="AU516" s="290">
        <v>61.618751277163803</v>
      </c>
      <c r="AV516" s="290">
        <v>0</v>
      </c>
      <c r="AW516" s="290">
        <v>0</v>
      </c>
      <c r="AX516" s="290">
        <v>3978.7067507571301</v>
      </c>
      <c r="AY516" s="290">
        <v>0</v>
      </c>
      <c r="AZ516" s="290">
        <v>0</v>
      </c>
      <c r="BA516" s="290">
        <v>0</v>
      </c>
      <c r="BB516" s="290">
        <v>1.7915761970897399</v>
      </c>
      <c r="BC516" s="290">
        <v>1.59913159984655E-3</v>
      </c>
      <c r="BD516" s="290">
        <v>6.6699782087769597</v>
      </c>
      <c r="BE516" s="290">
        <v>3.7122648518213E-3</v>
      </c>
      <c r="BF516" s="290">
        <v>0</v>
      </c>
      <c r="BG516" s="290">
        <v>0</v>
      </c>
      <c r="BH516" s="290">
        <v>0</v>
      </c>
      <c r="BI516" s="290">
        <v>0</v>
      </c>
      <c r="BJ516" s="290">
        <v>0</v>
      </c>
      <c r="BK516" s="78">
        <v>0</v>
      </c>
      <c r="BL516" s="41" t="s">
        <v>616</v>
      </c>
      <c r="BM516" s="45"/>
    </row>
    <row r="517" spans="1:65" x14ac:dyDescent="0.35">
      <c r="A517" s="45" t="str">
        <f>Database_Productkaarten[[#This Row],[Product]]&amp;", "&amp;Database_Productkaarten[[#This Row],[Levensfase]]</f>
        <v>SMA G.R. (obv 8G+) - PCR 2.0, A2</v>
      </c>
      <c r="B517" s="45" t="s">
        <v>1371</v>
      </c>
      <c r="C517" s="41" t="s">
        <v>443</v>
      </c>
      <c r="D517" s="45" t="s">
        <v>472</v>
      </c>
      <c r="E517" s="41" t="s">
        <v>91</v>
      </c>
      <c r="F517" s="41" t="s">
        <v>20</v>
      </c>
      <c r="G517" s="45"/>
      <c r="H517" s="45"/>
      <c r="I517" s="45"/>
      <c r="J517" s="45"/>
      <c r="K517" s="45"/>
      <c r="L517" s="45">
        <v>2.2999999999999998</v>
      </c>
      <c r="M517" s="291">
        <v>3.7185393803920634</v>
      </c>
      <c r="N517" s="45">
        <v>16</v>
      </c>
      <c r="O517" s="290">
        <v>3.4344438237098599E-4</v>
      </c>
      <c r="P517" s="290">
        <v>0.19818125140700199</v>
      </c>
      <c r="Q517" s="290">
        <v>31.118618831548101</v>
      </c>
      <c r="R517" s="290">
        <v>4.6478435008358204E-6</v>
      </c>
      <c r="S517" s="290">
        <v>1.83799988311561E-2</v>
      </c>
      <c r="T517" s="290">
        <v>0.20738086531588201</v>
      </c>
      <c r="U517" s="290">
        <v>4.5776670023098903E-2</v>
      </c>
      <c r="V517" s="290">
        <v>8.5522772901826905</v>
      </c>
      <c r="W517" s="290">
        <v>0.22354103482444701</v>
      </c>
      <c r="X517" s="290">
        <v>736.99333674896195</v>
      </c>
      <c r="Y517" s="290">
        <v>3.8684036892196197E-2</v>
      </c>
      <c r="Z517" s="290">
        <v>31.473930117883299</v>
      </c>
      <c r="AA517" s="290">
        <v>31.379309577635901</v>
      </c>
      <c r="AB517" s="290">
        <v>4.4474086953005303E-2</v>
      </c>
      <c r="AC517" s="290">
        <v>5.0146453294297497E-2</v>
      </c>
      <c r="AD517" s="290">
        <v>5.7832835102059602E-6</v>
      </c>
      <c r="AE517" s="290">
        <v>0.28803433910251902</v>
      </c>
      <c r="AF517" s="290">
        <v>3.6677500321503101E-4</v>
      </c>
      <c r="AG517" s="290">
        <v>0.12095275967491199</v>
      </c>
      <c r="AH517" s="290">
        <v>1.3314514885637201</v>
      </c>
      <c r="AI517" s="290">
        <v>0.34677705552940002</v>
      </c>
      <c r="AJ517" s="290">
        <v>3.4343112217779598E-4</v>
      </c>
      <c r="AK517" s="290">
        <v>410.73004971100499</v>
      </c>
      <c r="AL517" s="290">
        <v>1.8415792914642699</v>
      </c>
      <c r="AM517" s="290">
        <v>1.08661810651378E-6</v>
      </c>
      <c r="AN517" s="290">
        <v>1.7690342765763001</v>
      </c>
      <c r="AO517" s="290">
        <v>363.67850968835302</v>
      </c>
      <c r="AP517" s="290">
        <v>1.46784437817301E-8</v>
      </c>
      <c r="AQ517" s="290">
        <v>2.7984886888034101E-7</v>
      </c>
      <c r="AR517" s="290">
        <v>322.713116661237</v>
      </c>
      <c r="AS517" s="290">
        <v>0</v>
      </c>
      <c r="AT517" s="290">
        <v>0</v>
      </c>
      <c r="AU517" s="290">
        <v>8.7379604343281905</v>
      </c>
      <c r="AV517" s="290">
        <v>0</v>
      </c>
      <c r="AW517" s="290">
        <v>0</v>
      </c>
      <c r="AX517" s="290">
        <v>435.90146209903099</v>
      </c>
      <c r="AY517" s="290">
        <v>0</v>
      </c>
      <c r="AZ517" s="290">
        <v>0</v>
      </c>
      <c r="BA517" s="290">
        <v>0</v>
      </c>
      <c r="BB517" s="290">
        <v>7.2698817302730395E-2</v>
      </c>
      <c r="BC517" s="290">
        <v>1.0643015658238801E-3</v>
      </c>
      <c r="BD517" s="290">
        <v>6.9244496348847102</v>
      </c>
      <c r="BE517" s="290">
        <v>2.6689746237921899E-3</v>
      </c>
      <c r="BF517" s="290">
        <v>0</v>
      </c>
      <c r="BG517" s="290">
        <v>0</v>
      </c>
      <c r="BH517" s="290">
        <v>0</v>
      </c>
      <c r="BI517" s="290">
        <v>0</v>
      </c>
      <c r="BJ517" s="290">
        <v>0</v>
      </c>
      <c r="BK517" s="78">
        <v>0</v>
      </c>
      <c r="BL517" s="41" t="s">
        <v>616</v>
      </c>
      <c r="BM517" s="45"/>
    </row>
    <row r="518" spans="1:65" x14ac:dyDescent="0.35">
      <c r="A518" s="45" t="str">
        <f>Database_Productkaarten[[#This Row],[Product]]&amp;", "&amp;Database_Productkaarten[[#This Row],[Levensfase]]</f>
        <v>SMA G.R. (obv 8G+) - PCR 2.0, A3</v>
      </c>
      <c r="B518" s="45" t="s">
        <v>1371</v>
      </c>
      <c r="C518" s="41" t="s">
        <v>443</v>
      </c>
      <c r="D518" s="45" t="s">
        <v>472</v>
      </c>
      <c r="E518" s="41" t="s">
        <v>91</v>
      </c>
      <c r="F518" s="41" t="s">
        <v>21</v>
      </c>
      <c r="G518" s="45"/>
      <c r="H518" s="45"/>
      <c r="I518" s="45"/>
      <c r="J518" s="45"/>
      <c r="K518" s="45"/>
      <c r="L518" s="45">
        <v>2.2999999999999998</v>
      </c>
      <c r="M518" s="291">
        <v>1.5645691503586305</v>
      </c>
      <c r="N518" s="45">
        <v>16</v>
      </c>
      <c r="O518" s="290">
        <v>2.3690977507357398E-5</v>
      </c>
      <c r="P518" s="290">
        <v>0.18192463434353001</v>
      </c>
      <c r="Q518" s="290">
        <v>21.472001008965801</v>
      </c>
      <c r="R518" s="290">
        <v>2.37281223208739E-6</v>
      </c>
      <c r="S518" s="290">
        <v>3.4960573590262002E-3</v>
      </c>
      <c r="T518" s="290">
        <v>2.2336948996543499E-2</v>
      </c>
      <c r="U518" s="290">
        <v>3.8610815136193798E-3</v>
      </c>
      <c r="V518" s="290">
        <v>3.5320039503933001</v>
      </c>
      <c r="W518" s="290">
        <v>2.5634959571020501E-2</v>
      </c>
      <c r="X518" s="290">
        <v>104.50053053020601</v>
      </c>
      <c r="Y518" s="290">
        <v>2.6618029827714301E-2</v>
      </c>
      <c r="Z518" s="290">
        <v>21.799545235012399</v>
      </c>
      <c r="AA518" s="290">
        <v>21.740328332156899</v>
      </c>
      <c r="AB518" s="290">
        <v>5.7194610188884699E-2</v>
      </c>
      <c r="AC518" s="290">
        <v>2.02229266669782E-3</v>
      </c>
      <c r="AD518" s="290">
        <v>2.6706830684055099E-6</v>
      </c>
      <c r="AE518" s="290">
        <v>2.8698407721815301E-2</v>
      </c>
      <c r="AF518" s="290">
        <v>2.8911363397679898E-4</v>
      </c>
      <c r="AG518" s="290">
        <v>7.9439208530696793E-3</v>
      </c>
      <c r="AH518" s="290">
        <v>9.0208369936894101E-2</v>
      </c>
      <c r="AI518" s="290">
        <v>2.69299445174934E-2</v>
      </c>
      <c r="AJ518" s="290">
        <v>2.3690655658611902E-5</v>
      </c>
      <c r="AK518" s="290">
        <v>334.48812632282198</v>
      </c>
      <c r="AL518" s="290">
        <v>0.57130683997697895</v>
      </c>
      <c r="AM518" s="290">
        <v>1.9266303976060299E-7</v>
      </c>
      <c r="AN518" s="290">
        <v>0.26488327770900699</v>
      </c>
      <c r="AO518" s="290">
        <v>81.019377231487994</v>
      </c>
      <c r="AP518" s="290">
        <v>2.8196450259620801E-9</v>
      </c>
      <c r="AQ518" s="290">
        <v>5.1700586512222503E-8</v>
      </c>
      <c r="AR518" s="290">
        <v>17.084384776578101</v>
      </c>
      <c r="AS518" s="290">
        <v>0</v>
      </c>
      <c r="AT518" s="290">
        <v>0</v>
      </c>
      <c r="AU518" s="290">
        <v>7.4166863966621897</v>
      </c>
      <c r="AV518" s="290">
        <v>0</v>
      </c>
      <c r="AW518" s="290">
        <v>0</v>
      </c>
      <c r="AX518" s="290">
        <v>368.35256984901099</v>
      </c>
      <c r="AY518" s="290">
        <v>0</v>
      </c>
      <c r="AZ518" s="290">
        <v>0</v>
      </c>
      <c r="BA518" s="290">
        <v>0</v>
      </c>
      <c r="BB518" s="290">
        <v>4.2959597545544598E-2</v>
      </c>
      <c r="BC518" s="290">
        <v>4.0179935623852798E-4</v>
      </c>
      <c r="BD518" s="290">
        <v>0.28062155338397698</v>
      </c>
      <c r="BE518" s="290">
        <v>3.3129069143537899E-4</v>
      </c>
      <c r="BF518" s="290">
        <v>0</v>
      </c>
      <c r="BG518" s="290">
        <v>0</v>
      </c>
      <c r="BH518" s="290">
        <v>0</v>
      </c>
      <c r="BI518" s="290">
        <v>0</v>
      </c>
      <c r="BJ518" s="290">
        <v>0</v>
      </c>
      <c r="BK518" s="78">
        <v>0</v>
      </c>
      <c r="BL518" s="41" t="s">
        <v>616</v>
      </c>
      <c r="BM518" s="45"/>
    </row>
    <row r="519" spans="1:65" x14ac:dyDescent="0.35">
      <c r="A519" s="45" t="str">
        <f>Database_Productkaarten[[#This Row],[Product]]&amp;", "&amp;Database_Productkaarten[[#This Row],[Levensfase]]</f>
        <v>SMA G.R. (obv 8G+) - PCR 2.0, A4</v>
      </c>
      <c r="B519" s="45" t="s">
        <v>1371</v>
      </c>
      <c r="C519" s="41" t="s">
        <v>443</v>
      </c>
      <c r="D519" s="45" t="s">
        <v>472</v>
      </c>
      <c r="E519" s="41" t="s">
        <v>91</v>
      </c>
      <c r="F519" s="41" t="s">
        <v>22</v>
      </c>
      <c r="G519" s="45"/>
      <c r="H519" s="45"/>
      <c r="I519" s="45"/>
      <c r="J519" s="45"/>
      <c r="K519" s="45"/>
      <c r="L519" s="45">
        <v>2.2999999999999998</v>
      </c>
      <c r="M519" s="291">
        <v>0.37546048090943995</v>
      </c>
      <c r="N519" s="45">
        <v>16</v>
      </c>
      <c r="O519" s="290">
        <v>6.8533509000000002E-5</v>
      </c>
      <c r="P519" s="290">
        <v>2.9713889699999999E-2</v>
      </c>
      <c r="Q519" s="290">
        <v>3.9891474704999998</v>
      </c>
      <c r="R519" s="290">
        <v>7.557213E-7</v>
      </c>
      <c r="S519" s="290">
        <v>2.4773701499999998E-3</v>
      </c>
      <c r="T519" s="290">
        <v>1.36398132E-2</v>
      </c>
      <c r="U519" s="290">
        <v>2.5682192100000001E-3</v>
      </c>
      <c r="V519" s="290">
        <v>0.8608144794</v>
      </c>
      <c r="W519" s="290">
        <v>3.6189873900000002E-2</v>
      </c>
      <c r="X519" s="290">
        <v>97.376595929999993</v>
      </c>
      <c r="Y519" s="290">
        <v>4.8437180999999999E-3</v>
      </c>
      <c r="Z519" s="290">
        <v>4.0259382761999998</v>
      </c>
      <c r="AA519" s="290">
        <v>4.0229543298000001</v>
      </c>
      <c r="AB519" s="290">
        <v>1.9814632200000001E-3</v>
      </c>
      <c r="AC519" s="290">
        <v>1.0024609799999999E-3</v>
      </c>
      <c r="AD519" s="290">
        <v>9.4976262000000003E-7</v>
      </c>
      <c r="AE519" s="290">
        <v>1.7739576E-2</v>
      </c>
      <c r="AF519" s="290">
        <v>2.7841996800000001E-5</v>
      </c>
      <c r="AG519" s="290">
        <v>5.5484582100000001E-3</v>
      </c>
      <c r="AH519" s="290">
        <v>6.1385308800000003E-2</v>
      </c>
      <c r="AI519" s="290">
        <v>1.9235744999999999E-2</v>
      </c>
      <c r="AJ519" s="290">
        <v>6.8533397999999998E-5</v>
      </c>
      <c r="AK519" s="290">
        <v>62.400806729999999</v>
      </c>
      <c r="AL519" s="290">
        <v>0.212954166</v>
      </c>
      <c r="AM519" s="290">
        <v>2.9338876200000002E-7</v>
      </c>
      <c r="AN519" s="290">
        <v>0.26868483510000002</v>
      </c>
      <c r="AO519" s="290">
        <v>45.56587296</v>
      </c>
      <c r="AP519" s="290">
        <v>1.16371179E-9</v>
      </c>
      <c r="AQ519" s="290">
        <v>3.8268015899999999E-8</v>
      </c>
      <c r="AR519" s="290">
        <v>71.806844609999999</v>
      </c>
      <c r="AS519" s="290">
        <v>0</v>
      </c>
      <c r="AT519" s="290">
        <v>0</v>
      </c>
      <c r="AU519" s="290">
        <v>0.63474917099999995</v>
      </c>
      <c r="AV519" s="290">
        <v>0</v>
      </c>
      <c r="AW519" s="290">
        <v>0</v>
      </c>
      <c r="AX519" s="290">
        <v>66.265108560000002</v>
      </c>
      <c r="AY519" s="290">
        <v>0</v>
      </c>
      <c r="AZ519" s="290">
        <v>0</v>
      </c>
      <c r="BA519" s="290">
        <v>0</v>
      </c>
      <c r="BB519" s="290">
        <v>6.7467797999999999E-3</v>
      </c>
      <c r="BC519" s="290">
        <v>1.54707915E-4</v>
      </c>
      <c r="BD519" s="290">
        <v>5.4635493149999999</v>
      </c>
      <c r="BE519" s="290">
        <v>4.25149758E-4</v>
      </c>
      <c r="BF519" s="290">
        <v>0</v>
      </c>
      <c r="BG519" s="290">
        <v>0</v>
      </c>
      <c r="BH519" s="290">
        <v>0</v>
      </c>
      <c r="BI519" s="290">
        <v>0</v>
      </c>
      <c r="BJ519" s="290">
        <v>0</v>
      </c>
      <c r="BK519" s="78">
        <v>0</v>
      </c>
      <c r="BL519" s="41" t="s">
        <v>616</v>
      </c>
      <c r="BM519" s="45"/>
    </row>
    <row r="520" spans="1:65" x14ac:dyDescent="0.35">
      <c r="A520" s="45" t="str">
        <f>Database_Productkaarten[[#This Row],[Product]]&amp;", "&amp;Database_Productkaarten[[#This Row],[Levensfase]]</f>
        <v>SMA G.R. (obv 8G+) - PCR 2.0, A5</v>
      </c>
      <c r="B520" s="45" t="s">
        <v>1371</v>
      </c>
      <c r="C520" s="41" t="s">
        <v>443</v>
      </c>
      <c r="D520" s="45" t="s">
        <v>472</v>
      </c>
      <c r="E520" s="41" t="s">
        <v>91</v>
      </c>
      <c r="F520" s="41" t="s">
        <v>23</v>
      </c>
      <c r="G520" s="45"/>
      <c r="H520" s="45"/>
      <c r="I520" s="45"/>
      <c r="J520" s="45"/>
      <c r="K520" s="45"/>
      <c r="L520" s="45">
        <v>2.2999999999999998</v>
      </c>
      <c r="M520" s="291">
        <v>0.2597053337787914</v>
      </c>
      <c r="N520" s="45">
        <v>16</v>
      </c>
      <c r="O520" s="290">
        <v>2.9238192814477198E-6</v>
      </c>
      <c r="P520" s="290">
        <v>1.2437869090607401E-2</v>
      </c>
      <c r="Q520" s="290">
        <v>2.5295292177078901</v>
      </c>
      <c r="R520" s="290">
        <v>3.2687704153464501E-7</v>
      </c>
      <c r="S520" s="290">
        <v>9.41170695593257E-4</v>
      </c>
      <c r="T520" s="290">
        <v>1.0497394468115401E-2</v>
      </c>
      <c r="U520" s="290">
        <v>2.4039520991419802E-3</v>
      </c>
      <c r="V520" s="290">
        <v>0.688776142316325</v>
      </c>
      <c r="W520" s="290">
        <v>9.7024794539388604E-3</v>
      </c>
      <c r="X520" s="290">
        <v>33.711840013179199</v>
      </c>
      <c r="Y520" s="290">
        <v>1.1490061206239101E-3</v>
      </c>
      <c r="Z520" s="290">
        <v>2.5482276295534101</v>
      </c>
      <c r="AA520" s="290">
        <v>2.5474969827618001</v>
      </c>
      <c r="AB520" s="290">
        <v>5.8195031507652501E-4</v>
      </c>
      <c r="AC520" s="290">
        <v>1.4869647653104699E-4</v>
      </c>
      <c r="AD520" s="290">
        <v>4.1187798263569499E-7</v>
      </c>
      <c r="AE520" s="290">
        <v>1.4654717125157399E-2</v>
      </c>
      <c r="AF520" s="290">
        <v>6.9471842634864903E-6</v>
      </c>
      <c r="AG520" s="290">
        <v>6.3596059813714996E-3</v>
      </c>
      <c r="AH520" s="290">
        <v>6.97983995619256E-2</v>
      </c>
      <c r="AI520" s="290">
        <v>1.8200499468351401E-2</v>
      </c>
      <c r="AJ520" s="290">
        <v>2.9237963378879798E-6</v>
      </c>
      <c r="AK520" s="290">
        <v>26.2431446460734</v>
      </c>
      <c r="AL520" s="290">
        <v>3.4951581948955202E-2</v>
      </c>
      <c r="AM520" s="290">
        <v>5.4485692724514697E-8</v>
      </c>
      <c r="AN520" s="290">
        <v>0.112638014199544</v>
      </c>
      <c r="AO520" s="290">
        <v>15.7470628359518</v>
      </c>
      <c r="AP520" s="290">
        <v>5.52451376540438E-10</v>
      </c>
      <c r="AQ520" s="290">
        <v>1.32398654611375E-8</v>
      </c>
      <c r="AR520" s="290">
        <v>3.35198963216554</v>
      </c>
      <c r="AS520" s="290">
        <v>0</v>
      </c>
      <c r="AT520" s="290">
        <v>0</v>
      </c>
      <c r="AU520" s="290">
        <v>0.14424536025460999</v>
      </c>
      <c r="AV520" s="290">
        <v>0</v>
      </c>
      <c r="AW520" s="290">
        <v>0</v>
      </c>
      <c r="AX520" s="290">
        <v>27.8693895870164</v>
      </c>
      <c r="AY520" s="290">
        <v>0</v>
      </c>
      <c r="AZ520" s="290">
        <v>0</v>
      </c>
      <c r="BA520" s="290">
        <v>0</v>
      </c>
      <c r="BB520" s="290">
        <v>1.35659658318307E-3</v>
      </c>
      <c r="BC520" s="290">
        <v>7.1467090699886605E-5</v>
      </c>
      <c r="BD520" s="290">
        <v>3.1052769995257402E-2</v>
      </c>
      <c r="BE520" s="290">
        <v>1.82391263493328E-4</v>
      </c>
      <c r="BF520" s="290">
        <v>0</v>
      </c>
      <c r="BG520" s="290">
        <v>0</v>
      </c>
      <c r="BH520" s="290">
        <v>0</v>
      </c>
      <c r="BI520" s="290">
        <v>0</v>
      </c>
      <c r="BJ520" s="290">
        <v>0</v>
      </c>
      <c r="BK520" s="78">
        <v>0</v>
      </c>
      <c r="BL520" s="41" t="s">
        <v>616</v>
      </c>
      <c r="BM520" s="45"/>
    </row>
    <row r="521" spans="1:65" x14ac:dyDescent="0.35">
      <c r="A521" s="45" t="str">
        <f>Database_Productkaarten[[#This Row],[Product]]&amp;", "&amp;Database_Productkaarten[[#This Row],[Levensfase]]</f>
        <v>SMA G.R. (obv 8G+) - PCR 2.0, B1</v>
      </c>
      <c r="B521" s="45" t="s">
        <v>1371</v>
      </c>
      <c r="C521" s="41" t="s">
        <v>443</v>
      </c>
      <c r="D521" s="45" t="s">
        <v>472</v>
      </c>
      <c r="E521" s="41" t="s">
        <v>91</v>
      </c>
      <c r="F521" s="41" t="s">
        <v>24</v>
      </c>
      <c r="G521" s="45"/>
      <c r="H521" s="45"/>
      <c r="I521" s="45"/>
      <c r="J521" s="45"/>
      <c r="K521" s="45"/>
      <c r="L521" s="45">
        <v>2.2999999999999998</v>
      </c>
      <c r="M521" s="291">
        <v>0.14096322842223419</v>
      </c>
      <c r="N521" s="45">
        <v>16</v>
      </c>
      <c r="O521" s="290">
        <v>0</v>
      </c>
      <c r="P521" s="290">
        <v>0</v>
      </c>
      <c r="Q521" s="290">
        <v>0</v>
      </c>
      <c r="R521" s="290">
        <v>0</v>
      </c>
      <c r="S521" s="290">
        <v>0</v>
      </c>
      <c r="T521" s="290">
        <v>0</v>
      </c>
      <c r="U521" s="290">
        <v>0</v>
      </c>
      <c r="V521" s="290">
        <v>0.56785655602233698</v>
      </c>
      <c r="W521" s="290">
        <v>0.60877917791259695</v>
      </c>
      <c r="X521" s="290">
        <v>715.71979564585104</v>
      </c>
      <c r="Y521" s="290">
        <v>3.4639130434757198E-4</v>
      </c>
      <c r="Z521" s="290">
        <v>0</v>
      </c>
      <c r="AA521" s="290">
        <v>0</v>
      </c>
      <c r="AB521" s="290">
        <v>0</v>
      </c>
      <c r="AC521" s="290">
        <v>0</v>
      </c>
      <c r="AD521" s="290">
        <v>0</v>
      </c>
      <c r="AE521" s="290">
        <v>0</v>
      </c>
      <c r="AF521" s="290">
        <v>0</v>
      </c>
      <c r="AG521" s="290">
        <v>0</v>
      </c>
      <c r="AH521" s="290">
        <v>0</v>
      </c>
      <c r="AI521" s="290">
        <v>0</v>
      </c>
      <c r="AJ521" s="290">
        <v>0</v>
      </c>
      <c r="AK521" s="290">
        <v>0</v>
      </c>
      <c r="AL521" s="290">
        <v>0</v>
      </c>
      <c r="AM521" s="290">
        <v>0</v>
      </c>
      <c r="AN521" s="290">
        <v>0</v>
      </c>
      <c r="AO521" s="290">
        <v>4.2204606607490804</v>
      </c>
      <c r="AP521" s="290">
        <v>1.0549137982057499E-9</v>
      </c>
      <c r="AQ521" s="290">
        <v>6.3377256890832599E-8</v>
      </c>
      <c r="AR521" s="290">
        <v>0</v>
      </c>
      <c r="AS521" s="290">
        <v>0</v>
      </c>
      <c r="AT521" s="290">
        <v>0</v>
      </c>
      <c r="AU521" s="290">
        <v>0</v>
      </c>
      <c r="AV521" s="290">
        <v>0</v>
      </c>
      <c r="AW521" s="290">
        <v>0</v>
      </c>
      <c r="AX521" s="290">
        <v>0</v>
      </c>
      <c r="AY521" s="290">
        <v>0</v>
      </c>
      <c r="AZ521" s="290">
        <v>0</v>
      </c>
      <c r="BA521" s="290">
        <v>0</v>
      </c>
      <c r="BB521" s="290">
        <v>0</v>
      </c>
      <c r="BC521" s="290">
        <v>0</v>
      </c>
      <c r="BD521" s="290">
        <v>0</v>
      </c>
      <c r="BE521" s="290">
        <v>0</v>
      </c>
      <c r="BF521" s="290">
        <v>0</v>
      </c>
      <c r="BG521" s="290">
        <v>0</v>
      </c>
      <c r="BH521" s="290">
        <v>0</v>
      </c>
      <c r="BI521" s="290">
        <v>0</v>
      </c>
      <c r="BJ521" s="290">
        <v>0</v>
      </c>
      <c r="BK521" s="78">
        <v>0</v>
      </c>
      <c r="BL521" s="41" t="s">
        <v>616</v>
      </c>
      <c r="BM521" s="45"/>
    </row>
    <row r="522" spans="1:65" x14ac:dyDescent="0.35">
      <c r="A522" s="45" t="str">
        <f>Database_Productkaarten[[#This Row],[Product]]&amp;", "&amp;Database_Productkaarten[[#This Row],[Levensfase]]</f>
        <v>SMA G.R. (obv 8G+) - PCR 2.0, B2</v>
      </c>
      <c r="B522" s="45" t="s">
        <v>1371</v>
      </c>
      <c r="C522" s="41" t="s">
        <v>443</v>
      </c>
      <c r="D522" s="45" t="s">
        <v>472</v>
      </c>
      <c r="E522" s="41" t="s">
        <v>91</v>
      </c>
      <c r="F522" s="41" t="s">
        <v>604</v>
      </c>
      <c r="G522" s="45"/>
      <c r="H522" s="45"/>
      <c r="I522" s="45"/>
      <c r="J522" s="45"/>
      <c r="K522" s="45"/>
      <c r="L522" s="45">
        <v>2.2999999999999998</v>
      </c>
      <c r="M522" s="291">
        <v>0</v>
      </c>
      <c r="N522" s="45">
        <v>16</v>
      </c>
      <c r="O522" s="290">
        <v>0</v>
      </c>
      <c r="P522" s="290">
        <v>0</v>
      </c>
      <c r="Q522" s="290">
        <v>0</v>
      </c>
      <c r="R522" s="290">
        <v>0</v>
      </c>
      <c r="S522" s="290">
        <v>0</v>
      </c>
      <c r="T522" s="290">
        <v>0</v>
      </c>
      <c r="U522" s="290">
        <v>0</v>
      </c>
      <c r="V522" s="290">
        <v>0</v>
      </c>
      <c r="W522" s="290">
        <v>0</v>
      </c>
      <c r="X522" s="290">
        <v>0</v>
      </c>
      <c r="Y522" s="290">
        <v>0</v>
      </c>
      <c r="Z522" s="290">
        <v>0</v>
      </c>
      <c r="AA522" s="290">
        <v>0</v>
      </c>
      <c r="AB522" s="290">
        <v>0</v>
      </c>
      <c r="AC522" s="290">
        <v>0</v>
      </c>
      <c r="AD522" s="290">
        <v>0</v>
      </c>
      <c r="AE522" s="290">
        <v>0</v>
      </c>
      <c r="AF522" s="290">
        <v>0</v>
      </c>
      <c r="AG522" s="290">
        <v>0</v>
      </c>
      <c r="AH522" s="290">
        <v>0</v>
      </c>
      <c r="AI522" s="290">
        <v>0</v>
      </c>
      <c r="AJ522" s="290">
        <v>0</v>
      </c>
      <c r="AK522" s="290">
        <v>0</v>
      </c>
      <c r="AL522" s="290">
        <v>0</v>
      </c>
      <c r="AM522" s="290">
        <v>0</v>
      </c>
      <c r="AN522" s="290">
        <v>0</v>
      </c>
      <c r="AO522" s="290">
        <v>0</v>
      </c>
      <c r="AP522" s="290">
        <v>0</v>
      </c>
      <c r="AQ522" s="290">
        <v>0</v>
      </c>
      <c r="AR522" s="290">
        <v>0</v>
      </c>
      <c r="AS522" s="290">
        <v>0</v>
      </c>
      <c r="AT522" s="290">
        <v>0</v>
      </c>
      <c r="AU522" s="290">
        <v>0</v>
      </c>
      <c r="AV522" s="290">
        <v>0</v>
      </c>
      <c r="AW522" s="290">
        <v>0</v>
      </c>
      <c r="AX522" s="290">
        <v>0</v>
      </c>
      <c r="AY522" s="290">
        <v>0</v>
      </c>
      <c r="AZ522" s="290">
        <v>0</v>
      </c>
      <c r="BA522" s="290">
        <v>0</v>
      </c>
      <c r="BB522" s="290">
        <v>0</v>
      </c>
      <c r="BC522" s="290">
        <v>0</v>
      </c>
      <c r="BD522" s="290">
        <v>0</v>
      </c>
      <c r="BE522" s="290">
        <v>0</v>
      </c>
      <c r="BF522" s="290">
        <v>0</v>
      </c>
      <c r="BG522" s="290">
        <v>0</v>
      </c>
      <c r="BH522" s="290">
        <v>0</v>
      </c>
      <c r="BI522" s="290">
        <v>0</v>
      </c>
      <c r="BJ522" s="290">
        <v>0</v>
      </c>
      <c r="BK522" s="78">
        <v>0</v>
      </c>
      <c r="BL522" s="41" t="s">
        <v>616</v>
      </c>
      <c r="BM522" s="45"/>
    </row>
    <row r="523" spans="1:65" x14ac:dyDescent="0.35">
      <c r="A523" s="45" t="str">
        <f>Database_Productkaarten[[#This Row],[Product]]&amp;", "&amp;Database_Productkaarten[[#This Row],[Levensfase]]</f>
        <v>SMA G.R. (obv 8G+) - PCR 2.0, B3</v>
      </c>
      <c r="B523" s="45" t="s">
        <v>1371</v>
      </c>
      <c r="C523" s="41" t="s">
        <v>443</v>
      </c>
      <c r="D523" s="45" t="s">
        <v>472</v>
      </c>
      <c r="E523" s="41" t="s">
        <v>91</v>
      </c>
      <c r="F523" s="41" t="s">
        <v>602</v>
      </c>
      <c r="G523" s="45"/>
      <c r="H523" s="45"/>
      <c r="I523" s="45"/>
      <c r="J523" s="45"/>
      <c r="K523" s="45"/>
      <c r="L523" s="45">
        <v>2.2999999999999998</v>
      </c>
      <c r="M523" s="291">
        <v>0</v>
      </c>
      <c r="N523" s="45">
        <v>16</v>
      </c>
      <c r="O523" s="290">
        <v>0</v>
      </c>
      <c r="P523" s="290">
        <v>0</v>
      </c>
      <c r="Q523" s="290">
        <v>0</v>
      </c>
      <c r="R523" s="290">
        <v>0</v>
      </c>
      <c r="S523" s="290">
        <v>0</v>
      </c>
      <c r="T523" s="290">
        <v>0</v>
      </c>
      <c r="U523" s="290">
        <v>0</v>
      </c>
      <c r="V523" s="290">
        <v>0</v>
      </c>
      <c r="W523" s="290">
        <v>0</v>
      </c>
      <c r="X523" s="290">
        <v>0</v>
      </c>
      <c r="Y523" s="290">
        <v>0</v>
      </c>
      <c r="Z523" s="290">
        <v>0</v>
      </c>
      <c r="AA523" s="290">
        <v>0</v>
      </c>
      <c r="AB523" s="290">
        <v>0</v>
      </c>
      <c r="AC523" s="290">
        <v>0</v>
      </c>
      <c r="AD523" s="290">
        <v>0</v>
      </c>
      <c r="AE523" s="290">
        <v>0</v>
      </c>
      <c r="AF523" s="290">
        <v>0</v>
      </c>
      <c r="AG523" s="290">
        <v>0</v>
      </c>
      <c r="AH523" s="290">
        <v>0</v>
      </c>
      <c r="AI523" s="290">
        <v>0</v>
      </c>
      <c r="AJ523" s="290">
        <v>0</v>
      </c>
      <c r="AK523" s="290">
        <v>0</v>
      </c>
      <c r="AL523" s="290">
        <v>0</v>
      </c>
      <c r="AM523" s="290">
        <v>0</v>
      </c>
      <c r="AN523" s="290">
        <v>0</v>
      </c>
      <c r="AO523" s="290">
        <v>0</v>
      </c>
      <c r="AP523" s="290">
        <v>0</v>
      </c>
      <c r="AQ523" s="290">
        <v>0</v>
      </c>
      <c r="AR523" s="290">
        <v>0</v>
      </c>
      <c r="AS523" s="290">
        <v>0</v>
      </c>
      <c r="AT523" s="290">
        <v>0</v>
      </c>
      <c r="AU523" s="290">
        <v>0</v>
      </c>
      <c r="AV523" s="290">
        <v>0</v>
      </c>
      <c r="AW523" s="290">
        <v>0</v>
      </c>
      <c r="AX523" s="290">
        <v>0</v>
      </c>
      <c r="AY523" s="290">
        <v>0</v>
      </c>
      <c r="AZ523" s="290">
        <v>0</v>
      </c>
      <c r="BA523" s="290">
        <v>0</v>
      </c>
      <c r="BB523" s="290">
        <v>0</v>
      </c>
      <c r="BC523" s="290">
        <v>0</v>
      </c>
      <c r="BD523" s="290">
        <v>0</v>
      </c>
      <c r="BE523" s="290">
        <v>0</v>
      </c>
      <c r="BF523" s="290">
        <v>0</v>
      </c>
      <c r="BG523" s="290">
        <v>0</v>
      </c>
      <c r="BH523" s="290">
        <v>0</v>
      </c>
      <c r="BI523" s="290">
        <v>0</v>
      </c>
      <c r="BJ523" s="290">
        <v>0</v>
      </c>
      <c r="BK523" s="78">
        <v>0</v>
      </c>
      <c r="BL523" s="41" t="s">
        <v>616</v>
      </c>
      <c r="BM523" s="45"/>
    </row>
    <row r="524" spans="1:65" x14ac:dyDescent="0.35">
      <c r="A524" s="45" t="str">
        <f>Database_Productkaarten[[#This Row],[Product]]&amp;", "&amp;Database_Productkaarten[[#This Row],[Levensfase]]</f>
        <v>SMA G.R. (obv 8G+) - PCR 2.0, B4</v>
      </c>
      <c r="B524" s="45" t="s">
        <v>1371</v>
      </c>
      <c r="C524" s="41" t="s">
        <v>443</v>
      </c>
      <c r="D524" s="45" t="s">
        <v>472</v>
      </c>
      <c r="E524" s="41" t="s">
        <v>91</v>
      </c>
      <c r="F524" s="41" t="s">
        <v>50</v>
      </c>
      <c r="G524" s="45"/>
      <c r="H524" s="45"/>
      <c r="I524" s="45"/>
      <c r="J524" s="45"/>
      <c r="K524" s="45"/>
      <c r="L524" s="45">
        <v>2.2999999999999998</v>
      </c>
      <c r="M524" s="291">
        <v>0</v>
      </c>
      <c r="N524" s="45">
        <v>16</v>
      </c>
      <c r="O524" s="290">
        <v>0</v>
      </c>
      <c r="P524" s="290">
        <v>0</v>
      </c>
      <c r="Q524" s="290">
        <v>0</v>
      </c>
      <c r="R524" s="290">
        <v>0</v>
      </c>
      <c r="S524" s="290">
        <v>0</v>
      </c>
      <c r="T524" s="290">
        <v>0</v>
      </c>
      <c r="U524" s="290">
        <v>0</v>
      </c>
      <c r="V524" s="290">
        <v>0</v>
      </c>
      <c r="W524" s="290">
        <v>0</v>
      </c>
      <c r="X524" s="290">
        <v>0</v>
      </c>
      <c r="Y524" s="290">
        <v>0</v>
      </c>
      <c r="Z524" s="290">
        <v>0</v>
      </c>
      <c r="AA524" s="290">
        <v>0</v>
      </c>
      <c r="AB524" s="290">
        <v>0</v>
      </c>
      <c r="AC524" s="290">
        <v>0</v>
      </c>
      <c r="AD524" s="290">
        <v>0</v>
      </c>
      <c r="AE524" s="290">
        <v>0</v>
      </c>
      <c r="AF524" s="290">
        <v>0</v>
      </c>
      <c r="AG524" s="290">
        <v>0</v>
      </c>
      <c r="AH524" s="290">
        <v>0</v>
      </c>
      <c r="AI524" s="290">
        <v>0</v>
      </c>
      <c r="AJ524" s="290">
        <v>0</v>
      </c>
      <c r="AK524" s="290">
        <v>0</v>
      </c>
      <c r="AL524" s="290">
        <v>0</v>
      </c>
      <c r="AM524" s="290">
        <v>0</v>
      </c>
      <c r="AN524" s="290">
        <v>0</v>
      </c>
      <c r="AO524" s="290">
        <v>0</v>
      </c>
      <c r="AP524" s="290">
        <v>0</v>
      </c>
      <c r="AQ524" s="290">
        <v>0</v>
      </c>
      <c r="AR524" s="290">
        <v>0</v>
      </c>
      <c r="AS524" s="290">
        <v>0</v>
      </c>
      <c r="AT524" s="290">
        <v>0</v>
      </c>
      <c r="AU524" s="290">
        <v>0</v>
      </c>
      <c r="AV524" s="290">
        <v>0</v>
      </c>
      <c r="AW524" s="290">
        <v>0</v>
      </c>
      <c r="AX524" s="290">
        <v>0</v>
      </c>
      <c r="AY524" s="290">
        <v>0</v>
      </c>
      <c r="AZ524" s="290">
        <v>0</v>
      </c>
      <c r="BA524" s="290">
        <v>0</v>
      </c>
      <c r="BB524" s="290">
        <v>0</v>
      </c>
      <c r="BC524" s="290">
        <v>0</v>
      </c>
      <c r="BD524" s="290">
        <v>0</v>
      </c>
      <c r="BE524" s="290">
        <v>0</v>
      </c>
      <c r="BF524" s="290">
        <v>0</v>
      </c>
      <c r="BG524" s="290">
        <v>0</v>
      </c>
      <c r="BH524" s="290">
        <v>0</v>
      </c>
      <c r="BI524" s="290">
        <v>0</v>
      </c>
      <c r="BJ524" s="290">
        <v>0</v>
      </c>
      <c r="BK524" s="78">
        <v>0</v>
      </c>
      <c r="BL524" s="41" t="s">
        <v>616</v>
      </c>
      <c r="BM524" s="45"/>
    </row>
    <row r="525" spans="1:65" x14ac:dyDescent="0.35">
      <c r="A525" s="45" t="str">
        <f>Database_Productkaarten[[#This Row],[Product]]&amp;", "&amp;Database_Productkaarten[[#This Row],[Levensfase]]</f>
        <v>SMA G.R. (obv 8G+) - PCR 2.0, B5</v>
      </c>
      <c r="B525" s="45" t="s">
        <v>1371</v>
      </c>
      <c r="C525" s="41" t="s">
        <v>443</v>
      </c>
      <c r="D525" s="45" t="s">
        <v>472</v>
      </c>
      <c r="E525" s="41" t="s">
        <v>91</v>
      </c>
      <c r="F525" s="41" t="s">
        <v>1358</v>
      </c>
      <c r="G525" s="45"/>
      <c r="H525" s="45"/>
      <c r="I525" s="45"/>
      <c r="J525" s="45"/>
      <c r="K525" s="45"/>
      <c r="L525" s="45">
        <v>2.2999999999999998</v>
      </c>
      <c r="M525" s="291">
        <v>0</v>
      </c>
      <c r="N525" s="45">
        <v>16</v>
      </c>
      <c r="O525" s="290">
        <v>0</v>
      </c>
      <c r="P525" s="290">
        <v>0</v>
      </c>
      <c r="Q525" s="290">
        <v>0</v>
      </c>
      <c r="R525" s="290">
        <v>0</v>
      </c>
      <c r="S525" s="290">
        <v>0</v>
      </c>
      <c r="T525" s="290">
        <v>0</v>
      </c>
      <c r="U525" s="290">
        <v>0</v>
      </c>
      <c r="V525" s="290">
        <v>0</v>
      </c>
      <c r="W525" s="290">
        <v>0</v>
      </c>
      <c r="X525" s="290">
        <v>0</v>
      </c>
      <c r="Y525" s="290">
        <v>0</v>
      </c>
      <c r="Z525" s="290">
        <v>0</v>
      </c>
      <c r="AA525" s="290">
        <v>0</v>
      </c>
      <c r="AB525" s="290">
        <v>0</v>
      </c>
      <c r="AC525" s="290">
        <v>0</v>
      </c>
      <c r="AD525" s="290">
        <v>0</v>
      </c>
      <c r="AE525" s="290">
        <v>0</v>
      </c>
      <c r="AF525" s="290">
        <v>0</v>
      </c>
      <c r="AG525" s="290">
        <v>0</v>
      </c>
      <c r="AH525" s="290">
        <v>0</v>
      </c>
      <c r="AI525" s="290">
        <v>0</v>
      </c>
      <c r="AJ525" s="290">
        <v>0</v>
      </c>
      <c r="AK525" s="290">
        <v>0</v>
      </c>
      <c r="AL525" s="290">
        <v>0</v>
      </c>
      <c r="AM525" s="290">
        <v>0</v>
      </c>
      <c r="AN525" s="290">
        <v>0</v>
      </c>
      <c r="AO525" s="290">
        <v>0</v>
      </c>
      <c r="AP525" s="290">
        <v>0</v>
      </c>
      <c r="AQ525" s="290">
        <v>0</v>
      </c>
      <c r="AR525" s="290">
        <v>0</v>
      </c>
      <c r="AS525" s="290">
        <v>0</v>
      </c>
      <c r="AT525" s="290">
        <v>0</v>
      </c>
      <c r="AU525" s="290">
        <v>0</v>
      </c>
      <c r="AV525" s="290">
        <v>0</v>
      </c>
      <c r="AW525" s="290">
        <v>0</v>
      </c>
      <c r="AX525" s="290">
        <v>0</v>
      </c>
      <c r="AY525" s="290">
        <v>0</v>
      </c>
      <c r="AZ525" s="290">
        <v>0</v>
      </c>
      <c r="BA525" s="290">
        <v>0</v>
      </c>
      <c r="BB525" s="290">
        <v>0</v>
      </c>
      <c r="BC525" s="290">
        <v>0</v>
      </c>
      <c r="BD525" s="290">
        <v>0</v>
      </c>
      <c r="BE525" s="290">
        <v>0</v>
      </c>
      <c r="BF525" s="290">
        <v>0</v>
      </c>
      <c r="BG525" s="290">
        <v>0</v>
      </c>
      <c r="BH525" s="290">
        <v>0</v>
      </c>
      <c r="BI525" s="290">
        <v>0</v>
      </c>
      <c r="BJ525" s="290">
        <v>0</v>
      </c>
      <c r="BK525" s="78">
        <v>0</v>
      </c>
      <c r="BL525" s="41" t="s">
        <v>616</v>
      </c>
      <c r="BM525" s="45"/>
    </row>
    <row r="526" spans="1:65" x14ac:dyDescent="0.35">
      <c r="A526" s="45" t="str">
        <f>Database_Productkaarten[[#This Row],[Product]]&amp;", "&amp;Database_Productkaarten[[#This Row],[Levensfase]]</f>
        <v>SMA G.R. (obv 8G+) - PCR 2.0, C1</v>
      </c>
      <c r="B526" s="45" t="s">
        <v>1371</v>
      </c>
      <c r="C526" s="41" t="s">
        <v>443</v>
      </c>
      <c r="D526" s="45" t="s">
        <v>472</v>
      </c>
      <c r="E526" s="41" t="s">
        <v>91</v>
      </c>
      <c r="F526" s="41" t="s">
        <v>25</v>
      </c>
      <c r="G526" s="45"/>
      <c r="H526" s="45"/>
      <c r="I526" s="45"/>
      <c r="J526" s="45"/>
      <c r="K526" s="45"/>
      <c r="L526" s="45">
        <v>2.2999999999999998</v>
      </c>
      <c r="M526" s="291">
        <v>0.13541602880973516</v>
      </c>
      <c r="N526" s="45">
        <v>16</v>
      </c>
      <c r="O526" s="290">
        <v>1.6635523497892201E-6</v>
      </c>
      <c r="P526" s="290">
        <v>7.0767186205179904E-3</v>
      </c>
      <c r="Q526" s="290">
        <v>1.43921489973035</v>
      </c>
      <c r="R526" s="290">
        <v>1.85981765011091E-7</v>
      </c>
      <c r="S526" s="290">
        <v>4.7349883020077898E-4</v>
      </c>
      <c r="T526" s="290">
        <v>4.1086089215149604E-3</v>
      </c>
      <c r="U526" s="290">
        <v>8.8311374606381103E-4</v>
      </c>
      <c r="V526" s="290">
        <v>0.387386474817911</v>
      </c>
      <c r="W526" s="290">
        <v>5.5203762410341696E-3</v>
      </c>
      <c r="X526" s="290">
        <v>19.180874490257199</v>
      </c>
      <c r="Y526" s="290">
        <v>6.5374486173429302E-4</v>
      </c>
      <c r="Z526" s="290">
        <v>1.44808108069418</v>
      </c>
      <c r="AA526" s="290">
        <v>1.44766536786447</v>
      </c>
      <c r="AB526" s="290">
        <v>3.3110966202629598E-4</v>
      </c>
      <c r="AC526" s="290">
        <v>8.4603167681457494E-5</v>
      </c>
      <c r="AD526" s="290">
        <v>2.3434436943065401E-7</v>
      </c>
      <c r="AE526" s="290">
        <v>5.5792398125911E-3</v>
      </c>
      <c r="AF526" s="290">
        <v>3.9527082878457501E-6</v>
      </c>
      <c r="AG526" s="290">
        <v>2.16816828940183E-3</v>
      </c>
      <c r="AH526" s="290">
        <v>2.3831205888690601E-2</v>
      </c>
      <c r="AI526" s="290">
        <v>6.50871025613308E-3</v>
      </c>
      <c r="AJ526" s="290">
        <v>1.66353929569488E-6</v>
      </c>
      <c r="AK526" s="290">
        <v>14.9314443675935</v>
      </c>
      <c r="AL526" s="290">
        <v>1.9886244901991701E-2</v>
      </c>
      <c r="AM526" s="290">
        <v>2.3049580138090401E-8</v>
      </c>
      <c r="AN526" s="290">
        <v>6.4087146010085402E-2</v>
      </c>
      <c r="AO526" s="290">
        <v>8.9589318499371906</v>
      </c>
      <c r="AP526" s="290">
        <v>3.1432578320404301E-10</v>
      </c>
      <c r="AQ526" s="290">
        <v>6.3100664700230197E-9</v>
      </c>
      <c r="AR526" s="290">
        <v>1.9071665148528101</v>
      </c>
      <c r="AS526" s="290">
        <v>0</v>
      </c>
      <c r="AT526" s="290">
        <v>0</v>
      </c>
      <c r="AU526" s="290">
        <v>8.2070636006933206E-2</v>
      </c>
      <c r="AV526" s="290">
        <v>0</v>
      </c>
      <c r="AW526" s="290">
        <v>0</v>
      </c>
      <c r="AX526" s="290">
        <v>15.8567216615783</v>
      </c>
      <c r="AY526" s="290">
        <v>0</v>
      </c>
      <c r="AZ526" s="290">
        <v>0</v>
      </c>
      <c r="BA526" s="290">
        <v>0</v>
      </c>
      <c r="BB526" s="290">
        <v>7.7185667663863999E-4</v>
      </c>
      <c r="BC526" s="290">
        <v>4.0662310225797597E-5</v>
      </c>
      <c r="BD526" s="290">
        <v>1.7667955342129199E-2</v>
      </c>
      <c r="BE526" s="290">
        <v>1.0377433957379E-4</v>
      </c>
      <c r="BF526" s="290">
        <v>0</v>
      </c>
      <c r="BG526" s="290">
        <v>0</v>
      </c>
      <c r="BH526" s="290">
        <v>0</v>
      </c>
      <c r="BI526" s="290">
        <v>0</v>
      </c>
      <c r="BJ526" s="290">
        <v>0</v>
      </c>
      <c r="BK526" s="78">
        <v>0</v>
      </c>
      <c r="BL526" s="41" t="s">
        <v>616</v>
      </c>
      <c r="BM526" s="45"/>
    </row>
    <row r="527" spans="1:65" x14ac:dyDescent="0.35">
      <c r="A527" s="45" t="str">
        <f>Database_Productkaarten[[#This Row],[Product]]&amp;", "&amp;Database_Productkaarten[[#This Row],[Levensfase]]</f>
        <v>SMA G.R. (obv 8G+) - PCR 2.0, C2</v>
      </c>
      <c r="B527" s="45" t="s">
        <v>1371</v>
      </c>
      <c r="C527" s="41" t="s">
        <v>443</v>
      </c>
      <c r="D527" s="45" t="s">
        <v>472</v>
      </c>
      <c r="E527" s="41" t="s">
        <v>91</v>
      </c>
      <c r="F527" s="41" t="s">
        <v>26</v>
      </c>
      <c r="G527" s="45"/>
      <c r="H527" s="45"/>
      <c r="I527" s="45"/>
      <c r="J527" s="45"/>
      <c r="K527" s="45"/>
      <c r="L527" s="45">
        <v>2.2999999999999998</v>
      </c>
      <c r="M527" s="291">
        <v>0.31791357541832999</v>
      </c>
      <c r="N527" s="45">
        <v>16</v>
      </c>
      <c r="O527" s="290">
        <v>7.2195843000000002E-5</v>
      </c>
      <c r="P527" s="290">
        <v>2.5045429500000001E-2</v>
      </c>
      <c r="Q527" s="290">
        <v>3.2726104581</v>
      </c>
      <c r="R527" s="290">
        <v>6.2448211500000004E-7</v>
      </c>
      <c r="S527" s="290">
        <v>2.3663202E-3</v>
      </c>
      <c r="T527" s="290">
        <v>9.9103019999999993E-3</v>
      </c>
      <c r="U527" s="290">
        <v>1.66070541E-3</v>
      </c>
      <c r="V527" s="290">
        <v>0.89062466159999998</v>
      </c>
      <c r="W527" s="290">
        <v>3.5055542699999998E-2</v>
      </c>
      <c r="X527" s="290">
        <v>92.682047400000002</v>
      </c>
      <c r="Y527" s="290">
        <v>7.4868390000000003E-3</v>
      </c>
      <c r="Z527" s="290">
        <v>3.3150718431000001</v>
      </c>
      <c r="AA527" s="290">
        <v>3.3001817481</v>
      </c>
      <c r="AB527" s="290">
        <v>1.3607189190000001E-2</v>
      </c>
      <c r="AC527" s="290">
        <v>1.2829113599999999E-3</v>
      </c>
      <c r="AD527" s="290">
        <v>7.8107336699999998E-7</v>
      </c>
      <c r="AE527" s="290">
        <v>1.2482505E-2</v>
      </c>
      <c r="AF527" s="290">
        <v>3.4632532799999998E-5</v>
      </c>
      <c r="AG527" s="290">
        <v>2.8897329300000001E-3</v>
      </c>
      <c r="AH527" s="290">
        <v>3.3662059799999998E-2</v>
      </c>
      <c r="AI527" s="290">
        <v>1.2098522699999999E-2</v>
      </c>
      <c r="AJ527" s="290">
        <v>7.2195510000000004E-5</v>
      </c>
      <c r="AK527" s="290">
        <v>52.307882313</v>
      </c>
      <c r="AL527" s="290">
        <v>0.28570883850000001</v>
      </c>
      <c r="AM527" s="290">
        <v>2.8544027399999998E-7</v>
      </c>
      <c r="AN527" s="290">
        <v>0.22308385950000001</v>
      </c>
      <c r="AO527" s="290">
        <v>50.61443379</v>
      </c>
      <c r="AP527" s="290">
        <v>1.35209877E-9</v>
      </c>
      <c r="AQ527" s="290">
        <v>4.3221490799999998E-8</v>
      </c>
      <c r="AR527" s="290">
        <v>98.528772599999996</v>
      </c>
      <c r="AS527" s="290">
        <v>8.065825212</v>
      </c>
      <c r="AT527" s="290">
        <v>0</v>
      </c>
      <c r="AU527" s="290">
        <v>8.6963547624000004</v>
      </c>
      <c r="AV527" s="290">
        <v>0.70667511750000001</v>
      </c>
      <c r="AW527" s="290">
        <v>9.926829900000001E-4</v>
      </c>
      <c r="AX527" s="290">
        <v>55.561210727999999</v>
      </c>
      <c r="AY527" s="290">
        <v>0</v>
      </c>
      <c r="AZ527" s="290">
        <v>0</v>
      </c>
      <c r="BA527" s="290">
        <v>0</v>
      </c>
      <c r="BB527" s="290">
        <v>8.7338241000000007E-3</v>
      </c>
      <c r="BC527" s="290">
        <v>1.5376752299999999E-4</v>
      </c>
      <c r="BD527" s="290">
        <v>5.5583861609999996</v>
      </c>
      <c r="BE527" s="290">
        <v>3.4865666099999999E-4</v>
      </c>
      <c r="BF527" s="290">
        <v>0</v>
      </c>
      <c r="BG527" s="290">
        <v>0</v>
      </c>
      <c r="BH527" s="290">
        <v>0</v>
      </c>
      <c r="BI527" s="290">
        <v>0</v>
      </c>
      <c r="BJ527" s="290">
        <v>0</v>
      </c>
      <c r="BK527" s="78">
        <v>0</v>
      </c>
      <c r="BL527" s="41" t="s">
        <v>616</v>
      </c>
      <c r="BM527" s="45"/>
    </row>
    <row r="528" spans="1:65" x14ac:dyDescent="0.35">
      <c r="A528" s="45" t="str">
        <f>Database_Productkaarten[[#This Row],[Product]]&amp;", "&amp;Database_Productkaarten[[#This Row],[Levensfase]]</f>
        <v>SMA G.R. (obv 8G+) - PCR 2.0, C3</v>
      </c>
      <c r="B528" s="45" t="s">
        <v>1371</v>
      </c>
      <c r="C528" s="41" t="s">
        <v>443</v>
      </c>
      <c r="D528" s="45" t="s">
        <v>472</v>
      </c>
      <c r="E528" s="41" t="s">
        <v>91</v>
      </c>
      <c r="F528" s="41" t="s">
        <v>27</v>
      </c>
      <c r="G528" s="45"/>
      <c r="H528" s="45"/>
      <c r="I528" s="45"/>
      <c r="J528" s="45"/>
      <c r="K528" s="45"/>
      <c r="L528" s="45">
        <v>2.2999999999999998</v>
      </c>
      <c r="M528" s="291">
        <v>0.15929996481874498</v>
      </c>
      <c r="N528" s="45">
        <v>16</v>
      </c>
      <c r="O528" s="290">
        <v>1.86519505885458E-6</v>
      </c>
      <c r="P528" s="290">
        <v>7.9345026957322908E-3</v>
      </c>
      <c r="Q528" s="290">
        <v>1.6136651906067601</v>
      </c>
      <c r="R528" s="290">
        <v>2.0852500925485999E-7</v>
      </c>
      <c r="S528" s="290">
        <v>5.8559282894496596E-4</v>
      </c>
      <c r="T528" s="290">
        <v>5.7290956089707003E-3</v>
      </c>
      <c r="U528" s="290">
        <v>1.2820009425562301E-3</v>
      </c>
      <c r="V528" s="290">
        <v>0.43705340687765698</v>
      </c>
      <c r="W528" s="290">
        <v>6.1895127550989299E-3</v>
      </c>
      <c r="X528" s="290">
        <v>21.5058289739247</v>
      </c>
      <c r="Y528" s="290">
        <v>7.3298666315663402E-4</v>
      </c>
      <c r="Z528" s="290">
        <v>1.6243260241116599</v>
      </c>
      <c r="AA528" s="290">
        <v>1.6238599218480401</v>
      </c>
      <c r="AB528" s="290">
        <v>3.7124416651432898E-4</v>
      </c>
      <c r="AC528" s="290">
        <v>9.4858097097391805E-5</v>
      </c>
      <c r="AD528" s="290">
        <v>2.6274974754346103E-7</v>
      </c>
      <c r="AE528" s="290">
        <v>7.9167720626012201E-3</v>
      </c>
      <c r="AF528" s="290">
        <v>4.43182444394828E-6</v>
      </c>
      <c r="AG528" s="290">
        <v>3.30426093811672E-3</v>
      </c>
      <c r="AH528" s="290">
        <v>3.6283310996405402E-2</v>
      </c>
      <c r="AI528" s="290">
        <v>9.6537099780873107E-3</v>
      </c>
      <c r="AJ528" s="290">
        <v>1.86518042244578E-6</v>
      </c>
      <c r="AK528" s="290">
        <v>16.741316412150301</v>
      </c>
      <c r="AL528" s="290">
        <v>2.2296698829505801E-2</v>
      </c>
      <c r="AM528" s="290">
        <v>3.0576571393916903E-8</v>
      </c>
      <c r="AN528" s="290">
        <v>7.1855284920398596E-2</v>
      </c>
      <c r="AO528" s="290">
        <v>10.0456498575947</v>
      </c>
      <c r="AP528" s="290">
        <v>3.5242587813786801E-10</v>
      </c>
      <c r="AQ528" s="290">
        <v>7.5755651621864605E-9</v>
      </c>
      <c r="AR528" s="290">
        <v>2.1383382136228501</v>
      </c>
      <c r="AS528" s="290">
        <v>0</v>
      </c>
      <c r="AT528" s="290">
        <v>0</v>
      </c>
      <c r="AU528" s="290">
        <v>9.2018591886561404E-2</v>
      </c>
      <c r="AV528" s="290">
        <v>0</v>
      </c>
      <c r="AW528" s="290">
        <v>0</v>
      </c>
      <c r="AX528" s="290">
        <v>17.7787485296484</v>
      </c>
      <c r="AY528" s="290">
        <v>0</v>
      </c>
      <c r="AZ528" s="290">
        <v>0</v>
      </c>
      <c r="BA528" s="290">
        <v>0</v>
      </c>
      <c r="BB528" s="290">
        <v>8.65415061685748E-4</v>
      </c>
      <c r="BC528" s="290">
        <v>4.5591075101651702E-5</v>
      </c>
      <c r="BD528" s="290">
        <v>1.9809525686629699E-2</v>
      </c>
      <c r="BE528" s="290">
        <v>1.16353047400916E-4</v>
      </c>
      <c r="BF528" s="290">
        <v>0</v>
      </c>
      <c r="BG528" s="290">
        <v>1000</v>
      </c>
      <c r="BH528" s="290">
        <v>0</v>
      </c>
      <c r="BI528" s="290">
        <v>0</v>
      </c>
      <c r="BJ528" s="290">
        <v>0</v>
      </c>
      <c r="BK528" s="78">
        <v>0</v>
      </c>
      <c r="BL528" s="41" t="s">
        <v>616</v>
      </c>
      <c r="BM528" s="45"/>
    </row>
    <row r="529" spans="1:65" x14ac:dyDescent="0.35">
      <c r="A529" s="45" t="str">
        <f>Database_Productkaarten[[#This Row],[Product]]&amp;", "&amp;Database_Productkaarten[[#This Row],[Levensfase]]</f>
        <v>SMA G.R. (obv 8G+) - PCR 2.0, C4</v>
      </c>
      <c r="B529" s="45" t="s">
        <v>1371</v>
      </c>
      <c r="C529" s="41" t="s">
        <v>443</v>
      </c>
      <c r="D529" s="45" t="s">
        <v>472</v>
      </c>
      <c r="E529" s="41" t="s">
        <v>91</v>
      </c>
      <c r="F529" s="41" t="s">
        <v>28</v>
      </c>
      <c r="G529" s="45"/>
      <c r="H529" s="45"/>
      <c r="I529" s="45"/>
      <c r="J529" s="45"/>
      <c r="K529" s="45"/>
      <c r="L529" s="45">
        <v>2.2999999999999998</v>
      </c>
      <c r="M529" s="291">
        <v>0</v>
      </c>
      <c r="N529" s="45">
        <v>16</v>
      </c>
      <c r="O529" s="290">
        <v>0</v>
      </c>
      <c r="P529" s="290">
        <v>0</v>
      </c>
      <c r="Q529" s="290">
        <v>0</v>
      </c>
      <c r="R529" s="290">
        <v>0</v>
      </c>
      <c r="S529" s="290">
        <v>0</v>
      </c>
      <c r="T529" s="290">
        <v>0</v>
      </c>
      <c r="U529" s="290">
        <v>0</v>
      </c>
      <c r="V529" s="290">
        <v>0</v>
      </c>
      <c r="W529" s="290">
        <v>0</v>
      </c>
      <c r="X529" s="290">
        <v>0</v>
      </c>
      <c r="Y529" s="290">
        <v>0</v>
      </c>
      <c r="Z529" s="290">
        <v>0</v>
      </c>
      <c r="AA529" s="290">
        <v>0</v>
      </c>
      <c r="AB529" s="290">
        <v>0</v>
      </c>
      <c r="AC529" s="290">
        <v>0</v>
      </c>
      <c r="AD529" s="290">
        <v>0</v>
      </c>
      <c r="AE529" s="290">
        <v>0</v>
      </c>
      <c r="AF529" s="290">
        <v>0</v>
      </c>
      <c r="AG529" s="290">
        <v>0</v>
      </c>
      <c r="AH529" s="290">
        <v>0</v>
      </c>
      <c r="AI529" s="290">
        <v>0</v>
      </c>
      <c r="AJ529" s="290">
        <v>0</v>
      </c>
      <c r="AK529" s="290">
        <v>0</v>
      </c>
      <c r="AL529" s="290">
        <v>0</v>
      </c>
      <c r="AM529" s="290">
        <v>0</v>
      </c>
      <c r="AN529" s="290">
        <v>0</v>
      </c>
      <c r="AO529" s="290">
        <v>0</v>
      </c>
      <c r="AP529" s="290">
        <v>0</v>
      </c>
      <c r="AQ529" s="290">
        <v>0</v>
      </c>
      <c r="AR529" s="290">
        <v>0</v>
      </c>
      <c r="AS529" s="290">
        <v>0</v>
      </c>
      <c r="AT529" s="290">
        <v>0</v>
      </c>
      <c r="AU529" s="290">
        <v>0</v>
      </c>
      <c r="AV529" s="290">
        <v>0</v>
      </c>
      <c r="AW529" s="290">
        <v>0</v>
      </c>
      <c r="AX529" s="290">
        <v>0</v>
      </c>
      <c r="AY529" s="290">
        <v>0</v>
      </c>
      <c r="AZ529" s="290">
        <v>0</v>
      </c>
      <c r="BA529" s="290">
        <v>0</v>
      </c>
      <c r="BB529" s="290">
        <v>0</v>
      </c>
      <c r="BC529" s="290">
        <v>0</v>
      </c>
      <c r="BD529" s="290">
        <v>0</v>
      </c>
      <c r="BE529" s="290">
        <v>0</v>
      </c>
      <c r="BF529" s="290">
        <v>0</v>
      </c>
      <c r="BG529" s="290">
        <v>0</v>
      </c>
      <c r="BH529" s="290">
        <v>0</v>
      </c>
      <c r="BI529" s="290">
        <v>0</v>
      </c>
      <c r="BJ529" s="290">
        <v>0</v>
      </c>
      <c r="BK529" s="78">
        <v>0</v>
      </c>
      <c r="BL529" s="41" t="s">
        <v>616</v>
      </c>
      <c r="BM529" s="45"/>
    </row>
    <row r="530" spans="1:65" x14ac:dyDescent="0.35">
      <c r="A530" s="45" t="str">
        <f>Database_Productkaarten[[#This Row],[Product]]&amp;", "&amp;Database_Productkaarten[[#This Row],[Levensfase]]</f>
        <v>SMA G.R. (obv 8G+) - PCR 2.0, D1</v>
      </c>
      <c r="B530" s="45" t="s">
        <v>1371</v>
      </c>
      <c r="C530" s="41" t="s">
        <v>443</v>
      </c>
      <c r="D530" s="45" t="s">
        <v>472</v>
      </c>
      <c r="E530" s="41" t="s">
        <v>91</v>
      </c>
      <c r="F530" s="41" t="s">
        <v>51</v>
      </c>
      <c r="G530" s="45"/>
      <c r="H530" s="45"/>
      <c r="I530" s="45"/>
      <c r="J530" s="45"/>
      <c r="K530" s="45"/>
      <c r="L530" s="45">
        <v>2.2999999999999998</v>
      </c>
      <c r="M530" s="291">
        <v>-4.3679865550801846</v>
      </c>
      <c r="N530" s="45">
        <v>16</v>
      </c>
      <c r="O530" s="290">
        <v>-4.9038813744081298E-4</v>
      </c>
      <c r="P530" s="290">
        <v>-0.74558617457573995</v>
      </c>
      <c r="Q530" s="290">
        <v>-32.476786358156502</v>
      </c>
      <c r="R530" s="290">
        <v>-2.7847203931114602E-6</v>
      </c>
      <c r="S530" s="290">
        <v>-8.0189532038944106E-2</v>
      </c>
      <c r="T530" s="290">
        <v>-0.229417962036013</v>
      </c>
      <c r="U530" s="290">
        <v>-2.1887334326092901E-2</v>
      </c>
      <c r="V530" s="290">
        <v>-8.9008105527336205</v>
      </c>
      <c r="W530" s="290">
        <v>-1.15579790440444</v>
      </c>
      <c r="X530" s="290">
        <v>-5047.7740662423703</v>
      </c>
      <c r="Y530" s="290">
        <v>-0.15217051445473401</v>
      </c>
      <c r="Z530" s="290">
        <v>-8.6996419338518791</v>
      </c>
      <c r="AA530" s="290">
        <v>-8.5956686497681698</v>
      </c>
      <c r="AB530" s="290">
        <v>-9.3379173256356404E-2</v>
      </c>
      <c r="AC530" s="290">
        <v>-1.05941108273534E-2</v>
      </c>
      <c r="AD530" s="290">
        <v>-1.13959398319269E-6</v>
      </c>
      <c r="AE530" s="290">
        <v>-8.4050570572292399E-2</v>
      </c>
      <c r="AF530" s="290">
        <v>-3.6733849129322999E-4</v>
      </c>
      <c r="AG530" s="290">
        <v>-2.48281595391289E-2</v>
      </c>
      <c r="AH530" s="290">
        <v>-0.31243681487317698</v>
      </c>
      <c r="AI530" s="290">
        <v>-7.7086420452847595E-2</v>
      </c>
      <c r="AJ530" s="290">
        <v>-4.8699678772903799E-4</v>
      </c>
      <c r="AK530" s="290">
        <v>-125.345592380013</v>
      </c>
      <c r="AL530" s="290">
        <v>-30.720181733403098</v>
      </c>
      <c r="AM530" s="290">
        <v>-1.18729781569588E-6</v>
      </c>
      <c r="AN530" s="290">
        <v>-0.67077370817293902</v>
      </c>
      <c r="AO530" s="290">
        <v>-1140.6084620363799</v>
      </c>
      <c r="AP530" s="290">
        <v>-6.3431836537325399E-9</v>
      </c>
      <c r="AQ530" s="290">
        <v>-1.4494123851674099E-7</v>
      </c>
      <c r="AR530" s="290">
        <v>-1407.4485176286601</v>
      </c>
      <c r="AS530" s="290">
        <v>0</v>
      </c>
      <c r="AT530" s="290">
        <v>0</v>
      </c>
      <c r="AU530" s="290">
        <v>-16.2626760282233</v>
      </c>
      <c r="AV530" s="290">
        <v>0</v>
      </c>
      <c r="AW530" s="290">
        <v>0</v>
      </c>
      <c r="AX530" s="290">
        <v>-1683.87225387029</v>
      </c>
      <c r="AY530" s="290">
        <v>0</v>
      </c>
      <c r="AZ530" s="290">
        <v>0</v>
      </c>
      <c r="BA530" s="290">
        <v>0</v>
      </c>
      <c r="BB530" s="290">
        <v>-17.9984712245686</v>
      </c>
      <c r="BC530" s="290">
        <v>-7.7956597309136895E-4</v>
      </c>
      <c r="BD530" s="290">
        <v>-3.0846445640326001</v>
      </c>
      <c r="BE530" s="290">
        <v>-9.1037909150971604E-4</v>
      </c>
      <c r="BF530" s="290">
        <v>0</v>
      </c>
      <c r="BG530" s="290">
        <v>0</v>
      </c>
      <c r="BH530" s="290">
        <v>0</v>
      </c>
      <c r="BI530" s="290">
        <v>0</v>
      </c>
      <c r="BJ530" s="290">
        <v>0</v>
      </c>
      <c r="BK530" s="78">
        <v>0</v>
      </c>
      <c r="BL530" s="41" t="s">
        <v>616</v>
      </c>
      <c r="BM530" s="45"/>
    </row>
    <row r="531" spans="1:65" x14ac:dyDescent="0.35">
      <c r="A531" s="45" t="str">
        <f>Database_Productkaarten[[#This Row],[Product]]&amp;", "&amp;Database_Productkaarten[[#This Row],[Levensfase]]</f>
        <v>WB asfaltbeton - PCR 2.0, Totaal</v>
      </c>
      <c r="B531" s="45" t="s">
        <v>1372</v>
      </c>
      <c r="C531" s="41" t="s">
        <v>443</v>
      </c>
      <c r="D531" s="41" t="s">
        <v>473</v>
      </c>
      <c r="E531" s="41" t="s">
        <v>91</v>
      </c>
      <c r="F531" s="41" t="s">
        <v>16</v>
      </c>
      <c r="G531" s="45"/>
      <c r="H531" s="45"/>
      <c r="I531" s="45"/>
      <c r="J531" s="45"/>
      <c r="K531" s="45"/>
      <c r="L531" s="45">
        <v>2.35</v>
      </c>
      <c r="M531" s="54">
        <f>SUM(M532:M546)</f>
        <v>14.17834750694786</v>
      </c>
      <c r="N531" s="45">
        <v>55</v>
      </c>
      <c r="O531" s="55">
        <f>SUM(O532:O546)</f>
        <v>1.1529455036737696E-3</v>
      </c>
      <c r="P531" s="55">
        <f t="shared" ref="P531" si="767">SUM(P532:P546)</f>
        <v>1.9610890530338885</v>
      </c>
      <c r="Q531" s="55">
        <f t="shared" ref="Q531" si="768">SUM(Q532:Q546)</f>
        <v>122.89852784731114</v>
      </c>
      <c r="R531" s="55">
        <f t="shared" ref="R531" si="769">SUM(R532:R546)</f>
        <v>1.4715011884643012E-5</v>
      </c>
      <c r="S531" s="55">
        <f t="shared" ref="S531" si="770">SUM(S532:S546)</f>
        <v>0.18429114157456314</v>
      </c>
      <c r="T531" s="55">
        <f t="shared" ref="T531" si="771">SUM(T532:T546)</f>
        <v>0.65221198042986162</v>
      </c>
      <c r="U531" s="55">
        <f t="shared" ref="U531" si="772">SUM(U532:U546)</f>
        <v>8.3862047787777325E-2</v>
      </c>
      <c r="V531" s="55">
        <f t="shared" ref="V531" si="773">SUM(V532:V546)</f>
        <v>30.476641987971259</v>
      </c>
      <c r="W531" s="55">
        <f t="shared" ref="W531" si="774">SUM(W532:W546)</f>
        <v>2.6330814659664972</v>
      </c>
      <c r="X531" s="55">
        <f t="shared" ref="X531" si="775">SUM(X532:X546)</f>
        <v>11428.124165423986</v>
      </c>
      <c r="Y531" s="55">
        <f t="shared" ref="Y531" si="776">SUM(Y532:Y546)</f>
        <v>0.36882783437297884</v>
      </c>
      <c r="Z531" s="55">
        <f t="shared" ref="Z531" si="777">SUM(Z532:Z546)</f>
        <v>127.84897856659433</v>
      </c>
      <c r="AA531" s="55">
        <f t="shared" ref="AA531" si="778">SUM(AA532:AA546)</f>
        <v>127.53175011791944</v>
      </c>
      <c r="AB531" s="55">
        <f t="shared" ref="AB531" si="779">SUM(AB532:AB546)</f>
        <v>0.27551653706380852</v>
      </c>
      <c r="AC531" s="55">
        <f t="shared" ref="AC531" si="780">SUM(AC532:AC546)</f>
        <v>8.0019892861095912E-2</v>
      </c>
      <c r="AD531" s="55">
        <f t="shared" ref="AD531" si="781">SUM(AD532:AD546)</f>
        <v>1.7921682899500647E-5</v>
      </c>
      <c r="AE531" s="55">
        <f t="shared" ref="AE531" si="782">SUM(AE532:AE546)</f>
        <v>0.80964657046198052</v>
      </c>
      <c r="AF531" s="55">
        <f t="shared" ref="AF531" si="783">SUM(AF532:AF546)</f>
        <v>1.6103042386252037E-3</v>
      </c>
      <c r="AG531" s="55">
        <f t="shared" ref="AG531" si="784">SUM(AG532:AG546)</f>
        <v>0.1953418305371446</v>
      </c>
      <c r="AH531" s="55">
        <f t="shared" ref="AH531" si="785">SUM(AH532:AH546)</f>
        <v>2.0792814434244327</v>
      </c>
      <c r="AI531" s="55">
        <f t="shared" ref="AI531" si="786">SUM(AI532:AI546)</f>
        <v>0.85041958983046917</v>
      </c>
      <c r="AJ531" s="55">
        <f t="shared" ref="AJ531" si="787">SUM(AJ532:AJ546)</f>
        <v>1.1528719988631391E-3</v>
      </c>
      <c r="AK531" s="55">
        <f t="shared" ref="AK531" si="788">SUM(AK532:AK546)</f>
        <v>4091.9308423130478</v>
      </c>
      <c r="AL531" s="55">
        <f t="shared" ref="AL531" si="789">SUM(AL532:AL546)</f>
        <v>78.865759839630186</v>
      </c>
      <c r="AM531" s="55">
        <f t="shared" ref="AM531" si="790">SUM(AM532:AM546)</f>
        <v>5.0016818912234816E-6</v>
      </c>
      <c r="AN531" s="55">
        <f t="shared" ref="AN531" si="791">SUM(AN532:AN546)</f>
        <v>4.6724781106650646</v>
      </c>
      <c r="AO531" s="55">
        <f t="shared" ref="AO531" si="792">SUM(AO532:AO546)</f>
        <v>4332.4438868795778</v>
      </c>
      <c r="AP531" s="55">
        <f t="shared" ref="AP531" si="793">SUM(AP532:AP546)</f>
        <v>3.8609529999931803E-8</v>
      </c>
      <c r="AQ531" s="55">
        <f t="shared" ref="AQ531" si="794">SUM(AQ532:AQ546)</f>
        <v>1.3131459802263131E-6</v>
      </c>
      <c r="AR531" s="55">
        <f t="shared" ref="AR531" si="795">SUM(AR532:AR546)</f>
        <v>1349.6400720551565</v>
      </c>
      <c r="AS531" s="55">
        <f t="shared" ref="AS531" si="796">SUM(AS532:AS546)</f>
        <v>9.0831365000000002</v>
      </c>
      <c r="AT531" s="55">
        <f t="shared" ref="AT531" si="797">SUM(AT532:AT546)</f>
        <v>0</v>
      </c>
      <c r="AU531" s="55">
        <f t="shared" ref="AU531" si="798">SUM(AU532:AU546)</f>
        <v>47.386533517272717</v>
      </c>
      <c r="AV531" s="55">
        <f t="shared" ref="AV531" si="799">SUM(AV532:AV546)</f>
        <v>0.79580531249999997</v>
      </c>
      <c r="AW531" s="55">
        <f t="shared" ref="AW531" si="800">SUM(AW532:AW546)</f>
        <v>1.1178862500000001E-3</v>
      </c>
      <c r="AX531" s="55">
        <f t="shared" ref="AX531" si="801">SUM(AX532:AX546)</f>
        <v>4367.2693723758612</v>
      </c>
      <c r="AY531" s="55">
        <f t="shared" ref="AY531" si="802">SUM(AY532:AY546)</f>
        <v>0</v>
      </c>
      <c r="AZ531" s="55">
        <f t="shared" ref="AZ531" si="803">SUM(AZ532:AZ546)</f>
        <v>0</v>
      </c>
      <c r="BA531" s="55">
        <f t="shared" ref="BA531" si="804">SUM(BA532:BA546)</f>
        <v>0</v>
      </c>
      <c r="BB531" s="55">
        <f t="shared" ref="BB531" si="805">SUM(BB532:BB546)</f>
        <v>1.9287223645297289</v>
      </c>
      <c r="BC531" s="55">
        <f t="shared" ref="BC531" si="806">SUM(BC532:BC546)</f>
        <v>3.2640161389989996E-3</v>
      </c>
      <c r="BD531" s="55">
        <f t="shared" ref="BD531" si="807">SUM(BD532:BD546)</f>
        <v>1024.2711225378873</v>
      </c>
      <c r="BE531" s="55">
        <f t="shared" ref="BE531" si="808">SUM(BE532:BE546)</f>
        <v>5.6493159070184814E-3</v>
      </c>
      <c r="BF531" s="55">
        <f t="shared" ref="BF531" si="809">SUM(BF532:BF546)</f>
        <v>0</v>
      </c>
      <c r="BG531" s="55">
        <f t="shared" ref="BG531" si="810">SUM(BG532:BG546)</f>
        <v>0</v>
      </c>
      <c r="BH531" s="55">
        <f t="shared" ref="BH531" si="811">SUM(BH532:BH546)</f>
        <v>0</v>
      </c>
      <c r="BI531" s="55">
        <f t="shared" ref="BI531" si="812">SUM(BI532:BI546)</f>
        <v>0</v>
      </c>
      <c r="BJ531" s="55">
        <f t="shared" ref="BJ531" si="813">SUM(BJ532:BJ546)</f>
        <v>0</v>
      </c>
      <c r="BK531" s="78">
        <v>0</v>
      </c>
      <c r="BL531" s="41" t="s">
        <v>616</v>
      </c>
      <c r="BM531" s="45"/>
    </row>
    <row r="532" spans="1:65" x14ac:dyDescent="0.35">
      <c r="A532" s="45" t="str">
        <f>Database_Productkaarten[[#This Row],[Product]]&amp;", "&amp;Database_Productkaarten[[#This Row],[Levensfase]]</f>
        <v>WB asfaltbeton - PCR 2.0, A1</v>
      </c>
      <c r="B532" s="45" t="s">
        <v>1372</v>
      </c>
      <c r="C532" s="41" t="s">
        <v>443</v>
      </c>
      <c r="D532" s="41" t="s">
        <v>473</v>
      </c>
      <c r="E532" s="41" t="s">
        <v>91</v>
      </c>
      <c r="F532" s="41" t="s">
        <v>19</v>
      </c>
      <c r="G532" s="45"/>
      <c r="H532" s="45"/>
      <c r="I532" s="45"/>
      <c r="J532" s="45"/>
      <c r="K532" s="45"/>
      <c r="L532" s="45">
        <v>2.35</v>
      </c>
      <c r="M532" s="291">
        <v>7.7018663127819575</v>
      </c>
      <c r="N532" s="45">
        <v>55</v>
      </c>
      <c r="O532" s="290">
        <v>6.2274710492964103E-4</v>
      </c>
      <c r="P532" s="290">
        <v>1.4526656995348499</v>
      </c>
      <c r="Q532" s="290">
        <v>58.128080122554699</v>
      </c>
      <c r="R532" s="290">
        <v>4.6402052687181401E-6</v>
      </c>
      <c r="S532" s="290">
        <v>0.15396395504285501</v>
      </c>
      <c r="T532" s="290">
        <v>0.39618050793887399</v>
      </c>
      <c r="U532" s="290">
        <v>3.0929817276134801E-2</v>
      </c>
      <c r="V532" s="290">
        <v>14.5328599073442</v>
      </c>
      <c r="W532" s="290">
        <v>2.2744158304764501</v>
      </c>
      <c r="X532" s="290">
        <v>9981.5900785160502</v>
      </c>
      <c r="Y532" s="290">
        <v>0.29049628800833899</v>
      </c>
      <c r="Z532" s="290">
        <v>62.228515574098701</v>
      </c>
      <c r="AA532" s="290">
        <v>62.071791287186301</v>
      </c>
      <c r="AB532" s="290">
        <v>0.158333371776016</v>
      </c>
      <c r="AC532" s="290">
        <v>3.6698915136396199E-2</v>
      </c>
      <c r="AD532" s="290">
        <v>5.6502571096799998E-6</v>
      </c>
      <c r="AE532" s="290">
        <v>0.462504718440512</v>
      </c>
      <c r="AF532" s="290">
        <v>9.0952231142254895E-4</v>
      </c>
      <c r="AG532" s="290">
        <v>6.3448528776882507E-2</v>
      </c>
      <c r="AH532" s="290">
        <v>0.62211688869807003</v>
      </c>
      <c r="AI532" s="290">
        <v>0.45213038891976598</v>
      </c>
      <c r="AJ532" s="290">
        <v>6.22684649086277E-4</v>
      </c>
      <c r="AK532" s="290">
        <v>3082.2730473584902</v>
      </c>
      <c r="AL532" s="290">
        <v>69.665114236743307</v>
      </c>
      <c r="AM532" s="290">
        <v>2.17329809436301E-6</v>
      </c>
      <c r="AN532" s="290">
        <v>1.70033654595543</v>
      </c>
      <c r="AO532" s="290">
        <v>3740.4638754078601</v>
      </c>
      <c r="AP532" s="290">
        <v>1.84221292511845E-8</v>
      </c>
      <c r="AQ532" s="290">
        <v>8.5450978798050201E-7</v>
      </c>
      <c r="AR532" s="290">
        <v>569.42814792713898</v>
      </c>
      <c r="AS532" s="290">
        <v>0</v>
      </c>
      <c r="AT532" s="290">
        <v>0</v>
      </c>
      <c r="AU532" s="290">
        <v>21.636737275935801</v>
      </c>
      <c r="AV532" s="290">
        <v>0</v>
      </c>
      <c r="AW532" s="290">
        <v>0</v>
      </c>
      <c r="AX532" s="290">
        <v>3280.0152006811099</v>
      </c>
      <c r="AY532" s="290">
        <v>0</v>
      </c>
      <c r="AZ532" s="290">
        <v>0</v>
      </c>
      <c r="BA532" s="290">
        <v>0</v>
      </c>
      <c r="BB532" s="290">
        <v>1.6544960375600599</v>
      </c>
      <c r="BC532" s="290">
        <v>1.31143245265545E-3</v>
      </c>
      <c r="BD532" s="290">
        <v>5.0226975307905404</v>
      </c>
      <c r="BE532" s="290">
        <v>1.11758347180719E-3</v>
      </c>
      <c r="BF532" s="290">
        <v>0</v>
      </c>
      <c r="BG532" s="290">
        <v>0</v>
      </c>
      <c r="BH532" s="290">
        <v>0</v>
      </c>
      <c r="BI532" s="290">
        <v>0</v>
      </c>
      <c r="BJ532" s="290">
        <v>0</v>
      </c>
      <c r="BK532" s="78">
        <v>0</v>
      </c>
      <c r="BL532" s="41" t="s">
        <v>616</v>
      </c>
      <c r="BM532" s="45"/>
    </row>
    <row r="533" spans="1:65" x14ac:dyDescent="0.35">
      <c r="A533" s="45" t="str">
        <f>Database_Productkaarten[[#This Row],[Product]]&amp;", "&amp;Database_Productkaarten[[#This Row],[Levensfase]]</f>
        <v>WB asfaltbeton - PCR 2.0, A2</v>
      </c>
      <c r="B533" s="45" t="s">
        <v>1372</v>
      </c>
      <c r="C533" s="41" t="s">
        <v>443</v>
      </c>
      <c r="D533" s="41" t="s">
        <v>473</v>
      </c>
      <c r="E533" s="41" t="s">
        <v>91</v>
      </c>
      <c r="F533" s="41" t="s">
        <v>20</v>
      </c>
      <c r="G533" s="45"/>
      <c r="H533" s="45"/>
      <c r="I533" s="45"/>
      <c r="J533" s="45"/>
      <c r="K533" s="45"/>
      <c r="L533" s="45">
        <v>2.35</v>
      </c>
      <c r="M533" s="291">
        <v>2.9209376076244413</v>
      </c>
      <c r="N533" s="45">
        <v>55</v>
      </c>
      <c r="O533" s="290">
        <v>2.9663152184272599E-4</v>
      </c>
      <c r="P533" s="290">
        <v>0.15740468321588799</v>
      </c>
      <c r="Q533" s="290">
        <v>24.427824327953399</v>
      </c>
      <c r="R533" s="290">
        <v>3.70076125828098E-6</v>
      </c>
      <c r="S533" s="290">
        <v>1.4451864007216901E-2</v>
      </c>
      <c r="T533" s="290">
        <v>0.15856951705636799</v>
      </c>
      <c r="U533" s="290">
        <v>3.4803389388315002E-2</v>
      </c>
      <c r="V533" s="290">
        <v>6.9857249484717503</v>
      </c>
      <c r="W533" s="290">
        <v>0.18499025341077099</v>
      </c>
      <c r="X533" s="290">
        <v>616.765372811475</v>
      </c>
      <c r="Y533" s="290">
        <v>3.0822784171944902E-2</v>
      </c>
      <c r="Z533" s="290">
        <v>24.702760954579698</v>
      </c>
      <c r="AA533" s="290">
        <v>24.632591026987001</v>
      </c>
      <c r="AB533" s="290">
        <v>3.3118345640213799E-2</v>
      </c>
      <c r="AC533" s="290">
        <v>3.7051581952507101E-2</v>
      </c>
      <c r="AD533" s="290">
        <v>4.6082490754108699E-6</v>
      </c>
      <c r="AE533" s="290">
        <v>0.219758685875177</v>
      </c>
      <c r="AF533" s="290">
        <v>2.84909986295502E-4</v>
      </c>
      <c r="AG533" s="290">
        <v>9.1546354751638997E-2</v>
      </c>
      <c r="AH533" s="290">
        <v>1.0078105160761199</v>
      </c>
      <c r="AI533" s="290">
        <v>0.26354495995882299</v>
      </c>
      <c r="AJ533" s="290">
        <v>2.9662172016087902E-4</v>
      </c>
      <c r="AK533" s="290">
        <v>326.16350982458198</v>
      </c>
      <c r="AL533" s="290">
        <v>1.43673182103302</v>
      </c>
      <c r="AM533" s="290">
        <v>9.5661161483635998E-7</v>
      </c>
      <c r="AN533" s="290">
        <v>1.4014825126500801</v>
      </c>
      <c r="AO533" s="290">
        <v>288.97735395213101</v>
      </c>
      <c r="AP533" s="290">
        <v>1.1463504450401099E-8</v>
      </c>
      <c r="AQ533" s="290">
        <v>2.30554742174145E-7</v>
      </c>
      <c r="AR533" s="290">
        <v>258.578096569747</v>
      </c>
      <c r="AS533" s="290">
        <v>0</v>
      </c>
      <c r="AT533" s="290">
        <v>0</v>
      </c>
      <c r="AU533" s="290">
        <v>6.6908750171429396</v>
      </c>
      <c r="AV533" s="290">
        <v>0</v>
      </c>
      <c r="AW533" s="290">
        <v>0</v>
      </c>
      <c r="AX533" s="290">
        <v>346.16457495379098</v>
      </c>
      <c r="AY533" s="290">
        <v>0</v>
      </c>
      <c r="AZ533" s="290">
        <v>0</v>
      </c>
      <c r="BA533" s="290">
        <v>0</v>
      </c>
      <c r="BB533" s="290">
        <v>5.6167006162053001E-2</v>
      </c>
      <c r="BC533" s="290">
        <v>8.4354985795401705E-4</v>
      </c>
      <c r="BD533" s="290">
        <v>6.8179724371706696</v>
      </c>
      <c r="BE533" s="290">
        <v>2.12139019248262E-3</v>
      </c>
      <c r="BF533" s="290">
        <v>0</v>
      </c>
      <c r="BG533" s="290">
        <v>0</v>
      </c>
      <c r="BH533" s="290">
        <v>0</v>
      </c>
      <c r="BI533" s="290">
        <v>0</v>
      </c>
      <c r="BJ533" s="290">
        <v>0</v>
      </c>
      <c r="BK533" s="78">
        <v>0</v>
      </c>
      <c r="BL533" s="41" t="s">
        <v>616</v>
      </c>
      <c r="BM533" s="45"/>
    </row>
    <row r="534" spans="1:65" x14ac:dyDescent="0.35">
      <c r="A534" s="45" t="str">
        <f>Database_Productkaarten[[#This Row],[Product]]&amp;", "&amp;Database_Productkaarten[[#This Row],[Levensfase]]</f>
        <v>WB asfaltbeton - PCR 2.0, A3</v>
      </c>
      <c r="B534" s="45" t="s">
        <v>1372</v>
      </c>
      <c r="C534" s="41" t="s">
        <v>443</v>
      </c>
      <c r="D534" s="41" t="s">
        <v>473</v>
      </c>
      <c r="E534" s="41" t="s">
        <v>91</v>
      </c>
      <c r="F534" s="41" t="s">
        <v>21</v>
      </c>
      <c r="G534" s="45"/>
      <c r="H534" s="45"/>
      <c r="I534" s="45"/>
      <c r="J534" s="45"/>
      <c r="K534" s="45"/>
      <c r="L534" s="45">
        <v>2.35</v>
      </c>
      <c r="M534" s="291">
        <v>1.7106098789630175</v>
      </c>
      <c r="N534" s="45">
        <v>55</v>
      </c>
      <c r="O534" s="290">
        <v>2.3368095373248199E-5</v>
      </c>
      <c r="P534" s="290">
        <v>0.20394912993626099</v>
      </c>
      <c r="Q534" s="290">
        <v>23.943873220652499</v>
      </c>
      <c r="R534" s="290">
        <v>2.7039173746115999E-6</v>
      </c>
      <c r="S534" s="290">
        <v>3.8575398381124298E-3</v>
      </c>
      <c r="T534" s="290">
        <v>2.3646364381881099E-2</v>
      </c>
      <c r="U534" s="290">
        <v>3.9985840453411001E-3</v>
      </c>
      <c r="V534" s="290">
        <v>3.6593237733467401</v>
      </c>
      <c r="W534" s="290">
        <v>2.6295228241793499E-2</v>
      </c>
      <c r="X534" s="290">
        <v>107.349813719294</v>
      </c>
      <c r="Y534" s="290">
        <v>2.5812154864726301E-2</v>
      </c>
      <c r="Z534" s="290">
        <v>24.300515085879599</v>
      </c>
      <c r="AA534" s="290">
        <v>24.243101056667498</v>
      </c>
      <c r="AB534" s="290">
        <v>5.5365606594678499E-2</v>
      </c>
      <c r="AC534" s="290">
        <v>2.0484226174138499E-3</v>
      </c>
      <c r="AD534" s="290">
        <v>3.04844941865756E-6</v>
      </c>
      <c r="AE534" s="290">
        <v>3.0362272251963002E-2</v>
      </c>
      <c r="AF534" s="290">
        <v>2.78110086717633E-4</v>
      </c>
      <c r="AG534" s="290">
        <v>8.4421751683242396E-3</v>
      </c>
      <c r="AH534" s="290">
        <v>9.55210422111719E-2</v>
      </c>
      <c r="AI534" s="290">
        <v>2.8915073590836698E-2</v>
      </c>
      <c r="AJ534" s="290">
        <v>2.3367774976517501E-5</v>
      </c>
      <c r="AK534" s="290">
        <v>375.42783770203101</v>
      </c>
      <c r="AL534" s="290">
        <v>0.56105257740730097</v>
      </c>
      <c r="AM534" s="290">
        <v>1.98641795259724E-7</v>
      </c>
      <c r="AN534" s="290">
        <v>0.27700344318974202</v>
      </c>
      <c r="AO534" s="290">
        <v>80.187562755709905</v>
      </c>
      <c r="AP534" s="290">
        <v>2.9851347990015499E-9</v>
      </c>
      <c r="AQ534" s="290">
        <v>5.2119023868804899E-8</v>
      </c>
      <c r="AR534" s="290">
        <v>17.025191436750099</v>
      </c>
      <c r="AS534" s="290">
        <v>0</v>
      </c>
      <c r="AT534" s="290">
        <v>0</v>
      </c>
      <c r="AU534" s="290">
        <v>7.1865340222117098</v>
      </c>
      <c r="AV534" s="290">
        <v>0</v>
      </c>
      <c r="AW534" s="290">
        <v>0</v>
      </c>
      <c r="AX534" s="290">
        <v>413.88612245425003</v>
      </c>
      <c r="AY534" s="290">
        <v>0</v>
      </c>
      <c r="AZ534" s="290">
        <v>0</v>
      </c>
      <c r="BA534" s="290">
        <v>0</v>
      </c>
      <c r="BB534" s="290">
        <v>4.1757405895311198E-2</v>
      </c>
      <c r="BC534" s="290">
        <v>4.5540869333339002E-4</v>
      </c>
      <c r="BD534" s="290">
        <v>0.28627006863365501</v>
      </c>
      <c r="BE534" s="290">
        <v>3.5200605752163798E-4</v>
      </c>
      <c r="BF534" s="290">
        <v>0</v>
      </c>
      <c r="BG534" s="290">
        <v>0</v>
      </c>
      <c r="BH534" s="290">
        <v>0</v>
      </c>
      <c r="BI534" s="290">
        <v>0</v>
      </c>
      <c r="BJ534" s="290">
        <v>0</v>
      </c>
      <c r="BK534" s="78">
        <v>0</v>
      </c>
      <c r="BL534" s="41" t="s">
        <v>616</v>
      </c>
      <c r="BM534" s="45"/>
    </row>
    <row r="535" spans="1:65" x14ac:dyDescent="0.35">
      <c r="A535" s="45" t="str">
        <f>Database_Productkaarten[[#This Row],[Product]]&amp;", "&amp;Database_Productkaarten[[#This Row],[Levensfase]]</f>
        <v>WB asfaltbeton - PCR 2.0, A4</v>
      </c>
      <c r="B535" s="45" t="s">
        <v>1372</v>
      </c>
      <c r="C535" s="41" t="s">
        <v>443</v>
      </c>
      <c r="D535" s="41" t="s">
        <v>473</v>
      </c>
      <c r="E535" s="41" t="s">
        <v>91</v>
      </c>
      <c r="F535" s="41" t="s">
        <v>22</v>
      </c>
      <c r="G535" s="45"/>
      <c r="H535" s="45"/>
      <c r="I535" s="45"/>
      <c r="J535" s="45"/>
      <c r="K535" s="45"/>
      <c r="L535" s="45">
        <v>2.35</v>
      </c>
      <c r="M535" s="291">
        <v>0.42281585688000006</v>
      </c>
      <c r="N535" s="45">
        <v>55</v>
      </c>
      <c r="O535" s="290">
        <v>7.7177375000000002E-5</v>
      </c>
      <c r="P535" s="290">
        <v>3.3461587500000001E-2</v>
      </c>
      <c r="Q535" s="290">
        <v>4.4922831875</v>
      </c>
      <c r="R535" s="290">
        <v>8.5103749999999996E-7</v>
      </c>
      <c r="S535" s="290">
        <v>2.7898312499999999E-3</v>
      </c>
      <c r="T535" s="290">
        <v>1.5360149999999999E-2</v>
      </c>
      <c r="U535" s="290">
        <v>2.8921387499999999E-3</v>
      </c>
      <c r="V535" s="290">
        <v>0.96938567499999995</v>
      </c>
      <c r="W535" s="290">
        <v>4.0754362500000002E-2</v>
      </c>
      <c r="X535" s="290">
        <v>109.65832875</v>
      </c>
      <c r="Y535" s="290">
        <v>5.4546374999999998E-3</v>
      </c>
      <c r="Z535" s="290">
        <v>4.5337142750000003</v>
      </c>
      <c r="AA535" s="290">
        <v>4.5303539749999997</v>
      </c>
      <c r="AB535" s="290">
        <v>2.2313774999999998E-3</v>
      </c>
      <c r="AC535" s="290">
        <v>1.1288975E-3</v>
      </c>
      <c r="AD535" s="290">
        <v>1.0695525E-6</v>
      </c>
      <c r="AE535" s="290">
        <v>1.9977000000000002E-2</v>
      </c>
      <c r="AF535" s="290">
        <v>3.1353599999999997E-5</v>
      </c>
      <c r="AG535" s="290">
        <v>6.24826375E-3</v>
      </c>
      <c r="AH535" s="290">
        <v>6.9127599999999997E-2</v>
      </c>
      <c r="AI535" s="290">
        <v>2.1661875000000001E-2</v>
      </c>
      <c r="AJ535" s="290">
        <v>7.717725E-5</v>
      </c>
      <c r="AK535" s="290">
        <v>70.271178750000004</v>
      </c>
      <c r="AL535" s="290">
        <v>0.23981325000000001</v>
      </c>
      <c r="AM535" s="290">
        <v>3.3039275000000001E-7</v>
      </c>
      <c r="AN535" s="290">
        <v>0.30257301250000002</v>
      </c>
      <c r="AO535" s="290">
        <v>51.312919999999998</v>
      </c>
      <c r="AP535" s="290">
        <v>1.3104862499999999E-9</v>
      </c>
      <c r="AQ535" s="290">
        <v>4.30946125E-8</v>
      </c>
      <c r="AR535" s="290">
        <v>80.863563749999997</v>
      </c>
      <c r="AS535" s="290">
        <v>0</v>
      </c>
      <c r="AT535" s="290">
        <v>0</v>
      </c>
      <c r="AU535" s="290">
        <v>0.71480762499999995</v>
      </c>
      <c r="AV535" s="290">
        <v>0</v>
      </c>
      <c r="AW535" s="290">
        <v>0</v>
      </c>
      <c r="AX535" s="290">
        <v>74.622870000000006</v>
      </c>
      <c r="AY535" s="290">
        <v>0</v>
      </c>
      <c r="AZ535" s="290">
        <v>0</v>
      </c>
      <c r="BA535" s="290">
        <v>0</v>
      </c>
      <c r="BB535" s="290">
        <v>7.5977249999999996E-3</v>
      </c>
      <c r="BC535" s="290">
        <v>1.7422062499999999E-4</v>
      </c>
      <c r="BD535" s="290">
        <v>6.1526456249999999</v>
      </c>
      <c r="BE535" s="290">
        <v>4.7877225000000001E-4</v>
      </c>
      <c r="BF535" s="290">
        <v>0</v>
      </c>
      <c r="BG535" s="290">
        <v>0</v>
      </c>
      <c r="BH535" s="290">
        <v>0</v>
      </c>
      <c r="BI535" s="290">
        <v>0</v>
      </c>
      <c r="BJ535" s="290">
        <v>0</v>
      </c>
      <c r="BK535" s="78">
        <v>0</v>
      </c>
      <c r="BL535" s="41" t="s">
        <v>616</v>
      </c>
      <c r="BM535" s="45"/>
    </row>
    <row r="536" spans="1:65" x14ac:dyDescent="0.35">
      <c r="A536" s="45" t="str">
        <f>Database_Productkaarten[[#This Row],[Product]]&amp;", "&amp;Database_Productkaarten[[#This Row],[Levensfase]]</f>
        <v>WB asfaltbeton - PCR 2.0, A5</v>
      </c>
      <c r="B536" s="45" t="s">
        <v>1372</v>
      </c>
      <c r="C536" s="41" t="s">
        <v>443</v>
      </c>
      <c r="D536" s="41" t="s">
        <v>473</v>
      </c>
      <c r="E536" s="41" t="s">
        <v>91</v>
      </c>
      <c r="F536" s="41" t="s">
        <v>23</v>
      </c>
      <c r="G536" s="45"/>
      <c r="H536" s="45"/>
      <c r="I536" s="45"/>
      <c r="J536" s="45"/>
      <c r="K536" s="45"/>
      <c r="L536" s="45">
        <v>2.35</v>
      </c>
      <c r="M536" s="291">
        <v>0.20892775788363147</v>
      </c>
      <c r="N536" s="45">
        <v>55</v>
      </c>
      <c r="O536" s="290">
        <v>2.52053385503491E-6</v>
      </c>
      <c r="P536" s="290">
        <v>1.0722300852191001E-2</v>
      </c>
      <c r="Q536" s="290">
        <v>2.1806286343541599</v>
      </c>
      <c r="R536" s="290">
        <v>2.8179055050305898E-7</v>
      </c>
      <c r="S536" s="290">
        <v>7.5572087597003098E-4</v>
      </c>
      <c r="T536" s="290">
        <v>6.7857710719034497E-3</v>
      </c>
      <c r="U536" s="290">
        <v>1.4838087034341799E-3</v>
      </c>
      <c r="V536" s="290">
        <v>0.58829495594473902</v>
      </c>
      <c r="W536" s="290">
        <v>8.3642063590304294E-3</v>
      </c>
      <c r="X536" s="290">
        <v>29.061930803190499</v>
      </c>
      <c r="Y536" s="290">
        <v>9.9052251771749103E-4</v>
      </c>
      <c r="Z536" s="290">
        <v>2.1948938660897999</v>
      </c>
      <c r="AA536" s="290">
        <v>2.1942639981727301</v>
      </c>
      <c r="AB536" s="290">
        <v>5.0168129909830496E-4</v>
      </c>
      <c r="AC536" s="290">
        <v>1.28186617970418E-4</v>
      </c>
      <c r="AD536" s="290">
        <v>3.5506722318440998E-7</v>
      </c>
      <c r="AE536" s="290">
        <v>9.2830906004344599E-3</v>
      </c>
      <c r="AF536" s="290">
        <v>5.9889520057721299E-6</v>
      </c>
      <c r="AG536" s="290">
        <v>3.7212549811088901E-3</v>
      </c>
      <c r="AH536" s="290">
        <v>4.08842513151043E-2</v>
      </c>
      <c r="AI536" s="290">
        <v>1.1058200011401001E-2</v>
      </c>
      <c r="AJ536" s="290">
        <v>2.5205140761041601E-6</v>
      </c>
      <c r="AK536" s="290">
        <v>22.623400365069401</v>
      </c>
      <c r="AL536" s="290">
        <v>3.0130674143176699E-2</v>
      </c>
      <c r="AM536" s="290">
        <v>3.6737492451707402E-8</v>
      </c>
      <c r="AN536" s="290">
        <v>9.7101735622394797E-2</v>
      </c>
      <c r="AO536" s="290">
        <v>13.5745914341014</v>
      </c>
      <c r="AP536" s="290">
        <v>4.7625118821209999E-10</v>
      </c>
      <c r="AQ536" s="290">
        <v>1.01356955548823E-8</v>
      </c>
      <c r="AR536" s="290">
        <v>2.88964621378457</v>
      </c>
      <c r="AS536" s="290">
        <v>0</v>
      </c>
      <c r="AT536" s="290">
        <v>0</v>
      </c>
      <c r="AU536" s="290">
        <v>0.124349448867524</v>
      </c>
      <c r="AV536" s="290">
        <v>0</v>
      </c>
      <c r="AW536" s="290">
        <v>0</v>
      </c>
      <c r="AX536" s="290">
        <v>24.025335647212199</v>
      </c>
      <c r="AY536" s="290">
        <v>0</v>
      </c>
      <c r="AZ536" s="290">
        <v>0</v>
      </c>
      <c r="BA536" s="290">
        <v>0</v>
      </c>
      <c r="BB536" s="290">
        <v>1.1694798144477199E-3</v>
      </c>
      <c r="BC536" s="290">
        <v>6.1609560452003097E-5</v>
      </c>
      <c r="BD536" s="290">
        <v>2.6769629501804601E-2</v>
      </c>
      <c r="BE536" s="290">
        <v>1.5723384660734001E-4</v>
      </c>
      <c r="BF536" s="290">
        <v>0</v>
      </c>
      <c r="BG536" s="290">
        <v>0</v>
      </c>
      <c r="BH536" s="290">
        <v>0</v>
      </c>
      <c r="BI536" s="290">
        <v>0</v>
      </c>
      <c r="BJ536" s="290">
        <v>0</v>
      </c>
      <c r="BK536" s="78">
        <v>0</v>
      </c>
      <c r="BL536" s="41" t="s">
        <v>616</v>
      </c>
      <c r="BM536" s="45"/>
    </row>
    <row r="537" spans="1:65" x14ac:dyDescent="0.35">
      <c r="A537" s="45" t="str">
        <f>Database_Productkaarten[[#This Row],[Product]]&amp;", "&amp;Database_Productkaarten[[#This Row],[Levensfase]]</f>
        <v>WB asfaltbeton - PCR 2.0, B1</v>
      </c>
      <c r="B537" s="45" t="s">
        <v>1372</v>
      </c>
      <c r="C537" s="41" t="s">
        <v>443</v>
      </c>
      <c r="D537" s="41" t="s">
        <v>473</v>
      </c>
      <c r="E537" s="41" t="s">
        <v>91</v>
      </c>
      <c r="F537" s="41" t="s">
        <v>24</v>
      </c>
      <c r="G537" s="45"/>
      <c r="H537" s="45"/>
      <c r="I537" s="45"/>
      <c r="J537" s="45"/>
      <c r="K537" s="45"/>
      <c r="L537" s="45">
        <v>2.35</v>
      </c>
      <c r="M537" s="291">
        <v>4.1994031882593215E-2</v>
      </c>
      <c r="N537" s="45">
        <v>55</v>
      </c>
      <c r="O537" s="290">
        <v>0</v>
      </c>
      <c r="P537" s="290">
        <v>0</v>
      </c>
      <c r="Q537" s="290">
        <v>0</v>
      </c>
      <c r="R537" s="290">
        <v>0</v>
      </c>
      <c r="S537" s="290">
        <v>0</v>
      </c>
      <c r="T537" s="290">
        <v>0</v>
      </c>
      <c r="U537" s="290">
        <v>0</v>
      </c>
      <c r="V537" s="290">
        <v>0.16678892317576399</v>
      </c>
      <c r="W537" s="290">
        <v>4.9358581560247402E-7</v>
      </c>
      <c r="X537" s="290">
        <v>269.49593053029798</v>
      </c>
      <c r="Y537" s="290">
        <v>5.5701560283646998E-4</v>
      </c>
      <c r="Z537" s="290">
        <v>0</v>
      </c>
      <c r="AA537" s="290">
        <v>0</v>
      </c>
      <c r="AB537" s="290">
        <v>0</v>
      </c>
      <c r="AC537" s="290">
        <v>0</v>
      </c>
      <c r="AD537" s="290">
        <v>0</v>
      </c>
      <c r="AE537" s="290">
        <v>0</v>
      </c>
      <c r="AF537" s="290">
        <v>0</v>
      </c>
      <c r="AG537" s="290">
        <v>0</v>
      </c>
      <c r="AH537" s="290">
        <v>0</v>
      </c>
      <c r="AI537" s="290">
        <v>0</v>
      </c>
      <c r="AJ537" s="290">
        <v>0</v>
      </c>
      <c r="AK537" s="290">
        <v>0</v>
      </c>
      <c r="AL537" s="290">
        <v>0</v>
      </c>
      <c r="AM537" s="290">
        <v>0</v>
      </c>
      <c r="AN537" s="290">
        <v>0</v>
      </c>
      <c r="AO537" s="290">
        <v>1.62682173972323E-4</v>
      </c>
      <c r="AP537" s="290">
        <v>3.1314622792884798E-11</v>
      </c>
      <c r="AQ537" s="290">
        <v>2.1106584295655098E-9</v>
      </c>
      <c r="AR537" s="290">
        <v>0</v>
      </c>
      <c r="AS537" s="290">
        <v>0</v>
      </c>
      <c r="AT537" s="290">
        <v>0</v>
      </c>
      <c r="AU537" s="290">
        <v>0</v>
      </c>
      <c r="AV537" s="290">
        <v>0</v>
      </c>
      <c r="AW537" s="290">
        <v>0</v>
      </c>
      <c r="AX537" s="290">
        <v>0</v>
      </c>
      <c r="AY537" s="290">
        <v>0</v>
      </c>
      <c r="AZ537" s="290">
        <v>0</v>
      </c>
      <c r="BA537" s="290">
        <v>0</v>
      </c>
      <c r="BB537" s="290">
        <v>0</v>
      </c>
      <c r="BC537" s="290">
        <v>0</v>
      </c>
      <c r="BD537" s="290">
        <v>0</v>
      </c>
      <c r="BE537" s="290">
        <v>0</v>
      </c>
      <c r="BF537" s="290">
        <v>0</v>
      </c>
      <c r="BG537" s="290">
        <v>0</v>
      </c>
      <c r="BH537" s="290">
        <v>0</v>
      </c>
      <c r="BI537" s="290">
        <v>0</v>
      </c>
      <c r="BJ537" s="290">
        <v>0</v>
      </c>
      <c r="BK537" s="78">
        <v>0</v>
      </c>
      <c r="BL537" s="41" t="s">
        <v>616</v>
      </c>
      <c r="BM537" s="45"/>
    </row>
    <row r="538" spans="1:65" x14ac:dyDescent="0.35">
      <c r="A538" s="45" t="str">
        <f>Database_Productkaarten[[#This Row],[Product]]&amp;", "&amp;Database_Productkaarten[[#This Row],[Levensfase]]</f>
        <v>WB asfaltbeton - PCR 2.0, B2</v>
      </c>
      <c r="B538" s="45" t="s">
        <v>1372</v>
      </c>
      <c r="C538" s="41" t="s">
        <v>443</v>
      </c>
      <c r="D538" s="41" t="s">
        <v>473</v>
      </c>
      <c r="E538" s="41" t="s">
        <v>91</v>
      </c>
      <c r="F538" s="41" t="s">
        <v>604</v>
      </c>
      <c r="G538" s="45"/>
      <c r="H538" s="45"/>
      <c r="I538" s="45"/>
      <c r="J538" s="45"/>
      <c r="K538" s="45"/>
      <c r="L538" s="45">
        <v>2.35</v>
      </c>
      <c r="M538" s="291">
        <v>0</v>
      </c>
      <c r="N538" s="45">
        <v>55</v>
      </c>
      <c r="O538" s="290">
        <v>0</v>
      </c>
      <c r="P538" s="290">
        <v>0</v>
      </c>
      <c r="Q538" s="290">
        <v>0</v>
      </c>
      <c r="R538" s="290">
        <v>0</v>
      </c>
      <c r="S538" s="290">
        <v>0</v>
      </c>
      <c r="T538" s="290">
        <v>0</v>
      </c>
      <c r="U538" s="290">
        <v>0</v>
      </c>
      <c r="V538" s="290">
        <v>0</v>
      </c>
      <c r="W538" s="290">
        <v>0</v>
      </c>
      <c r="X538" s="290">
        <v>0</v>
      </c>
      <c r="Y538" s="290">
        <v>0</v>
      </c>
      <c r="Z538" s="290">
        <v>0</v>
      </c>
      <c r="AA538" s="290">
        <v>0</v>
      </c>
      <c r="AB538" s="290">
        <v>0</v>
      </c>
      <c r="AC538" s="290">
        <v>0</v>
      </c>
      <c r="AD538" s="290">
        <v>0</v>
      </c>
      <c r="AE538" s="290">
        <v>0</v>
      </c>
      <c r="AF538" s="290">
        <v>0</v>
      </c>
      <c r="AG538" s="290">
        <v>0</v>
      </c>
      <c r="AH538" s="290">
        <v>0</v>
      </c>
      <c r="AI538" s="290">
        <v>0</v>
      </c>
      <c r="AJ538" s="290">
        <v>0</v>
      </c>
      <c r="AK538" s="290">
        <v>0</v>
      </c>
      <c r="AL538" s="290">
        <v>0</v>
      </c>
      <c r="AM538" s="290">
        <v>0</v>
      </c>
      <c r="AN538" s="290">
        <v>0</v>
      </c>
      <c r="AO538" s="290">
        <v>0</v>
      </c>
      <c r="AP538" s="290">
        <v>0</v>
      </c>
      <c r="AQ538" s="290">
        <v>0</v>
      </c>
      <c r="AR538" s="290">
        <v>0</v>
      </c>
      <c r="AS538" s="290">
        <v>0</v>
      </c>
      <c r="AT538" s="290">
        <v>0</v>
      </c>
      <c r="AU538" s="290">
        <v>0</v>
      </c>
      <c r="AV538" s="290">
        <v>0</v>
      </c>
      <c r="AW538" s="290">
        <v>0</v>
      </c>
      <c r="AX538" s="290">
        <v>0</v>
      </c>
      <c r="AY538" s="290">
        <v>0</v>
      </c>
      <c r="AZ538" s="290">
        <v>0</v>
      </c>
      <c r="BA538" s="290">
        <v>0</v>
      </c>
      <c r="BB538" s="290">
        <v>0</v>
      </c>
      <c r="BC538" s="290">
        <v>0</v>
      </c>
      <c r="BD538" s="290">
        <v>0</v>
      </c>
      <c r="BE538" s="290">
        <v>0</v>
      </c>
      <c r="BF538" s="290">
        <v>0</v>
      </c>
      <c r="BG538" s="290">
        <v>0</v>
      </c>
      <c r="BH538" s="290">
        <v>0</v>
      </c>
      <c r="BI538" s="290">
        <v>0</v>
      </c>
      <c r="BJ538" s="290">
        <v>0</v>
      </c>
      <c r="BK538" s="78">
        <v>0</v>
      </c>
      <c r="BL538" s="41" t="s">
        <v>616</v>
      </c>
      <c r="BM538" s="45"/>
    </row>
    <row r="539" spans="1:65" x14ac:dyDescent="0.35">
      <c r="A539" s="45" t="str">
        <f>Database_Productkaarten[[#This Row],[Product]]&amp;", "&amp;Database_Productkaarten[[#This Row],[Levensfase]]</f>
        <v>WB asfaltbeton - PCR 2.0, B3</v>
      </c>
      <c r="B539" s="45" t="s">
        <v>1372</v>
      </c>
      <c r="C539" s="41" t="s">
        <v>443</v>
      </c>
      <c r="D539" s="41" t="s">
        <v>473</v>
      </c>
      <c r="E539" s="41" t="s">
        <v>91</v>
      </c>
      <c r="F539" s="41" t="s">
        <v>602</v>
      </c>
      <c r="G539" s="45"/>
      <c r="H539" s="45"/>
      <c r="I539" s="45"/>
      <c r="J539" s="45"/>
      <c r="K539" s="45"/>
      <c r="L539" s="45">
        <v>2.35</v>
      </c>
      <c r="M539" s="291">
        <v>0</v>
      </c>
      <c r="N539" s="45">
        <v>55</v>
      </c>
      <c r="O539" s="290">
        <v>0</v>
      </c>
      <c r="P539" s="290">
        <v>0</v>
      </c>
      <c r="Q539" s="290">
        <v>0</v>
      </c>
      <c r="R539" s="290">
        <v>0</v>
      </c>
      <c r="S539" s="290">
        <v>0</v>
      </c>
      <c r="T539" s="290">
        <v>0</v>
      </c>
      <c r="U539" s="290">
        <v>0</v>
      </c>
      <c r="V539" s="290">
        <v>0</v>
      </c>
      <c r="W539" s="290">
        <v>0</v>
      </c>
      <c r="X539" s="290">
        <v>0</v>
      </c>
      <c r="Y539" s="290">
        <v>0</v>
      </c>
      <c r="Z539" s="290">
        <v>0</v>
      </c>
      <c r="AA539" s="290">
        <v>0</v>
      </c>
      <c r="AB539" s="290">
        <v>0</v>
      </c>
      <c r="AC539" s="290">
        <v>0</v>
      </c>
      <c r="AD539" s="290">
        <v>0</v>
      </c>
      <c r="AE539" s="290">
        <v>0</v>
      </c>
      <c r="AF539" s="290">
        <v>0</v>
      </c>
      <c r="AG539" s="290">
        <v>0</v>
      </c>
      <c r="AH539" s="290">
        <v>0</v>
      </c>
      <c r="AI539" s="290">
        <v>0</v>
      </c>
      <c r="AJ539" s="290">
        <v>0</v>
      </c>
      <c r="AK539" s="290">
        <v>0</v>
      </c>
      <c r="AL539" s="290">
        <v>0</v>
      </c>
      <c r="AM539" s="290">
        <v>0</v>
      </c>
      <c r="AN539" s="290">
        <v>0</v>
      </c>
      <c r="AO539" s="290">
        <v>0</v>
      </c>
      <c r="AP539" s="290">
        <v>0</v>
      </c>
      <c r="AQ539" s="290">
        <v>0</v>
      </c>
      <c r="AR539" s="290">
        <v>0</v>
      </c>
      <c r="AS539" s="290">
        <v>0</v>
      </c>
      <c r="AT539" s="290">
        <v>0</v>
      </c>
      <c r="AU539" s="290">
        <v>0</v>
      </c>
      <c r="AV539" s="290">
        <v>0</v>
      </c>
      <c r="AW539" s="290">
        <v>0</v>
      </c>
      <c r="AX539" s="290">
        <v>0</v>
      </c>
      <c r="AY539" s="290">
        <v>0</v>
      </c>
      <c r="AZ539" s="290">
        <v>0</v>
      </c>
      <c r="BA539" s="290">
        <v>0</v>
      </c>
      <c r="BB539" s="290">
        <v>0</v>
      </c>
      <c r="BC539" s="290">
        <v>0</v>
      </c>
      <c r="BD539" s="290">
        <v>0</v>
      </c>
      <c r="BE539" s="290">
        <v>0</v>
      </c>
      <c r="BF539" s="290">
        <v>0</v>
      </c>
      <c r="BG539" s="290">
        <v>0</v>
      </c>
      <c r="BH539" s="290">
        <v>0</v>
      </c>
      <c r="BI539" s="290">
        <v>0</v>
      </c>
      <c r="BJ539" s="290">
        <v>0</v>
      </c>
      <c r="BK539" s="78">
        <v>0</v>
      </c>
      <c r="BL539" s="41" t="s">
        <v>616</v>
      </c>
      <c r="BM539" s="45"/>
    </row>
    <row r="540" spans="1:65" x14ac:dyDescent="0.35">
      <c r="A540" s="45" t="str">
        <f>Database_Productkaarten[[#This Row],[Product]]&amp;", "&amp;Database_Productkaarten[[#This Row],[Levensfase]]</f>
        <v>WB asfaltbeton - PCR 2.0, B4</v>
      </c>
      <c r="B540" s="45" t="s">
        <v>1372</v>
      </c>
      <c r="C540" s="41" t="s">
        <v>443</v>
      </c>
      <c r="D540" s="41" t="s">
        <v>473</v>
      </c>
      <c r="E540" s="41" t="s">
        <v>91</v>
      </c>
      <c r="F540" s="41" t="s">
        <v>50</v>
      </c>
      <c r="G540" s="45"/>
      <c r="H540" s="45"/>
      <c r="I540" s="45"/>
      <c r="J540" s="45"/>
      <c r="K540" s="45"/>
      <c r="L540" s="45">
        <v>2.35</v>
      </c>
      <c r="M540" s="291">
        <v>0</v>
      </c>
      <c r="N540" s="45">
        <v>55</v>
      </c>
      <c r="O540" s="290">
        <v>0</v>
      </c>
      <c r="P540" s="290">
        <v>0</v>
      </c>
      <c r="Q540" s="290">
        <v>0</v>
      </c>
      <c r="R540" s="290">
        <v>0</v>
      </c>
      <c r="S540" s="290">
        <v>0</v>
      </c>
      <c r="T540" s="290">
        <v>0</v>
      </c>
      <c r="U540" s="290">
        <v>0</v>
      </c>
      <c r="V540" s="290">
        <v>0</v>
      </c>
      <c r="W540" s="290">
        <v>0</v>
      </c>
      <c r="X540" s="290">
        <v>0</v>
      </c>
      <c r="Y540" s="290">
        <v>0</v>
      </c>
      <c r="Z540" s="290">
        <v>0</v>
      </c>
      <c r="AA540" s="290">
        <v>0</v>
      </c>
      <c r="AB540" s="290">
        <v>0</v>
      </c>
      <c r="AC540" s="290">
        <v>0</v>
      </c>
      <c r="AD540" s="290">
        <v>0</v>
      </c>
      <c r="AE540" s="290">
        <v>0</v>
      </c>
      <c r="AF540" s="290">
        <v>0</v>
      </c>
      <c r="AG540" s="290">
        <v>0</v>
      </c>
      <c r="AH540" s="290">
        <v>0</v>
      </c>
      <c r="AI540" s="290">
        <v>0</v>
      </c>
      <c r="AJ540" s="290">
        <v>0</v>
      </c>
      <c r="AK540" s="290">
        <v>0</v>
      </c>
      <c r="AL540" s="290">
        <v>0</v>
      </c>
      <c r="AM540" s="290">
        <v>0</v>
      </c>
      <c r="AN540" s="290">
        <v>0</v>
      </c>
      <c r="AO540" s="290">
        <v>0</v>
      </c>
      <c r="AP540" s="290">
        <v>0</v>
      </c>
      <c r="AQ540" s="290">
        <v>0</v>
      </c>
      <c r="AR540" s="290">
        <v>0</v>
      </c>
      <c r="AS540" s="290">
        <v>0</v>
      </c>
      <c r="AT540" s="290">
        <v>0</v>
      </c>
      <c r="AU540" s="290">
        <v>0</v>
      </c>
      <c r="AV540" s="290">
        <v>0</v>
      </c>
      <c r="AW540" s="290">
        <v>0</v>
      </c>
      <c r="AX540" s="290">
        <v>0</v>
      </c>
      <c r="AY540" s="290">
        <v>0</v>
      </c>
      <c r="AZ540" s="290">
        <v>0</v>
      </c>
      <c r="BA540" s="290">
        <v>0</v>
      </c>
      <c r="BB540" s="290">
        <v>0</v>
      </c>
      <c r="BC540" s="290">
        <v>0</v>
      </c>
      <c r="BD540" s="290">
        <v>0</v>
      </c>
      <c r="BE540" s="290">
        <v>0</v>
      </c>
      <c r="BF540" s="290">
        <v>0</v>
      </c>
      <c r="BG540" s="290">
        <v>0</v>
      </c>
      <c r="BH540" s="290">
        <v>0</v>
      </c>
      <c r="BI540" s="290">
        <v>0</v>
      </c>
      <c r="BJ540" s="290">
        <v>0</v>
      </c>
      <c r="BK540" s="78">
        <v>0</v>
      </c>
      <c r="BL540" s="41" t="s">
        <v>616</v>
      </c>
      <c r="BM540" s="45"/>
    </row>
    <row r="541" spans="1:65" x14ac:dyDescent="0.35">
      <c r="A541" s="45" t="str">
        <f>Database_Productkaarten[[#This Row],[Product]]&amp;", "&amp;Database_Productkaarten[[#This Row],[Levensfase]]</f>
        <v>WB asfaltbeton - PCR 2.0, B5</v>
      </c>
      <c r="B541" s="45" t="s">
        <v>1372</v>
      </c>
      <c r="C541" s="41" t="s">
        <v>443</v>
      </c>
      <c r="D541" s="41" t="s">
        <v>473</v>
      </c>
      <c r="E541" s="41" t="s">
        <v>91</v>
      </c>
      <c r="F541" s="41" t="s">
        <v>1358</v>
      </c>
      <c r="G541" s="45"/>
      <c r="H541" s="45"/>
      <c r="I541" s="45"/>
      <c r="J541" s="45"/>
      <c r="K541" s="45"/>
      <c r="L541" s="45">
        <v>2.35</v>
      </c>
      <c r="M541" s="291">
        <v>0</v>
      </c>
      <c r="N541" s="45">
        <v>55</v>
      </c>
      <c r="O541" s="290">
        <v>0</v>
      </c>
      <c r="P541" s="290">
        <v>0</v>
      </c>
      <c r="Q541" s="290">
        <v>0</v>
      </c>
      <c r="R541" s="290">
        <v>0</v>
      </c>
      <c r="S541" s="290">
        <v>0</v>
      </c>
      <c r="T541" s="290">
        <v>0</v>
      </c>
      <c r="U541" s="290">
        <v>0</v>
      </c>
      <c r="V541" s="290">
        <v>0</v>
      </c>
      <c r="W541" s="290">
        <v>0</v>
      </c>
      <c r="X541" s="290">
        <v>0</v>
      </c>
      <c r="Y541" s="290">
        <v>0</v>
      </c>
      <c r="Z541" s="290">
        <v>0</v>
      </c>
      <c r="AA541" s="290">
        <v>0</v>
      </c>
      <c r="AB541" s="290">
        <v>0</v>
      </c>
      <c r="AC541" s="290">
        <v>0</v>
      </c>
      <c r="AD541" s="290">
        <v>0</v>
      </c>
      <c r="AE541" s="290">
        <v>0</v>
      </c>
      <c r="AF541" s="290">
        <v>0</v>
      </c>
      <c r="AG541" s="290">
        <v>0</v>
      </c>
      <c r="AH541" s="290">
        <v>0</v>
      </c>
      <c r="AI541" s="290">
        <v>0</v>
      </c>
      <c r="AJ541" s="290">
        <v>0</v>
      </c>
      <c r="AK541" s="290">
        <v>0</v>
      </c>
      <c r="AL541" s="290">
        <v>0</v>
      </c>
      <c r="AM541" s="290">
        <v>0</v>
      </c>
      <c r="AN541" s="290">
        <v>0</v>
      </c>
      <c r="AO541" s="290">
        <v>0</v>
      </c>
      <c r="AP541" s="290">
        <v>0</v>
      </c>
      <c r="AQ541" s="290">
        <v>0</v>
      </c>
      <c r="AR541" s="290">
        <v>0</v>
      </c>
      <c r="AS541" s="290">
        <v>0</v>
      </c>
      <c r="AT541" s="290">
        <v>0</v>
      </c>
      <c r="AU541" s="290">
        <v>0</v>
      </c>
      <c r="AV541" s="290">
        <v>0</v>
      </c>
      <c r="AW541" s="290">
        <v>0</v>
      </c>
      <c r="AX541" s="290">
        <v>0</v>
      </c>
      <c r="AY541" s="290">
        <v>0</v>
      </c>
      <c r="AZ541" s="290">
        <v>0</v>
      </c>
      <c r="BA541" s="290">
        <v>0</v>
      </c>
      <c r="BB541" s="290">
        <v>0</v>
      </c>
      <c r="BC541" s="290">
        <v>0</v>
      </c>
      <c r="BD541" s="290">
        <v>0</v>
      </c>
      <c r="BE541" s="290">
        <v>0</v>
      </c>
      <c r="BF541" s="290">
        <v>0</v>
      </c>
      <c r="BG541" s="290">
        <v>0</v>
      </c>
      <c r="BH541" s="290">
        <v>0</v>
      </c>
      <c r="BI541" s="290">
        <v>0</v>
      </c>
      <c r="BJ541" s="290">
        <v>0</v>
      </c>
      <c r="BK541" s="78">
        <v>0</v>
      </c>
      <c r="BL541" s="41" t="s">
        <v>616</v>
      </c>
      <c r="BM541" s="45"/>
    </row>
    <row r="542" spans="1:65" x14ac:dyDescent="0.35">
      <c r="A542" s="45" t="str">
        <f>Database_Productkaarten[[#This Row],[Product]]&amp;", "&amp;Database_Productkaarten[[#This Row],[Levensfase]]</f>
        <v>WB asfaltbeton - PCR 2.0, C1</v>
      </c>
      <c r="B542" s="45" t="s">
        <v>1372</v>
      </c>
      <c r="C542" s="41" t="s">
        <v>443</v>
      </c>
      <c r="D542" s="41" t="s">
        <v>473</v>
      </c>
      <c r="E542" s="41" t="s">
        <v>91</v>
      </c>
      <c r="F542" s="41" t="s">
        <v>25</v>
      </c>
      <c r="G542" s="45"/>
      <c r="H542" s="45"/>
      <c r="I542" s="45"/>
      <c r="J542" s="45"/>
      <c r="K542" s="45"/>
      <c r="L542" s="45">
        <v>2.35</v>
      </c>
      <c r="M542" s="291">
        <v>8.3571103153452633E-2</v>
      </c>
      <c r="N542" s="45">
        <v>55</v>
      </c>
      <c r="O542" s="290">
        <v>1.0082135420139601E-6</v>
      </c>
      <c r="P542" s="290">
        <v>4.2889203408764103E-3</v>
      </c>
      <c r="Q542" s="290">
        <v>0.87225145374166402</v>
      </c>
      <c r="R542" s="290">
        <v>1.12716220201224E-7</v>
      </c>
      <c r="S542" s="290">
        <v>3.0228835038801201E-4</v>
      </c>
      <c r="T542" s="290">
        <v>2.71430842876138E-3</v>
      </c>
      <c r="U542" s="290">
        <v>5.9352348137367301E-4</v>
      </c>
      <c r="V542" s="290">
        <v>0.235317982377896</v>
      </c>
      <c r="W542" s="290">
        <v>3.34568254361219E-3</v>
      </c>
      <c r="X542" s="290">
        <v>11.6247723212762</v>
      </c>
      <c r="Y542" s="290">
        <v>3.9620900708699599E-4</v>
      </c>
      <c r="Z542" s="290">
        <v>0.87795754643591795</v>
      </c>
      <c r="AA542" s="290">
        <v>0.87770559926909097</v>
      </c>
      <c r="AB542" s="290">
        <v>2.0067251963932199E-4</v>
      </c>
      <c r="AC542" s="290">
        <v>5.1274647188167198E-5</v>
      </c>
      <c r="AD542" s="290">
        <v>1.4202688927376401E-7</v>
      </c>
      <c r="AE542" s="290">
        <v>3.7132362401737801E-3</v>
      </c>
      <c r="AF542" s="290">
        <v>2.3955808023088498E-6</v>
      </c>
      <c r="AG542" s="290">
        <v>1.48850199244356E-3</v>
      </c>
      <c r="AH542" s="290">
        <v>1.6353700526041699E-2</v>
      </c>
      <c r="AI542" s="290">
        <v>4.4232800045604197E-3</v>
      </c>
      <c r="AJ542" s="290">
        <v>1.0082056304416699E-6</v>
      </c>
      <c r="AK542" s="290">
        <v>9.0493601460277606</v>
      </c>
      <c r="AL542" s="290">
        <v>1.2052269657270701E-2</v>
      </c>
      <c r="AM542" s="290">
        <v>1.4694996980682999E-8</v>
      </c>
      <c r="AN542" s="290">
        <v>3.8840694248957898E-2</v>
      </c>
      <c r="AO542" s="290">
        <v>5.42983657364059</v>
      </c>
      <c r="AP542" s="290">
        <v>1.9050047528483999E-10</v>
      </c>
      <c r="AQ542" s="290">
        <v>4.0542782219529099E-9</v>
      </c>
      <c r="AR542" s="290">
        <v>1.1558584855138301</v>
      </c>
      <c r="AS542" s="290">
        <v>0</v>
      </c>
      <c r="AT542" s="290">
        <v>0</v>
      </c>
      <c r="AU542" s="290">
        <v>4.9739779547009602E-2</v>
      </c>
      <c r="AV542" s="290">
        <v>0</v>
      </c>
      <c r="AW542" s="290">
        <v>0</v>
      </c>
      <c r="AX542" s="290">
        <v>9.6101342588848997</v>
      </c>
      <c r="AY542" s="290">
        <v>0</v>
      </c>
      <c r="AZ542" s="290">
        <v>0</v>
      </c>
      <c r="BA542" s="290">
        <v>0</v>
      </c>
      <c r="BB542" s="290">
        <v>4.67791925779088E-4</v>
      </c>
      <c r="BC542" s="290">
        <v>2.4643824180801299E-5</v>
      </c>
      <c r="BD542" s="290">
        <v>1.0707851800721899E-2</v>
      </c>
      <c r="BE542" s="290">
        <v>6.2893538642935995E-5</v>
      </c>
      <c r="BF542" s="290">
        <v>0</v>
      </c>
      <c r="BG542" s="290">
        <v>0</v>
      </c>
      <c r="BH542" s="290">
        <v>0</v>
      </c>
      <c r="BI542" s="290">
        <v>0</v>
      </c>
      <c r="BJ542" s="290">
        <v>0</v>
      </c>
      <c r="BK542" s="78">
        <v>0</v>
      </c>
      <c r="BL542" s="41" t="s">
        <v>616</v>
      </c>
      <c r="BM542" s="45"/>
    </row>
    <row r="543" spans="1:65" x14ac:dyDescent="0.35">
      <c r="A543" s="45" t="str">
        <f>Database_Productkaarten[[#This Row],[Product]]&amp;", "&amp;Database_Productkaarten[[#This Row],[Levensfase]]</f>
        <v>WB asfaltbeton - PCR 2.0, C2</v>
      </c>
      <c r="B543" s="45" t="s">
        <v>1372</v>
      </c>
      <c r="C543" s="41" t="s">
        <v>443</v>
      </c>
      <c r="D543" s="41" t="s">
        <v>473</v>
      </c>
      <c r="E543" s="41" t="s">
        <v>91</v>
      </c>
      <c r="F543" s="41" t="s">
        <v>26</v>
      </c>
      <c r="G543" s="45"/>
      <c r="H543" s="45"/>
      <c r="I543" s="45"/>
      <c r="J543" s="45"/>
      <c r="K543" s="45"/>
      <c r="L543" s="45">
        <v>2.35</v>
      </c>
      <c r="M543" s="291">
        <v>0.35801078312874995</v>
      </c>
      <c r="N543" s="45">
        <v>55</v>
      </c>
      <c r="O543" s="290">
        <v>8.1301624999999996E-5</v>
      </c>
      <c r="P543" s="290">
        <v>2.8204312499999998E-2</v>
      </c>
      <c r="Q543" s="290">
        <v>3.6853721374999999</v>
      </c>
      <c r="R543" s="290">
        <v>7.0324562500000001E-7</v>
      </c>
      <c r="S543" s="290">
        <v>2.6647749999999999E-3</v>
      </c>
      <c r="T543" s="290">
        <v>1.116025E-2</v>
      </c>
      <c r="U543" s="290">
        <v>1.87016375E-3</v>
      </c>
      <c r="V543" s="290">
        <v>1.0029557</v>
      </c>
      <c r="W543" s="290">
        <v>3.9476962499999997E-2</v>
      </c>
      <c r="X543" s="290">
        <v>104.371675</v>
      </c>
      <c r="Y543" s="290">
        <v>8.4311249999999994E-3</v>
      </c>
      <c r="Z543" s="290">
        <v>3.7331890125</v>
      </c>
      <c r="AA543" s="290">
        <v>3.7164208875</v>
      </c>
      <c r="AB543" s="290">
        <v>1.532341125E-2</v>
      </c>
      <c r="AC543" s="290">
        <v>1.44472E-3</v>
      </c>
      <c r="AD543" s="290">
        <v>8.79587125E-7</v>
      </c>
      <c r="AE543" s="290">
        <v>1.4056875E-2</v>
      </c>
      <c r="AF543" s="290">
        <v>3.9000600000000001E-5</v>
      </c>
      <c r="AG543" s="290">
        <v>3.2542037499999998E-3</v>
      </c>
      <c r="AH543" s="290">
        <v>3.7907725000000003E-2</v>
      </c>
      <c r="AI543" s="290">
        <v>1.36244625E-2</v>
      </c>
      <c r="AJ543" s="290">
        <v>8.1301250000000004E-5</v>
      </c>
      <c r="AK543" s="290">
        <v>58.905272875000001</v>
      </c>
      <c r="AL543" s="290">
        <v>0.3217441875</v>
      </c>
      <c r="AM543" s="290">
        <v>3.2144174999999999E-7</v>
      </c>
      <c r="AN543" s="290">
        <v>0.25122056250000002</v>
      </c>
      <c r="AO543" s="290">
        <v>56.998236249999998</v>
      </c>
      <c r="AP543" s="290">
        <v>1.5226337500000001E-9</v>
      </c>
      <c r="AQ543" s="290">
        <v>4.867285E-8</v>
      </c>
      <c r="AR543" s="290">
        <v>110.955825</v>
      </c>
      <c r="AS543" s="290">
        <v>9.0831365000000002</v>
      </c>
      <c r="AT543" s="290">
        <v>0</v>
      </c>
      <c r="AU543" s="290">
        <v>9.7931922999999994</v>
      </c>
      <c r="AV543" s="290">
        <v>0.79580531249999997</v>
      </c>
      <c r="AW543" s="290">
        <v>1.1178862500000001E-3</v>
      </c>
      <c r="AX543" s="290">
        <v>62.568930999999999</v>
      </c>
      <c r="AY543" s="290">
        <v>0</v>
      </c>
      <c r="AZ543" s="290">
        <v>0</v>
      </c>
      <c r="BA543" s="290">
        <v>0</v>
      </c>
      <c r="BB543" s="290">
        <v>9.8353875000000007E-3</v>
      </c>
      <c r="BC543" s="290">
        <v>1.7316162499999999E-4</v>
      </c>
      <c r="BD543" s="290">
        <v>6.2594438749999997</v>
      </c>
      <c r="BE543" s="290">
        <v>3.9263137500000002E-4</v>
      </c>
      <c r="BF543" s="290">
        <v>0</v>
      </c>
      <c r="BG543" s="290">
        <v>0</v>
      </c>
      <c r="BH543" s="290">
        <v>0</v>
      </c>
      <c r="BI543" s="290">
        <v>0</v>
      </c>
      <c r="BJ543" s="290">
        <v>0</v>
      </c>
      <c r="BK543" s="78">
        <v>0</v>
      </c>
      <c r="BL543" s="41" t="s">
        <v>616</v>
      </c>
      <c r="BM543" s="45"/>
    </row>
    <row r="544" spans="1:65" x14ac:dyDescent="0.35">
      <c r="A544" s="45" t="str">
        <f>Database_Productkaarten[[#This Row],[Product]]&amp;", "&amp;Database_Productkaarten[[#This Row],[Levensfase]]</f>
        <v>WB asfaltbeton - PCR 2.0, C3</v>
      </c>
      <c r="B544" s="45" t="s">
        <v>1372</v>
      </c>
      <c r="C544" s="41" t="s">
        <v>443</v>
      </c>
      <c r="D544" s="41" t="s">
        <v>473</v>
      </c>
      <c r="E544" s="41" t="s">
        <v>91</v>
      </c>
      <c r="F544" s="41" t="s">
        <v>27</v>
      </c>
      <c r="G544" s="45"/>
      <c r="H544" s="45"/>
      <c r="I544" s="45"/>
      <c r="J544" s="45"/>
      <c r="K544" s="45"/>
      <c r="L544" s="45">
        <v>2.35</v>
      </c>
      <c r="M544" s="291">
        <v>0</v>
      </c>
      <c r="N544" s="45">
        <v>55</v>
      </c>
      <c r="O544" s="290">
        <v>0</v>
      </c>
      <c r="P544" s="290">
        <v>0</v>
      </c>
      <c r="Q544" s="290">
        <v>0</v>
      </c>
      <c r="R544" s="290">
        <v>0</v>
      </c>
      <c r="S544" s="290">
        <v>0</v>
      </c>
      <c r="T544" s="290">
        <v>0</v>
      </c>
      <c r="U544" s="290">
        <v>0</v>
      </c>
      <c r="V544" s="290">
        <v>0</v>
      </c>
      <c r="W544" s="290">
        <v>0</v>
      </c>
      <c r="X544" s="290">
        <v>0</v>
      </c>
      <c r="Y544" s="290">
        <v>0</v>
      </c>
      <c r="Z544" s="290">
        <v>0</v>
      </c>
      <c r="AA544" s="290">
        <v>0</v>
      </c>
      <c r="AB544" s="290">
        <v>0</v>
      </c>
      <c r="AC544" s="290">
        <v>0</v>
      </c>
      <c r="AD544" s="290">
        <v>0</v>
      </c>
      <c r="AE544" s="290">
        <v>0</v>
      </c>
      <c r="AF544" s="290">
        <v>0</v>
      </c>
      <c r="AG544" s="290">
        <v>0</v>
      </c>
      <c r="AH544" s="290">
        <v>0</v>
      </c>
      <c r="AI544" s="290">
        <v>0</v>
      </c>
      <c r="AJ544" s="290">
        <v>0</v>
      </c>
      <c r="AK544" s="290">
        <v>0</v>
      </c>
      <c r="AL544" s="290">
        <v>0</v>
      </c>
      <c r="AM544" s="290">
        <v>0</v>
      </c>
      <c r="AN544" s="290">
        <v>0</v>
      </c>
      <c r="AO544" s="290">
        <v>0</v>
      </c>
      <c r="AP544" s="290">
        <v>0</v>
      </c>
      <c r="AQ544" s="290">
        <v>0</v>
      </c>
      <c r="AR544" s="290">
        <v>0</v>
      </c>
      <c r="AS544" s="290">
        <v>0</v>
      </c>
      <c r="AT544" s="290">
        <v>0</v>
      </c>
      <c r="AU544" s="290">
        <v>0</v>
      </c>
      <c r="AV544" s="290">
        <v>0</v>
      </c>
      <c r="AW544" s="290">
        <v>0</v>
      </c>
      <c r="AX544" s="290">
        <v>0</v>
      </c>
      <c r="AY544" s="290">
        <v>0</v>
      </c>
      <c r="AZ544" s="290">
        <v>0</v>
      </c>
      <c r="BA544" s="290">
        <v>0</v>
      </c>
      <c r="BB544" s="290">
        <v>0</v>
      </c>
      <c r="BC544" s="290">
        <v>0</v>
      </c>
      <c r="BD544" s="290">
        <v>0</v>
      </c>
      <c r="BE544" s="290">
        <v>0</v>
      </c>
      <c r="BF544" s="290">
        <v>0</v>
      </c>
      <c r="BG544" s="290">
        <v>0</v>
      </c>
      <c r="BH544" s="290">
        <v>0</v>
      </c>
      <c r="BI544" s="290">
        <v>0</v>
      </c>
      <c r="BJ544" s="290">
        <v>0</v>
      </c>
      <c r="BK544" s="78">
        <v>0</v>
      </c>
      <c r="BL544" s="41" t="s">
        <v>616</v>
      </c>
      <c r="BM544" s="45"/>
    </row>
    <row r="545" spans="1:65" x14ac:dyDescent="0.35">
      <c r="A545" s="45" t="str">
        <f>Database_Productkaarten[[#This Row],[Product]]&amp;", "&amp;Database_Productkaarten[[#This Row],[Levensfase]]</f>
        <v>WB asfaltbeton - PCR 2.0, C4</v>
      </c>
      <c r="B545" s="45" t="s">
        <v>1372</v>
      </c>
      <c r="C545" s="41" t="s">
        <v>443</v>
      </c>
      <c r="D545" s="41" t="s">
        <v>473</v>
      </c>
      <c r="E545" s="41" t="s">
        <v>91</v>
      </c>
      <c r="F545" s="41" t="s">
        <v>28</v>
      </c>
      <c r="G545" s="45"/>
      <c r="H545" s="45"/>
      <c r="I545" s="45"/>
      <c r="J545" s="45"/>
      <c r="K545" s="45"/>
      <c r="L545" s="45">
        <v>2.35</v>
      </c>
      <c r="M545" s="291">
        <v>0.7296141746500171</v>
      </c>
      <c r="N545" s="45">
        <v>55</v>
      </c>
      <c r="O545" s="290">
        <v>4.8191034131105399E-5</v>
      </c>
      <c r="P545" s="290">
        <v>7.0392419153822203E-2</v>
      </c>
      <c r="Q545" s="290">
        <v>5.1682147630547304</v>
      </c>
      <c r="R545" s="290">
        <v>1.72133808732801E-6</v>
      </c>
      <c r="S545" s="290">
        <v>5.50516721002073E-3</v>
      </c>
      <c r="T545" s="290">
        <v>3.7795111552073699E-2</v>
      </c>
      <c r="U545" s="290">
        <v>7.2906223931785696E-3</v>
      </c>
      <c r="V545" s="290">
        <v>2.33599012231016</v>
      </c>
      <c r="W545" s="290">
        <v>5.5438446349023597E-2</v>
      </c>
      <c r="X545" s="290">
        <v>198.2062629724</v>
      </c>
      <c r="Y545" s="290">
        <v>5.8670977003276803E-3</v>
      </c>
      <c r="Z545" s="290">
        <v>5.2774322520106196</v>
      </c>
      <c r="AA545" s="290">
        <v>5.2655222871368297</v>
      </c>
      <c r="AB545" s="290">
        <v>1.04420704841626E-2</v>
      </c>
      <c r="AC545" s="290">
        <v>1.4678943896201801E-3</v>
      </c>
      <c r="AD545" s="290">
        <v>2.1684935582940401E-6</v>
      </c>
      <c r="AE545" s="290">
        <v>4.9990692053720302E-2</v>
      </c>
      <c r="AF545" s="290">
        <v>5.9023121381438599E-5</v>
      </c>
      <c r="AG545" s="290">
        <v>1.71925473667464E-2</v>
      </c>
      <c r="AH545" s="290">
        <v>0.189559719597925</v>
      </c>
      <c r="AI545" s="290">
        <v>5.5061349845082097E-2</v>
      </c>
      <c r="AJ545" s="290">
        <v>4.8190634932919702E-5</v>
      </c>
      <c r="AK545" s="290">
        <v>147.217235291848</v>
      </c>
      <c r="AL545" s="290">
        <v>6.5991208231461096</v>
      </c>
      <c r="AM545" s="290">
        <v>9.6986339733199702E-7</v>
      </c>
      <c r="AN545" s="290">
        <v>0.60391960399846001</v>
      </c>
      <c r="AO545" s="290">
        <v>95.499347823959994</v>
      </c>
      <c r="AP545" s="290">
        <v>2.20757521305483E-9</v>
      </c>
      <c r="AQ545" s="290">
        <v>6.7894331496460696E-8</v>
      </c>
      <c r="AR545" s="290">
        <v>308.74374267222203</v>
      </c>
      <c r="AS545" s="290">
        <v>0</v>
      </c>
      <c r="AT545" s="290">
        <v>0</v>
      </c>
      <c r="AU545" s="290">
        <v>1.1902980485677299</v>
      </c>
      <c r="AV545" s="290">
        <v>0</v>
      </c>
      <c r="AW545" s="290">
        <v>0</v>
      </c>
      <c r="AX545" s="290">
        <v>156.37620338061299</v>
      </c>
      <c r="AY545" s="290">
        <v>0</v>
      </c>
      <c r="AZ545" s="290">
        <v>0</v>
      </c>
      <c r="BA545" s="290">
        <v>0</v>
      </c>
      <c r="BB545" s="290">
        <v>0.15723153067207801</v>
      </c>
      <c r="BC545" s="290">
        <v>2.1998950042333799E-4</v>
      </c>
      <c r="BD545" s="290">
        <v>999.69461551998995</v>
      </c>
      <c r="BE545" s="290">
        <v>9.6680517495675801E-4</v>
      </c>
      <c r="BF545" s="290">
        <v>0</v>
      </c>
      <c r="BG545" s="290">
        <v>0</v>
      </c>
      <c r="BH545" s="290">
        <v>0</v>
      </c>
      <c r="BI545" s="290">
        <v>0</v>
      </c>
      <c r="BJ545" s="290">
        <v>0</v>
      </c>
      <c r="BK545" s="78">
        <v>0</v>
      </c>
      <c r="BL545" s="41" t="s">
        <v>616</v>
      </c>
      <c r="BM545" s="45"/>
    </row>
    <row r="546" spans="1:65" x14ac:dyDescent="0.35">
      <c r="A546" s="45" t="str">
        <f>Database_Productkaarten[[#This Row],[Product]]&amp;", "&amp;Database_Productkaarten[[#This Row],[Levensfase]]</f>
        <v>WB asfaltbeton - PCR 2.0, D1</v>
      </c>
      <c r="B546" s="45" t="s">
        <v>1372</v>
      </c>
      <c r="C546" s="41" t="s">
        <v>443</v>
      </c>
      <c r="D546" s="41" t="s">
        <v>473</v>
      </c>
      <c r="E546" s="41" t="s">
        <v>91</v>
      </c>
      <c r="F546" s="41" t="s">
        <v>51</v>
      </c>
      <c r="G546" s="45"/>
      <c r="H546" s="45"/>
      <c r="I546" s="45"/>
      <c r="J546" s="45"/>
      <c r="K546" s="45"/>
      <c r="L546" s="45">
        <v>2.35</v>
      </c>
      <c r="M546" s="291">
        <v>0</v>
      </c>
      <c r="N546" s="45">
        <v>55</v>
      </c>
      <c r="O546" s="290">
        <v>0</v>
      </c>
      <c r="P546" s="290">
        <v>0</v>
      </c>
      <c r="Q546" s="290">
        <v>0</v>
      </c>
      <c r="R546" s="290">
        <v>0</v>
      </c>
      <c r="S546" s="290">
        <v>0</v>
      </c>
      <c r="T546" s="290">
        <v>0</v>
      </c>
      <c r="U546" s="290">
        <v>0</v>
      </c>
      <c r="V546" s="290">
        <v>0</v>
      </c>
      <c r="W546" s="290">
        <v>0</v>
      </c>
      <c r="X546" s="290">
        <v>0</v>
      </c>
      <c r="Y546" s="290">
        <v>0</v>
      </c>
      <c r="Z546" s="290">
        <v>0</v>
      </c>
      <c r="AA546" s="290">
        <v>0</v>
      </c>
      <c r="AB546" s="290">
        <v>0</v>
      </c>
      <c r="AC546" s="290">
        <v>0</v>
      </c>
      <c r="AD546" s="290">
        <v>0</v>
      </c>
      <c r="AE546" s="290">
        <v>0</v>
      </c>
      <c r="AF546" s="290">
        <v>0</v>
      </c>
      <c r="AG546" s="290">
        <v>0</v>
      </c>
      <c r="AH546" s="290">
        <v>0</v>
      </c>
      <c r="AI546" s="290">
        <v>0</v>
      </c>
      <c r="AJ546" s="290">
        <v>0</v>
      </c>
      <c r="AK546" s="290">
        <v>0</v>
      </c>
      <c r="AL546" s="290">
        <v>0</v>
      </c>
      <c r="AM546" s="290">
        <v>0</v>
      </c>
      <c r="AN546" s="290">
        <v>0</v>
      </c>
      <c r="AO546" s="290">
        <v>0</v>
      </c>
      <c r="AP546" s="290">
        <v>0</v>
      </c>
      <c r="AQ546" s="290">
        <v>0</v>
      </c>
      <c r="AR546" s="290">
        <v>0</v>
      </c>
      <c r="AS546" s="290">
        <v>0</v>
      </c>
      <c r="AT546" s="290">
        <v>0</v>
      </c>
      <c r="AU546" s="290">
        <v>0</v>
      </c>
      <c r="AV546" s="290">
        <v>0</v>
      </c>
      <c r="AW546" s="290">
        <v>0</v>
      </c>
      <c r="AX546" s="290">
        <v>0</v>
      </c>
      <c r="AY546" s="290">
        <v>0</v>
      </c>
      <c r="AZ546" s="290">
        <v>0</v>
      </c>
      <c r="BA546" s="290">
        <v>0</v>
      </c>
      <c r="BB546" s="290">
        <v>0</v>
      </c>
      <c r="BC546" s="290">
        <v>0</v>
      </c>
      <c r="BD546" s="290">
        <v>0</v>
      </c>
      <c r="BE546" s="290">
        <v>0</v>
      </c>
      <c r="BF546" s="290">
        <v>0</v>
      </c>
      <c r="BG546" s="290">
        <v>0</v>
      </c>
      <c r="BH546" s="290">
        <v>0</v>
      </c>
      <c r="BI546" s="290">
        <v>0</v>
      </c>
      <c r="BJ546" s="290">
        <v>0</v>
      </c>
      <c r="BK546" s="78">
        <v>0</v>
      </c>
      <c r="BL546" s="41" t="s">
        <v>616</v>
      </c>
      <c r="BM546" s="45"/>
    </row>
    <row r="547" spans="1:65" x14ac:dyDescent="0.35">
      <c r="A547" s="45" t="str">
        <f>Database_Productkaarten[[#This Row],[Product]]&amp;", "&amp;Database_Productkaarten[[#This Row],[Levensfase]]</f>
        <v>Open steenasfalt - PCR 2.0, Totaal</v>
      </c>
      <c r="B547" s="45" t="s">
        <v>1369</v>
      </c>
      <c r="C547" s="41" t="s">
        <v>443</v>
      </c>
      <c r="D547" s="45" t="s">
        <v>45</v>
      </c>
      <c r="E547" s="41" t="s">
        <v>91</v>
      </c>
      <c r="F547" s="41" t="s">
        <v>16</v>
      </c>
      <c r="G547" s="45"/>
      <c r="H547" s="45"/>
      <c r="I547" s="45"/>
      <c r="J547" s="45"/>
      <c r="K547" s="45"/>
      <c r="L547" s="45">
        <v>2</v>
      </c>
      <c r="M547" s="54">
        <f>SUM(M548:M562)</f>
        <v>12.31432831542371</v>
      </c>
      <c r="N547" s="45">
        <v>30</v>
      </c>
      <c r="O547" s="55">
        <f>SUM(O548:O562)</f>
        <v>1.3540265012357414E-3</v>
      </c>
      <c r="P547" s="55">
        <f t="shared" ref="P547" si="814">SUM(P548:P562)</f>
        <v>1.2596610648718267</v>
      </c>
      <c r="Q547" s="55">
        <f t="shared" ref="Q547" si="815">SUM(Q548:Q562)</f>
        <v>102.17523579761497</v>
      </c>
      <c r="R547" s="55">
        <f t="shared" ref="R547" si="816">SUM(R548:R562)</f>
        <v>1.3490056689945913E-5</v>
      </c>
      <c r="S547" s="55">
        <f t="shared" ref="S547" si="817">SUM(S548:S562)</f>
        <v>0.10968325392269433</v>
      </c>
      <c r="T547" s="55">
        <f t="shared" ref="T547" si="818">SUM(T548:T562)</f>
        <v>0.51381268772126687</v>
      </c>
      <c r="U547" s="55">
        <f t="shared" ref="U547" si="819">SUM(U548:U562)</f>
        <v>8.1790851296001485E-2</v>
      </c>
      <c r="V547" s="55">
        <f t="shared" ref="V547" si="820">SUM(V548:V562)</f>
        <v>29.293183684689012</v>
      </c>
      <c r="W547" s="55">
        <f t="shared" ref="W547" si="821">SUM(W548:W562)</f>
        <v>1.4956144603256221</v>
      </c>
      <c r="X547" s="55">
        <f t="shared" ref="X547" si="822">SUM(X548:X562)</f>
        <v>12961.706160923015</v>
      </c>
      <c r="Y547" s="55">
        <f t="shared" ref="Y547" si="823">SUM(Y548:Y562)</f>
        <v>0.25398178840043639</v>
      </c>
      <c r="Z547" s="55">
        <f t="shared" ref="Z547" si="824">SUM(Z548:Z562)</f>
        <v>105.18409075995453</v>
      </c>
      <c r="AA547" s="55">
        <f t="shared" ref="AA547" si="825">SUM(AA548:AA562)</f>
        <v>104.86608027260274</v>
      </c>
      <c r="AB547" s="55">
        <f t="shared" ref="AB547" si="826">SUM(AB548:AB562)</f>
        <v>0.25544042144732504</v>
      </c>
      <c r="AC547" s="55">
        <f t="shared" ref="AC547" si="827">SUM(AC548:AC562)</f>
        <v>8.0782047154417516E-2</v>
      </c>
      <c r="AD547" s="55">
        <f t="shared" ref="AD547" si="828">SUM(AD548:AD562)</f>
        <v>1.6374791860492145E-5</v>
      </c>
      <c r="AE547" s="55">
        <f t="shared" ref="AE547" si="829">SUM(AE548:AE562)</f>
        <v>0.66217467214793624</v>
      </c>
      <c r="AF547" s="55">
        <f t="shared" ref="AF547" si="830">SUM(AF548:AF562)</f>
        <v>1.4554228837139736E-3</v>
      </c>
      <c r="AG547" s="55">
        <f t="shared" ref="AG547" si="831">SUM(AG548:AG562)</f>
        <v>0.19735342343188911</v>
      </c>
      <c r="AH547" s="55">
        <f t="shared" ref="AH547" si="832">SUM(AH548:AH562)</f>
        <v>2.1549013099802101</v>
      </c>
      <c r="AI547" s="55">
        <f t="shared" ref="AI547" si="833">SUM(AI548:AI562)</f>
        <v>0.7152960340477752</v>
      </c>
      <c r="AJ547" s="55">
        <f t="shared" ref="AJ547" si="834">SUM(AJ548:AJ562)</f>
        <v>1.3539816854233929E-3</v>
      </c>
      <c r="AK547" s="55">
        <f t="shared" ref="AK547" si="835">SUM(AK548:AK562)</f>
        <v>2605.9849498281646</v>
      </c>
      <c r="AL547" s="55">
        <f t="shared" ref="AL547" si="836">SUM(AL548:AL562)</f>
        <v>48.863592160411251</v>
      </c>
      <c r="AM547" s="55">
        <f t="shared" ref="AM547" si="837">SUM(AM548:AM562)</f>
        <v>4.2094900010410664E-6</v>
      </c>
      <c r="AN547" s="55">
        <f t="shared" ref="AN547" si="838">SUM(AN548:AN562)</f>
        <v>4.5349715434534499</v>
      </c>
      <c r="AO547" s="55">
        <f t="shared" ref="AO547" si="839">SUM(AO548:AO562)</f>
        <v>2507.9211893254819</v>
      </c>
      <c r="AP547" s="55">
        <f t="shared" ref="AP547" si="840">SUM(AP548:AP562)</f>
        <v>3.6310145307080448E-8</v>
      </c>
      <c r="AQ547" s="55">
        <f t="shared" ref="AQ547" si="841">SUM(AQ548:AQ562)</f>
        <v>1.0258169583325605E-6</v>
      </c>
      <c r="AR547" s="55">
        <f t="shared" ref="AR547" si="842">SUM(AR548:AR562)</f>
        <v>1129.0305393997328</v>
      </c>
      <c r="AS547" s="55">
        <f t="shared" ref="AS547" si="843">SUM(AS548:AS562)</f>
        <v>9.0831365000000002</v>
      </c>
      <c r="AT547" s="55">
        <f t="shared" ref="AT547" si="844">SUM(AT548:AT562)</f>
        <v>0</v>
      </c>
      <c r="AU547" s="55">
        <f t="shared" ref="AU547" si="845">SUM(AU548:AU562)</f>
        <v>42.759630085822216</v>
      </c>
      <c r="AV547" s="55">
        <f t="shared" ref="AV547" si="846">SUM(AV548:AV562)</f>
        <v>0.79580531249999997</v>
      </c>
      <c r="AW547" s="55">
        <f t="shared" ref="AW547" si="847">SUM(AW548:AW562)</f>
        <v>1.1178862500000001E-3</v>
      </c>
      <c r="AX547" s="55">
        <f t="shared" ref="AX547" si="848">SUM(AX548:AX562)</f>
        <v>2785.6715940750146</v>
      </c>
      <c r="AY547" s="55">
        <f t="shared" ref="AY547" si="849">SUM(AY548:AY562)</f>
        <v>0</v>
      </c>
      <c r="AZ547" s="55">
        <f t="shared" ref="AZ547" si="850">SUM(AZ548:AZ562)</f>
        <v>0</v>
      </c>
      <c r="BA547" s="55">
        <f t="shared" ref="BA547" si="851">SUM(BA548:BA562)</f>
        <v>0</v>
      </c>
      <c r="BB547" s="55">
        <f t="shared" ref="BB547" si="852">SUM(BB548:BB562)</f>
        <v>1.2339332973130845</v>
      </c>
      <c r="BC547" s="55">
        <f t="shared" ref="BC547" si="853">SUM(BC548:BC562)</f>
        <v>2.8857206719837035E-3</v>
      </c>
      <c r="BD547" s="55">
        <f t="shared" ref="BD547" si="854">SUM(BD548:BD562)</f>
        <v>1021.5477742612669</v>
      </c>
      <c r="BE547" s="55">
        <f t="shared" ref="BE547" si="855">SUM(BE548:BE562)</f>
        <v>5.8715003522307142E-3</v>
      </c>
      <c r="BF547" s="55">
        <f t="shared" ref="BF547" si="856">SUM(BF548:BF562)</f>
        <v>0</v>
      </c>
      <c r="BG547" s="55">
        <f t="shared" ref="BG547" si="857">SUM(BG548:BG562)</f>
        <v>0</v>
      </c>
      <c r="BH547" s="55">
        <f t="shared" ref="BH547" si="858">SUM(BH548:BH562)</f>
        <v>0</v>
      </c>
      <c r="BI547" s="55">
        <f t="shared" ref="BI547" si="859">SUM(BI548:BI562)</f>
        <v>0</v>
      </c>
      <c r="BJ547" s="55">
        <f t="shared" ref="BJ547" si="860">SUM(BJ548:BJ562)</f>
        <v>0</v>
      </c>
      <c r="BK547" s="78">
        <v>0</v>
      </c>
      <c r="BL547" s="41" t="s">
        <v>616</v>
      </c>
      <c r="BM547" s="45"/>
    </row>
    <row r="548" spans="1:65" x14ac:dyDescent="0.35">
      <c r="A548" s="45" t="str">
        <f>Database_Productkaarten[[#This Row],[Product]]&amp;", "&amp;Database_Productkaarten[[#This Row],[Levensfase]]</f>
        <v>Open steenasfalt - PCR 2.0, A1</v>
      </c>
      <c r="B548" s="45" t="s">
        <v>1369</v>
      </c>
      <c r="C548" s="41" t="s">
        <v>443</v>
      </c>
      <c r="D548" s="45" t="s">
        <v>45</v>
      </c>
      <c r="E548" s="41" t="s">
        <v>91</v>
      </c>
      <c r="F548" s="41" t="s">
        <v>19</v>
      </c>
      <c r="G548" s="45"/>
      <c r="H548" s="45"/>
      <c r="I548" s="45"/>
      <c r="J548" s="45"/>
      <c r="K548" s="45"/>
      <c r="L548" s="45">
        <v>2</v>
      </c>
      <c r="M548" s="291">
        <v>4.1774400567224026</v>
      </c>
      <c r="N548" s="45">
        <v>30</v>
      </c>
      <c r="O548" s="290">
        <v>8.0068977074919899E-4</v>
      </c>
      <c r="P548" s="290">
        <v>0.72042575886308902</v>
      </c>
      <c r="Q548" s="290">
        <v>31.945376356939601</v>
      </c>
      <c r="R548" s="290">
        <v>2.5698222563563499E-6</v>
      </c>
      <c r="S548" s="290">
        <v>7.5716932794270803E-2</v>
      </c>
      <c r="T548" s="290">
        <v>0.209848206674045</v>
      </c>
      <c r="U548" s="290">
        <v>1.7932703821600501E-2</v>
      </c>
      <c r="V548" s="290">
        <v>8.7180670110213807</v>
      </c>
      <c r="W548" s="290">
        <v>1.10928420155467</v>
      </c>
      <c r="X548" s="290">
        <v>4854.5540537108</v>
      </c>
      <c r="Y548" s="290">
        <v>0.15194872229246301</v>
      </c>
      <c r="Z548" s="290">
        <v>34.0501082581643</v>
      </c>
      <c r="AA548" s="290">
        <v>33.905548785986298</v>
      </c>
      <c r="AB548" s="290">
        <v>0.13915071799978801</v>
      </c>
      <c r="AC548" s="290">
        <v>2.3620754178286501E-2</v>
      </c>
      <c r="AD548" s="290">
        <v>3.0444298447821598E-6</v>
      </c>
      <c r="AE548" s="290">
        <v>0.24741833261835999</v>
      </c>
      <c r="AF548" s="290">
        <v>7.4131312371376597E-4</v>
      </c>
      <c r="AG548" s="290">
        <v>3.5322753631355598E-2</v>
      </c>
      <c r="AH548" s="290">
        <v>0.36683466146609101</v>
      </c>
      <c r="AI548" s="290">
        <v>0.232408553717184</v>
      </c>
      <c r="AJ548" s="290">
        <v>8.00659686718822E-4</v>
      </c>
      <c r="AK548" s="290">
        <v>1529.94705112115</v>
      </c>
      <c r="AL548" s="290">
        <v>39.384377332325897</v>
      </c>
      <c r="AM548" s="290">
        <v>1.3307425539971999E-6</v>
      </c>
      <c r="AN548" s="290">
        <v>1.2461473062081001</v>
      </c>
      <c r="AO548" s="290">
        <v>1861.5681907287501</v>
      </c>
      <c r="AP548" s="290">
        <v>1.27336005361923E-8</v>
      </c>
      <c r="AQ548" s="290">
        <v>5.0082372683719002E-7</v>
      </c>
      <c r="AR548" s="290">
        <v>293.23014973469901</v>
      </c>
      <c r="AS548" s="290">
        <v>0</v>
      </c>
      <c r="AT548" s="290">
        <v>0</v>
      </c>
      <c r="AU548" s="290">
        <v>16.598911550902901</v>
      </c>
      <c r="AV548" s="290">
        <v>0</v>
      </c>
      <c r="AW548" s="290">
        <v>0</v>
      </c>
      <c r="AX548" s="290">
        <v>1628.01428036522</v>
      </c>
      <c r="AY548" s="290">
        <v>0</v>
      </c>
      <c r="AZ548" s="290">
        <v>0</v>
      </c>
      <c r="BA548" s="290">
        <v>0</v>
      </c>
      <c r="BB548" s="290">
        <v>0.952664877777473</v>
      </c>
      <c r="BC548" s="290">
        <v>7.3328848006914298E-4</v>
      </c>
      <c r="BD548" s="290">
        <v>3.1343644303594198</v>
      </c>
      <c r="BE548" s="290">
        <v>8.5678863621186502E-4</v>
      </c>
      <c r="BF548" s="290">
        <v>0</v>
      </c>
      <c r="BG548" s="290">
        <v>0</v>
      </c>
      <c r="BH548" s="290">
        <v>0</v>
      </c>
      <c r="BI548" s="290">
        <v>0</v>
      </c>
      <c r="BJ548" s="290">
        <v>0</v>
      </c>
      <c r="BK548" s="78">
        <v>0</v>
      </c>
      <c r="BL548" s="41" t="s">
        <v>616</v>
      </c>
      <c r="BM548" s="45"/>
    </row>
    <row r="549" spans="1:65" x14ac:dyDescent="0.35">
      <c r="A549" s="45" t="str">
        <f>Database_Productkaarten[[#This Row],[Product]]&amp;", "&amp;Database_Productkaarten[[#This Row],[Levensfase]]</f>
        <v>Open steenasfalt - PCR 2.0, A2</v>
      </c>
      <c r="B549" s="45" t="s">
        <v>1369</v>
      </c>
      <c r="C549" s="41" t="s">
        <v>443</v>
      </c>
      <c r="D549" s="45" t="s">
        <v>45</v>
      </c>
      <c r="E549" s="41" t="s">
        <v>91</v>
      </c>
      <c r="F549" s="41" t="s">
        <v>20</v>
      </c>
      <c r="G549" s="45"/>
      <c r="H549" s="45"/>
      <c r="I549" s="45"/>
      <c r="J549" s="45"/>
      <c r="K549" s="45"/>
      <c r="L549" s="45">
        <v>2</v>
      </c>
      <c r="M549" s="291">
        <v>3.6928449536567944</v>
      </c>
      <c r="N549" s="45">
        <v>30</v>
      </c>
      <c r="O549" s="290">
        <v>3.2454878345927399E-4</v>
      </c>
      <c r="P549" s="290">
        <v>0.195746204653446</v>
      </c>
      <c r="Q549" s="290">
        <v>30.9134758700588</v>
      </c>
      <c r="R549" s="290">
        <v>4.58505673601962E-6</v>
      </c>
      <c r="S549" s="290">
        <v>1.8244227622999001E-2</v>
      </c>
      <c r="T549" s="290">
        <v>0.20861177314569099</v>
      </c>
      <c r="U549" s="290">
        <v>4.61706948032264E-2</v>
      </c>
      <c r="V549" s="290">
        <v>8.3283780770872706</v>
      </c>
      <c r="W549" s="290">
        <v>0.21621447420810799</v>
      </c>
      <c r="X549" s="290">
        <v>708.61125017601501</v>
      </c>
      <c r="Y549" s="290">
        <v>3.81483443728323E-2</v>
      </c>
      <c r="Z549" s="290">
        <v>31.2688932792828</v>
      </c>
      <c r="AA549" s="290">
        <v>31.1723699845701</v>
      </c>
      <c r="AB549" s="290">
        <v>4.5284337059765097E-2</v>
      </c>
      <c r="AC549" s="290">
        <v>5.12389576529656E-2</v>
      </c>
      <c r="AD549" s="290">
        <v>5.7030576001149297E-6</v>
      </c>
      <c r="AE549" s="290">
        <v>0.290039823038028</v>
      </c>
      <c r="AF549" s="290">
        <v>3.6620599551782901E-4</v>
      </c>
      <c r="AG549" s="290">
        <v>0.122247612365322</v>
      </c>
      <c r="AH549" s="290">
        <v>1.3456649107285601</v>
      </c>
      <c r="AI549" s="290">
        <v>0.34982655482314601</v>
      </c>
      <c r="AJ549" s="290">
        <v>3.24535236933533E-4</v>
      </c>
      <c r="AK549" s="290">
        <v>405.71863161175997</v>
      </c>
      <c r="AL549" s="290">
        <v>1.8349092869453201</v>
      </c>
      <c r="AM549" s="290">
        <v>1.0156956768356099E-6</v>
      </c>
      <c r="AN549" s="290">
        <v>1.74949230925345</v>
      </c>
      <c r="AO549" s="290">
        <v>359.13178770629497</v>
      </c>
      <c r="AP549" s="290">
        <v>1.4617941356336199E-8</v>
      </c>
      <c r="AQ549" s="290">
        <v>2.71312261134916E-7</v>
      </c>
      <c r="AR549" s="290">
        <v>317.354676532518</v>
      </c>
      <c r="AS549" s="290">
        <v>0</v>
      </c>
      <c r="AT549" s="290">
        <v>0</v>
      </c>
      <c r="AU549" s="290">
        <v>8.7839343542803103</v>
      </c>
      <c r="AV549" s="290">
        <v>0</v>
      </c>
      <c r="AW549" s="290">
        <v>0</v>
      </c>
      <c r="AX549" s="290">
        <v>430.57536805875498</v>
      </c>
      <c r="AY549" s="290">
        <v>0</v>
      </c>
      <c r="AZ549" s="290">
        <v>0</v>
      </c>
      <c r="BA549" s="290">
        <v>0</v>
      </c>
      <c r="BB549" s="290">
        <v>7.2773859310867495E-2</v>
      </c>
      <c r="BC549" s="290">
        <v>1.0523120199725799E-3</v>
      </c>
      <c r="BD549" s="290">
        <v>6.0282759635812404</v>
      </c>
      <c r="BE549" s="290">
        <v>2.63521653653165E-3</v>
      </c>
      <c r="BF549" s="290">
        <v>0</v>
      </c>
      <c r="BG549" s="290">
        <v>0</v>
      </c>
      <c r="BH549" s="290">
        <v>0</v>
      </c>
      <c r="BI549" s="290">
        <v>0</v>
      </c>
      <c r="BJ549" s="290">
        <v>0</v>
      </c>
      <c r="BK549" s="78">
        <v>0</v>
      </c>
      <c r="BL549" s="41" t="s">
        <v>616</v>
      </c>
      <c r="BM549" s="45"/>
    </row>
    <row r="550" spans="1:65" x14ac:dyDescent="0.35">
      <c r="A550" s="45" t="str">
        <f>Database_Productkaarten[[#This Row],[Product]]&amp;", "&amp;Database_Productkaarten[[#This Row],[Levensfase]]</f>
        <v>Open steenasfalt - PCR 2.0, A3</v>
      </c>
      <c r="B550" s="45" t="s">
        <v>1369</v>
      </c>
      <c r="C550" s="41" t="s">
        <v>443</v>
      </c>
      <c r="D550" s="45" t="s">
        <v>45</v>
      </c>
      <c r="E550" s="41" t="s">
        <v>91</v>
      </c>
      <c r="F550" s="41" t="s">
        <v>21</v>
      </c>
      <c r="G550" s="45"/>
      <c r="H550" s="45"/>
      <c r="I550" s="45"/>
      <c r="J550" s="45"/>
      <c r="K550" s="45"/>
      <c r="L550" s="45">
        <v>2</v>
      </c>
      <c r="M550" s="291">
        <v>1.6322399767994049</v>
      </c>
      <c r="N550" s="45">
        <v>30</v>
      </c>
      <c r="O550" s="290">
        <v>1.8589165499114299E-5</v>
      </c>
      <c r="P550" s="290">
        <v>0.19641956100840199</v>
      </c>
      <c r="Q550" s="290">
        <v>22.917633394466002</v>
      </c>
      <c r="R550" s="290">
        <v>2.66504971453765E-6</v>
      </c>
      <c r="S550" s="290">
        <v>3.7043108190457702E-3</v>
      </c>
      <c r="T550" s="290">
        <v>2.1537116848792399E-2</v>
      </c>
      <c r="U550" s="290">
        <v>3.55719559318816E-3</v>
      </c>
      <c r="V550" s="290">
        <v>3.5353396359501899</v>
      </c>
      <c r="W550" s="290">
        <v>2.27158143111779E-2</v>
      </c>
      <c r="X550" s="290">
        <v>92.248527194362097</v>
      </c>
      <c r="Y550" s="290">
        <v>1.9825130010025699E-2</v>
      </c>
      <c r="Z550" s="290">
        <v>23.247902270471101</v>
      </c>
      <c r="AA550" s="290">
        <v>23.203894754967699</v>
      </c>
      <c r="AB550" s="290">
        <v>4.2306153334871699E-2</v>
      </c>
      <c r="AC550" s="290">
        <v>1.70136216838665E-3</v>
      </c>
      <c r="AD550" s="290">
        <v>3.01257711984284E-6</v>
      </c>
      <c r="AE550" s="290">
        <v>2.76956225972197E-2</v>
      </c>
      <c r="AF550" s="290">
        <v>2.10141910292859E-4</v>
      </c>
      <c r="AG550" s="290">
        <v>7.8782855949126492E-3</v>
      </c>
      <c r="AH550" s="290">
        <v>8.8568741346488206E-2</v>
      </c>
      <c r="AI550" s="290">
        <v>2.72317581464015E-2</v>
      </c>
      <c r="AJ550" s="290">
        <v>1.8588907131572301E-5</v>
      </c>
      <c r="AK550" s="290">
        <v>362.25281966731001</v>
      </c>
      <c r="AL550" s="290">
        <v>0.44144433669347799</v>
      </c>
      <c r="AM550" s="290">
        <v>1.8992138344386899E-7</v>
      </c>
      <c r="AN550" s="290">
        <v>0.24567631912208701</v>
      </c>
      <c r="AO550" s="290">
        <v>64.403333456320397</v>
      </c>
      <c r="AP550" s="290">
        <v>2.7243341353205699E-9</v>
      </c>
      <c r="AQ550" s="290">
        <v>4.3331348983928802E-8</v>
      </c>
      <c r="AR550" s="290">
        <v>13.8370770109952</v>
      </c>
      <c r="AS550" s="290">
        <v>0</v>
      </c>
      <c r="AT550" s="290">
        <v>0</v>
      </c>
      <c r="AU550" s="290">
        <v>5.5043969786567404</v>
      </c>
      <c r="AV550" s="290">
        <v>0</v>
      </c>
      <c r="AW550" s="290">
        <v>0</v>
      </c>
      <c r="AX550" s="290">
        <v>399.87847136432998</v>
      </c>
      <c r="AY550" s="290">
        <v>0</v>
      </c>
      <c r="AZ550" s="290">
        <v>0</v>
      </c>
      <c r="BA550" s="290">
        <v>0</v>
      </c>
      <c r="BB550" s="290">
        <v>3.21926453124394E-2</v>
      </c>
      <c r="BC550" s="290">
        <v>4.4649503688583801E-4</v>
      </c>
      <c r="BD550" s="290">
        <v>0.24095136603372</v>
      </c>
      <c r="BE550" s="290">
        <v>3.2115899428016497E-4</v>
      </c>
      <c r="BF550" s="290">
        <v>0</v>
      </c>
      <c r="BG550" s="290">
        <v>0</v>
      </c>
      <c r="BH550" s="290">
        <v>0</v>
      </c>
      <c r="BI550" s="290">
        <v>0</v>
      </c>
      <c r="BJ550" s="290">
        <v>0</v>
      </c>
      <c r="BK550" s="78">
        <v>0</v>
      </c>
      <c r="BL550" s="41" t="s">
        <v>616</v>
      </c>
      <c r="BM550" s="45"/>
    </row>
    <row r="551" spans="1:65" x14ac:dyDescent="0.35">
      <c r="A551" s="45" t="str">
        <f>Database_Productkaarten[[#This Row],[Product]]&amp;", "&amp;Database_Productkaarten[[#This Row],[Levensfase]]</f>
        <v>Open steenasfalt - PCR 2.0, A4</v>
      </c>
      <c r="B551" s="45" t="s">
        <v>1369</v>
      </c>
      <c r="C551" s="41" t="s">
        <v>443</v>
      </c>
      <c r="D551" s="45" t="s">
        <v>45</v>
      </c>
      <c r="E551" s="41" t="s">
        <v>91</v>
      </c>
      <c r="F551" s="41" t="s">
        <v>22</v>
      </c>
      <c r="G551" s="45"/>
      <c r="H551" s="45"/>
      <c r="I551" s="45"/>
      <c r="J551" s="45"/>
      <c r="K551" s="45"/>
      <c r="L551" s="45">
        <v>2</v>
      </c>
      <c r="M551" s="291">
        <v>0.42281585688000006</v>
      </c>
      <c r="N551" s="45">
        <v>30</v>
      </c>
      <c r="O551" s="290">
        <v>7.7177375000000002E-5</v>
      </c>
      <c r="P551" s="290">
        <v>3.3461587500000001E-2</v>
      </c>
      <c r="Q551" s="290">
        <v>4.4922831875</v>
      </c>
      <c r="R551" s="290">
        <v>8.5103749999999996E-7</v>
      </c>
      <c r="S551" s="290">
        <v>2.7898312499999999E-3</v>
      </c>
      <c r="T551" s="290">
        <v>1.5360149999999999E-2</v>
      </c>
      <c r="U551" s="290">
        <v>2.8921387499999999E-3</v>
      </c>
      <c r="V551" s="290">
        <v>0.96938567499999995</v>
      </c>
      <c r="W551" s="290">
        <v>4.0754362500000002E-2</v>
      </c>
      <c r="X551" s="290">
        <v>109.65832875</v>
      </c>
      <c r="Y551" s="290">
        <v>5.4546374999999998E-3</v>
      </c>
      <c r="Z551" s="290">
        <v>4.5337142750000003</v>
      </c>
      <c r="AA551" s="290">
        <v>4.5303539749999997</v>
      </c>
      <c r="AB551" s="290">
        <v>2.2313774999999998E-3</v>
      </c>
      <c r="AC551" s="290">
        <v>1.1288975E-3</v>
      </c>
      <c r="AD551" s="290">
        <v>1.0695525E-6</v>
      </c>
      <c r="AE551" s="290">
        <v>1.9977000000000002E-2</v>
      </c>
      <c r="AF551" s="290">
        <v>3.1353599999999997E-5</v>
      </c>
      <c r="AG551" s="290">
        <v>6.24826375E-3</v>
      </c>
      <c r="AH551" s="290">
        <v>6.9127599999999997E-2</v>
      </c>
      <c r="AI551" s="290">
        <v>2.1661875000000001E-2</v>
      </c>
      <c r="AJ551" s="290">
        <v>7.717725E-5</v>
      </c>
      <c r="AK551" s="290">
        <v>70.271178750000004</v>
      </c>
      <c r="AL551" s="290">
        <v>0.23981325000000001</v>
      </c>
      <c r="AM551" s="290">
        <v>3.3039275000000001E-7</v>
      </c>
      <c r="AN551" s="290">
        <v>0.30257301250000002</v>
      </c>
      <c r="AO551" s="290">
        <v>51.312919999999998</v>
      </c>
      <c r="AP551" s="290">
        <v>1.3104862499999999E-9</v>
      </c>
      <c r="AQ551" s="290">
        <v>4.30946125E-8</v>
      </c>
      <c r="AR551" s="290">
        <v>80.863563749999997</v>
      </c>
      <c r="AS551" s="290">
        <v>0</v>
      </c>
      <c r="AT551" s="290">
        <v>0</v>
      </c>
      <c r="AU551" s="290">
        <v>0.71480762499999995</v>
      </c>
      <c r="AV551" s="290">
        <v>0</v>
      </c>
      <c r="AW551" s="290">
        <v>0</v>
      </c>
      <c r="AX551" s="290">
        <v>74.622870000000006</v>
      </c>
      <c r="AY551" s="290">
        <v>0</v>
      </c>
      <c r="AZ551" s="290">
        <v>0</v>
      </c>
      <c r="BA551" s="290">
        <v>0</v>
      </c>
      <c r="BB551" s="290">
        <v>7.5977249999999996E-3</v>
      </c>
      <c r="BC551" s="290">
        <v>1.7422062499999999E-4</v>
      </c>
      <c r="BD551" s="290">
        <v>6.1526456249999999</v>
      </c>
      <c r="BE551" s="290">
        <v>4.7877225000000001E-4</v>
      </c>
      <c r="BF551" s="290">
        <v>0</v>
      </c>
      <c r="BG551" s="290">
        <v>0</v>
      </c>
      <c r="BH551" s="290">
        <v>0</v>
      </c>
      <c r="BI551" s="290">
        <v>0</v>
      </c>
      <c r="BJ551" s="290">
        <v>0</v>
      </c>
      <c r="BK551" s="78">
        <v>0</v>
      </c>
      <c r="BL551" s="41" t="s">
        <v>616</v>
      </c>
      <c r="BM551" s="45"/>
    </row>
    <row r="552" spans="1:65" x14ac:dyDescent="0.35">
      <c r="A552" s="45" t="str">
        <f>Database_Productkaarten[[#This Row],[Product]]&amp;", "&amp;Database_Productkaarten[[#This Row],[Levensfase]]</f>
        <v>Open steenasfalt - PCR 2.0, A5</v>
      </c>
      <c r="B552" s="45" t="s">
        <v>1369</v>
      </c>
      <c r="C552" s="41" t="s">
        <v>443</v>
      </c>
      <c r="D552" s="45" t="s">
        <v>45</v>
      </c>
      <c r="E552" s="41" t="s">
        <v>91</v>
      </c>
      <c r="F552" s="41" t="s">
        <v>23</v>
      </c>
      <c r="G552" s="45"/>
      <c r="H552" s="45"/>
      <c r="I552" s="45"/>
      <c r="J552" s="45"/>
      <c r="K552" s="45"/>
      <c r="L552" s="45">
        <v>2</v>
      </c>
      <c r="M552" s="291">
        <v>0.20892775788363147</v>
      </c>
      <c r="N552" s="45">
        <v>30</v>
      </c>
      <c r="O552" s="290">
        <v>2.52053385503491E-6</v>
      </c>
      <c r="P552" s="290">
        <v>1.0722300852191001E-2</v>
      </c>
      <c r="Q552" s="290">
        <v>2.1806286343541599</v>
      </c>
      <c r="R552" s="290">
        <v>2.8179055050305898E-7</v>
      </c>
      <c r="S552" s="290">
        <v>7.5572087597003098E-4</v>
      </c>
      <c r="T552" s="290">
        <v>6.7857710719034497E-3</v>
      </c>
      <c r="U552" s="290">
        <v>1.4838087034341799E-3</v>
      </c>
      <c r="V552" s="290">
        <v>0.58829495594473902</v>
      </c>
      <c r="W552" s="290">
        <v>8.3642063590304294E-3</v>
      </c>
      <c r="X552" s="290">
        <v>29.061930803190499</v>
      </c>
      <c r="Y552" s="290">
        <v>9.9052251771749103E-4</v>
      </c>
      <c r="Z552" s="290">
        <v>2.1948938660897999</v>
      </c>
      <c r="AA552" s="290">
        <v>2.1942639981727301</v>
      </c>
      <c r="AB552" s="290">
        <v>5.0168129909830496E-4</v>
      </c>
      <c r="AC552" s="290">
        <v>1.28186617970418E-4</v>
      </c>
      <c r="AD552" s="290">
        <v>3.5506722318440998E-7</v>
      </c>
      <c r="AE552" s="290">
        <v>9.2830906004344599E-3</v>
      </c>
      <c r="AF552" s="290">
        <v>5.9889520057721299E-6</v>
      </c>
      <c r="AG552" s="290">
        <v>3.7212549811088901E-3</v>
      </c>
      <c r="AH552" s="290">
        <v>4.08842513151043E-2</v>
      </c>
      <c r="AI552" s="290">
        <v>1.1058200011401001E-2</v>
      </c>
      <c r="AJ552" s="290">
        <v>2.5205140761041601E-6</v>
      </c>
      <c r="AK552" s="290">
        <v>22.623400365069401</v>
      </c>
      <c r="AL552" s="290">
        <v>3.0130674143176699E-2</v>
      </c>
      <c r="AM552" s="290">
        <v>3.6737492451707402E-8</v>
      </c>
      <c r="AN552" s="290">
        <v>9.7101735622394797E-2</v>
      </c>
      <c r="AO552" s="290">
        <v>13.5745914341014</v>
      </c>
      <c r="AP552" s="290">
        <v>4.7625118821209999E-10</v>
      </c>
      <c r="AQ552" s="290">
        <v>1.01356955548823E-8</v>
      </c>
      <c r="AR552" s="290">
        <v>2.88964621378457</v>
      </c>
      <c r="AS552" s="290">
        <v>0</v>
      </c>
      <c r="AT552" s="290">
        <v>0</v>
      </c>
      <c r="AU552" s="290">
        <v>0.124349448867524</v>
      </c>
      <c r="AV552" s="290">
        <v>0</v>
      </c>
      <c r="AW552" s="290">
        <v>0</v>
      </c>
      <c r="AX552" s="290">
        <v>24.025335647212199</v>
      </c>
      <c r="AY552" s="290">
        <v>0</v>
      </c>
      <c r="AZ552" s="290">
        <v>0</v>
      </c>
      <c r="BA552" s="290">
        <v>0</v>
      </c>
      <c r="BB552" s="290">
        <v>1.1694798144477199E-3</v>
      </c>
      <c r="BC552" s="290">
        <v>6.1609560452003097E-5</v>
      </c>
      <c r="BD552" s="290">
        <v>2.6769629501804601E-2</v>
      </c>
      <c r="BE552" s="290">
        <v>1.5723384660734001E-4</v>
      </c>
      <c r="BF552" s="290">
        <v>0</v>
      </c>
      <c r="BG552" s="290">
        <v>0</v>
      </c>
      <c r="BH552" s="290">
        <v>0</v>
      </c>
      <c r="BI552" s="290">
        <v>0</v>
      </c>
      <c r="BJ552" s="290">
        <v>0</v>
      </c>
      <c r="BK552" s="78">
        <v>0</v>
      </c>
      <c r="BL552" s="41" t="s">
        <v>616</v>
      </c>
      <c r="BM552" s="45"/>
    </row>
    <row r="553" spans="1:65" x14ac:dyDescent="0.35">
      <c r="A553" s="45" t="str">
        <f>Database_Productkaarten[[#This Row],[Product]]&amp;", "&amp;Database_Productkaarten[[#This Row],[Levensfase]]</f>
        <v>Open steenasfalt - PCR 2.0, B1</v>
      </c>
      <c r="B553" s="45" t="s">
        <v>1369</v>
      </c>
      <c r="C553" s="41" t="s">
        <v>443</v>
      </c>
      <c r="D553" s="45" t="s">
        <v>45</v>
      </c>
      <c r="E553" s="41" t="s">
        <v>91</v>
      </c>
      <c r="F553" s="41" t="s">
        <v>24</v>
      </c>
      <c r="G553" s="45"/>
      <c r="H553" s="45"/>
      <c r="I553" s="45"/>
      <c r="J553" s="45"/>
      <c r="K553" s="45"/>
      <c r="L553" s="45">
        <v>2</v>
      </c>
      <c r="M553" s="291">
        <v>1.0088636525492594</v>
      </c>
      <c r="N553" s="45">
        <v>30</v>
      </c>
      <c r="O553" s="290">
        <v>0</v>
      </c>
      <c r="P553" s="290">
        <v>0</v>
      </c>
      <c r="Q553" s="290">
        <v>0</v>
      </c>
      <c r="R553" s="290">
        <v>0</v>
      </c>
      <c r="S553" s="290">
        <v>0</v>
      </c>
      <c r="T553" s="290">
        <v>0</v>
      </c>
      <c r="U553" s="290">
        <v>0</v>
      </c>
      <c r="V553" s="290">
        <v>3.5794545249973702</v>
      </c>
      <c r="W553" s="290">
        <v>2.0309999999985099E-5</v>
      </c>
      <c r="X553" s="290">
        <v>6853.3693599949702</v>
      </c>
      <c r="Y553" s="290">
        <v>2.29199999999832E-2</v>
      </c>
      <c r="Z553" s="290">
        <v>0</v>
      </c>
      <c r="AA553" s="290">
        <v>0</v>
      </c>
      <c r="AB553" s="290">
        <v>0</v>
      </c>
      <c r="AC553" s="290">
        <v>0</v>
      </c>
      <c r="AD553" s="290">
        <v>0</v>
      </c>
      <c r="AE553" s="290">
        <v>0</v>
      </c>
      <c r="AF553" s="290">
        <v>0</v>
      </c>
      <c r="AG553" s="290">
        <v>0</v>
      </c>
      <c r="AH553" s="290">
        <v>0</v>
      </c>
      <c r="AI553" s="290">
        <v>0</v>
      </c>
      <c r="AJ553" s="290">
        <v>0</v>
      </c>
      <c r="AK553" s="290">
        <v>0</v>
      </c>
      <c r="AL553" s="290">
        <v>0</v>
      </c>
      <c r="AM553" s="290">
        <v>0</v>
      </c>
      <c r="AN553" s="290">
        <v>0</v>
      </c>
      <c r="AO553" s="290">
        <v>2.9453524149703099E-3</v>
      </c>
      <c r="AP553" s="290">
        <v>5.2682240267961301E-10</v>
      </c>
      <c r="AQ553" s="290">
        <v>3.6497853603229803E-8</v>
      </c>
      <c r="AR553" s="290">
        <v>0</v>
      </c>
      <c r="AS553" s="290">
        <v>0</v>
      </c>
      <c r="AT553" s="290">
        <v>0</v>
      </c>
      <c r="AU553" s="290">
        <v>0</v>
      </c>
      <c r="AV553" s="290">
        <v>0</v>
      </c>
      <c r="AW553" s="290">
        <v>0</v>
      </c>
      <c r="AX553" s="290">
        <v>0</v>
      </c>
      <c r="AY553" s="290">
        <v>0</v>
      </c>
      <c r="AZ553" s="290">
        <v>0</v>
      </c>
      <c r="BA553" s="290">
        <v>0</v>
      </c>
      <c r="BB553" s="290">
        <v>0</v>
      </c>
      <c r="BC553" s="290">
        <v>0</v>
      </c>
      <c r="BD553" s="290">
        <v>0</v>
      </c>
      <c r="BE553" s="290">
        <v>0</v>
      </c>
      <c r="BF553" s="290">
        <v>0</v>
      </c>
      <c r="BG553" s="290">
        <v>0</v>
      </c>
      <c r="BH553" s="290">
        <v>0</v>
      </c>
      <c r="BI553" s="290">
        <v>0</v>
      </c>
      <c r="BJ553" s="290">
        <v>0</v>
      </c>
      <c r="BK553" s="78">
        <v>0</v>
      </c>
      <c r="BL553" s="41" t="s">
        <v>616</v>
      </c>
      <c r="BM553" s="45"/>
    </row>
    <row r="554" spans="1:65" x14ac:dyDescent="0.35">
      <c r="A554" s="45" t="str">
        <f>Database_Productkaarten[[#This Row],[Product]]&amp;", "&amp;Database_Productkaarten[[#This Row],[Levensfase]]</f>
        <v>Open steenasfalt - PCR 2.0, B2</v>
      </c>
      <c r="B554" s="45" t="s">
        <v>1369</v>
      </c>
      <c r="C554" s="41" t="s">
        <v>443</v>
      </c>
      <c r="D554" s="45" t="s">
        <v>45</v>
      </c>
      <c r="E554" s="41" t="s">
        <v>91</v>
      </c>
      <c r="F554" s="41" t="s">
        <v>604</v>
      </c>
      <c r="G554" s="45"/>
      <c r="H554" s="45"/>
      <c r="I554" s="45"/>
      <c r="J554" s="45"/>
      <c r="K554" s="45"/>
      <c r="L554" s="45">
        <v>2</v>
      </c>
      <c r="M554" s="291">
        <v>0</v>
      </c>
      <c r="N554" s="45">
        <v>30</v>
      </c>
      <c r="O554" s="290">
        <v>0</v>
      </c>
      <c r="P554" s="290">
        <v>0</v>
      </c>
      <c r="Q554" s="290">
        <v>0</v>
      </c>
      <c r="R554" s="290">
        <v>0</v>
      </c>
      <c r="S554" s="290">
        <v>0</v>
      </c>
      <c r="T554" s="290">
        <v>0</v>
      </c>
      <c r="U554" s="290">
        <v>0</v>
      </c>
      <c r="V554" s="290">
        <v>0</v>
      </c>
      <c r="W554" s="290">
        <v>0</v>
      </c>
      <c r="X554" s="290">
        <v>0</v>
      </c>
      <c r="Y554" s="290">
        <v>0</v>
      </c>
      <c r="Z554" s="290">
        <v>0</v>
      </c>
      <c r="AA554" s="290">
        <v>0</v>
      </c>
      <c r="AB554" s="290">
        <v>0</v>
      </c>
      <c r="AC554" s="290">
        <v>0</v>
      </c>
      <c r="AD554" s="290">
        <v>0</v>
      </c>
      <c r="AE554" s="290">
        <v>0</v>
      </c>
      <c r="AF554" s="290">
        <v>0</v>
      </c>
      <c r="AG554" s="290">
        <v>0</v>
      </c>
      <c r="AH554" s="290">
        <v>0</v>
      </c>
      <c r="AI554" s="290">
        <v>0</v>
      </c>
      <c r="AJ554" s="290">
        <v>0</v>
      </c>
      <c r="AK554" s="290">
        <v>0</v>
      </c>
      <c r="AL554" s="290">
        <v>0</v>
      </c>
      <c r="AM554" s="290">
        <v>0</v>
      </c>
      <c r="AN554" s="290">
        <v>0</v>
      </c>
      <c r="AO554" s="290">
        <v>0</v>
      </c>
      <c r="AP554" s="290">
        <v>0</v>
      </c>
      <c r="AQ554" s="290">
        <v>0</v>
      </c>
      <c r="AR554" s="290">
        <v>0</v>
      </c>
      <c r="AS554" s="290">
        <v>0</v>
      </c>
      <c r="AT554" s="290">
        <v>0</v>
      </c>
      <c r="AU554" s="290">
        <v>0</v>
      </c>
      <c r="AV554" s="290">
        <v>0</v>
      </c>
      <c r="AW554" s="290">
        <v>0</v>
      </c>
      <c r="AX554" s="290">
        <v>0</v>
      </c>
      <c r="AY554" s="290">
        <v>0</v>
      </c>
      <c r="AZ554" s="290">
        <v>0</v>
      </c>
      <c r="BA554" s="290">
        <v>0</v>
      </c>
      <c r="BB554" s="290">
        <v>0</v>
      </c>
      <c r="BC554" s="290">
        <v>0</v>
      </c>
      <c r="BD554" s="290">
        <v>0</v>
      </c>
      <c r="BE554" s="290">
        <v>0</v>
      </c>
      <c r="BF554" s="290">
        <v>0</v>
      </c>
      <c r="BG554" s="290">
        <v>0</v>
      </c>
      <c r="BH554" s="290">
        <v>0</v>
      </c>
      <c r="BI554" s="290">
        <v>0</v>
      </c>
      <c r="BJ554" s="290">
        <v>0</v>
      </c>
      <c r="BK554" s="78">
        <v>0</v>
      </c>
      <c r="BL554" s="41" t="s">
        <v>616</v>
      </c>
      <c r="BM554" s="45"/>
    </row>
    <row r="555" spans="1:65" x14ac:dyDescent="0.35">
      <c r="A555" s="45" t="str">
        <f>Database_Productkaarten[[#This Row],[Product]]&amp;", "&amp;Database_Productkaarten[[#This Row],[Levensfase]]</f>
        <v>Open steenasfalt - PCR 2.0, B3</v>
      </c>
      <c r="B555" s="45" t="s">
        <v>1369</v>
      </c>
      <c r="C555" s="41" t="s">
        <v>443</v>
      </c>
      <c r="D555" s="45" t="s">
        <v>45</v>
      </c>
      <c r="E555" s="41" t="s">
        <v>91</v>
      </c>
      <c r="F555" s="41" t="s">
        <v>602</v>
      </c>
      <c r="G555" s="45"/>
      <c r="H555" s="45"/>
      <c r="I555" s="45"/>
      <c r="J555" s="45"/>
      <c r="K555" s="45"/>
      <c r="L555" s="45">
        <v>2</v>
      </c>
      <c r="M555" s="291">
        <v>0</v>
      </c>
      <c r="N555" s="45">
        <v>30</v>
      </c>
      <c r="O555" s="290">
        <v>0</v>
      </c>
      <c r="P555" s="290">
        <v>0</v>
      </c>
      <c r="Q555" s="290">
        <v>0</v>
      </c>
      <c r="R555" s="290">
        <v>0</v>
      </c>
      <c r="S555" s="290">
        <v>0</v>
      </c>
      <c r="T555" s="290">
        <v>0</v>
      </c>
      <c r="U555" s="290">
        <v>0</v>
      </c>
      <c r="V555" s="290">
        <v>0</v>
      </c>
      <c r="W555" s="290">
        <v>0</v>
      </c>
      <c r="X555" s="290">
        <v>0</v>
      </c>
      <c r="Y555" s="290">
        <v>0</v>
      </c>
      <c r="Z555" s="290">
        <v>0</v>
      </c>
      <c r="AA555" s="290">
        <v>0</v>
      </c>
      <c r="AB555" s="290">
        <v>0</v>
      </c>
      <c r="AC555" s="290">
        <v>0</v>
      </c>
      <c r="AD555" s="290">
        <v>0</v>
      </c>
      <c r="AE555" s="290">
        <v>0</v>
      </c>
      <c r="AF555" s="290">
        <v>0</v>
      </c>
      <c r="AG555" s="290">
        <v>0</v>
      </c>
      <c r="AH555" s="290">
        <v>0</v>
      </c>
      <c r="AI555" s="290">
        <v>0</v>
      </c>
      <c r="AJ555" s="290">
        <v>0</v>
      </c>
      <c r="AK555" s="290">
        <v>0</v>
      </c>
      <c r="AL555" s="290">
        <v>0</v>
      </c>
      <c r="AM555" s="290">
        <v>0</v>
      </c>
      <c r="AN555" s="290">
        <v>0</v>
      </c>
      <c r="AO555" s="290">
        <v>0</v>
      </c>
      <c r="AP555" s="290">
        <v>0</v>
      </c>
      <c r="AQ555" s="290">
        <v>0</v>
      </c>
      <c r="AR555" s="290">
        <v>0</v>
      </c>
      <c r="AS555" s="290">
        <v>0</v>
      </c>
      <c r="AT555" s="290">
        <v>0</v>
      </c>
      <c r="AU555" s="290">
        <v>0</v>
      </c>
      <c r="AV555" s="290">
        <v>0</v>
      </c>
      <c r="AW555" s="290">
        <v>0</v>
      </c>
      <c r="AX555" s="290">
        <v>0</v>
      </c>
      <c r="AY555" s="290">
        <v>0</v>
      </c>
      <c r="AZ555" s="290">
        <v>0</v>
      </c>
      <c r="BA555" s="290">
        <v>0</v>
      </c>
      <c r="BB555" s="290">
        <v>0</v>
      </c>
      <c r="BC555" s="290">
        <v>0</v>
      </c>
      <c r="BD555" s="290">
        <v>0</v>
      </c>
      <c r="BE555" s="290">
        <v>0</v>
      </c>
      <c r="BF555" s="290">
        <v>0</v>
      </c>
      <c r="BG555" s="290">
        <v>0</v>
      </c>
      <c r="BH555" s="290">
        <v>0</v>
      </c>
      <c r="BI555" s="290">
        <v>0</v>
      </c>
      <c r="BJ555" s="290">
        <v>0</v>
      </c>
      <c r="BK555" s="78">
        <v>0</v>
      </c>
      <c r="BL555" s="41" t="s">
        <v>616</v>
      </c>
      <c r="BM555" s="45"/>
    </row>
    <row r="556" spans="1:65" x14ac:dyDescent="0.35">
      <c r="A556" s="45" t="str">
        <f>Database_Productkaarten[[#This Row],[Product]]&amp;", "&amp;Database_Productkaarten[[#This Row],[Levensfase]]</f>
        <v>Open steenasfalt - PCR 2.0, B4</v>
      </c>
      <c r="B556" s="45" t="s">
        <v>1369</v>
      </c>
      <c r="C556" s="41" t="s">
        <v>443</v>
      </c>
      <c r="D556" s="45" t="s">
        <v>45</v>
      </c>
      <c r="E556" s="41" t="s">
        <v>91</v>
      </c>
      <c r="F556" s="41" t="s">
        <v>50</v>
      </c>
      <c r="G556" s="45"/>
      <c r="H556" s="45"/>
      <c r="I556" s="45"/>
      <c r="J556" s="45"/>
      <c r="K556" s="45"/>
      <c r="L556" s="45">
        <v>2</v>
      </c>
      <c r="M556" s="291">
        <v>0</v>
      </c>
      <c r="N556" s="45">
        <v>30</v>
      </c>
      <c r="O556" s="290">
        <v>0</v>
      </c>
      <c r="P556" s="290">
        <v>0</v>
      </c>
      <c r="Q556" s="290">
        <v>0</v>
      </c>
      <c r="R556" s="290">
        <v>0</v>
      </c>
      <c r="S556" s="290">
        <v>0</v>
      </c>
      <c r="T556" s="290">
        <v>0</v>
      </c>
      <c r="U556" s="290">
        <v>0</v>
      </c>
      <c r="V556" s="290">
        <v>0</v>
      </c>
      <c r="W556" s="290">
        <v>0</v>
      </c>
      <c r="X556" s="290">
        <v>0</v>
      </c>
      <c r="Y556" s="290">
        <v>0</v>
      </c>
      <c r="Z556" s="290">
        <v>0</v>
      </c>
      <c r="AA556" s="290">
        <v>0</v>
      </c>
      <c r="AB556" s="290">
        <v>0</v>
      </c>
      <c r="AC556" s="290">
        <v>0</v>
      </c>
      <c r="AD556" s="290">
        <v>0</v>
      </c>
      <c r="AE556" s="290">
        <v>0</v>
      </c>
      <c r="AF556" s="290">
        <v>0</v>
      </c>
      <c r="AG556" s="290">
        <v>0</v>
      </c>
      <c r="AH556" s="290">
        <v>0</v>
      </c>
      <c r="AI556" s="290">
        <v>0</v>
      </c>
      <c r="AJ556" s="290">
        <v>0</v>
      </c>
      <c r="AK556" s="290">
        <v>0</v>
      </c>
      <c r="AL556" s="290">
        <v>0</v>
      </c>
      <c r="AM556" s="290">
        <v>0</v>
      </c>
      <c r="AN556" s="290">
        <v>0</v>
      </c>
      <c r="AO556" s="290">
        <v>0</v>
      </c>
      <c r="AP556" s="290">
        <v>0</v>
      </c>
      <c r="AQ556" s="290">
        <v>0</v>
      </c>
      <c r="AR556" s="290">
        <v>0</v>
      </c>
      <c r="AS556" s="290">
        <v>0</v>
      </c>
      <c r="AT556" s="290">
        <v>0</v>
      </c>
      <c r="AU556" s="290">
        <v>0</v>
      </c>
      <c r="AV556" s="290">
        <v>0</v>
      </c>
      <c r="AW556" s="290">
        <v>0</v>
      </c>
      <c r="AX556" s="290">
        <v>0</v>
      </c>
      <c r="AY556" s="290">
        <v>0</v>
      </c>
      <c r="AZ556" s="290">
        <v>0</v>
      </c>
      <c r="BA556" s="290">
        <v>0</v>
      </c>
      <c r="BB556" s="290">
        <v>0</v>
      </c>
      <c r="BC556" s="290">
        <v>0</v>
      </c>
      <c r="BD556" s="290">
        <v>0</v>
      </c>
      <c r="BE556" s="290">
        <v>0</v>
      </c>
      <c r="BF556" s="290">
        <v>0</v>
      </c>
      <c r="BG556" s="290">
        <v>0</v>
      </c>
      <c r="BH556" s="290">
        <v>0</v>
      </c>
      <c r="BI556" s="290">
        <v>0</v>
      </c>
      <c r="BJ556" s="290">
        <v>0</v>
      </c>
      <c r="BK556" s="78">
        <v>0</v>
      </c>
      <c r="BL556" s="41" t="s">
        <v>616</v>
      </c>
      <c r="BM556" s="45"/>
    </row>
    <row r="557" spans="1:65" x14ac:dyDescent="0.35">
      <c r="A557" s="45" t="str">
        <f>Database_Productkaarten[[#This Row],[Product]]&amp;", "&amp;Database_Productkaarten[[#This Row],[Levensfase]]</f>
        <v>Open steenasfalt - PCR 2.0, B5</v>
      </c>
      <c r="B557" s="45" t="s">
        <v>1369</v>
      </c>
      <c r="C557" s="41" t="s">
        <v>443</v>
      </c>
      <c r="D557" s="45" t="s">
        <v>45</v>
      </c>
      <c r="E557" s="41" t="s">
        <v>91</v>
      </c>
      <c r="F557" s="41" t="s">
        <v>1358</v>
      </c>
      <c r="G557" s="45"/>
      <c r="H557" s="45"/>
      <c r="I557" s="45"/>
      <c r="J557" s="45"/>
      <c r="K557" s="45"/>
      <c r="L557" s="45">
        <v>2</v>
      </c>
      <c r="M557" s="291">
        <v>0</v>
      </c>
      <c r="N557" s="45">
        <v>30</v>
      </c>
      <c r="O557" s="290">
        <v>0</v>
      </c>
      <c r="P557" s="290">
        <v>0</v>
      </c>
      <c r="Q557" s="290">
        <v>0</v>
      </c>
      <c r="R557" s="290">
        <v>0</v>
      </c>
      <c r="S557" s="290">
        <v>0</v>
      </c>
      <c r="T557" s="290">
        <v>0</v>
      </c>
      <c r="U557" s="290">
        <v>0</v>
      </c>
      <c r="V557" s="290">
        <v>0</v>
      </c>
      <c r="W557" s="290">
        <v>0</v>
      </c>
      <c r="X557" s="290">
        <v>0</v>
      </c>
      <c r="Y557" s="290">
        <v>0</v>
      </c>
      <c r="Z557" s="290">
        <v>0</v>
      </c>
      <c r="AA557" s="290">
        <v>0</v>
      </c>
      <c r="AB557" s="290">
        <v>0</v>
      </c>
      <c r="AC557" s="290">
        <v>0</v>
      </c>
      <c r="AD557" s="290">
        <v>0</v>
      </c>
      <c r="AE557" s="290">
        <v>0</v>
      </c>
      <c r="AF557" s="290">
        <v>0</v>
      </c>
      <c r="AG557" s="290">
        <v>0</v>
      </c>
      <c r="AH557" s="290">
        <v>0</v>
      </c>
      <c r="AI557" s="290">
        <v>0</v>
      </c>
      <c r="AJ557" s="290">
        <v>0</v>
      </c>
      <c r="AK557" s="290">
        <v>0</v>
      </c>
      <c r="AL557" s="290">
        <v>0</v>
      </c>
      <c r="AM557" s="290">
        <v>0</v>
      </c>
      <c r="AN557" s="290">
        <v>0</v>
      </c>
      <c r="AO557" s="290">
        <v>0</v>
      </c>
      <c r="AP557" s="290">
        <v>0</v>
      </c>
      <c r="AQ557" s="290">
        <v>0</v>
      </c>
      <c r="AR557" s="290">
        <v>0</v>
      </c>
      <c r="AS557" s="290">
        <v>0</v>
      </c>
      <c r="AT557" s="290">
        <v>0</v>
      </c>
      <c r="AU557" s="290">
        <v>0</v>
      </c>
      <c r="AV557" s="290">
        <v>0</v>
      </c>
      <c r="AW557" s="290">
        <v>0</v>
      </c>
      <c r="AX557" s="290">
        <v>0</v>
      </c>
      <c r="AY557" s="290">
        <v>0</v>
      </c>
      <c r="AZ557" s="290">
        <v>0</v>
      </c>
      <c r="BA557" s="290">
        <v>0</v>
      </c>
      <c r="BB557" s="290">
        <v>0</v>
      </c>
      <c r="BC557" s="290">
        <v>0</v>
      </c>
      <c r="BD557" s="290">
        <v>0</v>
      </c>
      <c r="BE557" s="290">
        <v>0</v>
      </c>
      <c r="BF557" s="290">
        <v>0</v>
      </c>
      <c r="BG557" s="290">
        <v>0</v>
      </c>
      <c r="BH557" s="290">
        <v>0</v>
      </c>
      <c r="BI557" s="290">
        <v>0</v>
      </c>
      <c r="BJ557" s="290">
        <v>0</v>
      </c>
      <c r="BK557" s="78">
        <v>0</v>
      </c>
      <c r="BL557" s="41" t="s">
        <v>616</v>
      </c>
      <c r="BM557" s="45"/>
    </row>
    <row r="558" spans="1:65" x14ac:dyDescent="0.35">
      <c r="A558" s="45" t="str">
        <f>Database_Productkaarten[[#This Row],[Product]]&amp;", "&amp;Database_Productkaarten[[#This Row],[Levensfase]]</f>
        <v>Open steenasfalt - PCR 2.0, C1</v>
      </c>
      <c r="B558" s="45" t="s">
        <v>1369</v>
      </c>
      <c r="C558" s="41" t="s">
        <v>443</v>
      </c>
      <c r="D558" s="45" t="s">
        <v>45</v>
      </c>
      <c r="E558" s="41" t="s">
        <v>91</v>
      </c>
      <c r="F558" s="41" t="s">
        <v>25</v>
      </c>
      <c r="G558" s="45"/>
      <c r="H558" s="45"/>
      <c r="I558" s="45"/>
      <c r="J558" s="45"/>
      <c r="K558" s="45"/>
      <c r="L558" s="45">
        <v>2</v>
      </c>
      <c r="M558" s="291">
        <v>8.3571103153452633E-2</v>
      </c>
      <c r="N558" s="45">
        <v>30</v>
      </c>
      <c r="O558" s="290">
        <v>1.0082135420139601E-6</v>
      </c>
      <c r="P558" s="290">
        <v>4.2889203408764103E-3</v>
      </c>
      <c r="Q558" s="290">
        <v>0.87225145374166402</v>
      </c>
      <c r="R558" s="290">
        <v>1.12716220201224E-7</v>
      </c>
      <c r="S558" s="290">
        <v>3.0228835038801201E-4</v>
      </c>
      <c r="T558" s="290">
        <v>2.71430842876138E-3</v>
      </c>
      <c r="U558" s="290">
        <v>5.9352348137367301E-4</v>
      </c>
      <c r="V558" s="290">
        <v>0.235317982377896</v>
      </c>
      <c r="W558" s="290">
        <v>3.34568254361219E-3</v>
      </c>
      <c r="X558" s="290">
        <v>11.6247723212762</v>
      </c>
      <c r="Y558" s="290">
        <v>3.9620900708699599E-4</v>
      </c>
      <c r="Z558" s="290">
        <v>0.87795754643591795</v>
      </c>
      <c r="AA558" s="290">
        <v>0.87770559926909097</v>
      </c>
      <c r="AB558" s="290">
        <v>2.0067251963932199E-4</v>
      </c>
      <c r="AC558" s="290">
        <v>5.1274647188167198E-5</v>
      </c>
      <c r="AD558" s="290">
        <v>1.4202688927376401E-7</v>
      </c>
      <c r="AE558" s="290">
        <v>3.7132362401737801E-3</v>
      </c>
      <c r="AF558" s="290">
        <v>2.3955808023088498E-6</v>
      </c>
      <c r="AG558" s="290">
        <v>1.48850199244356E-3</v>
      </c>
      <c r="AH558" s="290">
        <v>1.6353700526041699E-2</v>
      </c>
      <c r="AI558" s="290">
        <v>4.4232800045604197E-3</v>
      </c>
      <c r="AJ558" s="290">
        <v>1.0082056304416699E-6</v>
      </c>
      <c r="AK558" s="290">
        <v>9.0493601460277606</v>
      </c>
      <c r="AL558" s="290">
        <v>1.2052269657270701E-2</v>
      </c>
      <c r="AM558" s="290">
        <v>1.4694996980682999E-8</v>
      </c>
      <c r="AN558" s="290">
        <v>3.8840694248957898E-2</v>
      </c>
      <c r="AO558" s="290">
        <v>5.42983657364059</v>
      </c>
      <c r="AP558" s="290">
        <v>1.9050047528483999E-10</v>
      </c>
      <c r="AQ558" s="290">
        <v>4.0542782219529099E-9</v>
      </c>
      <c r="AR558" s="290">
        <v>1.1558584855138301</v>
      </c>
      <c r="AS558" s="290">
        <v>0</v>
      </c>
      <c r="AT558" s="290">
        <v>0</v>
      </c>
      <c r="AU558" s="290">
        <v>4.9739779547009602E-2</v>
      </c>
      <c r="AV558" s="290">
        <v>0</v>
      </c>
      <c r="AW558" s="290">
        <v>0</v>
      </c>
      <c r="AX558" s="290">
        <v>9.6101342588848997</v>
      </c>
      <c r="AY558" s="290">
        <v>0</v>
      </c>
      <c r="AZ558" s="290">
        <v>0</v>
      </c>
      <c r="BA558" s="290">
        <v>0</v>
      </c>
      <c r="BB558" s="290">
        <v>4.67791925779088E-4</v>
      </c>
      <c r="BC558" s="290">
        <v>2.4643824180801299E-5</v>
      </c>
      <c r="BD558" s="290">
        <v>1.0707851800721899E-2</v>
      </c>
      <c r="BE558" s="290">
        <v>6.2893538642935995E-5</v>
      </c>
      <c r="BF558" s="290">
        <v>0</v>
      </c>
      <c r="BG558" s="290">
        <v>0</v>
      </c>
      <c r="BH558" s="290">
        <v>0</v>
      </c>
      <c r="BI558" s="290">
        <v>0</v>
      </c>
      <c r="BJ558" s="290">
        <v>0</v>
      </c>
      <c r="BK558" s="78">
        <v>0</v>
      </c>
      <c r="BL558" s="41" t="s">
        <v>616</v>
      </c>
      <c r="BM558" s="45"/>
    </row>
    <row r="559" spans="1:65" x14ac:dyDescent="0.35">
      <c r="A559" s="45" t="str">
        <f>Database_Productkaarten[[#This Row],[Product]]&amp;", "&amp;Database_Productkaarten[[#This Row],[Levensfase]]</f>
        <v>Open steenasfalt - PCR 2.0, C2</v>
      </c>
      <c r="B559" s="45" t="s">
        <v>1369</v>
      </c>
      <c r="C559" s="41" t="s">
        <v>443</v>
      </c>
      <c r="D559" s="45" t="s">
        <v>45</v>
      </c>
      <c r="E559" s="41" t="s">
        <v>91</v>
      </c>
      <c r="F559" s="41" t="s">
        <v>26</v>
      </c>
      <c r="G559" s="45"/>
      <c r="H559" s="45"/>
      <c r="I559" s="45"/>
      <c r="J559" s="45"/>
      <c r="K559" s="45"/>
      <c r="L559" s="45">
        <v>2</v>
      </c>
      <c r="M559" s="291">
        <v>0.35801078312874995</v>
      </c>
      <c r="N559" s="45">
        <v>30</v>
      </c>
      <c r="O559" s="290">
        <v>8.1301624999999996E-5</v>
      </c>
      <c r="P559" s="290">
        <v>2.8204312499999998E-2</v>
      </c>
      <c r="Q559" s="290">
        <v>3.6853721374999999</v>
      </c>
      <c r="R559" s="290">
        <v>7.0324562500000001E-7</v>
      </c>
      <c r="S559" s="290">
        <v>2.6647749999999999E-3</v>
      </c>
      <c r="T559" s="290">
        <v>1.116025E-2</v>
      </c>
      <c r="U559" s="290">
        <v>1.87016375E-3</v>
      </c>
      <c r="V559" s="290">
        <v>1.0029557</v>
      </c>
      <c r="W559" s="290">
        <v>3.9476962499999997E-2</v>
      </c>
      <c r="X559" s="290">
        <v>104.371675</v>
      </c>
      <c r="Y559" s="290">
        <v>8.4311249999999994E-3</v>
      </c>
      <c r="Z559" s="290">
        <v>3.7331890125</v>
      </c>
      <c r="AA559" s="290">
        <v>3.7164208875</v>
      </c>
      <c r="AB559" s="290">
        <v>1.532341125E-2</v>
      </c>
      <c r="AC559" s="290">
        <v>1.44472E-3</v>
      </c>
      <c r="AD559" s="290">
        <v>8.79587125E-7</v>
      </c>
      <c r="AE559" s="290">
        <v>1.4056875E-2</v>
      </c>
      <c r="AF559" s="290">
        <v>3.9000600000000001E-5</v>
      </c>
      <c r="AG559" s="290">
        <v>3.2542037499999998E-3</v>
      </c>
      <c r="AH559" s="290">
        <v>3.7907725000000003E-2</v>
      </c>
      <c r="AI559" s="290">
        <v>1.36244625E-2</v>
      </c>
      <c r="AJ559" s="290">
        <v>8.1301250000000004E-5</v>
      </c>
      <c r="AK559" s="290">
        <v>58.905272875000001</v>
      </c>
      <c r="AL559" s="290">
        <v>0.3217441875</v>
      </c>
      <c r="AM559" s="290">
        <v>3.2144174999999999E-7</v>
      </c>
      <c r="AN559" s="290">
        <v>0.25122056250000002</v>
      </c>
      <c r="AO559" s="290">
        <v>56.998236249999998</v>
      </c>
      <c r="AP559" s="290">
        <v>1.5226337500000001E-9</v>
      </c>
      <c r="AQ559" s="290">
        <v>4.867285E-8</v>
      </c>
      <c r="AR559" s="290">
        <v>110.955825</v>
      </c>
      <c r="AS559" s="290">
        <v>9.0831365000000002</v>
      </c>
      <c r="AT559" s="290">
        <v>0</v>
      </c>
      <c r="AU559" s="290">
        <v>9.7931922999999994</v>
      </c>
      <c r="AV559" s="290">
        <v>0.79580531249999997</v>
      </c>
      <c r="AW559" s="290">
        <v>1.1178862500000001E-3</v>
      </c>
      <c r="AX559" s="290">
        <v>62.568930999999999</v>
      </c>
      <c r="AY559" s="290">
        <v>0</v>
      </c>
      <c r="AZ559" s="290">
        <v>0</v>
      </c>
      <c r="BA559" s="290">
        <v>0</v>
      </c>
      <c r="BB559" s="290">
        <v>9.8353875000000007E-3</v>
      </c>
      <c r="BC559" s="290">
        <v>1.7316162499999999E-4</v>
      </c>
      <c r="BD559" s="290">
        <v>6.2594438749999997</v>
      </c>
      <c r="BE559" s="290">
        <v>3.9263137500000002E-4</v>
      </c>
      <c r="BF559" s="290">
        <v>0</v>
      </c>
      <c r="BG559" s="290">
        <v>0</v>
      </c>
      <c r="BH559" s="290">
        <v>0</v>
      </c>
      <c r="BI559" s="290">
        <v>0</v>
      </c>
      <c r="BJ559" s="290">
        <v>0</v>
      </c>
      <c r="BK559" s="78">
        <v>0</v>
      </c>
      <c r="BL559" s="41" t="s">
        <v>616</v>
      </c>
      <c r="BM559" s="45"/>
    </row>
    <row r="560" spans="1:65" x14ac:dyDescent="0.35">
      <c r="A560" s="45" t="str">
        <f>Database_Productkaarten[[#This Row],[Product]]&amp;", "&amp;Database_Productkaarten[[#This Row],[Levensfase]]</f>
        <v>Open steenasfalt - PCR 2.0, C3</v>
      </c>
      <c r="B560" s="45" t="s">
        <v>1369</v>
      </c>
      <c r="C560" s="41" t="s">
        <v>443</v>
      </c>
      <c r="D560" s="45" t="s">
        <v>45</v>
      </c>
      <c r="E560" s="41" t="s">
        <v>91</v>
      </c>
      <c r="F560" s="41" t="s">
        <v>27</v>
      </c>
      <c r="G560" s="45"/>
      <c r="H560" s="45"/>
      <c r="I560" s="45"/>
      <c r="J560" s="45"/>
      <c r="K560" s="45"/>
      <c r="L560" s="45">
        <v>2</v>
      </c>
      <c r="M560" s="291">
        <v>0</v>
      </c>
      <c r="N560" s="45">
        <v>30</v>
      </c>
      <c r="O560" s="290">
        <v>0</v>
      </c>
      <c r="P560" s="290">
        <v>0</v>
      </c>
      <c r="Q560" s="290">
        <v>0</v>
      </c>
      <c r="R560" s="290">
        <v>0</v>
      </c>
      <c r="S560" s="290">
        <v>0</v>
      </c>
      <c r="T560" s="290">
        <v>0</v>
      </c>
      <c r="U560" s="290">
        <v>0</v>
      </c>
      <c r="V560" s="290">
        <v>0</v>
      </c>
      <c r="W560" s="290">
        <v>0</v>
      </c>
      <c r="X560" s="290">
        <v>0</v>
      </c>
      <c r="Y560" s="290">
        <v>0</v>
      </c>
      <c r="Z560" s="290">
        <v>0</v>
      </c>
      <c r="AA560" s="290">
        <v>0</v>
      </c>
      <c r="AB560" s="290">
        <v>0</v>
      </c>
      <c r="AC560" s="290">
        <v>0</v>
      </c>
      <c r="AD560" s="290">
        <v>0</v>
      </c>
      <c r="AE560" s="290">
        <v>0</v>
      </c>
      <c r="AF560" s="290">
        <v>0</v>
      </c>
      <c r="AG560" s="290">
        <v>0</v>
      </c>
      <c r="AH560" s="290">
        <v>0</v>
      </c>
      <c r="AI560" s="290">
        <v>0</v>
      </c>
      <c r="AJ560" s="290">
        <v>0</v>
      </c>
      <c r="AK560" s="290">
        <v>0</v>
      </c>
      <c r="AL560" s="290">
        <v>0</v>
      </c>
      <c r="AM560" s="290">
        <v>0</v>
      </c>
      <c r="AN560" s="290">
        <v>0</v>
      </c>
      <c r="AO560" s="290">
        <v>0</v>
      </c>
      <c r="AP560" s="290">
        <v>0</v>
      </c>
      <c r="AQ560" s="290">
        <v>0</v>
      </c>
      <c r="AR560" s="290">
        <v>0</v>
      </c>
      <c r="AS560" s="290">
        <v>0</v>
      </c>
      <c r="AT560" s="290">
        <v>0</v>
      </c>
      <c r="AU560" s="290">
        <v>0</v>
      </c>
      <c r="AV560" s="290">
        <v>0</v>
      </c>
      <c r="AW560" s="290">
        <v>0</v>
      </c>
      <c r="AX560" s="290">
        <v>0</v>
      </c>
      <c r="AY560" s="290">
        <v>0</v>
      </c>
      <c r="AZ560" s="290">
        <v>0</v>
      </c>
      <c r="BA560" s="290">
        <v>0</v>
      </c>
      <c r="BB560" s="290">
        <v>0</v>
      </c>
      <c r="BC560" s="290">
        <v>0</v>
      </c>
      <c r="BD560" s="290">
        <v>0</v>
      </c>
      <c r="BE560" s="290">
        <v>0</v>
      </c>
      <c r="BF560" s="290">
        <v>0</v>
      </c>
      <c r="BG560" s="290">
        <v>0</v>
      </c>
      <c r="BH560" s="290">
        <v>0</v>
      </c>
      <c r="BI560" s="290">
        <v>0</v>
      </c>
      <c r="BJ560" s="290">
        <v>0</v>
      </c>
      <c r="BK560" s="78">
        <v>0</v>
      </c>
      <c r="BL560" s="41" t="s">
        <v>616</v>
      </c>
      <c r="BM560" s="45"/>
    </row>
    <row r="561" spans="1:65" x14ac:dyDescent="0.35">
      <c r="A561" s="45" t="str">
        <f>Database_Productkaarten[[#This Row],[Product]]&amp;", "&amp;Database_Productkaarten[[#This Row],[Levensfase]]</f>
        <v>Open steenasfalt - PCR 2.0, C4</v>
      </c>
      <c r="B561" s="45" t="s">
        <v>1369</v>
      </c>
      <c r="C561" s="41" t="s">
        <v>443</v>
      </c>
      <c r="D561" s="45" t="s">
        <v>45</v>
      </c>
      <c r="E561" s="41" t="s">
        <v>91</v>
      </c>
      <c r="F561" s="41" t="s">
        <v>28</v>
      </c>
      <c r="G561" s="45"/>
      <c r="H561" s="45"/>
      <c r="I561" s="45"/>
      <c r="J561" s="45"/>
      <c r="K561" s="45"/>
      <c r="L561" s="45">
        <v>2</v>
      </c>
      <c r="M561" s="291">
        <v>0.7296141746500171</v>
      </c>
      <c r="N561" s="45">
        <v>30</v>
      </c>
      <c r="O561" s="290">
        <v>4.8191034131105399E-5</v>
      </c>
      <c r="P561" s="290">
        <v>7.0392419153822203E-2</v>
      </c>
      <c r="Q561" s="290">
        <v>5.1682147630547304</v>
      </c>
      <c r="R561" s="290">
        <v>1.72133808732801E-6</v>
      </c>
      <c r="S561" s="290">
        <v>5.50516721002073E-3</v>
      </c>
      <c r="T561" s="290">
        <v>3.7795111552073699E-2</v>
      </c>
      <c r="U561" s="290">
        <v>7.2906223931785696E-3</v>
      </c>
      <c r="V561" s="290">
        <v>2.33599012231016</v>
      </c>
      <c r="W561" s="290">
        <v>5.5438446349023597E-2</v>
      </c>
      <c r="X561" s="290">
        <v>198.2062629724</v>
      </c>
      <c r="Y561" s="290">
        <v>5.8670977003276803E-3</v>
      </c>
      <c r="Z561" s="290">
        <v>5.2774322520106196</v>
      </c>
      <c r="AA561" s="290">
        <v>5.2655222871368297</v>
      </c>
      <c r="AB561" s="290">
        <v>1.04420704841626E-2</v>
      </c>
      <c r="AC561" s="290">
        <v>1.4678943896201801E-3</v>
      </c>
      <c r="AD561" s="290">
        <v>2.1684935582940401E-6</v>
      </c>
      <c r="AE561" s="290">
        <v>4.9990692053720302E-2</v>
      </c>
      <c r="AF561" s="290">
        <v>5.9023121381438599E-5</v>
      </c>
      <c r="AG561" s="290">
        <v>1.71925473667464E-2</v>
      </c>
      <c r="AH561" s="290">
        <v>0.189559719597925</v>
      </c>
      <c r="AI561" s="290">
        <v>5.5061349845082097E-2</v>
      </c>
      <c r="AJ561" s="290">
        <v>4.8190634932919702E-5</v>
      </c>
      <c r="AK561" s="290">
        <v>147.217235291848</v>
      </c>
      <c r="AL561" s="290">
        <v>6.5991208231461096</v>
      </c>
      <c r="AM561" s="290">
        <v>9.6986339733199702E-7</v>
      </c>
      <c r="AN561" s="290">
        <v>0.60391960399846001</v>
      </c>
      <c r="AO561" s="290">
        <v>95.499347823959994</v>
      </c>
      <c r="AP561" s="290">
        <v>2.20757521305483E-9</v>
      </c>
      <c r="AQ561" s="290">
        <v>6.7894331496460696E-8</v>
      </c>
      <c r="AR561" s="290">
        <v>308.74374267222203</v>
      </c>
      <c r="AS561" s="290">
        <v>0</v>
      </c>
      <c r="AT561" s="290">
        <v>0</v>
      </c>
      <c r="AU561" s="290">
        <v>1.1902980485677299</v>
      </c>
      <c r="AV561" s="290">
        <v>0</v>
      </c>
      <c r="AW561" s="290">
        <v>0</v>
      </c>
      <c r="AX561" s="290">
        <v>156.37620338061299</v>
      </c>
      <c r="AY561" s="290">
        <v>0</v>
      </c>
      <c r="AZ561" s="290">
        <v>0</v>
      </c>
      <c r="BA561" s="290">
        <v>0</v>
      </c>
      <c r="BB561" s="290">
        <v>0.15723153067207801</v>
      </c>
      <c r="BC561" s="290">
        <v>2.1998950042333799E-4</v>
      </c>
      <c r="BD561" s="290">
        <v>999.69461551998995</v>
      </c>
      <c r="BE561" s="290">
        <v>9.6680517495675801E-4</v>
      </c>
      <c r="BF561" s="290">
        <v>0</v>
      </c>
      <c r="BG561" s="290">
        <v>0</v>
      </c>
      <c r="BH561" s="290">
        <v>0</v>
      </c>
      <c r="BI561" s="290">
        <v>0</v>
      </c>
      <c r="BJ561" s="290">
        <v>0</v>
      </c>
      <c r="BK561" s="78">
        <v>0</v>
      </c>
      <c r="BL561" s="41" t="s">
        <v>616</v>
      </c>
      <c r="BM561" s="45"/>
    </row>
    <row r="562" spans="1:65" x14ac:dyDescent="0.35">
      <c r="A562" s="45" t="str">
        <f>Database_Productkaarten[[#This Row],[Product]]&amp;", "&amp;Database_Productkaarten[[#This Row],[Levensfase]]</f>
        <v>Open steenasfalt - PCR 2.0, D1</v>
      </c>
      <c r="B562" s="45" t="s">
        <v>1369</v>
      </c>
      <c r="C562" s="41" t="s">
        <v>443</v>
      </c>
      <c r="D562" s="45" t="s">
        <v>45</v>
      </c>
      <c r="E562" s="41" t="s">
        <v>91</v>
      </c>
      <c r="F562" s="41" t="s">
        <v>51</v>
      </c>
      <c r="G562" s="45"/>
      <c r="H562" s="45"/>
      <c r="I562" s="45"/>
      <c r="J562" s="45"/>
      <c r="K562" s="45"/>
      <c r="L562" s="45">
        <v>2</v>
      </c>
      <c r="M562" s="291">
        <v>0</v>
      </c>
      <c r="N562" s="45">
        <v>30</v>
      </c>
      <c r="O562" s="290">
        <v>0</v>
      </c>
      <c r="P562" s="290">
        <v>0</v>
      </c>
      <c r="Q562" s="290">
        <v>0</v>
      </c>
      <c r="R562" s="290">
        <v>0</v>
      </c>
      <c r="S562" s="290">
        <v>0</v>
      </c>
      <c r="T562" s="290">
        <v>0</v>
      </c>
      <c r="U562" s="290">
        <v>0</v>
      </c>
      <c r="V562" s="290">
        <v>0</v>
      </c>
      <c r="W562" s="290">
        <v>0</v>
      </c>
      <c r="X562" s="290">
        <v>0</v>
      </c>
      <c r="Y562" s="290">
        <v>0</v>
      </c>
      <c r="Z562" s="290">
        <v>0</v>
      </c>
      <c r="AA562" s="290">
        <v>0</v>
      </c>
      <c r="AB562" s="290">
        <v>0</v>
      </c>
      <c r="AC562" s="290">
        <v>0</v>
      </c>
      <c r="AD562" s="290">
        <v>0</v>
      </c>
      <c r="AE562" s="290">
        <v>0</v>
      </c>
      <c r="AF562" s="290">
        <v>0</v>
      </c>
      <c r="AG562" s="290">
        <v>0</v>
      </c>
      <c r="AH562" s="290">
        <v>0</v>
      </c>
      <c r="AI562" s="290">
        <v>0</v>
      </c>
      <c r="AJ562" s="290">
        <v>0</v>
      </c>
      <c r="AK562" s="290">
        <v>0</v>
      </c>
      <c r="AL562" s="290">
        <v>0</v>
      </c>
      <c r="AM562" s="290">
        <v>0</v>
      </c>
      <c r="AN562" s="290">
        <v>0</v>
      </c>
      <c r="AO562" s="290">
        <v>0</v>
      </c>
      <c r="AP562" s="290">
        <v>0</v>
      </c>
      <c r="AQ562" s="290">
        <v>0</v>
      </c>
      <c r="AR562" s="290">
        <v>0</v>
      </c>
      <c r="AS562" s="290">
        <v>0</v>
      </c>
      <c r="AT562" s="290">
        <v>0</v>
      </c>
      <c r="AU562" s="290">
        <v>0</v>
      </c>
      <c r="AV562" s="290">
        <v>0</v>
      </c>
      <c r="AW562" s="290">
        <v>0</v>
      </c>
      <c r="AX562" s="290">
        <v>0</v>
      </c>
      <c r="AY562" s="290">
        <v>0</v>
      </c>
      <c r="AZ562" s="290">
        <v>0</v>
      </c>
      <c r="BA562" s="290">
        <v>0</v>
      </c>
      <c r="BB562" s="290">
        <v>0</v>
      </c>
      <c r="BC562" s="290">
        <v>0</v>
      </c>
      <c r="BD562" s="290">
        <v>0</v>
      </c>
      <c r="BE562" s="290">
        <v>0</v>
      </c>
      <c r="BF562" s="290">
        <v>0</v>
      </c>
      <c r="BG562" s="290">
        <v>0</v>
      </c>
      <c r="BH562" s="290">
        <v>0</v>
      </c>
      <c r="BI562" s="290">
        <v>0</v>
      </c>
      <c r="BJ562" s="290">
        <v>0</v>
      </c>
      <c r="BK562" s="78">
        <v>0</v>
      </c>
      <c r="BL562" s="41" t="s">
        <v>616</v>
      </c>
      <c r="BM562" s="45"/>
    </row>
    <row r="563" spans="1:65" x14ac:dyDescent="0.35">
      <c r="A563" s="45" t="str">
        <f>Database_Productkaarten[[#This Row],[Product]]&amp;", "&amp;Database_Productkaarten[[#This Row],[Levensfase]]</f>
        <v>WB gietasfalt  - PCR 2.0, Totaal</v>
      </c>
      <c r="B563" s="45" t="s">
        <v>1374</v>
      </c>
      <c r="C563" s="41" t="s">
        <v>443</v>
      </c>
      <c r="D563" s="41" t="s">
        <v>475</v>
      </c>
      <c r="E563" s="41" t="s">
        <v>91</v>
      </c>
      <c r="F563" s="41" t="s">
        <v>16</v>
      </c>
      <c r="G563" s="45"/>
      <c r="H563" s="45"/>
      <c r="I563" s="45"/>
      <c r="J563" s="45"/>
      <c r="K563" s="45"/>
      <c r="L563" s="45">
        <v>2.1</v>
      </c>
      <c r="M563" s="54">
        <f>SUM(M564:M578)</f>
        <v>18.75864712834289</v>
      </c>
      <c r="N563" s="45">
        <v>75</v>
      </c>
      <c r="O563" s="55">
        <f>SUM(O564:O578)</f>
        <v>1.1832538685590075E-3</v>
      </c>
      <c r="P563" s="55">
        <f t="shared" ref="P563" si="861">SUM(P564:P578)</f>
        <v>2.8903788788179066</v>
      </c>
      <c r="Q563" s="55">
        <f t="shared" ref="Q563" si="862">SUM(Q564:Q578)</f>
        <v>159.17877594254503</v>
      </c>
      <c r="R563" s="55">
        <f t="shared" ref="R563" si="863">SUM(R564:R578)</f>
        <v>1.8027192692166611E-5</v>
      </c>
      <c r="S563" s="55">
        <f t="shared" ref="S563" si="864">SUM(S564:S578)</f>
        <v>0.2814722778798518</v>
      </c>
      <c r="T563" s="55">
        <f t="shared" ref="T563" si="865">SUM(T564:T578)</f>
        <v>0.87532388489684976</v>
      </c>
      <c r="U563" s="55">
        <f t="shared" ref="U563" si="866">SUM(U564:U578)</f>
        <v>9.7824908844634129E-2</v>
      </c>
      <c r="V563" s="55">
        <f t="shared" ref="V563" si="867">SUM(V564:V578)</f>
        <v>38.50458493985338</v>
      </c>
      <c r="W563" s="55">
        <f t="shared" ref="W563" si="868">SUM(W564:W578)</f>
        <v>4.1044760926997776</v>
      </c>
      <c r="X563" s="55">
        <f t="shared" ref="X563" si="869">SUM(X564:X578)</f>
        <v>17701.864591537833</v>
      </c>
      <c r="Y563" s="55">
        <f t="shared" ref="Y563" si="870">SUM(Y564:Y578)</f>
        <v>0.5519985455773746</v>
      </c>
      <c r="Z563" s="55">
        <f t="shared" ref="Z563" si="871">SUM(Z564:Z578)</f>
        <v>166.63965012178502</v>
      </c>
      <c r="AA563" s="55">
        <f t="shared" ref="AA563" si="872">SUM(AA564:AA578)</f>
        <v>166.27345446101796</v>
      </c>
      <c r="AB563" s="55">
        <f t="shared" ref="AB563" si="873">SUM(AB564:AB578)</f>
        <v>0.33732469797823023</v>
      </c>
      <c r="AC563" s="55">
        <f t="shared" ref="AC563" si="874">SUM(AC564:AC578)</f>
        <v>9.1670907038931937E-2</v>
      </c>
      <c r="AD563" s="55">
        <f t="shared" ref="AD563" si="875">SUM(AD564:AD578)</f>
        <v>2.2051055147972214E-5</v>
      </c>
      <c r="AE563" s="55">
        <f t="shared" ref="AE563" si="876">SUM(AE564:AE578)</f>
        <v>1.0633103390300982</v>
      </c>
      <c r="AF563" s="55">
        <f t="shared" ref="AF563" si="877">SUM(AF564:AF578)</f>
        <v>1.9866649103609715E-3</v>
      </c>
      <c r="AG563" s="55">
        <f t="shared" ref="AG563" si="878">SUM(AG564:AG578)</f>
        <v>0.22026543627057882</v>
      </c>
      <c r="AH563" s="55">
        <f t="shared" ref="AH563" si="879">SUM(AH564:AH578)</f>
        <v>2.293887156682286</v>
      </c>
      <c r="AI563" s="55">
        <f t="shared" ref="AI563" si="880">SUM(AI564:AI578)</f>
        <v>1.0976868522697896</v>
      </c>
      <c r="AJ563" s="55">
        <f t="shared" ref="AJ563" si="881">SUM(AJ564:AJ578)</f>
        <v>1.1831426774698585E-3</v>
      </c>
      <c r="AK563" s="55">
        <f t="shared" ref="AK563" si="882">SUM(AK564:AK578)</f>
        <v>6063.1922724976021</v>
      </c>
      <c r="AL563" s="55">
        <f t="shared" ref="AL563" si="883">SUM(AL564:AL578)</f>
        <v>109.36835849488662</v>
      </c>
      <c r="AM563" s="55">
        <f t="shared" ref="AM563" si="884">SUM(AM564:AM578)</f>
        <v>6.4189825245697317E-6</v>
      </c>
      <c r="AN563" s="55">
        <f t="shared" ref="AN563" si="885">SUM(AN564:AN578)</f>
        <v>5.6497279911397484</v>
      </c>
      <c r="AO563" s="55">
        <f t="shared" ref="AO563" si="886">SUM(AO564:AO578)</f>
        <v>6703.3087863902665</v>
      </c>
      <c r="AP563" s="55">
        <f t="shared" ref="AP563" si="887">SUM(AP564:AP578)</f>
        <v>4.6378052051102487E-8</v>
      </c>
      <c r="AQ563" s="55">
        <f t="shared" ref="AQ563" si="888">SUM(AQ564:AQ578)</f>
        <v>1.8107917496366024E-6</v>
      </c>
      <c r="AR563" s="55">
        <f t="shared" ref="AR563" si="889">SUM(AR564:AR578)</f>
        <v>1611.4885134969782</v>
      </c>
      <c r="AS563" s="55">
        <f t="shared" ref="AS563" si="890">SUM(AS564:AS578)</f>
        <v>9.0831365000000002</v>
      </c>
      <c r="AT563" s="55">
        <f t="shared" ref="AT563" si="891">SUM(AT564:AT578)</f>
        <v>0</v>
      </c>
      <c r="AU563" s="55">
        <f t="shared" ref="AU563" si="892">SUM(AU564:AU578)</f>
        <v>57.752918240666077</v>
      </c>
      <c r="AV563" s="55">
        <f t="shared" ref="AV563" si="893">SUM(AV564:AV578)</f>
        <v>0.79580531249999997</v>
      </c>
      <c r="AW563" s="55">
        <f t="shared" ref="AW563" si="894">SUM(AW564:AW578)</f>
        <v>1.1178862500000001E-3</v>
      </c>
      <c r="AX563" s="55">
        <f t="shared" ref="AX563" si="895">SUM(AX564:AX578)</f>
        <v>6464.5854772640887</v>
      </c>
      <c r="AY563" s="55">
        <f t="shared" ref="AY563" si="896">SUM(AY564:AY578)</f>
        <v>0</v>
      </c>
      <c r="AZ563" s="55">
        <f t="shared" ref="AZ563" si="897">SUM(AZ564:AZ578)</f>
        <v>0</v>
      </c>
      <c r="BA563" s="55">
        <f t="shared" ref="BA563" si="898">SUM(BA564:BA578)</f>
        <v>0</v>
      </c>
      <c r="BB563" s="55">
        <f t="shared" ref="BB563" si="899">SUM(BB564:BB578)</f>
        <v>2.649802454186073</v>
      </c>
      <c r="BC563" s="55">
        <f t="shared" ref="BC563" si="900">SUM(BC564:BC578)</f>
        <v>4.0338817177316714E-3</v>
      </c>
      <c r="BD563" s="55">
        <f t="shared" ref="BD563" si="901">SUM(BD564:BD578)</f>
        <v>1035.8468050335453</v>
      </c>
      <c r="BE563" s="55">
        <f t="shared" ref="BE563" si="902">SUM(BE564:BE578)</f>
        <v>6.4974848064836364E-3</v>
      </c>
      <c r="BF563" s="55">
        <f t="shared" ref="BF563" si="903">SUM(BF564:BF578)</f>
        <v>0</v>
      </c>
      <c r="BG563" s="55">
        <f t="shared" ref="BG563" si="904">SUM(BG564:BG578)</f>
        <v>0</v>
      </c>
      <c r="BH563" s="55">
        <f t="shared" ref="BH563" si="905">SUM(BH564:BH578)</f>
        <v>0</v>
      </c>
      <c r="BI563" s="55">
        <f t="shared" ref="BI563" si="906">SUM(BI564:BI578)</f>
        <v>0</v>
      </c>
      <c r="BJ563" s="55">
        <f t="shared" ref="BJ563" si="907">SUM(BJ564:BJ578)</f>
        <v>0</v>
      </c>
      <c r="BK563" s="78">
        <v>0</v>
      </c>
      <c r="BL563" s="41" t="s">
        <v>616</v>
      </c>
      <c r="BM563" s="45"/>
    </row>
    <row r="564" spans="1:65" x14ac:dyDescent="0.35">
      <c r="A564" s="45" t="str">
        <f>Database_Productkaarten[[#This Row],[Product]]&amp;", "&amp;Database_Productkaarten[[#This Row],[Levensfase]]</f>
        <v>WB gietasfalt  - PCR 2.0, A1</v>
      </c>
      <c r="B564" s="45" t="s">
        <v>1374</v>
      </c>
      <c r="C564" s="41" t="s">
        <v>443</v>
      </c>
      <c r="D564" s="41" t="s">
        <v>475</v>
      </c>
      <c r="E564" s="41" t="s">
        <v>91</v>
      </c>
      <c r="F564" s="41" t="s">
        <v>19</v>
      </c>
      <c r="G564" s="45"/>
      <c r="H564" s="45"/>
      <c r="I564" s="45"/>
      <c r="J564" s="45"/>
      <c r="K564" s="45"/>
      <c r="L564" s="45">
        <v>2.1</v>
      </c>
      <c r="M564" s="291">
        <v>11.908780898320451</v>
      </c>
      <c r="N564" s="45">
        <v>75</v>
      </c>
      <c r="O564" s="290">
        <v>5.2166946753379596E-4</v>
      </c>
      <c r="P564" s="290">
        <v>2.3411693979450301</v>
      </c>
      <c r="Q564" s="290">
        <v>89.544423967799901</v>
      </c>
      <c r="R564" s="290">
        <v>7.0107226350406403E-6</v>
      </c>
      <c r="S564" s="290">
        <v>0.24835768562881799</v>
      </c>
      <c r="T564" s="290">
        <v>0.61724086288304703</v>
      </c>
      <c r="U564" s="290">
        <v>4.5465677027945503E-2</v>
      </c>
      <c r="V564" s="290">
        <v>21.374557783325699</v>
      </c>
      <c r="W564" s="290">
        <v>3.6856776367744302</v>
      </c>
      <c r="X564" s="290">
        <v>16198.6159962232</v>
      </c>
      <c r="Y564" s="290">
        <v>0.461112703319907</v>
      </c>
      <c r="Z564" s="290">
        <v>96.103059787107696</v>
      </c>
      <c r="AA564" s="290">
        <v>95.904829859276305</v>
      </c>
      <c r="AB564" s="290">
        <v>0.20733724320212901</v>
      </c>
      <c r="AC564" s="290">
        <v>5.3692684629284997E-2</v>
      </c>
      <c r="AD564" s="290">
        <v>8.5953826509320093E-6</v>
      </c>
      <c r="AE564" s="290">
        <v>0.71630528101095403</v>
      </c>
      <c r="AF564" s="290">
        <v>1.1914950357549299E-3</v>
      </c>
      <c r="AG564" s="290">
        <v>9.3281601005396203E-2</v>
      </c>
      <c r="AH564" s="290">
        <v>0.889249119201314</v>
      </c>
      <c r="AI564" s="290">
        <v>0.70638982344355705</v>
      </c>
      <c r="AJ564" s="290">
        <v>5.21567628501464E-4</v>
      </c>
      <c r="AK564" s="290">
        <v>4969.6785913917902</v>
      </c>
      <c r="AL564" s="290">
        <v>99.832091236748496</v>
      </c>
      <c r="AM564" s="290">
        <v>3.0298814086250302E-6</v>
      </c>
      <c r="AN564" s="290">
        <v>2.3197749879983598</v>
      </c>
      <c r="AO564" s="290">
        <v>6041.0146449908298</v>
      </c>
      <c r="AP564" s="290">
        <v>2.5263076184341501E-8</v>
      </c>
      <c r="AQ564" s="290">
        <v>1.2858934715442599E-6</v>
      </c>
      <c r="AR564" s="290">
        <v>726.31701157115594</v>
      </c>
      <c r="AS564" s="290">
        <v>0</v>
      </c>
      <c r="AT564" s="290">
        <v>0</v>
      </c>
      <c r="AU564" s="290">
        <v>29.874785257088</v>
      </c>
      <c r="AV564" s="290">
        <v>0</v>
      </c>
      <c r="AW564" s="290">
        <v>0</v>
      </c>
      <c r="AX564" s="290">
        <v>5288.6217071309302</v>
      </c>
      <c r="AY564" s="290">
        <v>0</v>
      </c>
      <c r="AZ564" s="290">
        <v>0</v>
      </c>
      <c r="BA564" s="290">
        <v>0</v>
      </c>
      <c r="BB564" s="290">
        <v>2.36004536143628</v>
      </c>
      <c r="BC564" s="290">
        <v>1.8976049668550799E-3</v>
      </c>
      <c r="BD564" s="290">
        <v>5.9923649858067396</v>
      </c>
      <c r="BE564" s="290">
        <v>1.40262359633414E-3</v>
      </c>
      <c r="BF564" s="290">
        <v>0</v>
      </c>
      <c r="BG564" s="290">
        <v>0</v>
      </c>
      <c r="BH564" s="290">
        <v>0</v>
      </c>
      <c r="BI564" s="290">
        <v>0</v>
      </c>
      <c r="BJ564" s="290">
        <v>0</v>
      </c>
      <c r="BK564" s="78">
        <v>0</v>
      </c>
      <c r="BL564" s="41" t="s">
        <v>616</v>
      </c>
      <c r="BM564" s="45"/>
    </row>
    <row r="565" spans="1:65" x14ac:dyDescent="0.35">
      <c r="A565" s="45" t="str">
        <f>Database_Productkaarten[[#This Row],[Product]]&amp;", "&amp;Database_Productkaarten[[#This Row],[Levensfase]]</f>
        <v>WB gietasfalt  - PCR 2.0, A2</v>
      </c>
      <c r="B565" s="45" t="s">
        <v>1374</v>
      </c>
      <c r="C565" s="41" t="s">
        <v>443</v>
      </c>
      <c r="D565" s="41" t="s">
        <v>475</v>
      </c>
      <c r="E565" s="41" t="s">
        <v>91</v>
      </c>
      <c r="F565" s="41" t="s">
        <v>20</v>
      </c>
      <c r="G565" s="45"/>
      <c r="H565" s="45"/>
      <c r="I565" s="45"/>
      <c r="J565" s="45"/>
      <c r="K565" s="45"/>
      <c r="L565" s="45">
        <v>2.1</v>
      </c>
      <c r="M565" s="291">
        <v>2.622906616410102</v>
      </c>
      <c r="N565" s="45">
        <v>75</v>
      </c>
      <c r="O565" s="290">
        <v>3.0811443689878599E-4</v>
      </c>
      <c r="P565" s="290">
        <v>0.14403695629957999</v>
      </c>
      <c r="Q565" s="290">
        <v>21.910421481789399</v>
      </c>
      <c r="R565" s="290">
        <v>3.40066242944456E-6</v>
      </c>
      <c r="S565" s="290">
        <v>1.29994590657576E-2</v>
      </c>
      <c r="T565" s="290">
        <v>0.135659168852132</v>
      </c>
      <c r="U565" s="290">
        <v>2.9457434938549201E-2</v>
      </c>
      <c r="V565" s="290">
        <v>6.6893816553582797</v>
      </c>
      <c r="W565" s="290">
        <v>0.18072501963621199</v>
      </c>
      <c r="X565" s="290">
        <v>612.68341774019905</v>
      </c>
      <c r="Y565" s="290">
        <v>2.83560299595704E-2</v>
      </c>
      <c r="Z565" s="290">
        <v>22.150833796618699</v>
      </c>
      <c r="AA565" s="290">
        <v>22.094283431738901</v>
      </c>
      <c r="AB565" s="290">
        <v>2.6915343113911399E-2</v>
      </c>
      <c r="AC565" s="290">
        <v>2.96350217658309E-2</v>
      </c>
      <c r="AD565" s="290">
        <v>4.2397976606989598E-6</v>
      </c>
      <c r="AE565" s="290">
        <v>0.187239653521552</v>
      </c>
      <c r="AF565" s="290">
        <v>2.50873831671193E-4</v>
      </c>
      <c r="AG565" s="290">
        <v>7.6821994347517103E-2</v>
      </c>
      <c r="AH565" s="290">
        <v>0.84581960362477304</v>
      </c>
      <c r="AI565" s="290">
        <v>0.22289464332169701</v>
      </c>
      <c r="AJ565" s="290">
        <v>3.0810659033461398E-4</v>
      </c>
      <c r="AK565" s="290">
        <v>298.37580847624201</v>
      </c>
      <c r="AL565" s="290">
        <v>1.27483852612181</v>
      </c>
      <c r="AM565" s="290">
        <v>1.0192409984907601E-6</v>
      </c>
      <c r="AN565" s="290">
        <v>1.2769773580942401</v>
      </c>
      <c r="AO565" s="290">
        <v>264.63116508357803</v>
      </c>
      <c r="AP565" s="290">
        <v>1.0190448313151999E-8</v>
      </c>
      <c r="AQ565" s="290">
        <v>2.2371487311405601E-7</v>
      </c>
      <c r="AR565" s="290">
        <v>240.099926874803</v>
      </c>
      <c r="AS565" s="290">
        <v>0</v>
      </c>
      <c r="AT565" s="290">
        <v>0</v>
      </c>
      <c r="AU565" s="290">
        <v>5.7394575525544997</v>
      </c>
      <c r="AV565" s="290">
        <v>0</v>
      </c>
      <c r="AW565" s="290">
        <v>0</v>
      </c>
      <c r="AX565" s="290">
        <v>316.69174969631899</v>
      </c>
      <c r="AY565" s="290">
        <v>0</v>
      </c>
      <c r="AZ565" s="290">
        <v>0</v>
      </c>
      <c r="BA565" s="290">
        <v>0</v>
      </c>
      <c r="BB565" s="290">
        <v>4.8977217350469601E-2</v>
      </c>
      <c r="BC565" s="290">
        <v>7.69193004704606E-4</v>
      </c>
      <c r="BD565" s="290">
        <v>8.2658726822090607</v>
      </c>
      <c r="BE565" s="290">
        <v>1.94363956292854E-3</v>
      </c>
      <c r="BF565" s="290">
        <v>0</v>
      </c>
      <c r="BG565" s="290">
        <v>0</v>
      </c>
      <c r="BH565" s="290">
        <v>0</v>
      </c>
      <c r="BI565" s="290">
        <v>0</v>
      </c>
      <c r="BJ565" s="290">
        <v>0</v>
      </c>
      <c r="BK565" s="78">
        <v>0</v>
      </c>
      <c r="BL565" s="41" t="s">
        <v>616</v>
      </c>
      <c r="BM565" s="45"/>
    </row>
    <row r="566" spans="1:65" x14ac:dyDescent="0.35">
      <c r="A566" s="45" t="str">
        <f>Database_Productkaarten[[#This Row],[Product]]&amp;", "&amp;Database_Productkaarten[[#This Row],[Levensfase]]</f>
        <v>WB gietasfalt  - PCR 2.0, A3</v>
      </c>
      <c r="B566" s="45" t="s">
        <v>1374</v>
      </c>
      <c r="C566" s="41" t="s">
        <v>443</v>
      </c>
      <c r="D566" s="41" t="s">
        <v>475</v>
      </c>
      <c r="E566" s="41" t="s">
        <v>91</v>
      </c>
      <c r="F566" s="41" t="s">
        <v>21</v>
      </c>
      <c r="G566" s="45"/>
      <c r="H566" s="45"/>
      <c r="I566" s="45"/>
      <c r="J566" s="45"/>
      <c r="K566" s="45"/>
      <c r="L566" s="45">
        <v>2.1</v>
      </c>
      <c r="M566" s="291">
        <v>1.7747558090378694</v>
      </c>
      <c r="N566" s="45">
        <v>75</v>
      </c>
      <c r="O566" s="290">
        <v>2.9048667598271299E-5</v>
      </c>
      <c r="P566" s="290">
        <v>0.20857983472640701</v>
      </c>
      <c r="Q566" s="290">
        <v>24.6766011993052</v>
      </c>
      <c r="R566" s="290">
        <v>2.6861441446491199E-6</v>
      </c>
      <c r="S566" s="290">
        <v>3.9684002488973198E-3</v>
      </c>
      <c r="T566" s="290">
        <v>2.5875240108932201E-2</v>
      </c>
      <c r="U566" s="290">
        <v>4.4911744501529996E-3</v>
      </c>
      <c r="V566" s="290">
        <v>3.7806878928549299</v>
      </c>
      <c r="W566" s="290">
        <v>3.03770433644539E-2</v>
      </c>
      <c r="X566" s="290">
        <v>124.558491476093</v>
      </c>
      <c r="Y566" s="290">
        <v>3.3005693580701802E-2</v>
      </c>
      <c r="Z566" s="290">
        <v>25.058672459022301</v>
      </c>
      <c r="AA566" s="290">
        <v>24.985150539924099</v>
      </c>
      <c r="AB566" s="290">
        <v>7.1070459909289604E-2</v>
      </c>
      <c r="AC566" s="290">
        <v>2.4514591890372698E-3</v>
      </c>
      <c r="AD566" s="290">
        <v>3.01820984058903E-6</v>
      </c>
      <c r="AE566" s="290">
        <v>3.31785506032636E-2</v>
      </c>
      <c r="AF566" s="290">
        <v>3.6013086074532903E-4</v>
      </c>
      <c r="AG566" s="290">
        <v>9.0096387273666898E-3</v>
      </c>
      <c r="AH566" s="290">
        <v>0.102676589417128</v>
      </c>
      <c r="AI566" s="290">
        <v>3.05136431434921E-2</v>
      </c>
      <c r="AJ566" s="290">
        <v>2.9048273994314799E-5</v>
      </c>
      <c r="AK566" s="290">
        <v>383.07008065162398</v>
      </c>
      <c r="AL566" s="290">
        <v>0.70364391756975098</v>
      </c>
      <c r="AM566" s="290">
        <v>2.07748460689554E-7</v>
      </c>
      <c r="AN566" s="290">
        <v>0.31151197767733602</v>
      </c>
      <c r="AO566" s="290">
        <v>98.904831609606802</v>
      </c>
      <c r="AP566" s="290">
        <v>3.26003975001834E-9</v>
      </c>
      <c r="AQ566" s="290">
        <v>6.2370647059876296E-8</v>
      </c>
      <c r="AR566" s="290">
        <v>20.784864579498901</v>
      </c>
      <c r="AS566" s="290">
        <v>0</v>
      </c>
      <c r="AT566" s="290">
        <v>0</v>
      </c>
      <c r="AU566" s="290">
        <v>9.2083729440413098</v>
      </c>
      <c r="AV566" s="290">
        <v>0</v>
      </c>
      <c r="AW566" s="290">
        <v>0</v>
      </c>
      <c r="AX566" s="290">
        <v>421.62669855013002</v>
      </c>
      <c r="AY566" s="290">
        <v>0</v>
      </c>
      <c r="AZ566" s="290">
        <v>0</v>
      </c>
      <c r="BA566" s="290">
        <v>0</v>
      </c>
      <c r="BB566" s="290">
        <v>5.32333274870187E-2</v>
      </c>
      <c r="BC566" s="290">
        <v>4.5561208611584301E-4</v>
      </c>
      <c r="BD566" s="290">
        <v>0.338469339237081</v>
      </c>
      <c r="BE566" s="290">
        <v>3.8430253201392298E-4</v>
      </c>
      <c r="BF566" s="290">
        <v>0</v>
      </c>
      <c r="BG566" s="290">
        <v>0</v>
      </c>
      <c r="BH566" s="290">
        <v>0</v>
      </c>
      <c r="BI566" s="290">
        <v>0</v>
      </c>
      <c r="BJ566" s="290">
        <v>0</v>
      </c>
      <c r="BK566" s="78">
        <v>0</v>
      </c>
      <c r="BL566" s="41" t="s">
        <v>616</v>
      </c>
      <c r="BM566" s="45"/>
    </row>
    <row r="567" spans="1:65" x14ac:dyDescent="0.35">
      <c r="A567" s="45" t="str">
        <f>Database_Productkaarten[[#This Row],[Product]]&amp;", "&amp;Database_Productkaarten[[#This Row],[Levensfase]]</f>
        <v>WB gietasfalt  - PCR 2.0, A4</v>
      </c>
      <c r="B567" s="45" t="s">
        <v>1374</v>
      </c>
      <c r="C567" s="41" t="s">
        <v>443</v>
      </c>
      <c r="D567" s="41" t="s">
        <v>475</v>
      </c>
      <c r="E567" s="41" t="s">
        <v>91</v>
      </c>
      <c r="F567" s="41" t="s">
        <v>22</v>
      </c>
      <c r="G567" s="45"/>
      <c r="H567" s="45"/>
      <c r="I567" s="45"/>
      <c r="J567" s="45"/>
      <c r="K567" s="45"/>
      <c r="L567" s="45">
        <v>2.1</v>
      </c>
      <c r="M567" s="291">
        <v>1.0485833250624002</v>
      </c>
      <c r="N567" s="45">
        <v>75</v>
      </c>
      <c r="O567" s="290">
        <v>1.9139989E-4</v>
      </c>
      <c r="P567" s="290">
        <v>8.2984737000000003E-2</v>
      </c>
      <c r="Q567" s="290">
        <v>11.140862305000001</v>
      </c>
      <c r="R567" s="290">
        <v>2.1105730000000001E-6</v>
      </c>
      <c r="S567" s="290">
        <v>6.9187815000000003E-3</v>
      </c>
      <c r="T567" s="290">
        <v>3.8093172000000002E-2</v>
      </c>
      <c r="U567" s="290">
        <v>7.1725041000000002E-3</v>
      </c>
      <c r="V567" s="290">
        <v>2.404076474</v>
      </c>
      <c r="W567" s="290">
        <v>0.10107081900000001</v>
      </c>
      <c r="X567" s="290">
        <v>271.9526553</v>
      </c>
      <c r="Y567" s="290">
        <v>1.3527501000000001E-2</v>
      </c>
      <c r="Z567" s="290">
        <v>11.243611402000001</v>
      </c>
      <c r="AA567" s="290">
        <v>11.235277858</v>
      </c>
      <c r="AB567" s="290">
        <v>5.5338161999999996E-3</v>
      </c>
      <c r="AC567" s="290">
        <v>2.7996658000000001E-3</v>
      </c>
      <c r="AD567" s="290">
        <v>2.6524902E-6</v>
      </c>
      <c r="AE567" s="290">
        <v>4.9542959999999997E-2</v>
      </c>
      <c r="AF567" s="290">
        <v>7.7756927999999997E-5</v>
      </c>
      <c r="AG567" s="290">
        <v>1.54956941E-2</v>
      </c>
      <c r="AH567" s="290">
        <v>0.17143644799999999</v>
      </c>
      <c r="AI567" s="290">
        <v>5.3721449999999997E-2</v>
      </c>
      <c r="AJ567" s="290">
        <v>1.9139957999999999E-4</v>
      </c>
      <c r="AK567" s="290">
        <v>174.27252329999999</v>
      </c>
      <c r="AL567" s="290">
        <v>0.59473686000000003</v>
      </c>
      <c r="AM567" s="290">
        <v>8.1937402000000003E-7</v>
      </c>
      <c r="AN567" s="290">
        <v>0.75038107099999996</v>
      </c>
      <c r="AO567" s="290">
        <v>127.2560416</v>
      </c>
      <c r="AP567" s="290">
        <v>3.2500059E-9</v>
      </c>
      <c r="AQ567" s="290">
        <v>1.06874639E-7</v>
      </c>
      <c r="AR567" s="290">
        <v>200.5416381</v>
      </c>
      <c r="AS567" s="290">
        <v>0</v>
      </c>
      <c r="AT567" s="290">
        <v>0</v>
      </c>
      <c r="AU567" s="290">
        <v>1.7727229099999999</v>
      </c>
      <c r="AV567" s="290">
        <v>0</v>
      </c>
      <c r="AW567" s="290">
        <v>0</v>
      </c>
      <c r="AX567" s="290">
        <v>185.06471759999999</v>
      </c>
      <c r="AY567" s="290">
        <v>0</v>
      </c>
      <c r="AZ567" s="290">
        <v>0</v>
      </c>
      <c r="BA567" s="290">
        <v>0</v>
      </c>
      <c r="BB567" s="290">
        <v>1.8842358E-2</v>
      </c>
      <c r="BC567" s="290">
        <v>4.3206715000000001E-4</v>
      </c>
      <c r="BD567" s="290">
        <v>15.25856115</v>
      </c>
      <c r="BE567" s="290">
        <v>1.1873551799999999E-3</v>
      </c>
      <c r="BF567" s="290">
        <v>0</v>
      </c>
      <c r="BG567" s="290">
        <v>0</v>
      </c>
      <c r="BH567" s="290">
        <v>0</v>
      </c>
      <c r="BI567" s="290">
        <v>0</v>
      </c>
      <c r="BJ567" s="290">
        <v>0</v>
      </c>
      <c r="BK567" s="78">
        <v>0</v>
      </c>
      <c r="BL567" s="41" t="s">
        <v>616</v>
      </c>
      <c r="BM567" s="45"/>
    </row>
    <row r="568" spans="1:65" x14ac:dyDescent="0.35">
      <c r="A568" s="45" t="str">
        <f>Database_Productkaarten[[#This Row],[Product]]&amp;", "&amp;Database_Productkaarten[[#This Row],[Levensfase]]</f>
        <v>WB gietasfalt  - PCR 2.0, A5</v>
      </c>
      <c r="B568" s="45" t="s">
        <v>1374</v>
      </c>
      <c r="C568" s="41" t="s">
        <v>443</v>
      </c>
      <c r="D568" s="41" t="s">
        <v>475</v>
      </c>
      <c r="E568" s="41" t="s">
        <v>91</v>
      </c>
      <c r="F568" s="41" t="s">
        <v>23</v>
      </c>
      <c r="G568" s="45"/>
      <c r="H568" s="45"/>
      <c r="I568" s="45"/>
      <c r="J568" s="45"/>
      <c r="K568" s="45"/>
      <c r="L568" s="45">
        <v>2.1</v>
      </c>
      <c r="M568" s="291">
        <v>0.20892775788363147</v>
      </c>
      <c r="N568" s="45">
        <v>75</v>
      </c>
      <c r="O568" s="290">
        <v>2.52053385503491E-6</v>
      </c>
      <c r="P568" s="290">
        <v>1.0722300852191001E-2</v>
      </c>
      <c r="Q568" s="290">
        <v>2.1806286343541599</v>
      </c>
      <c r="R568" s="290">
        <v>2.8179055050305898E-7</v>
      </c>
      <c r="S568" s="290">
        <v>7.5572087597003098E-4</v>
      </c>
      <c r="T568" s="290">
        <v>6.7857710719034497E-3</v>
      </c>
      <c r="U568" s="290">
        <v>1.4838087034341799E-3</v>
      </c>
      <c r="V568" s="290">
        <v>0.58829495594473902</v>
      </c>
      <c r="W568" s="290">
        <v>8.3642063590304294E-3</v>
      </c>
      <c r="X568" s="290">
        <v>29.061930803190499</v>
      </c>
      <c r="Y568" s="290">
        <v>9.9052251771749103E-4</v>
      </c>
      <c r="Z568" s="290">
        <v>2.1948938660897999</v>
      </c>
      <c r="AA568" s="290">
        <v>2.1942639981727301</v>
      </c>
      <c r="AB568" s="290">
        <v>5.0168129909830496E-4</v>
      </c>
      <c r="AC568" s="290">
        <v>1.28186617970418E-4</v>
      </c>
      <c r="AD568" s="290">
        <v>3.5506722318440998E-7</v>
      </c>
      <c r="AE568" s="290">
        <v>9.2830906004344599E-3</v>
      </c>
      <c r="AF568" s="290">
        <v>5.9889520057721299E-6</v>
      </c>
      <c r="AG568" s="290">
        <v>3.7212549811088901E-3</v>
      </c>
      <c r="AH568" s="290">
        <v>4.08842513151043E-2</v>
      </c>
      <c r="AI568" s="290">
        <v>1.1058200011401001E-2</v>
      </c>
      <c r="AJ568" s="290">
        <v>2.5205140761041601E-6</v>
      </c>
      <c r="AK568" s="290">
        <v>22.623400365069401</v>
      </c>
      <c r="AL568" s="290">
        <v>3.0130674143176699E-2</v>
      </c>
      <c r="AM568" s="290">
        <v>3.6737492451707402E-8</v>
      </c>
      <c r="AN568" s="290">
        <v>9.7101735622394797E-2</v>
      </c>
      <c r="AO568" s="290">
        <v>13.5745914341014</v>
      </c>
      <c r="AP568" s="290">
        <v>4.7625118821209999E-10</v>
      </c>
      <c r="AQ568" s="290">
        <v>1.01356955548823E-8</v>
      </c>
      <c r="AR568" s="290">
        <v>2.88964621378457</v>
      </c>
      <c r="AS568" s="290">
        <v>0</v>
      </c>
      <c r="AT568" s="290">
        <v>0</v>
      </c>
      <c r="AU568" s="290">
        <v>0.124349448867524</v>
      </c>
      <c r="AV568" s="290">
        <v>0</v>
      </c>
      <c r="AW568" s="290">
        <v>0</v>
      </c>
      <c r="AX568" s="290">
        <v>24.025335647212199</v>
      </c>
      <c r="AY568" s="290">
        <v>0</v>
      </c>
      <c r="AZ568" s="290">
        <v>0</v>
      </c>
      <c r="BA568" s="290">
        <v>0</v>
      </c>
      <c r="BB568" s="290">
        <v>1.1694798144477199E-3</v>
      </c>
      <c r="BC568" s="290">
        <v>6.1609560452003097E-5</v>
      </c>
      <c r="BD568" s="290">
        <v>2.6769629501804601E-2</v>
      </c>
      <c r="BE568" s="290">
        <v>1.5723384660734001E-4</v>
      </c>
      <c r="BF568" s="290">
        <v>0</v>
      </c>
      <c r="BG568" s="290">
        <v>0</v>
      </c>
      <c r="BH568" s="290">
        <v>0</v>
      </c>
      <c r="BI568" s="290">
        <v>0</v>
      </c>
      <c r="BJ568" s="290">
        <v>0</v>
      </c>
      <c r="BK568" s="78">
        <v>0</v>
      </c>
      <c r="BL568" s="41" t="s">
        <v>616</v>
      </c>
      <c r="BM568" s="45"/>
    </row>
    <row r="569" spans="1:65" x14ac:dyDescent="0.35">
      <c r="A569" s="45" t="str">
        <f>Database_Productkaarten[[#This Row],[Product]]&amp;", "&amp;Database_Productkaarten[[#This Row],[Levensfase]]</f>
        <v>WB gietasfalt  - PCR 2.0, B1</v>
      </c>
      <c r="B569" s="45" t="s">
        <v>1374</v>
      </c>
      <c r="C569" s="41" t="s">
        <v>443</v>
      </c>
      <c r="D569" s="41" t="s">
        <v>475</v>
      </c>
      <c r="E569" s="41" t="s">
        <v>91</v>
      </c>
      <c r="F569" s="41" t="s">
        <v>24</v>
      </c>
      <c r="G569" s="45"/>
      <c r="H569" s="45"/>
      <c r="I569" s="45"/>
      <c r="J569" s="45"/>
      <c r="K569" s="45"/>
      <c r="L569" s="45">
        <v>2.1</v>
      </c>
      <c r="M569" s="291">
        <v>2.3496660696212947E-2</v>
      </c>
      <c r="N569" s="45">
        <v>75</v>
      </c>
      <c r="O569" s="290">
        <v>0</v>
      </c>
      <c r="P569" s="290">
        <v>0</v>
      </c>
      <c r="Q569" s="290">
        <v>0</v>
      </c>
      <c r="R569" s="290">
        <v>0</v>
      </c>
      <c r="S569" s="290">
        <v>0</v>
      </c>
      <c r="T569" s="290">
        <v>0</v>
      </c>
      <c r="U569" s="290">
        <v>0</v>
      </c>
      <c r="V569" s="290">
        <v>9.3322373681677506E-2</v>
      </c>
      <c r="W569" s="290">
        <v>2.7617301587281303E-7</v>
      </c>
      <c r="X569" s="290">
        <v>150.78938970147701</v>
      </c>
      <c r="Y569" s="290">
        <v>3.1166349206326302E-4</v>
      </c>
      <c r="Z569" s="290">
        <v>0</v>
      </c>
      <c r="AA569" s="290">
        <v>0</v>
      </c>
      <c r="AB569" s="290">
        <v>0</v>
      </c>
      <c r="AC569" s="290">
        <v>0</v>
      </c>
      <c r="AD569" s="290">
        <v>0</v>
      </c>
      <c r="AE569" s="290">
        <v>0</v>
      </c>
      <c r="AF569" s="290">
        <v>0</v>
      </c>
      <c r="AG569" s="290">
        <v>0</v>
      </c>
      <c r="AH569" s="290">
        <v>0</v>
      </c>
      <c r="AI569" s="290">
        <v>0</v>
      </c>
      <c r="AJ569" s="290">
        <v>0</v>
      </c>
      <c r="AK569" s="290">
        <v>0</v>
      </c>
      <c r="AL569" s="290">
        <v>0</v>
      </c>
      <c r="AM569" s="290">
        <v>0</v>
      </c>
      <c r="AN569" s="290">
        <v>0</v>
      </c>
      <c r="AO569" s="290">
        <v>9.1024549722609502E-5</v>
      </c>
      <c r="AP569" s="290">
        <v>1.7521277038876001E-11</v>
      </c>
      <c r="AQ569" s="290">
        <v>1.1809636451140399E-9</v>
      </c>
      <c r="AR569" s="290">
        <v>0</v>
      </c>
      <c r="AS569" s="290">
        <v>0</v>
      </c>
      <c r="AT569" s="290">
        <v>0</v>
      </c>
      <c r="AU569" s="290">
        <v>0</v>
      </c>
      <c r="AV569" s="290">
        <v>0</v>
      </c>
      <c r="AW569" s="290">
        <v>0</v>
      </c>
      <c r="AX569" s="290">
        <v>0</v>
      </c>
      <c r="AY569" s="290">
        <v>0</v>
      </c>
      <c r="AZ569" s="290">
        <v>0</v>
      </c>
      <c r="BA569" s="290">
        <v>0</v>
      </c>
      <c r="BB569" s="290">
        <v>0</v>
      </c>
      <c r="BC569" s="290">
        <v>0</v>
      </c>
      <c r="BD569" s="290">
        <v>0</v>
      </c>
      <c r="BE569" s="290">
        <v>0</v>
      </c>
      <c r="BF569" s="290">
        <v>0</v>
      </c>
      <c r="BG569" s="290">
        <v>0</v>
      </c>
      <c r="BH569" s="290">
        <v>0</v>
      </c>
      <c r="BI569" s="290">
        <v>0</v>
      </c>
      <c r="BJ569" s="290">
        <v>0</v>
      </c>
      <c r="BK569" s="78">
        <v>0</v>
      </c>
      <c r="BL569" s="41" t="s">
        <v>616</v>
      </c>
      <c r="BM569" s="45"/>
    </row>
    <row r="570" spans="1:65" x14ac:dyDescent="0.35">
      <c r="A570" s="45" t="str">
        <f>Database_Productkaarten[[#This Row],[Product]]&amp;", "&amp;Database_Productkaarten[[#This Row],[Levensfase]]</f>
        <v>WB gietasfalt  - PCR 2.0, B2</v>
      </c>
      <c r="B570" s="45" t="s">
        <v>1374</v>
      </c>
      <c r="C570" s="41" t="s">
        <v>443</v>
      </c>
      <c r="D570" s="41" t="s">
        <v>475</v>
      </c>
      <c r="E570" s="41" t="s">
        <v>91</v>
      </c>
      <c r="F570" s="41" t="s">
        <v>604</v>
      </c>
      <c r="G570" s="45"/>
      <c r="H570" s="45"/>
      <c r="I570" s="45"/>
      <c r="J570" s="45"/>
      <c r="K570" s="45"/>
      <c r="L570" s="45">
        <v>2.1</v>
      </c>
      <c r="M570" s="291">
        <v>0</v>
      </c>
      <c r="N570" s="45">
        <v>75</v>
      </c>
      <c r="O570" s="290">
        <v>0</v>
      </c>
      <c r="P570" s="290">
        <v>0</v>
      </c>
      <c r="Q570" s="290">
        <v>0</v>
      </c>
      <c r="R570" s="290">
        <v>0</v>
      </c>
      <c r="S570" s="290">
        <v>0</v>
      </c>
      <c r="T570" s="290">
        <v>0</v>
      </c>
      <c r="U570" s="290">
        <v>0</v>
      </c>
      <c r="V570" s="290">
        <v>0</v>
      </c>
      <c r="W570" s="290">
        <v>0</v>
      </c>
      <c r="X570" s="290">
        <v>0</v>
      </c>
      <c r="Y570" s="290">
        <v>0</v>
      </c>
      <c r="Z570" s="290">
        <v>0</v>
      </c>
      <c r="AA570" s="290">
        <v>0</v>
      </c>
      <c r="AB570" s="290">
        <v>0</v>
      </c>
      <c r="AC570" s="290">
        <v>0</v>
      </c>
      <c r="AD570" s="290">
        <v>0</v>
      </c>
      <c r="AE570" s="290">
        <v>0</v>
      </c>
      <c r="AF570" s="290">
        <v>0</v>
      </c>
      <c r="AG570" s="290">
        <v>0</v>
      </c>
      <c r="AH570" s="290">
        <v>0</v>
      </c>
      <c r="AI570" s="290">
        <v>0</v>
      </c>
      <c r="AJ570" s="290">
        <v>0</v>
      </c>
      <c r="AK570" s="290">
        <v>0</v>
      </c>
      <c r="AL570" s="290">
        <v>0</v>
      </c>
      <c r="AM570" s="290">
        <v>0</v>
      </c>
      <c r="AN570" s="290">
        <v>0</v>
      </c>
      <c r="AO570" s="290">
        <v>0</v>
      </c>
      <c r="AP570" s="290">
        <v>0</v>
      </c>
      <c r="AQ570" s="290">
        <v>0</v>
      </c>
      <c r="AR570" s="290">
        <v>0</v>
      </c>
      <c r="AS570" s="290">
        <v>0</v>
      </c>
      <c r="AT570" s="290">
        <v>0</v>
      </c>
      <c r="AU570" s="290">
        <v>0</v>
      </c>
      <c r="AV570" s="290">
        <v>0</v>
      </c>
      <c r="AW570" s="290">
        <v>0</v>
      </c>
      <c r="AX570" s="290">
        <v>0</v>
      </c>
      <c r="AY570" s="290">
        <v>0</v>
      </c>
      <c r="AZ570" s="290">
        <v>0</v>
      </c>
      <c r="BA570" s="290">
        <v>0</v>
      </c>
      <c r="BB570" s="290">
        <v>0</v>
      </c>
      <c r="BC570" s="290">
        <v>0</v>
      </c>
      <c r="BD570" s="290">
        <v>0</v>
      </c>
      <c r="BE570" s="290">
        <v>0</v>
      </c>
      <c r="BF570" s="290">
        <v>0</v>
      </c>
      <c r="BG570" s="290">
        <v>0</v>
      </c>
      <c r="BH570" s="290">
        <v>0</v>
      </c>
      <c r="BI570" s="290">
        <v>0</v>
      </c>
      <c r="BJ570" s="290">
        <v>0</v>
      </c>
      <c r="BK570" s="78">
        <v>0</v>
      </c>
      <c r="BL570" s="41" t="s">
        <v>616</v>
      </c>
      <c r="BM570" s="45"/>
    </row>
    <row r="571" spans="1:65" x14ac:dyDescent="0.35">
      <c r="A571" s="45" t="str">
        <f>Database_Productkaarten[[#This Row],[Product]]&amp;", "&amp;Database_Productkaarten[[#This Row],[Levensfase]]</f>
        <v>WB gietasfalt  - PCR 2.0, B3</v>
      </c>
      <c r="B571" s="45" t="s">
        <v>1374</v>
      </c>
      <c r="C571" s="41" t="s">
        <v>443</v>
      </c>
      <c r="D571" s="41" t="s">
        <v>475</v>
      </c>
      <c r="E571" s="41" t="s">
        <v>91</v>
      </c>
      <c r="F571" s="41" t="s">
        <v>602</v>
      </c>
      <c r="G571" s="45"/>
      <c r="H571" s="45"/>
      <c r="I571" s="45"/>
      <c r="J571" s="45"/>
      <c r="K571" s="45"/>
      <c r="L571" s="45">
        <v>2.1</v>
      </c>
      <c r="M571" s="291">
        <v>0</v>
      </c>
      <c r="N571" s="45">
        <v>75</v>
      </c>
      <c r="O571" s="290">
        <v>0</v>
      </c>
      <c r="P571" s="290">
        <v>0</v>
      </c>
      <c r="Q571" s="290">
        <v>0</v>
      </c>
      <c r="R571" s="290">
        <v>0</v>
      </c>
      <c r="S571" s="290">
        <v>0</v>
      </c>
      <c r="T571" s="290">
        <v>0</v>
      </c>
      <c r="U571" s="290">
        <v>0</v>
      </c>
      <c r="V571" s="290">
        <v>0</v>
      </c>
      <c r="W571" s="290">
        <v>0</v>
      </c>
      <c r="X571" s="290">
        <v>0</v>
      </c>
      <c r="Y571" s="290">
        <v>0</v>
      </c>
      <c r="Z571" s="290">
        <v>0</v>
      </c>
      <c r="AA571" s="290">
        <v>0</v>
      </c>
      <c r="AB571" s="290">
        <v>0</v>
      </c>
      <c r="AC571" s="290">
        <v>0</v>
      </c>
      <c r="AD571" s="290">
        <v>0</v>
      </c>
      <c r="AE571" s="290">
        <v>0</v>
      </c>
      <c r="AF571" s="290">
        <v>0</v>
      </c>
      <c r="AG571" s="290">
        <v>0</v>
      </c>
      <c r="AH571" s="290">
        <v>0</v>
      </c>
      <c r="AI571" s="290">
        <v>0</v>
      </c>
      <c r="AJ571" s="290">
        <v>0</v>
      </c>
      <c r="AK571" s="290">
        <v>0</v>
      </c>
      <c r="AL571" s="290">
        <v>0</v>
      </c>
      <c r="AM571" s="290">
        <v>0</v>
      </c>
      <c r="AN571" s="290">
        <v>0</v>
      </c>
      <c r="AO571" s="290">
        <v>0</v>
      </c>
      <c r="AP571" s="290">
        <v>0</v>
      </c>
      <c r="AQ571" s="290">
        <v>0</v>
      </c>
      <c r="AR571" s="290">
        <v>0</v>
      </c>
      <c r="AS571" s="290">
        <v>0</v>
      </c>
      <c r="AT571" s="290">
        <v>0</v>
      </c>
      <c r="AU571" s="290">
        <v>0</v>
      </c>
      <c r="AV571" s="290">
        <v>0</v>
      </c>
      <c r="AW571" s="290">
        <v>0</v>
      </c>
      <c r="AX571" s="290">
        <v>0</v>
      </c>
      <c r="AY571" s="290">
        <v>0</v>
      </c>
      <c r="AZ571" s="290">
        <v>0</v>
      </c>
      <c r="BA571" s="290">
        <v>0</v>
      </c>
      <c r="BB571" s="290">
        <v>0</v>
      </c>
      <c r="BC571" s="290">
        <v>0</v>
      </c>
      <c r="BD571" s="290">
        <v>0</v>
      </c>
      <c r="BE571" s="290">
        <v>0</v>
      </c>
      <c r="BF571" s="290">
        <v>0</v>
      </c>
      <c r="BG571" s="290">
        <v>0</v>
      </c>
      <c r="BH571" s="290">
        <v>0</v>
      </c>
      <c r="BI571" s="290">
        <v>0</v>
      </c>
      <c r="BJ571" s="290">
        <v>0</v>
      </c>
      <c r="BK571" s="78">
        <v>0</v>
      </c>
      <c r="BL571" s="41" t="s">
        <v>616</v>
      </c>
      <c r="BM571" s="45"/>
    </row>
    <row r="572" spans="1:65" x14ac:dyDescent="0.35">
      <c r="A572" s="45" t="str">
        <f>Database_Productkaarten[[#This Row],[Product]]&amp;", "&amp;Database_Productkaarten[[#This Row],[Levensfase]]</f>
        <v>WB gietasfalt  - PCR 2.0, B4</v>
      </c>
      <c r="B572" s="45" t="s">
        <v>1374</v>
      </c>
      <c r="C572" s="41" t="s">
        <v>443</v>
      </c>
      <c r="D572" s="41" t="s">
        <v>475</v>
      </c>
      <c r="E572" s="41" t="s">
        <v>91</v>
      </c>
      <c r="F572" s="41" t="s">
        <v>50</v>
      </c>
      <c r="G572" s="45"/>
      <c r="H572" s="45"/>
      <c r="I572" s="45"/>
      <c r="J572" s="45"/>
      <c r="K572" s="45"/>
      <c r="L572" s="45">
        <v>2.1</v>
      </c>
      <c r="M572" s="291">
        <v>0</v>
      </c>
      <c r="N572" s="45">
        <v>75</v>
      </c>
      <c r="O572" s="290">
        <v>0</v>
      </c>
      <c r="P572" s="290">
        <v>0</v>
      </c>
      <c r="Q572" s="290">
        <v>0</v>
      </c>
      <c r="R572" s="290">
        <v>0</v>
      </c>
      <c r="S572" s="290">
        <v>0</v>
      </c>
      <c r="T572" s="290">
        <v>0</v>
      </c>
      <c r="U572" s="290">
        <v>0</v>
      </c>
      <c r="V572" s="290">
        <v>0</v>
      </c>
      <c r="W572" s="290">
        <v>0</v>
      </c>
      <c r="X572" s="290">
        <v>0</v>
      </c>
      <c r="Y572" s="290">
        <v>0</v>
      </c>
      <c r="Z572" s="290">
        <v>0</v>
      </c>
      <c r="AA572" s="290">
        <v>0</v>
      </c>
      <c r="AB572" s="290">
        <v>0</v>
      </c>
      <c r="AC572" s="290">
        <v>0</v>
      </c>
      <c r="AD572" s="290">
        <v>0</v>
      </c>
      <c r="AE572" s="290">
        <v>0</v>
      </c>
      <c r="AF572" s="290">
        <v>0</v>
      </c>
      <c r="AG572" s="290">
        <v>0</v>
      </c>
      <c r="AH572" s="290">
        <v>0</v>
      </c>
      <c r="AI572" s="290">
        <v>0</v>
      </c>
      <c r="AJ572" s="290">
        <v>0</v>
      </c>
      <c r="AK572" s="290">
        <v>0</v>
      </c>
      <c r="AL572" s="290">
        <v>0</v>
      </c>
      <c r="AM572" s="290">
        <v>0</v>
      </c>
      <c r="AN572" s="290">
        <v>0</v>
      </c>
      <c r="AO572" s="290">
        <v>0</v>
      </c>
      <c r="AP572" s="290">
        <v>0</v>
      </c>
      <c r="AQ572" s="290">
        <v>0</v>
      </c>
      <c r="AR572" s="290">
        <v>0</v>
      </c>
      <c r="AS572" s="290">
        <v>0</v>
      </c>
      <c r="AT572" s="290">
        <v>0</v>
      </c>
      <c r="AU572" s="290">
        <v>0</v>
      </c>
      <c r="AV572" s="290">
        <v>0</v>
      </c>
      <c r="AW572" s="290">
        <v>0</v>
      </c>
      <c r="AX572" s="290">
        <v>0</v>
      </c>
      <c r="AY572" s="290">
        <v>0</v>
      </c>
      <c r="AZ572" s="290">
        <v>0</v>
      </c>
      <c r="BA572" s="290">
        <v>0</v>
      </c>
      <c r="BB572" s="290">
        <v>0</v>
      </c>
      <c r="BC572" s="290">
        <v>0</v>
      </c>
      <c r="BD572" s="290">
        <v>0</v>
      </c>
      <c r="BE572" s="290">
        <v>0</v>
      </c>
      <c r="BF572" s="290">
        <v>0</v>
      </c>
      <c r="BG572" s="290">
        <v>0</v>
      </c>
      <c r="BH572" s="290">
        <v>0</v>
      </c>
      <c r="BI572" s="290">
        <v>0</v>
      </c>
      <c r="BJ572" s="290">
        <v>0</v>
      </c>
      <c r="BK572" s="78">
        <v>0</v>
      </c>
      <c r="BL572" s="41" t="s">
        <v>616</v>
      </c>
      <c r="BM572" s="45"/>
    </row>
    <row r="573" spans="1:65" x14ac:dyDescent="0.35">
      <c r="A573" s="45" t="str">
        <f>Database_Productkaarten[[#This Row],[Product]]&amp;", "&amp;Database_Productkaarten[[#This Row],[Levensfase]]</f>
        <v>WB gietasfalt  - PCR 2.0, B5</v>
      </c>
      <c r="B573" s="45" t="s">
        <v>1374</v>
      </c>
      <c r="C573" s="41" t="s">
        <v>443</v>
      </c>
      <c r="D573" s="41" t="s">
        <v>475</v>
      </c>
      <c r="E573" s="41" t="s">
        <v>91</v>
      </c>
      <c r="F573" s="41" t="s">
        <v>1358</v>
      </c>
      <c r="G573" s="45"/>
      <c r="H573" s="45"/>
      <c r="I573" s="45"/>
      <c r="J573" s="45"/>
      <c r="K573" s="45"/>
      <c r="L573" s="45">
        <v>2.1</v>
      </c>
      <c r="M573" s="291">
        <v>0</v>
      </c>
      <c r="N573" s="45">
        <v>75</v>
      </c>
      <c r="O573" s="290">
        <v>0</v>
      </c>
      <c r="P573" s="290">
        <v>0</v>
      </c>
      <c r="Q573" s="290">
        <v>0</v>
      </c>
      <c r="R573" s="290">
        <v>0</v>
      </c>
      <c r="S573" s="290">
        <v>0</v>
      </c>
      <c r="T573" s="290">
        <v>0</v>
      </c>
      <c r="U573" s="290">
        <v>0</v>
      </c>
      <c r="V573" s="290">
        <v>0</v>
      </c>
      <c r="W573" s="290">
        <v>0</v>
      </c>
      <c r="X573" s="290">
        <v>0</v>
      </c>
      <c r="Y573" s="290">
        <v>0</v>
      </c>
      <c r="Z573" s="290">
        <v>0</v>
      </c>
      <c r="AA573" s="290">
        <v>0</v>
      </c>
      <c r="AB573" s="290">
        <v>0</v>
      </c>
      <c r="AC573" s="290">
        <v>0</v>
      </c>
      <c r="AD573" s="290">
        <v>0</v>
      </c>
      <c r="AE573" s="290">
        <v>0</v>
      </c>
      <c r="AF573" s="290">
        <v>0</v>
      </c>
      <c r="AG573" s="290">
        <v>0</v>
      </c>
      <c r="AH573" s="290">
        <v>0</v>
      </c>
      <c r="AI573" s="290">
        <v>0</v>
      </c>
      <c r="AJ573" s="290">
        <v>0</v>
      </c>
      <c r="AK573" s="290">
        <v>0</v>
      </c>
      <c r="AL573" s="290">
        <v>0</v>
      </c>
      <c r="AM573" s="290">
        <v>0</v>
      </c>
      <c r="AN573" s="290">
        <v>0</v>
      </c>
      <c r="AO573" s="290">
        <v>0</v>
      </c>
      <c r="AP573" s="290">
        <v>0</v>
      </c>
      <c r="AQ573" s="290">
        <v>0</v>
      </c>
      <c r="AR573" s="290">
        <v>0</v>
      </c>
      <c r="AS573" s="290">
        <v>0</v>
      </c>
      <c r="AT573" s="290">
        <v>0</v>
      </c>
      <c r="AU573" s="290">
        <v>0</v>
      </c>
      <c r="AV573" s="290">
        <v>0</v>
      </c>
      <c r="AW573" s="290">
        <v>0</v>
      </c>
      <c r="AX573" s="290">
        <v>0</v>
      </c>
      <c r="AY573" s="290">
        <v>0</v>
      </c>
      <c r="AZ573" s="290">
        <v>0</v>
      </c>
      <c r="BA573" s="290">
        <v>0</v>
      </c>
      <c r="BB573" s="290">
        <v>0</v>
      </c>
      <c r="BC573" s="290">
        <v>0</v>
      </c>
      <c r="BD573" s="290">
        <v>0</v>
      </c>
      <c r="BE573" s="290">
        <v>0</v>
      </c>
      <c r="BF573" s="290">
        <v>0</v>
      </c>
      <c r="BG573" s="290">
        <v>0</v>
      </c>
      <c r="BH573" s="290">
        <v>0</v>
      </c>
      <c r="BI573" s="290">
        <v>0</v>
      </c>
      <c r="BJ573" s="290">
        <v>0</v>
      </c>
      <c r="BK573" s="78">
        <v>0</v>
      </c>
      <c r="BL573" s="41" t="s">
        <v>616</v>
      </c>
      <c r="BM573" s="45"/>
    </row>
    <row r="574" spans="1:65" x14ac:dyDescent="0.35">
      <c r="A574" s="45" t="str">
        <f>Database_Productkaarten[[#This Row],[Product]]&amp;", "&amp;Database_Productkaarten[[#This Row],[Levensfase]]</f>
        <v>WB gietasfalt  - PCR 2.0, C1</v>
      </c>
      <c r="B574" s="45" t="s">
        <v>1374</v>
      </c>
      <c r="C574" s="41" t="s">
        <v>443</v>
      </c>
      <c r="D574" s="41" t="s">
        <v>475</v>
      </c>
      <c r="E574" s="41" t="s">
        <v>91</v>
      </c>
      <c r="F574" s="41" t="s">
        <v>25</v>
      </c>
      <c r="G574" s="45"/>
      <c r="H574" s="45"/>
      <c r="I574" s="45"/>
      <c r="J574" s="45"/>
      <c r="K574" s="45"/>
      <c r="L574" s="45">
        <v>2.1</v>
      </c>
      <c r="M574" s="291">
        <v>8.3571103153452633E-2</v>
      </c>
      <c r="N574" s="45">
        <v>75</v>
      </c>
      <c r="O574" s="290">
        <v>1.0082135420139601E-6</v>
      </c>
      <c r="P574" s="290">
        <v>4.2889203408764103E-3</v>
      </c>
      <c r="Q574" s="290">
        <v>0.87225145374166402</v>
      </c>
      <c r="R574" s="290">
        <v>1.12716220201224E-7</v>
      </c>
      <c r="S574" s="290">
        <v>3.0228835038801201E-4</v>
      </c>
      <c r="T574" s="290">
        <v>2.71430842876138E-3</v>
      </c>
      <c r="U574" s="290">
        <v>5.9352348137367301E-4</v>
      </c>
      <c r="V574" s="290">
        <v>0.235317982377896</v>
      </c>
      <c r="W574" s="290">
        <v>3.34568254361219E-3</v>
      </c>
      <c r="X574" s="290">
        <v>11.6247723212762</v>
      </c>
      <c r="Y574" s="290">
        <v>3.9620900708699599E-4</v>
      </c>
      <c r="Z574" s="290">
        <v>0.87795754643591795</v>
      </c>
      <c r="AA574" s="290">
        <v>0.87770559926909097</v>
      </c>
      <c r="AB574" s="290">
        <v>2.0067251963932199E-4</v>
      </c>
      <c r="AC574" s="290">
        <v>5.1274647188167198E-5</v>
      </c>
      <c r="AD574" s="290">
        <v>1.4202688927376401E-7</v>
      </c>
      <c r="AE574" s="290">
        <v>3.7132362401737801E-3</v>
      </c>
      <c r="AF574" s="290">
        <v>2.3955808023088498E-6</v>
      </c>
      <c r="AG574" s="290">
        <v>1.48850199244356E-3</v>
      </c>
      <c r="AH574" s="290">
        <v>1.6353700526041699E-2</v>
      </c>
      <c r="AI574" s="290">
        <v>4.4232800045604197E-3</v>
      </c>
      <c r="AJ574" s="290">
        <v>1.0082056304416699E-6</v>
      </c>
      <c r="AK574" s="290">
        <v>9.0493601460277606</v>
      </c>
      <c r="AL574" s="290">
        <v>1.2052269657270701E-2</v>
      </c>
      <c r="AM574" s="290">
        <v>1.4694996980682999E-8</v>
      </c>
      <c r="AN574" s="290">
        <v>3.8840694248957898E-2</v>
      </c>
      <c r="AO574" s="290">
        <v>5.42983657364059</v>
      </c>
      <c r="AP574" s="290">
        <v>1.9050047528483999E-10</v>
      </c>
      <c r="AQ574" s="290">
        <v>4.0542782219529099E-9</v>
      </c>
      <c r="AR574" s="290">
        <v>1.1558584855138301</v>
      </c>
      <c r="AS574" s="290">
        <v>0</v>
      </c>
      <c r="AT574" s="290">
        <v>0</v>
      </c>
      <c r="AU574" s="290">
        <v>4.9739779547009602E-2</v>
      </c>
      <c r="AV574" s="290">
        <v>0</v>
      </c>
      <c r="AW574" s="290">
        <v>0</v>
      </c>
      <c r="AX574" s="290">
        <v>9.6101342588848997</v>
      </c>
      <c r="AY574" s="290">
        <v>0</v>
      </c>
      <c r="AZ574" s="290">
        <v>0</v>
      </c>
      <c r="BA574" s="290">
        <v>0</v>
      </c>
      <c r="BB574" s="290">
        <v>4.67791925779088E-4</v>
      </c>
      <c r="BC574" s="290">
        <v>2.4643824180801299E-5</v>
      </c>
      <c r="BD574" s="290">
        <v>1.0707851800721899E-2</v>
      </c>
      <c r="BE574" s="290">
        <v>6.2893538642935995E-5</v>
      </c>
      <c r="BF574" s="290">
        <v>0</v>
      </c>
      <c r="BG574" s="290">
        <v>0</v>
      </c>
      <c r="BH574" s="290">
        <v>0</v>
      </c>
      <c r="BI574" s="290">
        <v>0</v>
      </c>
      <c r="BJ574" s="290">
        <v>0</v>
      </c>
      <c r="BK574" s="78">
        <v>0</v>
      </c>
      <c r="BL574" s="41" t="s">
        <v>616</v>
      </c>
      <c r="BM574" s="45"/>
    </row>
    <row r="575" spans="1:65" x14ac:dyDescent="0.35">
      <c r="A575" s="45" t="str">
        <f>Database_Productkaarten[[#This Row],[Product]]&amp;", "&amp;Database_Productkaarten[[#This Row],[Levensfase]]</f>
        <v>WB gietasfalt  - PCR 2.0, C2</v>
      </c>
      <c r="B575" s="45" t="s">
        <v>1374</v>
      </c>
      <c r="C575" s="41" t="s">
        <v>443</v>
      </c>
      <c r="D575" s="41" t="s">
        <v>475</v>
      </c>
      <c r="E575" s="41" t="s">
        <v>91</v>
      </c>
      <c r="F575" s="41" t="s">
        <v>26</v>
      </c>
      <c r="G575" s="45"/>
      <c r="H575" s="45"/>
      <c r="I575" s="45"/>
      <c r="J575" s="45"/>
      <c r="K575" s="45"/>
      <c r="L575" s="45">
        <v>2.1</v>
      </c>
      <c r="M575" s="291">
        <v>0.35801078312874995</v>
      </c>
      <c r="N575" s="45">
        <v>75</v>
      </c>
      <c r="O575" s="290">
        <v>8.1301624999999996E-5</v>
      </c>
      <c r="P575" s="290">
        <v>2.8204312499999998E-2</v>
      </c>
      <c r="Q575" s="290">
        <v>3.6853721374999999</v>
      </c>
      <c r="R575" s="290">
        <v>7.0324562500000001E-7</v>
      </c>
      <c r="S575" s="290">
        <v>2.6647749999999999E-3</v>
      </c>
      <c r="T575" s="290">
        <v>1.116025E-2</v>
      </c>
      <c r="U575" s="290">
        <v>1.87016375E-3</v>
      </c>
      <c r="V575" s="290">
        <v>1.0029557</v>
      </c>
      <c r="W575" s="290">
        <v>3.9476962499999997E-2</v>
      </c>
      <c r="X575" s="290">
        <v>104.371675</v>
      </c>
      <c r="Y575" s="290">
        <v>8.4311249999999994E-3</v>
      </c>
      <c r="Z575" s="290">
        <v>3.7331890125</v>
      </c>
      <c r="AA575" s="290">
        <v>3.7164208875</v>
      </c>
      <c r="AB575" s="290">
        <v>1.532341125E-2</v>
      </c>
      <c r="AC575" s="290">
        <v>1.44472E-3</v>
      </c>
      <c r="AD575" s="290">
        <v>8.79587125E-7</v>
      </c>
      <c r="AE575" s="290">
        <v>1.4056875E-2</v>
      </c>
      <c r="AF575" s="290">
        <v>3.9000600000000001E-5</v>
      </c>
      <c r="AG575" s="290">
        <v>3.2542037499999998E-3</v>
      </c>
      <c r="AH575" s="290">
        <v>3.7907725000000003E-2</v>
      </c>
      <c r="AI575" s="290">
        <v>1.36244625E-2</v>
      </c>
      <c r="AJ575" s="290">
        <v>8.1301250000000004E-5</v>
      </c>
      <c r="AK575" s="290">
        <v>58.905272875000001</v>
      </c>
      <c r="AL575" s="290">
        <v>0.3217441875</v>
      </c>
      <c r="AM575" s="290">
        <v>3.2144174999999999E-7</v>
      </c>
      <c r="AN575" s="290">
        <v>0.25122056250000002</v>
      </c>
      <c r="AO575" s="290">
        <v>56.998236249999998</v>
      </c>
      <c r="AP575" s="290">
        <v>1.5226337500000001E-9</v>
      </c>
      <c r="AQ575" s="290">
        <v>4.867285E-8</v>
      </c>
      <c r="AR575" s="290">
        <v>110.955825</v>
      </c>
      <c r="AS575" s="290">
        <v>9.0831365000000002</v>
      </c>
      <c r="AT575" s="290">
        <v>0</v>
      </c>
      <c r="AU575" s="290">
        <v>9.7931922999999994</v>
      </c>
      <c r="AV575" s="290">
        <v>0.79580531249999997</v>
      </c>
      <c r="AW575" s="290">
        <v>1.1178862500000001E-3</v>
      </c>
      <c r="AX575" s="290">
        <v>62.568930999999999</v>
      </c>
      <c r="AY575" s="290">
        <v>0</v>
      </c>
      <c r="AZ575" s="290">
        <v>0</v>
      </c>
      <c r="BA575" s="290">
        <v>0</v>
      </c>
      <c r="BB575" s="290">
        <v>9.8353875000000007E-3</v>
      </c>
      <c r="BC575" s="290">
        <v>1.7316162499999999E-4</v>
      </c>
      <c r="BD575" s="290">
        <v>6.2594438749999997</v>
      </c>
      <c r="BE575" s="290">
        <v>3.9263137500000002E-4</v>
      </c>
      <c r="BF575" s="290">
        <v>0</v>
      </c>
      <c r="BG575" s="290">
        <v>0</v>
      </c>
      <c r="BH575" s="290">
        <v>0</v>
      </c>
      <c r="BI575" s="290">
        <v>0</v>
      </c>
      <c r="BJ575" s="290">
        <v>0</v>
      </c>
      <c r="BK575" s="78">
        <v>0</v>
      </c>
      <c r="BL575" s="41" t="s">
        <v>616</v>
      </c>
      <c r="BM575" s="45"/>
    </row>
    <row r="576" spans="1:65" x14ac:dyDescent="0.35">
      <c r="A576" s="45" t="str">
        <f>Database_Productkaarten[[#This Row],[Product]]&amp;", "&amp;Database_Productkaarten[[#This Row],[Levensfase]]</f>
        <v>WB gietasfalt  - PCR 2.0, C3</v>
      </c>
      <c r="B576" s="45" t="s">
        <v>1374</v>
      </c>
      <c r="C576" s="41" t="s">
        <v>443</v>
      </c>
      <c r="D576" s="41" t="s">
        <v>475</v>
      </c>
      <c r="E576" s="41" t="s">
        <v>91</v>
      </c>
      <c r="F576" s="41" t="s">
        <v>27</v>
      </c>
      <c r="G576" s="45"/>
      <c r="H576" s="45"/>
      <c r="I576" s="45"/>
      <c r="J576" s="45"/>
      <c r="K576" s="45"/>
      <c r="L576" s="45">
        <v>2.1</v>
      </c>
      <c r="M576" s="291">
        <v>0</v>
      </c>
      <c r="N576" s="45">
        <v>75</v>
      </c>
      <c r="O576" s="290">
        <v>0</v>
      </c>
      <c r="P576" s="290">
        <v>0</v>
      </c>
      <c r="Q576" s="290">
        <v>0</v>
      </c>
      <c r="R576" s="290">
        <v>0</v>
      </c>
      <c r="S576" s="290">
        <v>0</v>
      </c>
      <c r="T576" s="290">
        <v>0</v>
      </c>
      <c r="U576" s="290">
        <v>0</v>
      </c>
      <c r="V576" s="290">
        <v>0</v>
      </c>
      <c r="W576" s="290">
        <v>0</v>
      </c>
      <c r="X576" s="290">
        <v>0</v>
      </c>
      <c r="Y576" s="290">
        <v>0</v>
      </c>
      <c r="Z576" s="290">
        <v>0</v>
      </c>
      <c r="AA576" s="290">
        <v>0</v>
      </c>
      <c r="AB576" s="290">
        <v>0</v>
      </c>
      <c r="AC576" s="290">
        <v>0</v>
      </c>
      <c r="AD576" s="290">
        <v>0</v>
      </c>
      <c r="AE576" s="290">
        <v>0</v>
      </c>
      <c r="AF576" s="290">
        <v>0</v>
      </c>
      <c r="AG576" s="290">
        <v>0</v>
      </c>
      <c r="AH576" s="290">
        <v>0</v>
      </c>
      <c r="AI576" s="290">
        <v>0</v>
      </c>
      <c r="AJ576" s="290">
        <v>0</v>
      </c>
      <c r="AK576" s="290">
        <v>0</v>
      </c>
      <c r="AL576" s="290">
        <v>0</v>
      </c>
      <c r="AM576" s="290">
        <v>0</v>
      </c>
      <c r="AN576" s="290">
        <v>0</v>
      </c>
      <c r="AO576" s="290">
        <v>0</v>
      </c>
      <c r="AP576" s="290">
        <v>0</v>
      </c>
      <c r="AQ576" s="290">
        <v>0</v>
      </c>
      <c r="AR576" s="290">
        <v>0</v>
      </c>
      <c r="AS576" s="290">
        <v>0</v>
      </c>
      <c r="AT576" s="290">
        <v>0</v>
      </c>
      <c r="AU576" s="290">
        <v>0</v>
      </c>
      <c r="AV576" s="290">
        <v>0</v>
      </c>
      <c r="AW576" s="290">
        <v>0</v>
      </c>
      <c r="AX576" s="290">
        <v>0</v>
      </c>
      <c r="AY576" s="290">
        <v>0</v>
      </c>
      <c r="AZ576" s="290">
        <v>0</v>
      </c>
      <c r="BA576" s="290">
        <v>0</v>
      </c>
      <c r="BB576" s="290">
        <v>0</v>
      </c>
      <c r="BC576" s="290">
        <v>0</v>
      </c>
      <c r="BD576" s="290">
        <v>0</v>
      </c>
      <c r="BE576" s="290">
        <v>0</v>
      </c>
      <c r="BF576" s="290">
        <v>0</v>
      </c>
      <c r="BG576" s="290">
        <v>0</v>
      </c>
      <c r="BH576" s="290">
        <v>0</v>
      </c>
      <c r="BI576" s="290">
        <v>0</v>
      </c>
      <c r="BJ576" s="290">
        <v>0</v>
      </c>
      <c r="BK576" s="78">
        <v>0</v>
      </c>
      <c r="BL576" s="41" t="s">
        <v>616</v>
      </c>
      <c r="BM576" s="45"/>
    </row>
    <row r="577" spans="1:65" x14ac:dyDescent="0.35">
      <c r="A577" s="45" t="str">
        <f>Database_Productkaarten[[#This Row],[Product]]&amp;", "&amp;Database_Productkaarten[[#This Row],[Levensfase]]</f>
        <v>WB gietasfalt  - PCR 2.0, C4</v>
      </c>
      <c r="B577" s="45" t="s">
        <v>1374</v>
      </c>
      <c r="C577" s="41" t="s">
        <v>443</v>
      </c>
      <c r="D577" s="41" t="s">
        <v>475</v>
      </c>
      <c r="E577" s="41" t="s">
        <v>91</v>
      </c>
      <c r="F577" s="41" t="s">
        <v>28</v>
      </c>
      <c r="G577" s="45"/>
      <c r="H577" s="45"/>
      <c r="I577" s="45"/>
      <c r="J577" s="45"/>
      <c r="K577" s="45"/>
      <c r="L577" s="45">
        <v>2.1</v>
      </c>
      <c r="M577" s="291">
        <v>0.7296141746500171</v>
      </c>
      <c r="N577" s="45">
        <v>75</v>
      </c>
      <c r="O577" s="290">
        <v>4.8191034131105399E-5</v>
      </c>
      <c r="P577" s="290">
        <v>7.0392419153822203E-2</v>
      </c>
      <c r="Q577" s="290">
        <v>5.1682147630547304</v>
      </c>
      <c r="R577" s="290">
        <v>1.72133808732801E-6</v>
      </c>
      <c r="S577" s="290">
        <v>5.50516721002073E-3</v>
      </c>
      <c r="T577" s="290">
        <v>3.7795111552073699E-2</v>
      </c>
      <c r="U577" s="290">
        <v>7.2906223931785696E-3</v>
      </c>
      <c r="V577" s="290">
        <v>2.33599012231016</v>
      </c>
      <c r="W577" s="290">
        <v>5.5438446349023597E-2</v>
      </c>
      <c r="X577" s="290">
        <v>198.2062629724</v>
      </c>
      <c r="Y577" s="290">
        <v>5.8670977003276803E-3</v>
      </c>
      <c r="Z577" s="290">
        <v>5.2774322520106196</v>
      </c>
      <c r="AA577" s="290">
        <v>5.2655222871368297</v>
      </c>
      <c r="AB577" s="290">
        <v>1.04420704841626E-2</v>
      </c>
      <c r="AC577" s="290">
        <v>1.4678943896201801E-3</v>
      </c>
      <c r="AD577" s="290">
        <v>2.1684935582940401E-6</v>
      </c>
      <c r="AE577" s="290">
        <v>4.9990692053720302E-2</v>
      </c>
      <c r="AF577" s="290">
        <v>5.9023121381438599E-5</v>
      </c>
      <c r="AG577" s="290">
        <v>1.71925473667464E-2</v>
      </c>
      <c r="AH577" s="290">
        <v>0.189559719597925</v>
      </c>
      <c r="AI577" s="290">
        <v>5.5061349845082097E-2</v>
      </c>
      <c r="AJ577" s="290">
        <v>4.8190634932919702E-5</v>
      </c>
      <c r="AK577" s="290">
        <v>147.217235291848</v>
      </c>
      <c r="AL577" s="290">
        <v>6.5991208231461096</v>
      </c>
      <c r="AM577" s="290">
        <v>9.6986339733199702E-7</v>
      </c>
      <c r="AN577" s="290">
        <v>0.60391960399846001</v>
      </c>
      <c r="AO577" s="290">
        <v>95.499347823959994</v>
      </c>
      <c r="AP577" s="290">
        <v>2.20757521305483E-9</v>
      </c>
      <c r="AQ577" s="290">
        <v>6.7894331496460696E-8</v>
      </c>
      <c r="AR577" s="290">
        <v>308.74374267222203</v>
      </c>
      <c r="AS577" s="290">
        <v>0</v>
      </c>
      <c r="AT577" s="290">
        <v>0</v>
      </c>
      <c r="AU577" s="290">
        <v>1.1902980485677299</v>
      </c>
      <c r="AV577" s="290">
        <v>0</v>
      </c>
      <c r="AW577" s="290">
        <v>0</v>
      </c>
      <c r="AX577" s="290">
        <v>156.37620338061299</v>
      </c>
      <c r="AY577" s="290">
        <v>0</v>
      </c>
      <c r="AZ577" s="290">
        <v>0</v>
      </c>
      <c r="BA577" s="290">
        <v>0</v>
      </c>
      <c r="BB577" s="290">
        <v>0.15723153067207801</v>
      </c>
      <c r="BC577" s="290">
        <v>2.1998950042333799E-4</v>
      </c>
      <c r="BD577" s="290">
        <v>999.69461551998995</v>
      </c>
      <c r="BE577" s="290">
        <v>9.6680517495675801E-4</v>
      </c>
      <c r="BF577" s="290">
        <v>0</v>
      </c>
      <c r="BG577" s="290">
        <v>0</v>
      </c>
      <c r="BH577" s="290">
        <v>0</v>
      </c>
      <c r="BI577" s="290">
        <v>0</v>
      </c>
      <c r="BJ577" s="290">
        <v>0</v>
      </c>
      <c r="BK577" s="78">
        <v>0</v>
      </c>
      <c r="BL577" s="41" t="s">
        <v>616</v>
      </c>
      <c r="BM577" s="45"/>
    </row>
    <row r="578" spans="1:65" x14ac:dyDescent="0.35">
      <c r="A578" s="45" t="str">
        <f>Database_Productkaarten[[#This Row],[Product]]&amp;", "&amp;Database_Productkaarten[[#This Row],[Levensfase]]</f>
        <v>WB gietasfalt  - PCR 2.0, D1</v>
      </c>
      <c r="B578" s="45" t="s">
        <v>1374</v>
      </c>
      <c r="C578" s="41" t="s">
        <v>443</v>
      </c>
      <c r="D578" s="41" t="s">
        <v>475</v>
      </c>
      <c r="E578" s="41" t="s">
        <v>91</v>
      </c>
      <c r="F578" s="41" t="s">
        <v>51</v>
      </c>
      <c r="G578" s="45"/>
      <c r="H578" s="45"/>
      <c r="I578" s="45"/>
      <c r="J578" s="45"/>
      <c r="K578" s="45"/>
      <c r="L578" s="45">
        <v>2.1</v>
      </c>
      <c r="M578" s="291">
        <v>0</v>
      </c>
      <c r="N578" s="45">
        <v>75</v>
      </c>
      <c r="O578" s="290">
        <v>0</v>
      </c>
      <c r="P578" s="290">
        <v>0</v>
      </c>
      <c r="Q578" s="290">
        <v>0</v>
      </c>
      <c r="R578" s="290">
        <v>0</v>
      </c>
      <c r="S578" s="290">
        <v>0</v>
      </c>
      <c r="T578" s="290">
        <v>0</v>
      </c>
      <c r="U578" s="290">
        <v>0</v>
      </c>
      <c r="V578" s="290">
        <v>0</v>
      </c>
      <c r="W578" s="290">
        <v>0</v>
      </c>
      <c r="X578" s="290">
        <v>0</v>
      </c>
      <c r="Y578" s="290">
        <v>0</v>
      </c>
      <c r="Z578" s="290">
        <v>0</v>
      </c>
      <c r="AA578" s="290">
        <v>0</v>
      </c>
      <c r="AB578" s="290">
        <v>0</v>
      </c>
      <c r="AC578" s="290">
        <v>0</v>
      </c>
      <c r="AD578" s="290">
        <v>0</v>
      </c>
      <c r="AE578" s="290">
        <v>0</v>
      </c>
      <c r="AF578" s="290">
        <v>0</v>
      </c>
      <c r="AG578" s="290">
        <v>0</v>
      </c>
      <c r="AH578" s="290">
        <v>0</v>
      </c>
      <c r="AI578" s="290">
        <v>0</v>
      </c>
      <c r="AJ578" s="290">
        <v>0</v>
      </c>
      <c r="AK578" s="290">
        <v>0</v>
      </c>
      <c r="AL578" s="290">
        <v>0</v>
      </c>
      <c r="AM578" s="290">
        <v>0</v>
      </c>
      <c r="AN578" s="290">
        <v>0</v>
      </c>
      <c r="AO578" s="290">
        <v>0</v>
      </c>
      <c r="AP578" s="290">
        <v>0</v>
      </c>
      <c r="AQ578" s="290">
        <v>0</v>
      </c>
      <c r="AR578" s="290">
        <v>0</v>
      </c>
      <c r="AS578" s="290">
        <v>0</v>
      </c>
      <c r="AT578" s="290">
        <v>0</v>
      </c>
      <c r="AU578" s="290">
        <v>0</v>
      </c>
      <c r="AV578" s="290">
        <v>0</v>
      </c>
      <c r="AW578" s="290">
        <v>0</v>
      </c>
      <c r="AX578" s="290">
        <v>0</v>
      </c>
      <c r="AY578" s="290">
        <v>0</v>
      </c>
      <c r="AZ578" s="290">
        <v>0</v>
      </c>
      <c r="BA578" s="290">
        <v>0</v>
      </c>
      <c r="BB578" s="290">
        <v>0</v>
      </c>
      <c r="BC578" s="290">
        <v>0</v>
      </c>
      <c r="BD578" s="290">
        <v>0</v>
      </c>
      <c r="BE578" s="290">
        <v>0</v>
      </c>
      <c r="BF578" s="290">
        <v>0</v>
      </c>
      <c r="BG578" s="290">
        <v>0</v>
      </c>
      <c r="BH578" s="290">
        <v>0</v>
      </c>
      <c r="BI578" s="290">
        <v>0</v>
      </c>
      <c r="BJ578" s="290">
        <v>0</v>
      </c>
      <c r="BK578" s="78">
        <v>0</v>
      </c>
      <c r="BL578" s="41" t="s">
        <v>616</v>
      </c>
      <c r="BM578" s="45"/>
    </row>
    <row r="579" spans="1:65" x14ac:dyDescent="0.35">
      <c r="A579" s="45" t="str">
        <f>Database_Productkaarten[[#This Row],[Product]]&amp;", "&amp;Database_Productkaarten[[#This Row],[Levensfase]]</f>
        <v>WB asfaltmastiek - PCR 2.0, Totaal</v>
      </c>
      <c r="B579" s="45" t="s">
        <v>1373</v>
      </c>
      <c r="C579" s="41" t="s">
        <v>443</v>
      </c>
      <c r="D579" s="41" t="s">
        <v>474</v>
      </c>
      <c r="E579" s="41" t="s">
        <v>91</v>
      </c>
      <c r="F579" s="41" t="s">
        <v>16</v>
      </c>
      <c r="G579" s="45"/>
      <c r="H579" s="45"/>
      <c r="I579" s="45"/>
      <c r="J579" s="45"/>
      <c r="K579" s="45"/>
      <c r="L579" s="45">
        <v>2</v>
      </c>
      <c r="M579" s="54">
        <f>SUM(M580:M594)</f>
        <v>23.816035084822541</v>
      </c>
      <c r="N579" s="45">
        <v>75</v>
      </c>
      <c r="O579" s="55">
        <f>SUM(O580:O594)</f>
        <v>9.6566828035996477E-4</v>
      </c>
      <c r="P579" s="55">
        <f t="shared" ref="P579" si="908">SUM(P580:P594)</f>
        <v>4.0651671374822804</v>
      </c>
      <c r="Q579" s="55">
        <f t="shared" ref="Q579" si="909">SUM(Q580:Q594)</f>
        <v>196.09372278145511</v>
      </c>
      <c r="R579" s="55">
        <f t="shared" ref="R579" si="910">SUM(R580:R594)</f>
        <v>2.0388806098354979E-5</v>
      </c>
      <c r="S579" s="55">
        <f t="shared" ref="S579" si="911">SUM(S580:S594)</f>
        <v>0.40648888107697406</v>
      </c>
      <c r="T579" s="55">
        <f t="shared" ref="T579" si="912">SUM(T580:T594)</f>
        <v>1.1270005518582322</v>
      </c>
      <c r="U579" s="55">
        <f t="shared" ref="U579" si="913">SUM(U580:U594)</f>
        <v>0.10634520737489524</v>
      </c>
      <c r="V579" s="55">
        <f t="shared" ref="V579" si="914">SUM(V580:V594)</f>
        <v>46.9577646120146</v>
      </c>
      <c r="W579" s="55">
        <f t="shared" ref="W579" si="915">SUM(W580:W594)</f>
        <v>6.0060791853089333</v>
      </c>
      <c r="X579" s="55">
        <f t="shared" ref="X579" si="916">SUM(X580:X594)</f>
        <v>26285.666895632938</v>
      </c>
      <c r="Y579" s="55">
        <f t="shared" ref="Y579" si="917">SUM(Y580:Y594)</f>
        <v>0.7853552746667315</v>
      </c>
      <c r="Z579" s="55">
        <f t="shared" ref="Z579" si="918">SUM(Z580:Z594)</f>
        <v>206.82311396907434</v>
      </c>
      <c r="AA579" s="55">
        <f t="shared" ref="AA579" si="919">SUM(AA580:AA594)</f>
        <v>206.42569269192097</v>
      </c>
      <c r="AB579" s="55">
        <f t="shared" ref="AB579" si="920">SUM(AB580:AB594)</f>
        <v>0.39527829366496542</v>
      </c>
      <c r="AC579" s="55">
        <f t="shared" ref="AC579" si="921">SUM(AC580:AC594)</f>
        <v>9.8226927738755299E-2</v>
      </c>
      <c r="AD579" s="55">
        <f t="shared" ref="AD579" si="922">SUM(AD580:AD594)</f>
        <v>2.5008686726273071E-5</v>
      </c>
      <c r="AE579" s="55">
        <f t="shared" ref="AE579" si="923">SUM(AE580:AE594)</f>
        <v>1.3390067808475938</v>
      </c>
      <c r="AF579" s="55">
        <f t="shared" ref="AF579" si="924">SUM(AF580:AF594)</f>
        <v>2.3454015495118961E-3</v>
      </c>
      <c r="AG579" s="55">
        <f t="shared" ref="AG579" si="925">SUM(AG580:AG594)</f>
        <v>0.22979273622497476</v>
      </c>
      <c r="AH579" s="55">
        <f t="shared" ref="AH579" si="926">SUM(AH580:AH594)</f>
        <v>2.3138215390125101</v>
      </c>
      <c r="AI579" s="55">
        <f t="shared" ref="AI579" si="927">SUM(AI580:AI594)</f>
        <v>1.3572084566167155</v>
      </c>
      <c r="AJ579" s="55">
        <f t="shared" ref="AJ579" si="928">SUM(AJ580:AJ594)</f>
        <v>9.6550775064144743E-4</v>
      </c>
      <c r="AK579" s="55">
        <f t="shared" ref="AK579" si="929">SUM(AK580:AK594)</f>
        <v>8555.8564385195496</v>
      </c>
      <c r="AL579" s="55">
        <f t="shared" ref="AL579" si="930">SUM(AL580:AL594)</f>
        <v>154.44525442827083</v>
      </c>
      <c r="AM579" s="55">
        <f t="shared" ref="AM579" si="931">SUM(AM580:AM594)</f>
        <v>7.7045771511383888E-6</v>
      </c>
      <c r="AN579" s="55">
        <f t="shared" ref="AN579" si="932">SUM(AN580:AN594)</f>
        <v>6.1361221793106004</v>
      </c>
      <c r="AO579" s="55">
        <f t="shared" ref="AO579" si="933">SUM(AO580:AO594)</f>
        <v>9779.4596214670364</v>
      </c>
      <c r="AP579" s="55">
        <f t="shared" ref="AP579" si="934">SUM(AP580:AP594)</f>
        <v>5.2731533338748194E-8</v>
      </c>
      <c r="AQ579" s="55">
        <f t="shared" ref="AQ579" si="935">SUM(AQ580:AQ594)</f>
        <v>2.3753887387092742E-6</v>
      </c>
      <c r="AR579" s="55">
        <f t="shared" ref="AR579" si="936">SUM(AR580:AR594)</f>
        <v>1885.7485057797633</v>
      </c>
      <c r="AS579" s="55">
        <f t="shared" ref="AS579" si="937">SUM(AS580:AS594)</f>
        <v>9.0831365000000002</v>
      </c>
      <c r="AT579" s="55">
        <f t="shared" ref="AT579" si="938">SUM(AT580:AT594)</f>
        <v>0</v>
      </c>
      <c r="AU579" s="55">
        <f t="shared" ref="AU579" si="939">SUM(AU580:AU594)</f>
        <v>68.095927755544309</v>
      </c>
      <c r="AV579" s="55">
        <f t="shared" ref="AV579" si="940">SUM(AV580:AV594)</f>
        <v>0.79580531249999997</v>
      </c>
      <c r="AW579" s="55">
        <f t="shared" ref="AW579" si="941">SUM(AW580:AW594)</f>
        <v>1.1178862500000001E-3</v>
      </c>
      <c r="AX579" s="55">
        <f t="shared" ref="AX579" si="942">SUM(AX580:AX594)</f>
        <v>9116.8724268557526</v>
      </c>
      <c r="AY579" s="55">
        <f t="shared" ref="AY579" si="943">SUM(AY580:AY594)</f>
        <v>0</v>
      </c>
      <c r="AZ579" s="55">
        <f t="shared" ref="AZ579" si="944">SUM(AZ580:AZ594)</f>
        <v>0</v>
      </c>
      <c r="BA579" s="55">
        <f t="shared" ref="BA579" si="945">SUM(BA580:BA594)</f>
        <v>0</v>
      </c>
      <c r="BB579" s="55">
        <f t="shared" ref="BB579" si="946">SUM(BB580:BB594)</f>
        <v>3.7021744976718209</v>
      </c>
      <c r="BC579" s="55">
        <f t="shared" ref="BC579" si="947">SUM(BC580:BC594)</f>
        <v>4.6849336567953235E-3</v>
      </c>
      <c r="BD579" s="55">
        <f t="shared" ref="BD579" si="948">SUM(BD580:BD594)</f>
        <v>1039.7544246486034</v>
      </c>
      <c r="BE579" s="55">
        <f t="shared" ref="BE579" si="949">SUM(BE580:BE594)</f>
        <v>6.4207945723301274E-3</v>
      </c>
      <c r="BF579" s="55">
        <f t="shared" ref="BF579" si="950">SUM(BF580:BF594)</f>
        <v>0</v>
      </c>
      <c r="BG579" s="55">
        <f t="shared" ref="BG579" si="951">SUM(BG580:BG594)</f>
        <v>0</v>
      </c>
      <c r="BH579" s="55">
        <f t="shared" ref="BH579" si="952">SUM(BH580:BH594)</f>
        <v>0</v>
      </c>
      <c r="BI579" s="55">
        <f t="shared" ref="BI579" si="953">SUM(BI580:BI594)</f>
        <v>0</v>
      </c>
      <c r="BJ579" s="55">
        <f t="shared" ref="BJ579" si="954">SUM(BJ580:BJ594)</f>
        <v>0</v>
      </c>
      <c r="BK579" s="78">
        <v>0</v>
      </c>
      <c r="BL579" s="41" t="s">
        <v>616</v>
      </c>
      <c r="BM579" s="45"/>
    </row>
    <row r="580" spans="1:65" x14ac:dyDescent="0.35">
      <c r="A580" s="45" t="str">
        <f>Database_Productkaarten[[#This Row],[Product]]&amp;", "&amp;Database_Productkaarten[[#This Row],[Levensfase]]</f>
        <v>WB asfaltmastiek - PCR 2.0, A1</v>
      </c>
      <c r="B580" s="45" t="s">
        <v>1373</v>
      </c>
      <c r="C580" s="41" t="s">
        <v>443</v>
      </c>
      <c r="D580" s="41" t="s">
        <v>474</v>
      </c>
      <c r="E580" s="41" t="s">
        <v>91</v>
      </c>
      <c r="F580" s="41" t="s">
        <v>19</v>
      </c>
      <c r="G580" s="45"/>
      <c r="H580" s="45"/>
      <c r="I580" s="45"/>
      <c r="J580" s="45"/>
      <c r="K580" s="45"/>
      <c r="L580" s="45">
        <v>2</v>
      </c>
      <c r="M580" s="291">
        <v>17.684206306398643</v>
      </c>
      <c r="N580" s="45">
        <v>75</v>
      </c>
      <c r="O580" s="290">
        <v>3.0964854745425699E-4</v>
      </c>
      <c r="P580" s="290">
        <v>3.5512366372863098</v>
      </c>
      <c r="Q580" s="290">
        <v>132.57070712081801</v>
      </c>
      <c r="R580" s="290">
        <v>1.0331246074068299E-5</v>
      </c>
      <c r="S580" s="290">
        <v>0.37726247509640798</v>
      </c>
      <c r="T580" s="290">
        <v>0.92163494011859504</v>
      </c>
      <c r="U580" s="290">
        <v>6.6069048446824902E-2</v>
      </c>
      <c r="V580" s="290">
        <v>30.831645145811301</v>
      </c>
      <c r="W580" s="290">
        <v>5.6091927770204899</v>
      </c>
      <c r="X580" s="290">
        <v>24667.899955119901</v>
      </c>
      <c r="Y580" s="290">
        <v>0.69189364346460203</v>
      </c>
      <c r="Z580" s="290">
        <v>142.454054537372</v>
      </c>
      <c r="AA580" s="290">
        <v>142.21594863351899</v>
      </c>
      <c r="AB580" s="290">
        <v>0.25804343183595801</v>
      </c>
      <c r="AC580" s="290">
        <v>7.6146472017301806E-2</v>
      </c>
      <c r="AD580" s="290">
        <v>1.2746105193368899E-5</v>
      </c>
      <c r="AE580" s="290">
        <v>1.0666970308477399</v>
      </c>
      <c r="AF580" s="290">
        <v>1.5272166132737201E-3</v>
      </c>
      <c r="AG580" s="290">
        <v>0.13668757838242701</v>
      </c>
      <c r="AH580" s="290">
        <v>1.28073459557915</v>
      </c>
      <c r="AI580" s="290">
        <v>1.06063405585086</v>
      </c>
      <c r="AJ580" s="290">
        <v>3.0949313158553E-4</v>
      </c>
      <c r="AK580" s="290">
        <v>7537.79222497521</v>
      </c>
      <c r="AL580" s="290">
        <v>145.144181685691</v>
      </c>
      <c r="AM580" s="290">
        <v>4.3036427030034103E-6</v>
      </c>
      <c r="AN580" s="290">
        <v>3.1220145538289801</v>
      </c>
      <c r="AO580" s="290">
        <v>9164.2177817463798</v>
      </c>
      <c r="AP580" s="290">
        <v>3.46219764590632E-8</v>
      </c>
      <c r="AQ580" s="290">
        <v>1.87208435870727E-6</v>
      </c>
      <c r="AR580" s="290">
        <v>1054.6367450390601</v>
      </c>
      <c r="AS580" s="290">
        <v>0</v>
      </c>
      <c r="AT580" s="290">
        <v>0</v>
      </c>
      <c r="AU580" s="290">
        <v>39.805646751040001</v>
      </c>
      <c r="AV580" s="290">
        <v>0</v>
      </c>
      <c r="AW580" s="290">
        <v>0</v>
      </c>
      <c r="AX580" s="290">
        <v>8021.6361528861798</v>
      </c>
      <c r="AY580" s="290">
        <v>0</v>
      </c>
      <c r="AZ580" s="290">
        <v>0</v>
      </c>
      <c r="BA580" s="290">
        <v>0</v>
      </c>
      <c r="BB580" s="290">
        <v>3.4150633680393798</v>
      </c>
      <c r="BC580" s="290">
        <v>2.7695140870298098E-3</v>
      </c>
      <c r="BD580" s="290">
        <v>8.1562963658087693</v>
      </c>
      <c r="BE580" s="290">
        <v>1.81308239601166E-3</v>
      </c>
      <c r="BF580" s="290">
        <v>0</v>
      </c>
      <c r="BG580" s="290">
        <v>0</v>
      </c>
      <c r="BH580" s="290">
        <v>0</v>
      </c>
      <c r="BI580" s="290">
        <v>0</v>
      </c>
      <c r="BJ580" s="290">
        <v>0</v>
      </c>
      <c r="BK580" s="78">
        <v>0</v>
      </c>
      <c r="BL580" s="41" t="s">
        <v>616</v>
      </c>
      <c r="BM580" s="45"/>
    </row>
    <row r="581" spans="1:65" x14ac:dyDescent="0.35">
      <c r="A581" s="45" t="str">
        <f>Database_Productkaarten[[#This Row],[Product]]&amp;", "&amp;Database_Productkaarten[[#This Row],[Levensfase]]</f>
        <v>WB asfaltmastiek - PCR 2.0, A2</v>
      </c>
      <c r="B581" s="45" t="s">
        <v>1373</v>
      </c>
      <c r="C581" s="41" t="s">
        <v>443</v>
      </c>
      <c r="D581" s="41" t="s">
        <v>474</v>
      </c>
      <c r="E581" s="41" t="s">
        <v>91</v>
      </c>
      <c r="F581" s="41" t="s">
        <v>20</v>
      </c>
      <c r="G581" s="45"/>
      <c r="H581" s="45"/>
      <c r="I581" s="45"/>
      <c r="J581" s="45"/>
      <c r="K581" s="45"/>
      <c r="L581" s="45">
        <v>2</v>
      </c>
      <c r="M581" s="291">
        <v>1.8060433164217475</v>
      </c>
      <c r="N581" s="45">
        <v>75</v>
      </c>
      <c r="O581" s="290">
        <v>2.9490222146635501E-4</v>
      </c>
      <c r="P581" s="290">
        <v>0.104515720889001</v>
      </c>
      <c r="Q581" s="290">
        <v>15.0372785136781</v>
      </c>
      <c r="R581" s="290">
        <v>2.4951810453037299E-6</v>
      </c>
      <c r="S581" s="290">
        <v>8.9948950012656605E-3</v>
      </c>
      <c r="T581" s="290">
        <v>8.0069452021788307E-2</v>
      </c>
      <c r="U581" s="290">
        <v>1.6725996771226999E-2</v>
      </c>
      <c r="V581" s="290">
        <v>5.4314266128861597</v>
      </c>
      <c r="W581" s="290">
        <v>0.153397214132447</v>
      </c>
      <c r="X581" s="290">
        <v>538.50808364796103</v>
      </c>
      <c r="Y581" s="290">
        <v>2.086911049262E-2</v>
      </c>
      <c r="Z581" s="290">
        <v>15.1899912658328</v>
      </c>
      <c r="AA581" s="290">
        <v>15.163856023016701</v>
      </c>
      <c r="AB581" s="290">
        <v>1.29361984841885E-2</v>
      </c>
      <c r="AC581" s="290">
        <v>1.3199044331974901E-2</v>
      </c>
      <c r="AD581" s="290">
        <v>3.12102520518896E-6</v>
      </c>
      <c r="AE581" s="290">
        <v>0.108915902012013</v>
      </c>
      <c r="AF581" s="290">
        <v>1.6290057265239401E-4</v>
      </c>
      <c r="AG581" s="290">
        <v>4.2226774097186802E-2</v>
      </c>
      <c r="AH581" s="290">
        <v>0.46514641128287598</v>
      </c>
      <c r="AI581" s="290">
        <v>0.12620545488188001</v>
      </c>
      <c r="AJ581" s="290">
        <v>2.9489871142331401E-4</v>
      </c>
      <c r="AK581" s="290">
        <v>216.335548921651</v>
      </c>
      <c r="AL581" s="290">
        <v>0.84748636898639196</v>
      </c>
      <c r="AM581" s="290">
        <v>1.01939495507752E-6</v>
      </c>
      <c r="AN581" s="290">
        <v>0.91593289849762805</v>
      </c>
      <c r="AO581" s="290">
        <v>192.40112843547001</v>
      </c>
      <c r="AP581" s="290">
        <v>6.8118480639354096E-9</v>
      </c>
      <c r="AQ581" s="290">
        <v>1.87110002976505E-7</v>
      </c>
      <c r="AR581" s="290">
        <v>180.992483000894</v>
      </c>
      <c r="AS581" s="290">
        <v>0</v>
      </c>
      <c r="AT581" s="290">
        <v>0</v>
      </c>
      <c r="AU581" s="290">
        <v>3.419379302766</v>
      </c>
      <c r="AV581" s="290">
        <v>0</v>
      </c>
      <c r="AW581" s="290">
        <v>0</v>
      </c>
      <c r="AX581" s="290">
        <v>229.652138934813</v>
      </c>
      <c r="AY581" s="290">
        <v>0</v>
      </c>
      <c r="AZ581" s="290">
        <v>0</v>
      </c>
      <c r="BA581" s="290">
        <v>0</v>
      </c>
      <c r="BB581" s="290">
        <v>3.0832493939876901E-2</v>
      </c>
      <c r="BC581" s="290">
        <v>5.5285419668059301E-4</v>
      </c>
      <c r="BD581" s="290">
        <v>9.9400553419347197</v>
      </c>
      <c r="BE581" s="290">
        <v>1.4150263971606401E-3</v>
      </c>
      <c r="BF581" s="290">
        <v>0</v>
      </c>
      <c r="BG581" s="290">
        <v>0</v>
      </c>
      <c r="BH581" s="290">
        <v>0</v>
      </c>
      <c r="BI581" s="290">
        <v>0</v>
      </c>
      <c r="BJ581" s="290">
        <v>0</v>
      </c>
      <c r="BK581" s="78">
        <v>0</v>
      </c>
      <c r="BL581" s="41" t="s">
        <v>616</v>
      </c>
      <c r="BM581" s="45"/>
    </row>
    <row r="582" spans="1:65" x14ac:dyDescent="0.35">
      <c r="A582" s="45" t="str">
        <f>Database_Productkaarten[[#This Row],[Product]]&amp;", "&amp;Database_Productkaarten[[#This Row],[Levensfase]]</f>
        <v>WB asfaltmastiek - PCR 2.0, A3</v>
      </c>
      <c r="B582" s="45" t="s">
        <v>1373</v>
      </c>
      <c r="C582" s="41" t="s">
        <v>443</v>
      </c>
      <c r="D582" s="41" t="s">
        <v>474</v>
      </c>
      <c r="E582" s="41" t="s">
        <v>91</v>
      </c>
      <c r="F582" s="41" t="s">
        <v>21</v>
      </c>
      <c r="G582" s="45"/>
      <c r="H582" s="45"/>
      <c r="I582" s="45"/>
      <c r="J582" s="45"/>
      <c r="K582" s="45"/>
      <c r="L582" s="45">
        <v>2</v>
      </c>
      <c r="M582" s="291">
        <v>1.847735329871298</v>
      </c>
      <c r="N582" s="45">
        <v>75</v>
      </c>
      <c r="O582" s="290">
        <v>3.6696214261351001E-5</v>
      </c>
      <c r="P582" s="290">
        <v>0.21282208934441499</v>
      </c>
      <c r="Q582" s="290">
        <v>25.4384078464795</v>
      </c>
      <c r="R582" s="290">
        <v>2.6327154919851499E-6</v>
      </c>
      <c r="S582" s="290">
        <v>4.0847780382791904E-3</v>
      </c>
      <c r="T582" s="290">
        <v>2.87475466225957E-2</v>
      </c>
      <c r="U582" s="290">
        <v>5.1395397256409703E-3</v>
      </c>
      <c r="V582" s="290">
        <v>3.9320806323904698</v>
      </c>
      <c r="W582" s="290">
        <v>3.57924972628803E-2</v>
      </c>
      <c r="X582" s="290">
        <v>147.38384133627599</v>
      </c>
      <c r="Y582" s="290">
        <v>4.2725572146813398E-2</v>
      </c>
      <c r="Z582" s="290">
        <v>25.8519840799398</v>
      </c>
      <c r="AA582" s="290">
        <v>25.7566973983817</v>
      </c>
      <c r="AB582" s="290">
        <v>9.2297011633200504E-2</v>
      </c>
      <c r="AC582" s="290">
        <v>2.9896699249101501E-3</v>
      </c>
      <c r="AD582" s="290">
        <v>2.9438913269446801E-6</v>
      </c>
      <c r="AE582" s="290">
        <v>3.6806994046661497E-2</v>
      </c>
      <c r="AF582" s="290">
        <v>4.7111918131202397E-4</v>
      </c>
      <c r="AG582" s="290">
        <v>9.7261815558000592E-3</v>
      </c>
      <c r="AH582" s="290">
        <v>0.111798687711369</v>
      </c>
      <c r="AI582" s="290">
        <v>3.2480203516256197E-2</v>
      </c>
      <c r="AJ582" s="290">
        <v>3.6695722343293402E-5</v>
      </c>
      <c r="AK582" s="290">
        <v>389.66087239538899</v>
      </c>
      <c r="AL582" s="290">
        <v>0.89580152422276105</v>
      </c>
      <c r="AM582" s="290">
        <v>2.1942783645897E-7</v>
      </c>
      <c r="AN582" s="290">
        <v>0.35671105742574399</v>
      </c>
      <c r="AO582" s="290">
        <v>124.082466175638</v>
      </c>
      <c r="AP582" s="290">
        <v>3.6139476172632999E-9</v>
      </c>
      <c r="AQ582" s="290">
        <v>7.6082558940184104E-8</v>
      </c>
      <c r="AR582" s="290">
        <v>25.832566640117999</v>
      </c>
      <c r="AS582" s="290">
        <v>0</v>
      </c>
      <c r="AT582" s="290">
        <v>0</v>
      </c>
      <c r="AU582" s="290">
        <v>11.9405992111259</v>
      </c>
      <c r="AV582" s="290">
        <v>0</v>
      </c>
      <c r="AW582" s="290">
        <v>0</v>
      </c>
      <c r="AX582" s="290">
        <v>427.93881288477797</v>
      </c>
      <c r="AY582" s="290">
        <v>0</v>
      </c>
      <c r="AZ582" s="290">
        <v>0</v>
      </c>
      <c r="BA582" s="290">
        <v>0</v>
      </c>
      <c r="BB582" s="290">
        <v>6.8732086950317905E-2</v>
      </c>
      <c r="BC582" s="290">
        <v>4.51093711342164E-4</v>
      </c>
      <c r="BD582" s="290">
        <v>0.407973324352849</v>
      </c>
      <c r="BE582" s="290">
        <v>4.2576666286569799E-4</v>
      </c>
      <c r="BF582" s="290">
        <v>0</v>
      </c>
      <c r="BG582" s="290">
        <v>0</v>
      </c>
      <c r="BH582" s="290">
        <v>0</v>
      </c>
      <c r="BI582" s="290">
        <v>0</v>
      </c>
      <c r="BJ582" s="290">
        <v>0</v>
      </c>
      <c r="BK582" s="78">
        <v>0</v>
      </c>
      <c r="BL582" s="41" t="s">
        <v>616</v>
      </c>
      <c r="BM582" s="45"/>
    </row>
    <row r="583" spans="1:65" x14ac:dyDescent="0.35">
      <c r="A583" s="45" t="str">
        <f>Database_Productkaarten[[#This Row],[Product]]&amp;", "&amp;Database_Productkaarten[[#This Row],[Levensfase]]</f>
        <v>WB asfaltmastiek - PCR 2.0, A4</v>
      </c>
      <c r="B583" s="45" t="s">
        <v>1373</v>
      </c>
      <c r="C583" s="41" t="s">
        <v>443</v>
      </c>
      <c r="D583" s="41" t="s">
        <v>474</v>
      </c>
      <c r="E583" s="41" t="s">
        <v>91</v>
      </c>
      <c r="F583" s="41" t="s">
        <v>22</v>
      </c>
      <c r="G583" s="45"/>
      <c r="H583" s="45"/>
      <c r="I583" s="45"/>
      <c r="J583" s="45"/>
      <c r="K583" s="45"/>
      <c r="L583" s="45">
        <v>2</v>
      </c>
      <c r="M583" s="291">
        <v>1.0485833250624002</v>
      </c>
      <c r="N583" s="45">
        <v>75</v>
      </c>
      <c r="O583" s="290">
        <v>1.9139989E-4</v>
      </c>
      <c r="P583" s="290">
        <v>8.2984737000000003E-2</v>
      </c>
      <c r="Q583" s="290">
        <v>11.140862305000001</v>
      </c>
      <c r="R583" s="290">
        <v>2.1105730000000001E-6</v>
      </c>
      <c r="S583" s="290">
        <v>6.9187815000000003E-3</v>
      </c>
      <c r="T583" s="290">
        <v>3.8093172000000002E-2</v>
      </c>
      <c r="U583" s="290">
        <v>7.1725041000000002E-3</v>
      </c>
      <c r="V583" s="290">
        <v>2.404076474</v>
      </c>
      <c r="W583" s="290">
        <v>0.10107081900000001</v>
      </c>
      <c r="X583" s="290">
        <v>271.9526553</v>
      </c>
      <c r="Y583" s="290">
        <v>1.3527501000000001E-2</v>
      </c>
      <c r="Z583" s="290">
        <v>11.243611402000001</v>
      </c>
      <c r="AA583" s="290">
        <v>11.235277858</v>
      </c>
      <c r="AB583" s="290">
        <v>5.5338161999999996E-3</v>
      </c>
      <c r="AC583" s="290">
        <v>2.7996658000000001E-3</v>
      </c>
      <c r="AD583" s="290">
        <v>2.6524902E-6</v>
      </c>
      <c r="AE583" s="290">
        <v>4.9542959999999997E-2</v>
      </c>
      <c r="AF583" s="290">
        <v>7.7756927999999997E-5</v>
      </c>
      <c r="AG583" s="290">
        <v>1.54956941E-2</v>
      </c>
      <c r="AH583" s="290">
        <v>0.17143644799999999</v>
      </c>
      <c r="AI583" s="290">
        <v>5.3721449999999997E-2</v>
      </c>
      <c r="AJ583" s="290">
        <v>1.9139957999999999E-4</v>
      </c>
      <c r="AK583" s="290">
        <v>174.27252329999999</v>
      </c>
      <c r="AL583" s="290">
        <v>0.59473686000000003</v>
      </c>
      <c r="AM583" s="290">
        <v>8.1937402000000003E-7</v>
      </c>
      <c r="AN583" s="290">
        <v>0.75038107099999996</v>
      </c>
      <c r="AO583" s="290">
        <v>127.2560416</v>
      </c>
      <c r="AP583" s="290">
        <v>3.2500059E-9</v>
      </c>
      <c r="AQ583" s="290">
        <v>1.06874639E-7</v>
      </c>
      <c r="AR583" s="290">
        <v>200.5416381</v>
      </c>
      <c r="AS583" s="290">
        <v>0</v>
      </c>
      <c r="AT583" s="290">
        <v>0</v>
      </c>
      <c r="AU583" s="290">
        <v>1.7727229099999999</v>
      </c>
      <c r="AV583" s="290">
        <v>0</v>
      </c>
      <c r="AW583" s="290">
        <v>0</v>
      </c>
      <c r="AX583" s="290">
        <v>185.06471759999999</v>
      </c>
      <c r="AY583" s="290">
        <v>0</v>
      </c>
      <c r="AZ583" s="290">
        <v>0</v>
      </c>
      <c r="BA583" s="290">
        <v>0</v>
      </c>
      <c r="BB583" s="290">
        <v>1.8842358E-2</v>
      </c>
      <c r="BC583" s="290">
        <v>4.3206715000000001E-4</v>
      </c>
      <c r="BD583" s="290">
        <v>15.25856115</v>
      </c>
      <c r="BE583" s="290">
        <v>1.1873551799999999E-3</v>
      </c>
      <c r="BF583" s="290">
        <v>0</v>
      </c>
      <c r="BG583" s="290">
        <v>0</v>
      </c>
      <c r="BH583" s="290">
        <v>0</v>
      </c>
      <c r="BI583" s="290">
        <v>0</v>
      </c>
      <c r="BJ583" s="290">
        <v>0</v>
      </c>
      <c r="BK583" s="78">
        <v>0</v>
      </c>
      <c r="BL583" s="41" t="s">
        <v>616</v>
      </c>
      <c r="BM583" s="45"/>
    </row>
    <row r="584" spans="1:65" x14ac:dyDescent="0.35">
      <c r="A584" s="45" t="str">
        <f>Database_Productkaarten[[#This Row],[Product]]&amp;", "&amp;Database_Productkaarten[[#This Row],[Levensfase]]</f>
        <v>WB asfaltmastiek - PCR 2.0, A5</v>
      </c>
      <c r="B584" s="45" t="s">
        <v>1373</v>
      </c>
      <c r="C584" s="41" t="s">
        <v>443</v>
      </c>
      <c r="D584" s="41" t="s">
        <v>474</v>
      </c>
      <c r="E584" s="41" t="s">
        <v>91</v>
      </c>
      <c r="F584" s="41" t="s">
        <v>23</v>
      </c>
      <c r="G584" s="45"/>
      <c r="H584" s="45"/>
      <c r="I584" s="45"/>
      <c r="J584" s="45"/>
      <c r="K584" s="45"/>
      <c r="L584" s="45">
        <v>2</v>
      </c>
      <c r="M584" s="291">
        <v>0.20892775828852939</v>
      </c>
      <c r="N584" s="45">
        <v>75</v>
      </c>
      <c r="O584" s="290">
        <v>2.5205338716535901E-6</v>
      </c>
      <c r="P584" s="290">
        <v>1.0722300968714101E-2</v>
      </c>
      <c r="Q584" s="290">
        <v>2.1806286363432501</v>
      </c>
      <c r="R584" s="290">
        <v>2.8179055373045599E-7</v>
      </c>
      <c r="S584" s="290">
        <v>7.5572087944418998E-4</v>
      </c>
      <c r="T584" s="290">
        <v>6.7857710973849902E-3</v>
      </c>
      <c r="U584" s="290">
        <v>1.48380870687252E-3</v>
      </c>
      <c r="V584" s="290">
        <v>0.58829495721612501</v>
      </c>
      <c r="W584" s="290">
        <v>8.3642064422302306E-3</v>
      </c>
      <c r="X584" s="290">
        <v>29.061931102719399</v>
      </c>
      <c r="Y584" s="290">
        <v>9.9052251783514106E-4</v>
      </c>
      <c r="Z584" s="290">
        <v>2.1948938681182399</v>
      </c>
      <c r="AA584" s="290">
        <v>2.19426400020193</v>
      </c>
      <c r="AB584" s="290">
        <v>5.0168129849255795E-4</v>
      </c>
      <c r="AC584" s="290">
        <v>1.2818661781322999E-4</v>
      </c>
      <c r="AD584" s="290">
        <v>3.55067227287619E-7</v>
      </c>
      <c r="AE584" s="290">
        <v>9.2830906298320102E-3</v>
      </c>
      <c r="AF584" s="290">
        <v>5.9889519810291997E-6</v>
      </c>
      <c r="AG584" s="290">
        <v>3.7212549842097699E-3</v>
      </c>
      <c r="AH584" s="290">
        <v>4.0884251349212697E-2</v>
      </c>
      <c r="AI584" s="290">
        <v>1.1058200026453E-2</v>
      </c>
      <c r="AJ584" s="290">
        <v>2.5205140927226598E-6</v>
      </c>
      <c r="AK584" s="290">
        <v>22.623400613763302</v>
      </c>
      <c r="AL584" s="290">
        <v>3.0130674070765098E-2</v>
      </c>
      <c r="AM584" s="290">
        <v>3.6737492597500301E-8</v>
      </c>
      <c r="AN584" s="290">
        <v>9.7101736626817703E-2</v>
      </c>
      <c r="AO584" s="290">
        <v>13.574591546638599</v>
      </c>
      <c r="AP584" s="290">
        <v>4.7625118609987E-10</v>
      </c>
      <c r="AQ584" s="290">
        <v>1.01356955593905E-8</v>
      </c>
      <c r="AR584" s="290">
        <v>2.8896462424929998</v>
      </c>
      <c r="AS584" s="290">
        <v>0</v>
      </c>
      <c r="AT584" s="290">
        <v>0</v>
      </c>
      <c r="AU584" s="290">
        <v>0.124349448406053</v>
      </c>
      <c r="AV584" s="290">
        <v>0</v>
      </c>
      <c r="AW584" s="290">
        <v>0</v>
      </c>
      <c r="AX584" s="290">
        <v>24.025335911179301</v>
      </c>
      <c r="AY584" s="290">
        <v>0</v>
      </c>
      <c r="AZ584" s="290">
        <v>0</v>
      </c>
      <c r="BA584" s="290">
        <v>0</v>
      </c>
      <c r="BB584" s="290">
        <v>1.1694798123938999E-3</v>
      </c>
      <c r="BC584" s="290">
        <v>6.1609561251140506E-5</v>
      </c>
      <c r="BD584" s="290">
        <v>2.6769629394970799E-2</v>
      </c>
      <c r="BE584" s="290">
        <v>1.5723384797385799E-4</v>
      </c>
      <c r="BF584" s="290">
        <v>0</v>
      </c>
      <c r="BG584" s="290">
        <v>0</v>
      </c>
      <c r="BH584" s="290">
        <v>0</v>
      </c>
      <c r="BI584" s="290">
        <v>0</v>
      </c>
      <c r="BJ584" s="290">
        <v>0</v>
      </c>
      <c r="BK584" s="78">
        <v>0</v>
      </c>
      <c r="BL584" s="41" t="s">
        <v>616</v>
      </c>
      <c r="BM584" s="45"/>
    </row>
    <row r="585" spans="1:65" x14ac:dyDescent="0.35">
      <c r="A585" s="45" t="str">
        <f>Database_Productkaarten[[#This Row],[Product]]&amp;", "&amp;Database_Productkaarten[[#This Row],[Levensfase]]</f>
        <v>WB asfaltmastiek - PCR 2.0, B1</v>
      </c>
      <c r="B585" s="45" t="s">
        <v>1373</v>
      </c>
      <c r="C585" s="41" t="s">
        <v>443</v>
      </c>
      <c r="D585" s="41" t="s">
        <v>474</v>
      </c>
      <c r="E585" s="41" t="s">
        <v>91</v>
      </c>
      <c r="F585" s="41" t="s">
        <v>24</v>
      </c>
      <c r="G585" s="45"/>
      <c r="H585" s="45"/>
      <c r="I585" s="45"/>
      <c r="J585" s="45"/>
      <c r="K585" s="45"/>
      <c r="L585" s="45">
        <v>2</v>
      </c>
      <c r="M585" s="291">
        <v>4.9342987462047135E-2</v>
      </c>
      <c r="N585" s="45">
        <v>75</v>
      </c>
      <c r="O585" s="290">
        <v>0</v>
      </c>
      <c r="P585" s="290">
        <v>0</v>
      </c>
      <c r="Q585" s="290">
        <v>0</v>
      </c>
      <c r="R585" s="290">
        <v>0</v>
      </c>
      <c r="S585" s="290">
        <v>0</v>
      </c>
      <c r="T585" s="290">
        <v>0</v>
      </c>
      <c r="U585" s="290">
        <v>0</v>
      </c>
      <c r="V585" s="290">
        <v>0.195976984731523</v>
      </c>
      <c r="W585" s="290">
        <v>5.7996333333290696E-7</v>
      </c>
      <c r="X585" s="290">
        <v>316.65771837310098</v>
      </c>
      <c r="Y585" s="290">
        <v>6.5449333333285299E-4</v>
      </c>
      <c r="Z585" s="290">
        <v>0</v>
      </c>
      <c r="AA585" s="290">
        <v>0</v>
      </c>
      <c r="AB585" s="290">
        <v>0</v>
      </c>
      <c r="AC585" s="290">
        <v>0</v>
      </c>
      <c r="AD585" s="290">
        <v>0</v>
      </c>
      <c r="AE585" s="290">
        <v>0</v>
      </c>
      <c r="AF585" s="290">
        <v>0</v>
      </c>
      <c r="AG585" s="290">
        <v>0</v>
      </c>
      <c r="AH585" s="290">
        <v>0</v>
      </c>
      <c r="AI585" s="290">
        <v>0</v>
      </c>
      <c r="AJ585" s="290">
        <v>0</v>
      </c>
      <c r="AK585" s="290">
        <v>0</v>
      </c>
      <c r="AL585" s="290">
        <v>0</v>
      </c>
      <c r="AM585" s="290">
        <v>0</v>
      </c>
      <c r="AN585" s="290">
        <v>0</v>
      </c>
      <c r="AO585" s="290">
        <v>1.9115155441748E-4</v>
      </c>
      <c r="AP585" s="290">
        <v>3.67946817816396E-11</v>
      </c>
      <c r="AQ585" s="290">
        <v>2.48002365473948E-9</v>
      </c>
      <c r="AR585" s="290">
        <v>0</v>
      </c>
      <c r="AS585" s="290">
        <v>0</v>
      </c>
      <c r="AT585" s="290">
        <v>0</v>
      </c>
      <c r="AU585" s="290">
        <v>0</v>
      </c>
      <c r="AV585" s="290">
        <v>0</v>
      </c>
      <c r="AW585" s="290">
        <v>0</v>
      </c>
      <c r="AX585" s="290">
        <v>0</v>
      </c>
      <c r="AY585" s="290">
        <v>0</v>
      </c>
      <c r="AZ585" s="290">
        <v>0</v>
      </c>
      <c r="BA585" s="290">
        <v>0</v>
      </c>
      <c r="BB585" s="290">
        <v>0</v>
      </c>
      <c r="BC585" s="290">
        <v>0</v>
      </c>
      <c r="BD585" s="290">
        <v>0</v>
      </c>
      <c r="BE585" s="290">
        <v>0</v>
      </c>
      <c r="BF585" s="290">
        <v>0</v>
      </c>
      <c r="BG585" s="290">
        <v>0</v>
      </c>
      <c r="BH585" s="290">
        <v>0</v>
      </c>
      <c r="BI585" s="290">
        <v>0</v>
      </c>
      <c r="BJ585" s="290">
        <v>0</v>
      </c>
      <c r="BK585" s="78">
        <v>0</v>
      </c>
      <c r="BL585" s="41" t="s">
        <v>616</v>
      </c>
      <c r="BM585" s="45"/>
    </row>
    <row r="586" spans="1:65" x14ac:dyDescent="0.35">
      <c r="A586" s="45" t="str">
        <f>Database_Productkaarten[[#This Row],[Product]]&amp;", "&amp;Database_Productkaarten[[#This Row],[Levensfase]]</f>
        <v>WB asfaltmastiek - PCR 2.0, B2</v>
      </c>
      <c r="B586" s="45" t="s">
        <v>1373</v>
      </c>
      <c r="C586" s="41" t="s">
        <v>443</v>
      </c>
      <c r="D586" s="41" t="s">
        <v>474</v>
      </c>
      <c r="E586" s="41" t="s">
        <v>91</v>
      </c>
      <c r="F586" s="41" t="s">
        <v>604</v>
      </c>
      <c r="G586" s="45"/>
      <c r="H586" s="45"/>
      <c r="I586" s="45"/>
      <c r="J586" s="45"/>
      <c r="K586" s="45"/>
      <c r="L586" s="45">
        <v>2</v>
      </c>
      <c r="M586" s="291">
        <v>0</v>
      </c>
      <c r="N586" s="45">
        <v>75</v>
      </c>
      <c r="O586" s="290">
        <v>0</v>
      </c>
      <c r="P586" s="290">
        <v>0</v>
      </c>
      <c r="Q586" s="290">
        <v>0</v>
      </c>
      <c r="R586" s="290">
        <v>0</v>
      </c>
      <c r="S586" s="290">
        <v>0</v>
      </c>
      <c r="T586" s="290">
        <v>0</v>
      </c>
      <c r="U586" s="290">
        <v>0</v>
      </c>
      <c r="V586" s="290">
        <v>0</v>
      </c>
      <c r="W586" s="290">
        <v>0</v>
      </c>
      <c r="X586" s="290">
        <v>0</v>
      </c>
      <c r="Y586" s="290">
        <v>0</v>
      </c>
      <c r="Z586" s="290">
        <v>0</v>
      </c>
      <c r="AA586" s="290">
        <v>0</v>
      </c>
      <c r="AB586" s="290">
        <v>0</v>
      </c>
      <c r="AC586" s="290">
        <v>0</v>
      </c>
      <c r="AD586" s="290">
        <v>0</v>
      </c>
      <c r="AE586" s="290">
        <v>0</v>
      </c>
      <c r="AF586" s="290">
        <v>0</v>
      </c>
      <c r="AG586" s="290">
        <v>0</v>
      </c>
      <c r="AH586" s="290">
        <v>0</v>
      </c>
      <c r="AI586" s="290">
        <v>0</v>
      </c>
      <c r="AJ586" s="290">
        <v>0</v>
      </c>
      <c r="AK586" s="290">
        <v>0</v>
      </c>
      <c r="AL586" s="290">
        <v>0</v>
      </c>
      <c r="AM586" s="290">
        <v>0</v>
      </c>
      <c r="AN586" s="290">
        <v>0</v>
      </c>
      <c r="AO586" s="290">
        <v>0</v>
      </c>
      <c r="AP586" s="290">
        <v>0</v>
      </c>
      <c r="AQ586" s="290">
        <v>0</v>
      </c>
      <c r="AR586" s="290">
        <v>0</v>
      </c>
      <c r="AS586" s="290">
        <v>0</v>
      </c>
      <c r="AT586" s="290">
        <v>0</v>
      </c>
      <c r="AU586" s="290">
        <v>0</v>
      </c>
      <c r="AV586" s="290">
        <v>0</v>
      </c>
      <c r="AW586" s="290">
        <v>0</v>
      </c>
      <c r="AX586" s="290">
        <v>0</v>
      </c>
      <c r="AY586" s="290">
        <v>0</v>
      </c>
      <c r="AZ586" s="290">
        <v>0</v>
      </c>
      <c r="BA586" s="290">
        <v>0</v>
      </c>
      <c r="BB586" s="290">
        <v>0</v>
      </c>
      <c r="BC586" s="290">
        <v>0</v>
      </c>
      <c r="BD586" s="290">
        <v>0</v>
      </c>
      <c r="BE586" s="290">
        <v>0</v>
      </c>
      <c r="BF586" s="290">
        <v>0</v>
      </c>
      <c r="BG586" s="290">
        <v>0</v>
      </c>
      <c r="BH586" s="290">
        <v>0</v>
      </c>
      <c r="BI586" s="290">
        <v>0</v>
      </c>
      <c r="BJ586" s="290">
        <v>0</v>
      </c>
      <c r="BK586" s="78">
        <v>0</v>
      </c>
      <c r="BL586" s="41" t="s">
        <v>616</v>
      </c>
      <c r="BM586" s="45"/>
    </row>
    <row r="587" spans="1:65" x14ac:dyDescent="0.35">
      <c r="A587" s="45" t="str">
        <f>Database_Productkaarten[[#This Row],[Product]]&amp;", "&amp;Database_Productkaarten[[#This Row],[Levensfase]]</f>
        <v>WB asfaltmastiek - PCR 2.0, B3</v>
      </c>
      <c r="B587" s="45" t="s">
        <v>1373</v>
      </c>
      <c r="C587" s="41" t="s">
        <v>443</v>
      </c>
      <c r="D587" s="41" t="s">
        <v>474</v>
      </c>
      <c r="E587" s="41" t="s">
        <v>91</v>
      </c>
      <c r="F587" s="41" t="s">
        <v>602</v>
      </c>
      <c r="G587" s="45"/>
      <c r="H587" s="45"/>
      <c r="I587" s="45"/>
      <c r="J587" s="45"/>
      <c r="K587" s="45"/>
      <c r="L587" s="45">
        <v>2</v>
      </c>
      <c r="M587" s="291">
        <v>0</v>
      </c>
      <c r="N587" s="45">
        <v>75</v>
      </c>
      <c r="O587" s="290">
        <v>0</v>
      </c>
      <c r="P587" s="290">
        <v>0</v>
      </c>
      <c r="Q587" s="290">
        <v>0</v>
      </c>
      <c r="R587" s="290">
        <v>0</v>
      </c>
      <c r="S587" s="290">
        <v>0</v>
      </c>
      <c r="T587" s="290">
        <v>0</v>
      </c>
      <c r="U587" s="290">
        <v>0</v>
      </c>
      <c r="V587" s="290">
        <v>0</v>
      </c>
      <c r="W587" s="290">
        <v>0</v>
      </c>
      <c r="X587" s="290">
        <v>0</v>
      </c>
      <c r="Y587" s="290">
        <v>0</v>
      </c>
      <c r="Z587" s="290">
        <v>0</v>
      </c>
      <c r="AA587" s="290">
        <v>0</v>
      </c>
      <c r="AB587" s="290">
        <v>0</v>
      </c>
      <c r="AC587" s="290">
        <v>0</v>
      </c>
      <c r="AD587" s="290">
        <v>0</v>
      </c>
      <c r="AE587" s="290">
        <v>0</v>
      </c>
      <c r="AF587" s="290">
        <v>0</v>
      </c>
      <c r="AG587" s="290">
        <v>0</v>
      </c>
      <c r="AH587" s="290">
        <v>0</v>
      </c>
      <c r="AI587" s="290">
        <v>0</v>
      </c>
      <c r="AJ587" s="290">
        <v>0</v>
      </c>
      <c r="AK587" s="290">
        <v>0</v>
      </c>
      <c r="AL587" s="290">
        <v>0</v>
      </c>
      <c r="AM587" s="290">
        <v>0</v>
      </c>
      <c r="AN587" s="290">
        <v>0</v>
      </c>
      <c r="AO587" s="290">
        <v>0</v>
      </c>
      <c r="AP587" s="290">
        <v>0</v>
      </c>
      <c r="AQ587" s="290">
        <v>0</v>
      </c>
      <c r="AR587" s="290">
        <v>0</v>
      </c>
      <c r="AS587" s="290">
        <v>0</v>
      </c>
      <c r="AT587" s="290">
        <v>0</v>
      </c>
      <c r="AU587" s="290">
        <v>0</v>
      </c>
      <c r="AV587" s="290">
        <v>0</v>
      </c>
      <c r="AW587" s="290">
        <v>0</v>
      </c>
      <c r="AX587" s="290">
        <v>0</v>
      </c>
      <c r="AY587" s="290">
        <v>0</v>
      </c>
      <c r="AZ587" s="290">
        <v>0</v>
      </c>
      <c r="BA587" s="290">
        <v>0</v>
      </c>
      <c r="BB587" s="290">
        <v>0</v>
      </c>
      <c r="BC587" s="290">
        <v>0</v>
      </c>
      <c r="BD587" s="290">
        <v>0</v>
      </c>
      <c r="BE587" s="290">
        <v>0</v>
      </c>
      <c r="BF587" s="290">
        <v>0</v>
      </c>
      <c r="BG587" s="290">
        <v>0</v>
      </c>
      <c r="BH587" s="290">
        <v>0</v>
      </c>
      <c r="BI587" s="290">
        <v>0</v>
      </c>
      <c r="BJ587" s="290">
        <v>0</v>
      </c>
      <c r="BK587" s="78">
        <v>0</v>
      </c>
      <c r="BL587" s="41" t="s">
        <v>616</v>
      </c>
      <c r="BM587" s="45"/>
    </row>
    <row r="588" spans="1:65" x14ac:dyDescent="0.35">
      <c r="A588" s="45" t="str">
        <f>Database_Productkaarten[[#This Row],[Product]]&amp;", "&amp;Database_Productkaarten[[#This Row],[Levensfase]]</f>
        <v>WB asfaltmastiek - PCR 2.0, B4</v>
      </c>
      <c r="B588" s="45" t="s">
        <v>1373</v>
      </c>
      <c r="C588" s="41" t="s">
        <v>443</v>
      </c>
      <c r="D588" s="41" t="s">
        <v>474</v>
      </c>
      <c r="E588" s="41" t="s">
        <v>91</v>
      </c>
      <c r="F588" s="41" t="s">
        <v>50</v>
      </c>
      <c r="G588" s="45"/>
      <c r="H588" s="45"/>
      <c r="I588" s="45"/>
      <c r="J588" s="45"/>
      <c r="K588" s="45"/>
      <c r="L588" s="45">
        <v>2</v>
      </c>
      <c r="M588" s="291">
        <v>0</v>
      </c>
      <c r="N588" s="45">
        <v>75</v>
      </c>
      <c r="O588" s="290">
        <v>0</v>
      </c>
      <c r="P588" s="290">
        <v>0</v>
      </c>
      <c r="Q588" s="290">
        <v>0</v>
      </c>
      <c r="R588" s="290">
        <v>0</v>
      </c>
      <c r="S588" s="290">
        <v>0</v>
      </c>
      <c r="T588" s="290">
        <v>0</v>
      </c>
      <c r="U588" s="290">
        <v>0</v>
      </c>
      <c r="V588" s="290">
        <v>0</v>
      </c>
      <c r="W588" s="290">
        <v>0</v>
      </c>
      <c r="X588" s="290">
        <v>0</v>
      </c>
      <c r="Y588" s="290">
        <v>0</v>
      </c>
      <c r="Z588" s="290">
        <v>0</v>
      </c>
      <c r="AA588" s="290">
        <v>0</v>
      </c>
      <c r="AB588" s="290">
        <v>0</v>
      </c>
      <c r="AC588" s="290">
        <v>0</v>
      </c>
      <c r="AD588" s="290">
        <v>0</v>
      </c>
      <c r="AE588" s="290">
        <v>0</v>
      </c>
      <c r="AF588" s="290">
        <v>0</v>
      </c>
      <c r="AG588" s="290">
        <v>0</v>
      </c>
      <c r="AH588" s="290">
        <v>0</v>
      </c>
      <c r="AI588" s="290">
        <v>0</v>
      </c>
      <c r="AJ588" s="290">
        <v>0</v>
      </c>
      <c r="AK588" s="290">
        <v>0</v>
      </c>
      <c r="AL588" s="290">
        <v>0</v>
      </c>
      <c r="AM588" s="290">
        <v>0</v>
      </c>
      <c r="AN588" s="290">
        <v>0</v>
      </c>
      <c r="AO588" s="290">
        <v>0</v>
      </c>
      <c r="AP588" s="290">
        <v>0</v>
      </c>
      <c r="AQ588" s="290">
        <v>0</v>
      </c>
      <c r="AR588" s="290">
        <v>0</v>
      </c>
      <c r="AS588" s="290">
        <v>0</v>
      </c>
      <c r="AT588" s="290">
        <v>0</v>
      </c>
      <c r="AU588" s="290">
        <v>0</v>
      </c>
      <c r="AV588" s="290">
        <v>0</v>
      </c>
      <c r="AW588" s="290">
        <v>0</v>
      </c>
      <c r="AX588" s="290">
        <v>0</v>
      </c>
      <c r="AY588" s="290">
        <v>0</v>
      </c>
      <c r="AZ588" s="290">
        <v>0</v>
      </c>
      <c r="BA588" s="290">
        <v>0</v>
      </c>
      <c r="BB588" s="290">
        <v>0</v>
      </c>
      <c r="BC588" s="290">
        <v>0</v>
      </c>
      <c r="BD588" s="290">
        <v>0</v>
      </c>
      <c r="BE588" s="290">
        <v>0</v>
      </c>
      <c r="BF588" s="290">
        <v>0</v>
      </c>
      <c r="BG588" s="290">
        <v>0</v>
      </c>
      <c r="BH588" s="290">
        <v>0</v>
      </c>
      <c r="BI588" s="290">
        <v>0</v>
      </c>
      <c r="BJ588" s="290">
        <v>0</v>
      </c>
      <c r="BK588" s="78">
        <v>0</v>
      </c>
      <c r="BL588" s="41" t="s">
        <v>616</v>
      </c>
      <c r="BM588" s="45"/>
    </row>
    <row r="589" spans="1:65" x14ac:dyDescent="0.35">
      <c r="A589" s="45" t="str">
        <f>Database_Productkaarten[[#This Row],[Product]]&amp;", "&amp;Database_Productkaarten[[#This Row],[Levensfase]]</f>
        <v>WB asfaltmastiek - PCR 2.0, B5</v>
      </c>
      <c r="B589" s="45" t="s">
        <v>1373</v>
      </c>
      <c r="C589" s="41" t="s">
        <v>443</v>
      </c>
      <c r="D589" s="41" t="s">
        <v>474</v>
      </c>
      <c r="E589" s="41" t="s">
        <v>91</v>
      </c>
      <c r="F589" s="41" t="s">
        <v>1358</v>
      </c>
      <c r="G589" s="45"/>
      <c r="H589" s="45"/>
      <c r="I589" s="45"/>
      <c r="J589" s="45"/>
      <c r="K589" s="45"/>
      <c r="L589" s="45">
        <v>2</v>
      </c>
      <c r="M589" s="291">
        <v>0</v>
      </c>
      <c r="N589" s="45">
        <v>75</v>
      </c>
      <c r="O589" s="290">
        <v>0</v>
      </c>
      <c r="P589" s="290">
        <v>0</v>
      </c>
      <c r="Q589" s="290">
        <v>0</v>
      </c>
      <c r="R589" s="290">
        <v>0</v>
      </c>
      <c r="S589" s="290">
        <v>0</v>
      </c>
      <c r="T589" s="290">
        <v>0</v>
      </c>
      <c r="U589" s="290">
        <v>0</v>
      </c>
      <c r="V589" s="290">
        <v>0</v>
      </c>
      <c r="W589" s="290">
        <v>0</v>
      </c>
      <c r="X589" s="290">
        <v>0</v>
      </c>
      <c r="Y589" s="290">
        <v>0</v>
      </c>
      <c r="Z589" s="290">
        <v>0</v>
      </c>
      <c r="AA589" s="290">
        <v>0</v>
      </c>
      <c r="AB589" s="290">
        <v>0</v>
      </c>
      <c r="AC589" s="290">
        <v>0</v>
      </c>
      <c r="AD589" s="290">
        <v>0</v>
      </c>
      <c r="AE589" s="290">
        <v>0</v>
      </c>
      <c r="AF589" s="290">
        <v>0</v>
      </c>
      <c r="AG589" s="290">
        <v>0</v>
      </c>
      <c r="AH589" s="290">
        <v>0</v>
      </c>
      <c r="AI589" s="290">
        <v>0</v>
      </c>
      <c r="AJ589" s="290">
        <v>0</v>
      </c>
      <c r="AK589" s="290">
        <v>0</v>
      </c>
      <c r="AL589" s="290">
        <v>0</v>
      </c>
      <c r="AM589" s="290">
        <v>0</v>
      </c>
      <c r="AN589" s="290">
        <v>0</v>
      </c>
      <c r="AO589" s="290">
        <v>0</v>
      </c>
      <c r="AP589" s="290">
        <v>0</v>
      </c>
      <c r="AQ589" s="290">
        <v>0</v>
      </c>
      <c r="AR589" s="290">
        <v>0</v>
      </c>
      <c r="AS589" s="290">
        <v>0</v>
      </c>
      <c r="AT589" s="290">
        <v>0</v>
      </c>
      <c r="AU589" s="290">
        <v>0</v>
      </c>
      <c r="AV589" s="290">
        <v>0</v>
      </c>
      <c r="AW589" s="290">
        <v>0</v>
      </c>
      <c r="AX589" s="290">
        <v>0</v>
      </c>
      <c r="AY589" s="290">
        <v>0</v>
      </c>
      <c r="AZ589" s="290">
        <v>0</v>
      </c>
      <c r="BA589" s="290">
        <v>0</v>
      </c>
      <c r="BB589" s="290">
        <v>0</v>
      </c>
      <c r="BC589" s="290">
        <v>0</v>
      </c>
      <c r="BD589" s="290">
        <v>0</v>
      </c>
      <c r="BE589" s="290">
        <v>0</v>
      </c>
      <c r="BF589" s="290">
        <v>0</v>
      </c>
      <c r="BG589" s="290">
        <v>0</v>
      </c>
      <c r="BH589" s="290">
        <v>0</v>
      </c>
      <c r="BI589" s="290">
        <v>0</v>
      </c>
      <c r="BJ589" s="290">
        <v>0</v>
      </c>
      <c r="BK589" s="78">
        <v>0</v>
      </c>
      <c r="BL589" s="41" t="s">
        <v>616</v>
      </c>
      <c r="BM589" s="45"/>
    </row>
    <row r="590" spans="1:65" x14ac:dyDescent="0.35">
      <c r="A590" s="45" t="str">
        <f>Database_Productkaarten[[#This Row],[Product]]&amp;", "&amp;Database_Productkaarten[[#This Row],[Levensfase]]</f>
        <v>WB asfaltmastiek - PCR 2.0, C1</v>
      </c>
      <c r="B590" s="45" t="s">
        <v>1373</v>
      </c>
      <c r="C590" s="41" t="s">
        <v>443</v>
      </c>
      <c r="D590" s="41" t="s">
        <v>474</v>
      </c>
      <c r="E590" s="41" t="s">
        <v>91</v>
      </c>
      <c r="F590" s="41" t="s">
        <v>25</v>
      </c>
      <c r="G590" s="45"/>
      <c r="H590" s="45"/>
      <c r="I590" s="45"/>
      <c r="J590" s="45"/>
      <c r="K590" s="45"/>
      <c r="L590" s="45">
        <v>2</v>
      </c>
      <c r="M590" s="291">
        <v>8.3571103315411871E-2</v>
      </c>
      <c r="N590" s="45">
        <v>75</v>
      </c>
      <c r="O590" s="290">
        <v>1.00821354866143E-6</v>
      </c>
      <c r="P590" s="290">
        <v>4.2889203874856398E-3</v>
      </c>
      <c r="Q590" s="290">
        <v>0.87225145453730202</v>
      </c>
      <c r="R590" s="290">
        <v>1.12716221492183E-7</v>
      </c>
      <c r="S590" s="290">
        <v>3.02288351777676E-4</v>
      </c>
      <c r="T590" s="290">
        <v>2.7143084389539998E-3</v>
      </c>
      <c r="U590" s="290">
        <v>5.9352348274900797E-4</v>
      </c>
      <c r="V590" s="290">
        <v>0.23531798288645001</v>
      </c>
      <c r="W590" s="290">
        <v>3.34568257689211E-3</v>
      </c>
      <c r="X590" s="290">
        <v>11.624772441087799</v>
      </c>
      <c r="Y590" s="290">
        <v>3.9620900713405503E-4</v>
      </c>
      <c r="Z590" s="290">
        <v>0.87795754724729602</v>
      </c>
      <c r="AA590" s="290">
        <v>0.87770560008077403</v>
      </c>
      <c r="AB590" s="290">
        <v>2.00672519397023E-4</v>
      </c>
      <c r="AC590" s="290">
        <v>5.1274647125291901E-5</v>
      </c>
      <c r="AD590" s="290">
        <v>1.42026890915048E-7</v>
      </c>
      <c r="AE590" s="290">
        <v>3.7132362519328101E-3</v>
      </c>
      <c r="AF590" s="290">
        <v>2.3955807924116798E-6</v>
      </c>
      <c r="AG590" s="290">
        <v>1.48850199368391E-3</v>
      </c>
      <c r="AH590" s="290">
        <v>1.6353700539685101E-2</v>
      </c>
      <c r="AI590" s="290">
        <v>4.4232800105811999E-3</v>
      </c>
      <c r="AJ590" s="290">
        <v>1.00820563708906E-6</v>
      </c>
      <c r="AK590" s="290">
        <v>9.0493602455053104</v>
      </c>
      <c r="AL590" s="290">
        <v>1.2052269628306101E-2</v>
      </c>
      <c r="AM590" s="290">
        <v>1.4694997039000099E-8</v>
      </c>
      <c r="AN590" s="290">
        <v>3.8840694650727099E-2</v>
      </c>
      <c r="AO590" s="290">
        <v>5.4298366186554397</v>
      </c>
      <c r="AP590" s="290">
        <v>1.9050047443994799E-10</v>
      </c>
      <c r="AQ590" s="290">
        <v>4.0542782237561901E-9</v>
      </c>
      <c r="AR590" s="290">
        <v>1.1558584969971999</v>
      </c>
      <c r="AS590" s="290">
        <v>0</v>
      </c>
      <c r="AT590" s="290">
        <v>0</v>
      </c>
      <c r="AU590" s="290">
        <v>4.9739779362421202E-2</v>
      </c>
      <c r="AV590" s="290">
        <v>0</v>
      </c>
      <c r="AW590" s="290">
        <v>0</v>
      </c>
      <c r="AX590" s="290">
        <v>9.6101343644717403</v>
      </c>
      <c r="AY590" s="290">
        <v>0</v>
      </c>
      <c r="AZ590" s="290">
        <v>0</v>
      </c>
      <c r="BA590" s="290">
        <v>0</v>
      </c>
      <c r="BB590" s="290">
        <v>4.6779192495755798E-4</v>
      </c>
      <c r="BC590" s="290">
        <v>2.4643824500456202E-5</v>
      </c>
      <c r="BD590" s="290">
        <v>1.07078517579883E-2</v>
      </c>
      <c r="BE590" s="290">
        <v>6.2893539189543094E-5</v>
      </c>
      <c r="BF590" s="290">
        <v>0</v>
      </c>
      <c r="BG590" s="290">
        <v>0</v>
      </c>
      <c r="BH590" s="290">
        <v>0</v>
      </c>
      <c r="BI590" s="290">
        <v>0</v>
      </c>
      <c r="BJ590" s="290">
        <v>0</v>
      </c>
      <c r="BK590" s="78">
        <v>0</v>
      </c>
      <c r="BL590" s="41" t="s">
        <v>616</v>
      </c>
      <c r="BM590" s="45"/>
    </row>
    <row r="591" spans="1:65" x14ac:dyDescent="0.35">
      <c r="A591" s="45" t="str">
        <f>Database_Productkaarten[[#This Row],[Product]]&amp;", "&amp;Database_Productkaarten[[#This Row],[Levensfase]]</f>
        <v>WB asfaltmastiek - PCR 2.0, C2</v>
      </c>
      <c r="B591" s="45" t="s">
        <v>1373</v>
      </c>
      <c r="C591" s="41" t="s">
        <v>443</v>
      </c>
      <c r="D591" s="41" t="s">
        <v>474</v>
      </c>
      <c r="E591" s="41" t="s">
        <v>91</v>
      </c>
      <c r="F591" s="41" t="s">
        <v>26</v>
      </c>
      <c r="G591" s="45"/>
      <c r="H591" s="45"/>
      <c r="I591" s="45"/>
      <c r="J591" s="45"/>
      <c r="K591" s="45"/>
      <c r="L591" s="45">
        <v>2</v>
      </c>
      <c r="M591" s="291">
        <v>0.35801078312874995</v>
      </c>
      <c r="N591" s="45">
        <v>75</v>
      </c>
      <c r="O591" s="290">
        <v>8.1301624999999996E-5</v>
      </c>
      <c r="P591" s="290">
        <v>2.8204312499999998E-2</v>
      </c>
      <c r="Q591" s="290">
        <v>3.6853721374999999</v>
      </c>
      <c r="R591" s="290">
        <v>7.0324562500000001E-7</v>
      </c>
      <c r="S591" s="290">
        <v>2.6647749999999999E-3</v>
      </c>
      <c r="T591" s="290">
        <v>1.116025E-2</v>
      </c>
      <c r="U591" s="290">
        <v>1.87016375E-3</v>
      </c>
      <c r="V591" s="290">
        <v>1.0029557</v>
      </c>
      <c r="W591" s="290">
        <v>3.9476962499999997E-2</v>
      </c>
      <c r="X591" s="290">
        <v>104.371675</v>
      </c>
      <c r="Y591" s="290">
        <v>8.4311249999999994E-3</v>
      </c>
      <c r="Z591" s="290">
        <v>3.7331890125</v>
      </c>
      <c r="AA591" s="290">
        <v>3.7164208875</v>
      </c>
      <c r="AB591" s="290">
        <v>1.532341125E-2</v>
      </c>
      <c r="AC591" s="290">
        <v>1.44472E-3</v>
      </c>
      <c r="AD591" s="290">
        <v>8.79587125E-7</v>
      </c>
      <c r="AE591" s="290">
        <v>1.4056875E-2</v>
      </c>
      <c r="AF591" s="290">
        <v>3.9000600000000001E-5</v>
      </c>
      <c r="AG591" s="290">
        <v>3.2542037499999998E-3</v>
      </c>
      <c r="AH591" s="290">
        <v>3.7907725000000003E-2</v>
      </c>
      <c r="AI591" s="290">
        <v>1.36244625E-2</v>
      </c>
      <c r="AJ591" s="290">
        <v>8.1301250000000004E-5</v>
      </c>
      <c r="AK591" s="290">
        <v>58.905272875000001</v>
      </c>
      <c r="AL591" s="290">
        <v>0.3217441875</v>
      </c>
      <c r="AM591" s="290">
        <v>3.2144174999999999E-7</v>
      </c>
      <c r="AN591" s="290">
        <v>0.25122056250000002</v>
      </c>
      <c r="AO591" s="290">
        <v>56.998236249999998</v>
      </c>
      <c r="AP591" s="290">
        <v>1.5226337500000001E-9</v>
      </c>
      <c r="AQ591" s="290">
        <v>4.867285E-8</v>
      </c>
      <c r="AR591" s="290">
        <v>110.955825</v>
      </c>
      <c r="AS591" s="290">
        <v>9.0831365000000002</v>
      </c>
      <c r="AT591" s="290">
        <v>0</v>
      </c>
      <c r="AU591" s="290">
        <v>9.7931922999999994</v>
      </c>
      <c r="AV591" s="290">
        <v>0.79580531249999997</v>
      </c>
      <c r="AW591" s="290">
        <v>1.1178862500000001E-3</v>
      </c>
      <c r="AX591" s="290">
        <v>62.568930999999999</v>
      </c>
      <c r="AY591" s="290">
        <v>0</v>
      </c>
      <c r="AZ591" s="290">
        <v>0</v>
      </c>
      <c r="BA591" s="290">
        <v>0</v>
      </c>
      <c r="BB591" s="290">
        <v>9.8353875000000007E-3</v>
      </c>
      <c r="BC591" s="290">
        <v>1.7316162499999999E-4</v>
      </c>
      <c r="BD591" s="290">
        <v>6.2594438749999997</v>
      </c>
      <c r="BE591" s="290">
        <v>3.9263137500000002E-4</v>
      </c>
      <c r="BF591" s="290">
        <v>0</v>
      </c>
      <c r="BG591" s="290">
        <v>0</v>
      </c>
      <c r="BH591" s="290">
        <v>0</v>
      </c>
      <c r="BI591" s="290">
        <v>0</v>
      </c>
      <c r="BJ591" s="290">
        <v>0</v>
      </c>
      <c r="BK591" s="78">
        <v>0</v>
      </c>
      <c r="BL591" s="41" t="s">
        <v>616</v>
      </c>
      <c r="BM591" s="45"/>
    </row>
    <row r="592" spans="1:65" x14ac:dyDescent="0.35">
      <c r="A592" s="45" t="str">
        <f>Database_Productkaarten[[#This Row],[Product]]&amp;", "&amp;Database_Productkaarten[[#This Row],[Levensfase]]</f>
        <v>WB asfaltmastiek - PCR 2.0, C3</v>
      </c>
      <c r="B592" s="45" t="s">
        <v>1373</v>
      </c>
      <c r="C592" s="41" t="s">
        <v>443</v>
      </c>
      <c r="D592" s="41" t="s">
        <v>474</v>
      </c>
      <c r="E592" s="41" t="s">
        <v>91</v>
      </c>
      <c r="F592" s="41" t="s">
        <v>27</v>
      </c>
      <c r="G592" s="45"/>
      <c r="H592" s="45"/>
      <c r="I592" s="45"/>
      <c r="J592" s="45"/>
      <c r="K592" s="45"/>
      <c r="L592" s="45">
        <v>2</v>
      </c>
      <c r="M592" s="291">
        <v>0</v>
      </c>
      <c r="N592" s="45">
        <v>75</v>
      </c>
      <c r="O592" s="290">
        <v>0</v>
      </c>
      <c r="P592" s="290">
        <v>0</v>
      </c>
      <c r="Q592" s="290">
        <v>0</v>
      </c>
      <c r="R592" s="290">
        <v>0</v>
      </c>
      <c r="S592" s="290">
        <v>0</v>
      </c>
      <c r="T592" s="290">
        <v>0</v>
      </c>
      <c r="U592" s="290">
        <v>0</v>
      </c>
      <c r="V592" s="290">
        <v>0</v>
      </c>
      <c r="W592" s="290">
        <v>0</v>
      </c>
      <c r="X592" s="290">
        <v>0</v>
      </c>
      <c r="Y592" s="290">
        <v>0</v>
      </c>
      <c r="Z592" s="290">
        <v>0</v>
      </c>
      <c r="AA592" s="290">
        <v>0</v>
      </c>
      <c r="AB592" s="290">
        <v>0</v>
      </c>
      <c r="AC592" s="290">
        <v>0</v>
      </c>
      <c r="AD592" s="290">
        <v>0</v>
      </c>
      <c r="AE592" s="290">
        <v>0</v>
      </c>
      <c r="AF592" s="290">
        <v>0</v>
      </c>
      <c r="AG592" s="290">
        <v>0</v>
      </c>
      <c r="AH592" s="290">
        <v>0</v>
      </c>
      <c r="AI592" s="290">
        <v>0</v>
      </c>
      <c r="AJ592" s="290">
        <v>0</v>
      </c>
      <c r="AK592" s="290">
        <v>0</v>
      </c>
      <c r="AL592" s="290">
        <v>0</v>
      </c>
      <c r="AM592" s="290">
        <v>0</v>
      </c>
      <c r="AN592" s="290">
        <v>0</v>
      </c>
      <c r="AO592" s="290">
        <v>0</v>
      </c>
      <c r="AP592" s="290">
        <v>0</v>
      </c>
      <c r="AQ592" s="290">
        <v>0</v>
      </c>
      <c r="AR592" s="290">
        <v>0</v>
      </c>
      <c r="AS592" s="290">
        <v>0</v>
      </c>
      <c r="AT592" s="290">
        <v>0</v>
      </c>
      <c r="AU592" s="290">
        <v>0</v>
      </c>
      <c r="AV592" s="290">
        <v>0</v>
      </c>
      <c r="AW592" s="290">
        <v>0</v>
      </c>
      <c r="AX592" s="290">
        <v>0</v>
      </c>
      <c r="AY592" s="290">
        <v>0</v>
      </c>
      <c r="AZ592" s="290">
        <v>0</v>
      </c>
      <c r="BA592" s="290">
        <v>0</v>
      </c>
      <c r="BB592" s="290">
        <v>0</v>
      </c>
      <c r="BC592" s="290">
        <v>0</v>
      </c>
      <c r="BD592" s="290">
        <v>0</v>
      </c>
      <c r="BE592" s="290">
        <v>0</v>
      </c>
      <c r="BF592" s="290">
        <v>0</v>
      </c>
      <c r="BG592" s="290">
        <v>0</v>
      </c>
      <c r="BH592" s="290">
        <v>0</v>
      </c>
      <c r="BI592" s="290">
        <v>0</v>
      </c>
      <c r="BJ592" s="290">
        <v>0</v>
      </c>
      <c r="BK592" s="78">
        <v>0</v>
      </c>
      <c r="BL592" s="41" t="s">
        <v>616</v>
      </c>
      <c r="BM592" s="45"/>
    </row>
    <row r="593" spans="1:65" x14ac:dyDescent="0.35">
      <c r="A593" s="45" t="str">
        <f>Database_Productkaarten[[#This Row],[Product]]&amp;", "&amp;Database_Productkaarten[[#This Row],[Levensfase]]</f>
        <v>WB asfaltmastiek - PCR 2.0, C4</v>
      </c>
      <c r="B593" s="45" t="s">
        <v>1373</v>
      </c>
      <c r="C593" s="41" t="s">
        <v>443</v>
      </c>
      <c r="D593" s="41" t="s">
        <v>474</v>
      </c>
      <c r="E593" s="41" t="s">
        <v>91</v>
      </c>
      <c r="F593" s="41" t="s">
        <v>28</v>
      </c>
      <c r="G593" s="45"/>
      <c r="H593" s="45"/>
      <c r="I593" s="45"/>
      <c r="J593" s="45"/>
      <c r="K593" s="45"/>
      <c r="L593" s="45">
        <v>2</v>
      </c>
      <c r="M593" s="291">
        <v>0.72961417487371549</v>
      </c>
      <c r="N593" s="45">
        <v>75</v>
      </c>
      <c r="O593" s="290">
        <v>4.81910347576868E-5</v>
      </c>
      <c r="P593" s="290">
        <v>7.0392419106354395E-2</v>
      </c>
      <c r="Q593" s="290">
        <v>5.1682147670989602</v>
      </c>
      <c r="R593" s="290">
        <v>1.7213380867751599E-6</v>
      </c>
      <c r="S593" s="290">
        <v>5.5051672097993004E-3</v>
      </c>
      <c r="T593" s="290">
        <v>3.7795111558913998E-2</v>
      </c>
      <c r="U593" s="290">
        <v>7.2906223915808399E-3</v>
      </c>
      <c r="V593" s="290">
        <v>2.3359901220925701</v>
      </c>
      <c r="W593" s="290">
        <v>5.5438446410660001E-2</v>
      </c>
      <c r="X593" s="290">
        <v>198.206263311893</v>
      </c>
      <c r="Y593" s="290">
        <v>5.86709770439403E-3</v>
      </c>
      <c r="Z593" s="290">
        <v>5.2774322560642197</v>
      </c>
      <c r="AA593" s="290">
        <v>5.2655222912208499</v>
      </c>
      <c r="AB593" s="290">
        <v>1.04420704437289E-2</v>
      </c>
      <c r="AC593" s="290">
        <v>1.4678943996299201E-3</v>
      </c>
      <c r="AD593" s="290">
        <v>2.1684935575678601E-6</v>
      </c>
      <c r="AE593" s="290">
        <v>4.9990692059414699E-2</v>
      </c>
      <c r="AF593" s="290">
        <v>5.9023121500316698E-5</v>
      </c>
      <c r="AG593" s="290">
        <v>1.7192547361667199E-2</v>
      </c>
      <c r="AH593" s="290">
        <v>0.189559719550217</v>
      </c>
      <c r="AI593" s="290">
        <v>5.5061349830685002E-2</v>
      </c>
      <c r="AJ593" s="290">
        <v>4.8190635559498203E-5</v>
      </c>
      <c r="AK593" s="290">
        <v>147.21723519303299</v>
      </c>
      <c r="AL593" s="290">
        <v>6.5991208581716396</v>
      </c>
      <c r="AM593" s="290">
        <v>9.6986339696198698E-7</v>
      </c>
      <c r="AN593" s="290">
        <v>0.60391960478070394</v>
      </c>
      <c r="AO593" s="290">
        <v>95.499347942702499</v>
      </c>
      <c r="AP593" s="290">
        <v>2.2075752061648299E-9</v>
      </c>
      <c r="AQ593" s="290">
        <v>6.7894331647429496E-8</v>
      </c>
      <c r="AR593" s="290">
        <v>308.74374326020097</v>
      </c>
      <c r="AS593" s="290">
        <v>0</v>
      </c>
      <c r="AT593" s="290">
        <v>0</v>
      </c>
      <c r="AU593" s="290">
        <v>1.19029805284394</v>
      </c>
      <c r="AV593" s="290">
        <v>0</v>
      </c>
      <c r="AW593" s="290">
        <v>0</v>
      </c>
      <c r="AX593" s="290">
        <v>156.376203274331</v>
      </c>
      <c r="AY593" s="290">
        <v>0</v>
      </c>
      <c r="AZ593" s="290">
        <v>0</v>
      </c>
      <c r="BA593" s="290">
        <v>0</v>
      </c>
      <c r="BB593" s="290">
        <v>0.15723153150489499</v>
      </c>
      <c r="BC593" s="290">
        <v>2.1998950099115901E-4</v>
      </c>
      <c r="BD593" s="290">
        <v>999.69461711035399</v>
      </c>
      <c r="BE593" s="290">
        <v>9.6680517412872798E-4</v>
      </c>
      <c r="BF593" s="290">
        <v>0</v>
      </c>
      <c r="BG593" s="290">
        <v>0</v>
      </c>
      <c r="BH593" s="290">
        <v>0</v>
      </c>
      <c r="BI593" s="290">
        <v>0</v>
      </c>
      <c r="BJ593" s="290">
        <v>0</v>
      </c>
      <c r="BK593" s="78">
        <v>0</v>
      </c>
      <c r="BL593" s="41" t="s">
        <v>616</v>
      </c>
      <c r="BM593" s="45"/>
    </row>
    <row r="594" spans="1:65" x14ac:dyDescent="0.35">
      <c r="A594" s="45" t="str">
        <f>Database_Productkaarten[[#This Row],[Product]]&amp;", "&amp;Database_Productkaarten[[#This Row],[Levensfase]]</f>
        <v>WB asfaltmastiek - PCR 2.0, D1</v>
      </c>
      <c r="B594" s="45" t="s">
        <v>1373</v>
      </c>
      <c r="C594" s="41" t="s">
        <v>443</v>
      </c>
      <c r="D594" s="41" t="s">
        <v>474</v>
      </c>
      <c r="E594" s="41" t="s">
        <v>91</v>
      </c>
      <c r="F594" s="41" t="s">
        <v>51</v>
      </c>
      <c r="G594" s="45"/>
      <c r="H594" s="45"/>
      <c r="I594" s="45"/>
      <c r="J594" s="45"/>
      <c r="K594" s="45"/>
      <c r="L594" s="45">
        <v>2</v>
      </c>
      <c r="M594" s="291">
        <v>0</v>
      </c>
      <c r="N594" s="45">
        <v>75</v>
      </c>
      <c r="O594" s="290">
        <v>0</v>
      </c>
      <c r="P594" s="290">
        <v>0</v>
      </c>
      <c r="Q594" s="290">
        <v>0</v>
      </c>
      <c r="R594" s="290">
        <v>0</v>
      </c>
      <c r="S594" s="290">
        <v>0</v>
      </c>
      <c r="T594" s="290">
        <v>0</v>
      </c>
      <c r="U594" s="290">
        <v>0</v>
      </c>
      <c r="V594" s="290">
        <v>0</v>
      </c>
      <c r="W594" s="290">
        <v>0</v>
      </c>
      <c r="X594" s="290">
        <v>0</v>
      </c>
      <c r="Y594" s="290">
        <v>0</v>
      </c>
      <c r="Z594" s="290">
        <v>0</v>
      </c>
      <c r="AA594" s="290">
        <v>0</v>
      </c>
      <c r="AB594" s="290">
        <v>0</v>
      </c>
      <c r="AC594" s="290">
        <v>0</v>
      </c>
      <c r="AD594" s="290">
        <v>0</v>
      </c>
      <c r="AE594" s="290">
        <v>0</v>
      </c>
      <c r="AF594" s="290">
        <v>0</v>
      </c>
      <c r="AG594" s="290">
        <v>0</v>
      </c>
      <c r="AH594" s="290">
        <v>0</v>
      </c>
      <c r="AI594" s="290">
        <v>0</v>
      </c>
      <c r="AJ594" s="290">
        <v>0</v>
      </c>
      <c r="AK594" s="290">
        <v>0</v>
      </c>
      <c r="AL594" s="290">
        <v>0</v>
      </c>
      <c r="AM594" s="290">
        <v>0</v>
      </c>
      <c r="AN594" s="290">
        <v>0</v>
      </c>
      <c r="AO594" s="290">
        <v>0</v>
      </c>
      <c r="AP594" s="290">
        <v>0</v>
      </c>
      <c r="AQ594" s="290">
        <v>0</v>
      </c>
      <c r="AR594" s="290">
        <v>0</v>
      </c>
      <c r="AS594" s="290">
        <v>0</v>
      </c>
      <c r="AT594" s="290">
        <v>0</v>
      </c>
      <c r="AU594" s="290">
        <v>0</v>
      </c>
      <c r="AV594" s="290">
        <v>0</v>
      </c>
      <c r="AW594" s="290">
        <v>0</v>
      </c>
      <c r="AX594" s="290">
        <v>0</v>
      </c>
      <c r="AY594" s="290">
        <v>0</v>
      </c>
      <c r="AZ594" s="290">
        <v>0</v>
      </c>
      <c r="BA594" s="290">
        <v>0</v>
      </c>
      <c r="BB594" s="290">
        <v>0</v>
      </c>
      <c r="BC594" s="290">
        <v>0</v>
      </c>
      <c r="BD594" s="290">
        <v>0</v>
      </c>
      <c r="BE594" s="290">
        <v>0</v>
      </c>
      <c r="BF594" s="290">
        <v>0</v>
      </c>
      <c r="BG594" s="290">
        <v>0</v>
      </c>
      <c r="BH594" s="290">
        <v>0</v>
      </c>
      <c r="BI594" s="290">
        <v>0</v>
      </c>
      <c r="BJ594" s="290">
        <v>0</v>
      </c>
      <c r="BK594" s="78">
        <v>0</v>
      </c>
      <c r="BL594" s="41" t="s">
        <v>616</v>
      </c>
      <c r="BM594" s="45"/>
    </row>
    <row r="595" spans="1:65" x14ac:dyDescent="0.35">
      <c r="A595" s="45" t="str">
        <f>Database_Productkaarten[[#This Row],[Product]]&amp;", "&amp;Database_Productkaarten[[#This Row],[Levensfase]]</f>
        <v>AC Surf 0% PR Rood, Totaal</v>
      </c>
      <c r="B595" s="45" t="s">
        <v>557</v>
      </c>
      <c r="C595" s="41" t="s">
        <v>443</v>
      </c>
      <c r="D595" s="45" t="s">
        <v>554</v>
      </c>
      <c r="E595" s="45" t="s">
        <v>91</v>
      </c>
      <c r="F595" s="45" t="s">
        <v>16</v>
      </c>
      <c r="G595" s="45"/>
      <c r="H595" s="45"/>
      <c r="I595" s="45"/>
      <c r="J595" s="45"/>
      <c r="K595" s="45"/>
      <c r="L595" s="45">
        <v>2.35</v>
      </c>
      <c r="M595" s="54">
        <v>13.007047425700355</v>
      </c>
      <c r="N595" s="45">
        <v>14</v>
      </c>
      <c r="O595" s="45">
        <v>1.6437419994578953E-4</v>
      </c>
      <c r="P595" s="45">
        <v>2.6109205940176641</v>
      </c>
      <c r="Q595" s="45">
        <v>133.69017265136625</v>
      </c>
      <c r="R595" s="45">
        <v>1.3228757594840656E-5</v>
      </c>
      <c r="S595" s="45">
        <v>0.26233034172880937</v>
      </c>
      <c r="T595" s="45">
        <v>0.88510184921080404</v>
      </c>
      <c r="U595" s="45">
        <v>9.0715302903872086E-2</v>
      </c>
      <c r="V595" s="45">
        <v>33.731613992465725</v>
      </c>
      <c r="W595" s="45">
        <v>3.7387467509239976</v>
      </c>
      <c r="X595" s="45">
        <v>16299.387155686392</v>
      </c>
      <c r="Y595" s="45">
        <v>0.50613817848862741</v>
      </c>
      <c r="Z595" s="45"/>
      <c r="AA595" s="45"/>
      <c r="AB595" s="45"/>
      <c r="AC595" s="45"/>
      <c r="AD595" s="45"/>
      <c r="AE595" s="45"/>
      <c r="AF595" s="45"/>
      <c r="AG595" s="45"/>
      <c r="AH595" s="45"/>
      <c r="AI595" s="45"/>
      <c r="AJ595" s="45"/>
      <c r="AK595" s="45"/>
      <c r="AL595" s="45"/>
      <c r="AM595" s="45"/>
      <c r="AN595" s="45"/>
      <c r="AO595" s="45"/>
      <c r="AP595" s="45"/>
      <c r="AQ595" s="45"/>
      <c r="AR595" s="45"/>
      <c r="AS595" s="45"/>
      <c r="AT595" s="45"/>
      <c r="AU595" s="45">
        <v>45.327894439414983</v>
      </c>
      <c r="AV595" s="45"/>
      <c r="AW595" s="45"/>
      <c r="AX595" s="45">
        <v>5845.7715570555938</v>
      </c>
      <c r="AY595" s="45"/>
      <c r="AZ595" s="45"/>
      <c r="BA595" s="45"/>
      <c r="BB595" s="45">
        <v>55.087165441672234</v>
      </c>
      <c r="BC595" s="45">
        <v>2.5118285976153112E-3</v>
      </c>
      <c r="BD595" s="45">
        <v>10.156763890080018</v>
      </c>
      <c r="BE595" s="45">
        <v>4.0218021366078176E-3</v>
      </c>
      <c r="BF595" s="45"/>
      <c r="BG595" s="45"/>
      <c r="BH595" s="45"/>
      <c r="BI595" s="45"/>
      <c r="BJ595" s="45"/>
      <c r="BK595" s="78">
        <v>0</v>
      </c>
      <c r="BL595" s="45" t="s">
        <v>555</v>
      </c>
      <c r="BM595" s="45"/>
    </row>
    <row r="596" spans="1:65" x14ac:dyDescent="0.35">
      <c r="A596" s="45" t="str">
        <f>Database_Productkaarten[[#This Row],[Product]]&amp;", "&amp;Database_Productkaarten[[#This Row],[Levensfase]]</f>
        <v>AC Surf 0% PR Rood, A1</v>
      </c>
      <c r="B596" s="45" t="s">
        <v>557</v>
      </c>
      <c r="C596" s="41" t="s">
        <v>443</v>
      </c>
      <c r="D596" s="45" t="s">
        <v>554</v>
      </c>
      <c r="E596" s="45" t="s">
        <v>91</v>
      </c>
      <c r="F596" s="45" t="s">
        <v>19</v>
      </c>
      <c r="G596" s="45"/>
      <c r="H596" s="45"/>
      <c r="I596" s="45"/>
      <c r="J596" s="45"/>
      <c r="K596" s="45"/>
      <c r="L596" s="45">
        <v>2.35</v>
      </c>
      <c r="M596" s="54">
        <v>12.3185918361</v>
      </c>
      <c r="N596" s="45">
        <v>14</v>
      </c>
      <c r="O596" s="45">
        <v>1.4079803892000001E-4</v>
      </c>
      <c r="P596" s="45">
        <v>2.2786126273349998</v>
      </c>
      <c r="Q596" s="45">
        <v>90.98257171905</v>
      </c>
      <c r="R596" s="45">
        <v>7.4453411834999998E-6</v>
      </c>
      <c r="S596" s="45">
        <v>0.24422988242399998</v>
      </c>
      <c r="T596" s="45">
        <v>0.64820080957500004</v>
      </c>
      <c r="U596" s="45">
        <v>5.713892382E-2</v>
      </c>
      <c r="V596" s="45">
        <v>23.485059069449999</v>
      </c>
      <c r="W596" s="45">
        <v>3.5619316974449995</v>
      </c>
      <c r="X596" s="45">
        <v>15617.45166076755</v>
      </c>
      <c r="Y596" s="45">
        <v>0.45605605930499998</v>
      </c>
      <c r="Z596" s="45"/>
      <c r="AA596" s="45"/>
      <c r="AB596" s="45"/>
      <c r="AC596" s="45"/>
      <c r="AD596" s="45"/>
      <c r="AE596" s="45"/>
      <c r="AF596" s="45"/>
      <c r="AG596" s="45"/>
      <c r="AH596" s="45"/>
      <c r="AI596" s="45"/>
      <c r="AJ596" s="45"/>
      <c r="AK596" s="45"/>
      <c r="AL596" s="45"/>
      <c r="AM596" s="45"/>
      <c r="AN596" s="45"/>
      <c r="AO596" s="45"/>
      <c r="AP596" s="45"/>
      <c r="AQ596" s="45"/>
      <c r="AR596" s="45"/>
      <c r="AS596" s="45"/>
      <c r="AT596" s="45"/>
      <c r="AU596" s="45">
        <v>32.8527110307</v>
      </c>
      <c r="AV596" s="45"/>
      <c r="AW596" s="45"/>
      <c r="AX596" s="45">
        <v>5144.7409018697999</v>
      </c>
      <c r="AY596" s="45"/>
      <c r="AZ596" s="45"/>
      <c r="BA596" s="45"/>
      <c r="BB596" s="45">
        <v>54.981667491464997</v>
      </c>
      <c r="BC596" s="45">
        <v>1.76506006545E-3</v>
      </c>
      <c r="BD596" s="45">
        <v>5.1986001044999997</v>
      </c>
      <c r="BE596" s="45">
        <v>1.8707668946999999E-3</v>
      </c>
      <c r="BF596" s="45"/>
      <c r="BG596" s="45"/>
      <c r="BH596" s="45"/>
      <c r="BI596" s="45"/>
      <c r="BJ596" s="45"/>
      <c r="BK596" s="78">
        <v>0</v>
      </c>
      <c r="BL596" s="45" t="s">
        <v>555</v>
      </c>
      <c r="BM596" s="45"/>
    </row>
    <row r="597" spans="1:65" x14ac:dyDescent="0.35">
      <c r="A597" s="45" t="str">
        <f>Database_Productkaarten[[#This Row],[Product]]&amp;", "&amp;Database_Productkaarten[[#This Row],[Levensfase]]</f>
        <v>AC Surf 0% PR Rood, A2</v>
      </c>
      <c r="B597" s="45" t="s">
        <v>557</v>
      </c>
      <c r="C597" s="41" t="s">
        <v>443</v>
      </c>
      <c r="D597" s="45" t="s">
        <v>554</v>
      </c>
      <c r="E597" s="45" t="s">
        <v>91</v>
      </c>
      <c r="F597" s="45" t="s">
        <v>20</v>
      </c>
      <c r="G597" s="45"/>
      <c r="H597" s="45"/>
      <c r="I597" s="45"/>
      <c r="J597" s="45"/>
      <c r="K597" s="45"/>
      <c r="L597" s="45">
        <v>2.35</v>
      </c>
      <c r="M597" s="54">
        <v>2.7393857558250008</v>
      </c>
      <c r="N597" s="45">
        <v>14</v>
      </c>
      <c r="O597" s="45">
        <v>1.8490090033950002E-5</v>
      </c>
      <c r="P597" s="45">
        <v>0.1274367225461</v>
      </c>
      <c r="Q597" s="45">
        <v>18.627666669179998</v>
      </c>
      <c r="R597" s="45">
        <v>3.0335723029899996E-6</v>
      </c>
      <c r="S597" s="45">
        <v>1.4201976708700001E-2</v>
      </c>
      <c r="T597" s="45">
        <v>0.21031537546960002</v>
      </c>
      <c r="U597" s="45">
        <v>2.8731476857200001E-2</v>
      </c>
      <c r="V597" s="45">
        <v>6.61666717588</v>
      </c>
      <c r="W597" s="45">
        <v>0.15118794417599998</v>
      </c>
      <c r="X597" s="45">
        <v>577.5016847979449</v>
      </c>
      <c r="Y597" s="45">
        <v>2.4635907337700005E-2</v>
      </c>
      <c r="Z597" s="45"/>
      <c r="AA597" s="45"/>
      <c r="AB597" s="45"/>
      <c r="AC597" s="45"/>
      <c r="AD597" s="45"/>
      <c r="AE597" s="45"/>
      <c r="AF597" s="45"/>
      <c r="AG597" s="45"/>
      <c r="AH597" s="45"/>
      <c r="AI597" s="45"/>
      <c r="AJ597" s="45"/>
      <c r="AK597" s="45"/>
      <c r="AL597" s="45"/>
      <c r="AM597" s="45"/>
      <c r="AN597" s="45"/>
      <c r="AO597" s="45"/>
      <c r="AP597" s="45"/>
      <c r="AQ597" s="45"/>
      <c r="AR597" s="45"/>
      <c r="AS597" s="45"/>
      <c r="AT597" s="45"/>
      <c r="AU597" s="45">
        <v>5.1652706683049994</v>
      </c>
      <c r="AV597" s="45"/>
      <c r="AW597" s="45"/>
      <c r="AX597" s="45">
        <v>282.53445500789502</v>
      </c>
      <c r="AY597" s="45"/>
      <c r="AZ597" s="45"/>
      <c r="BA597" s="45"/>
      <c r="BB597" s="45">
        <v>5.6923448071799998E-2</v>
      </c>
      <c r="BC597" s="45">
        <v>1.79156480277E-4</v>
      </c>
      <c r="BD597" s="45">
        <v>4.6820975916700016</v>
      </c>
      <c r="BE597" s="45">
        <v>1.75929121313E-3</v>
      </c>
      <c r="BF597" s="45"/>
      <c r="BG597" s="45"/>
      <c r="BH597" s="45"/>
      <c r="BI597" s="45"/>
      <c r="BJ597" s="45"/>
      <c r="BK597" s="78">
        <v>0</v>
      </c>
      <c r="BL597" s="45" t="s">
        <v>555</v>
      </c>
      <c r="BM597" s="45"/>
    </row>
    <row r="598" spans="1:65" x14ac:dyDescent="0.35">
      <c r="A598" s="45" t="str">
        <f>Database_Productkaarten[[#This Row],[Product]]&amp;", "&amp;Database_Productkaarten[[#This Row],[Levensfase]]</f>
        <v>AC Surf 0% PR Rood, A3</v>
      </c>
      <c r="B598" s="45" t="s">
        <v>557</v>
      </c>
      <c r="C598" s="41" t="s">
        <v>443</v>
      </c>
      <c r="D598" s="45" t="s">
        <v>554</v>
      </c>
      <c r="E598" s="45" t="s">
        <v>91</v>
      </c>
      <c r="F598" s="45" t="s">
        <v>21</v>
      </c>
      <c r="G598" s="45"/>
      <c r="H598" s="45"/>
      <c r="I598" s="45"/>
      <c r="J598" s="45"/>
      <c r="K598" s="45"/>
      <c r="L598" s="45">
        <v>2.35</v>
      </c>
      <c r="M598" s="54">
        <v>1.7340321317986724</v>
      </c>
      <c r="N598" s="45">
        <v>14</v>
      </c>
      <c r="O598" s="45">
        <v>5.086070991839545E-6</v>
      </c>
      <c r="P598" s="45">
        <v>0.20487124413656413</v>
      </c>
      <c r="Q598" s="45">
        <v>24.079934263136241</v>
      </c>
      <c r="R598" s="45">
        <v>2.7498441083506566E-6</v>
      </c>
      <c r="S598" s="45">
        <v>3.8984825961093385E-3</v>
      </c>
      <c r="T598" s="45">
        <v>2.6585664166204028E-2</v>
      </c>
      <c r="U598" s="45">
        <v>4.8449022266720864E-3</v>
      </c>
      <c r="V598" s="45">
        <v>3.6298877471357263</v>
      </c>
      <c r="W598" s="45">
        <v>2.5627109302998257E-2</v>
      </c>
      <c r="X598" s="45">
        <v>104.43381012089762</v>
      </c>
      <c r="Y598" s="45">
        <v>2.5446211845927394E-2</v>
      </c>
      <c r="Z598" s="45"/>
      <c r="AA598" s="45"/>
      <c r="AB598" s="45"/>
      <c r="AC598" s="45"/>
      <c r="AD598" s="45"/>
      <c r="AE598" s="45"/>
      <c r="AF598" s="45"/>
      <c r="AG598" s="45"/>
      <c r="AH598" s="45"/>
      <c r="AI598" s="45"/>
      <c r="AJ598" s="45"/>
      <c r="AK598" s="45"/>
      <c r="AL598" s="45"/>
      <c r="AM598" s="45"/>
      <c r="AN598" s="45"/>
      <c r="AO598" s="45"/>
      <c r="AP598" s="45"/>
      <c r="AQ598" s="45"/>
      <c r="AR598" s="45"/>
      <c r="AS598" s="45"/>
      <c r="AT598" s="45"/>
      <c r="AU598" s="45">
        <v>7.3099127404099828</v>
      </c>
      <c r="AV598" s="45"/>
      <c r="AW598" s="45"/>
      <c r="AX598" s="45">
        <v>418.49620017789823</v>
      </c>
      <c r="AY598" s="45"/>
      <c r="AZ598" s="45"/>
      <c r="BA598" s="45"/>
      <c r="BB598" s="45">
        <v>4.8574502135439478E-2</v>
      </c>
      <c r="BC598" s="45">
        <v>5.6761205188831103E-4</v>
      </c>
      <c r="BD598" s="45">
        <v>0.27606619391001763</v>
      </c>
      <c r="BE598" s="45">
        <v>3.9174402877781777E-4</v>
      </c>
      <c r="BF598" s="45"/>
      <c r="BG598" s="45"/>
      <c r="BH598" s="45"/>
      <c r="BI598" s="45"/>
      <c r="BJ598" s="45"/>
      <c r="BK598" s="78">
        <v>0</v>
      </c>
      <c r="BL598" s="45" t="s">
        <v>555</v>
      </c>
      <c r="BM598" s="45"/>
    </row>
    <row r="599" spans="1:65" x14ac:dyDescent="0.35">
      <c r="A599" s="45" t="str">
        <f>Database_Productkaarten[[#This Row],[Product]]&amp;", "&amp;Database_Productkaarten[[#This Row],[Levensfase]]</f>
        <v>AC Surf 0% PR Rood, A4</v>
      </c>
      <c r="B599" s="45" t="s">
        <v>557</v>
      </c>
      <c r="C599" s="41" t="s">
        <v>443</v>
      </c>
      <c r="D599" s="45" t="s">
        <v>554</v>
      </c>
      <c r="E599" s="45" t="s">
        <v>91</v>
      </c>
      <c r="F599" s="45" t="s">
        <v>22</v>
      </c>
      <c r="G599" s="45"/>
      <c r="H599" s="45"/>
      <c r="I599" s="45"/>
      <c r="J599" s="45"/>
      <c r="K599" s="45"/>
      <c r="L599" s="45">
        <v>2.35</v>
      </c>
      <c r="M599" s="54">
        <v>0.62892669999999995</v>
      </c>
      <c r="N599" s="45">
        <v>14</v>
      </c>
      <c r="O599" s="45">
        <v>1.0978337000000001E-5</v>
      </c>
      <c r="P599" s="45">
        <v>4.3183727999999998E-2</v>
      </c>
      <c r="Q599" s="45">
        <v>5.7021305</v>
      </c>
      <c r="R599" s="45">
        <v>1.1335356E-6</v>
      </c>
      <c r="S599" s="45">
        <v>3.5752850000000001E-3</v>
      </c>
      <c r="T599" s="45">
        <v>1.9151161E-2</v>
      </c>
      <c r="U599" s="45">
        <v>3.8023555000000001E-3</v>
      </c>
      <c r="V599" s="45">
        <v>2.0049337999999999</v>
      </c>
      <c r="W599" s="45">
        <v>0.12926487</v>
      </c>
      <c r="X599" s="45">
        <v>338.63108999999997</v>
      </c>
      <c r="Y599" s="45">
        <v>1.1891815999999999E-2</v>
      </c>
      <c r="Z599" s="45"/>
      <c r="AA599" s="45"/>
      <c r="AB599" s="45"/>
      <c r="AC599" s="45"/>
      <c r="AD599" s="45"/>
      <c r="AE599" s="45"/>
      <c r="AF599" s="45"/>
      <c r="AG599" s="45"/>
      <c r="AH599" s="45"/>
      <c r="AI599" s="45"/>
      <c r="AJ599" s="45"/>
      <c r="AK599" s="45"/>
      <c r="AL599" s="45"/>
      <c r="AM599" s="45"/>
      <c r="AN599" s="45"/>
      <c r="AO599" s="45"/>
      <c r="AP599" s="45"/>
      <c r="AQ599" s="45"/>
      <c r="AR599" s="45"/>
      <c r="AS599" s="45"/>
      <c r="AT599" s="45"/>
      <c r="AU599" s="45">
        <v>0</v>
      </c>
      <c r="AV599" s="45"/>
      <c r="AW599" s="45"/>
      <c r="AX599" s="45">
        <v>0</v>
      </c>
      <c r="AY599" s="45"/>
      <c r="AZ599" s="45"/>
      <c r="BA599" s="45"/>
      <c r="BB599" s="45">
        <v>0</v>
      </c>
      <c r="BC599" s="45">
        <v>0</v>
      </c>
      <c r="BD599" s="45">
        <v>0</v>
      </c>
      <c r="BE599" s="45">
        <v>0</v>
      </c>
      <c r="BF599" s="45"/>
      <c r="BG599" s="45"/>
      <c r="BH599" s="45"/>
      <c r="BI599" s="45"/>
      <c r="BJ599" s="45"/>
      <c r="BK599" s="78">
        <v>0</v>
      </c>
      <c r="BL599" s="45" t="s">
        <v>555</v>
      </c>
      <c r="BM599" s="45"/>
    </row>
    <row r="600" spans="1:65" x14ac:dyDescent="0.35">
      <c r="A600" s="45" t="str">
        <f>Database_Productkaarten[[#This Row],[Product]]&amp;", "&amp;Database_Productkaarten[[#This Row],[Levensfase]]</f>
        <v>AC Surf 0% PR Rood, A5</v>
      </c>
      <c r="B600" s="45" t="s">
        <v>557</v>
      </c>
      <c r="C600" s="41" t="s">
        <v>443</v>
      </c>
      <c r="D600" s="45" t="s">
        <v>554</v>
      </c>
      <c r="E600" s="45" t="s">
        <v>91</v>
      </c>
      <c r="F600" s="45" t="s">
        <v>23</v>
      </c>
      <c r="G600" s="45"/>
      <c r="H600" s="45"/>
      <c r="I600" s="45"/>
      <c r="J600" s="45"/>
      <c r="K600" s="45"/>
      <c r="L600" s="45">
        <v>2.35</v>
      </c>
      <c r="M600" s="54">
        <v>0.26142994000000003</v>
      </c>
      <c r="N600" s="45">
        <v>14</v>
      </c>
      <c r="O600" s="45">
        <v>6.4405276999999999E-7</v>
      </c>
      <c r="P600" s="45">
        <v>1.3221688000000001E-2</v>
      </c>
      <c r="Q600" s="45">
        <v>2.554217</v>
      </c>
      <c r="R600" s="45">
        <v>3.4623921999999999E-7</v>
      </c>
      <c r="S600" s="45">
        <v>9.5560771999999997E-4</v>
      </c>
      <c r="T600" s="45">
        <v>1.0774331999999999E-2</v>
      </c>
      <c r="U600" s="45">
        <v>2.4326081999999998E-3</v>
      </c>
      <c r="V600" s="45">
        <v>0.67890231999999995</v>
      </c>
      <c r="W600" s="45">
        <v>9.5891563000000003E-3</v>
      </c>
      <c r="X600" s="45">
        <v>32.339298999999997</v>
      </c>
      <c r="Y600" s="45">
        <v>1.1383995E-3</v>
      </c>
      <c r="Z600" s="45"/>
      <c r="AA600" s="45"/>
      <c r="AB600" s="45"/>
      <c r="AC600" s="45"/>
      <c r="AD600" s="45"/>
      <c r="AE600" s="45"/>
      <c r="AF600" s="45"/>
      <c r="AG600" s="45"/>
      <c r="AH600" s="45"/>
      <c r="AI600" s="45"/>
      <c r="AJ600" s="45"/>
      <c r="AK600" s="45"/>
      <c r="AL600" s="45"/>
      <c r="AM600" s="45"/>
      <c r="AN600" s="45"/>
      <c r="AO600" s="45"/>
      <c r="AP600" s="45"/>
      <c r="AQ600" s="45"/>
      <c r="AR600" s="45"/>
      <c r="AS600" s="45"/>
      <c r="AT600" s="45"/>
      <c r="AU600" s="45">
        <v>0.16170355</v>
      </c>
      <c r="AV600" s="45"/>
      <c r="AW600" s="45"/>
      <c r="AX600" s="45">
        <v>29.640834999999999</v>
      </c>
      <c r="AY600" s="45"/>
      <c r="AZ600" s="45"/>
      <c r="BA600" s="45"/>
      <c r="BB600" s="45">
        <v>3.6528305999999999E-3</v>
      </c>
      <c r="BC600" s="45">
        <v>1.2448785000000001E-5</v>
      </c>
      <c r="BD600" s="45">
        <v>2.9724645000000001E-2</v>
      </c>
      <c r="BE600" s="45">
        <v>1.9389087E-4</v>
      </c>
      <c r="BF600" s="45"/>
      <c r="BG600" s="45"/>
      <c r="BH600" s="45"/>
      <c r="BI600" s="45"/>
      <c r="BJ600" s="45"/>
      <c r="BK600" s="78">
        <v>0</v>
      </c>
      <c r="BL600" s="45" t="s">
        <v>555</v>
      </c>
      <c r="BM600" s="45"/>
    </row>
    <row r="601" spans="1:65" x14ac:dyDescent="0.35">
      <c r="A601" s="45" t="str">
        <f>Database_Productkaarten[[#This Row],[Product]]&amp;", "&amp;Database_Productkaarten[[#This Row],[Levensfase]]</f>
        <v>AC Surf 0% PR Rood, B1</v>
      </c>
      <c r="B601" s="45" t="s">
        <v>557</v>
      </c>
      <c r="C601" s="41" t="s">
        <v>443</v>
      </c>
      <c r="D601" s="45" t="s">
        <v>554</v>
      </c>
      <c r="E601" s="45" t="s">
        <v>91</v>
      </c>
      <c r="F601" s="45" t="s">
        <v>24</v>
      </c>
      <c r="G601" s="45"/>
      <c r="H601" s="45"/>
      <c r="I601" s="45"/>
      <c r="J601" s="45"/>
      <c r="K601" s="45"/>
      <c r="L601" s="45">
        <v>2.35</v>
      </c>
      <c r="M601" s="54">
        <v>0.13543176074999999</v>
      </c>
      <c r="N601" s="45">
        <v>14</v>
      </c>
      <c r="O601" s="45">
        <v>0</v>
      </c>
      <c r="P601" s="45">
        <v>0</v>
      </c>
      <c r="Q601" s="45">
        <v>0</v>
      </c>
      <c r="R601" s="45">
        <v>0</v>
      </c>
      <c r="S601" s="45">
        <v>0</v>
      </c>
      <c r="T601" s="45">
        <v>0</v>
      </c>
      <c r="U601" s="45">
        <v>0</v>
      </c>
      <c r="V601" s="45">
        <v>0.54557357249999994</v>
      </c>
      <c r="W601" s="45">
        <v>0.58489036649999993</v>
      </c>
      <c r="X601" s="45">
        <v>687.63459599999999</v>
      </c>
      <c r="Y601" s="45">
        <v>3.3279872999999999E-4</v>
      </c>
      <c r="Z601" s="45"/>
      <c r="AA601" s="45"/>
      <c r="AB601" s="45"/>
      <c r="AC601" s="45"/>
      <c r="AD601" s="45"/>
      <c r="AE601" s="45"/>
      <c r="AF601" s="45"/>
      <c r="AG601" s="45"/>
      <c r="AH601" s="45"/>
      <c r="AI601" s="45"/>
      <c r="AJ601" s="45"/>
      <c r="AK601" s="45"/>
      <c r="AL601" s="45"/>
      <c r="AM601" s="45"/>
      <c r="AN601" s="45"/>
      <c r="AO601" s="45"/>
      <c r="AP601" s="45"/>
      <c r="AQ601" s="45"/>
      <c r="AR601" s="45"/>
      <c r="AS601" s="45"/>
      <c r="AT601" s="45"/>
      <c r="AU601" s="45">
        <v>0</v>
      </c>
      <c r="AV601" s="45"/>
      <c r="AW601" s="45"/>
      <c r="AX601" s="45">
        <v>0</v>
      </c>
      <c r="AY601" s="45"/>
      <c r="AZ601" s="45"/>
      <c r="BA601" s="45"/>
      <c r="BB601" s="45">
        <v>0</v>
      </c>
      <c r="BC601" s="45">
        <v>0</v>
      </c>
      <c r="BD601" s="45">
        <v>0</v>
      </c>
      <c r="BE601" s="45">
        <v>0</v>
      </c>
      <c r="BF601" s="45"/>
      <c r="BG601" s="45"/>
      <c r="BH601" s="45"/>
      <c r="BI601" s="45"/>
      <c r="BJ601" s="45"/>
      <c r="BK601" s="78">
        <v>0</v>
      </c>
      <c r="BL601" s="45" t="s">
        <v>555</v>
      </c>
      <c r="BM601" s="45"/>
    </row>
    <row r="602" spans="1:65" x14ac:dyDescent="0.35">
      <c r="A602" s="45" t="str">
        <f>Database_Productkaarten[[#This Row],[Product]]&amp;", "&amp;Database_Productkaarten[[#This Row],[Levensfase]]</f>
        <v>AC Surf 0% PR Rood, C1</v>
      </c>
      <c r="B602" s="45" t="s">
        <v>557</v>
      </c>
      <c r="C602" s="41" t="s">
        <v>443</v>
      </c>
      <c r="D602" s="45" t="s">
        <v>554</v>
      </c>
      <c r="E602" s="45" t="s">
        <v>91</v>
      </c>
      <c r="F602" s="45" t="s">
        <v>25</v>
      </c>
      <c r="G602" s="45"/>
      <c r="H602" s="45"/>
      <c r="I602" s="45"/>
      <c r="J602" s="45"/>
      <c r="K602" s="45"/>
      <c r="L602" s="45">
        <v>2.35</v>
      </c>
      <c r="M602" s="54">
        <v>0.13639726999999999</v>
      </c>
      <c r="N602" s="45">
        <v>14</v>
      </c>
      <c r="O602" s="45">
        <v>3.6644380999999999E-7</v>
      </c>
      <c r="P602" s="45">
        <v>7.5226846000000002E-3</v>
      </c>
      <c r="Q602" s="45">
        <v>1.4532613999999999</v>
      </c>
      <c r="R602" s="45">
        <v>1.9699817000000001E-7</v>
      </c>
      <c r="S602" s="45">
        <v>4.8171299999999999E-4</v>
      </c>
      <c r="T602" s="45">
        <v>4.2661764999999997E-3</v>
      </c>
      <c r="U602" s="45">
        <v>8.9941806E-4</v>
      </c>
      <c r="V602" s="45">
        <v>0.38176861000000001</v>
      </c>
      <c r="W602" s="45">
        <v>5.4558992000000002E-3</v>
      </c>
      <c r="X602" s="45">
        <v>18.399946</v>
      </c>
      <c r="Y602" s="45">
        <v>6.4771006999999995E-4</v>
      </c>
      <c r="Z602" s="45"/>
      <c r="AA602" s="45"/>
      <c r="AB602" s="45"/>
      <c r="AC602" s="45"/>
      <c r="AD602" s="45"/>
      <c r="AE602" s="45"/>
      <c r="AF602" s="45"/>
      <c r="AG602" s="45"/>
      <c r="AH602" s="45"/>
      <c r="AI602" s="45"/>
      <c r="AJ602" s="45"/>
      <c r="AK602" s="45"/>
      <c r="AL602" s="45"/>
      <c r="AM602" s="45"/>
      <c r="AN602" s="45"/>
      <c r="AO602" s="45"/>
      <c r="AP602" s="45"/>
      <c r="AQ602" s="45"/>
      <c r="AR602" s="45"/>
      <c r="AS602" s="45"/>
      <c r="AT602" s="45"/>
      <c r="AU602" s="45">
        <v>9.2003741E-2</v>
      </c>
      <c r="AV602" s="45"/>
      <c r="AW602" s="45"/>
      <c r="AX602" s="45">
        <v>16.864612999999999</v>
      </c>
      <c r="AY602" s="45"/>
      <c r="AZ602" s="45"/>
      <c r="BA602" s="45"/>
      <c r="BB602" s="45">
        <v>2.0783346E-3</v>
      </c>
      <c r="BC602" s="45">
        <v>7.0829294000000003E-6</v>
      </c>
      <c r="BD602" s="45">
        <v>1.6912297999999999E-2</v>
      </c>
      <c r="BE602" s="45">
        <v>1.1031722E-4</v>
      </c>
      <c r="BF602" s="45"/>
      <c r="BG602" s="45"/>
      <c r="BH602" s="45"/>
      <c r="BI602" s="45"/>
      <c r="BJ602" s="45"/>
      <c r="BK602" s="78">
        <v>0</v>
      </c>
      <c r="BL602" s="45" t="s">
        <v>555</v>
      </c>
      <c r="BM602" s="45"/>
    </row>
    <row r="603" spans="1:65" x14ac:dyDescent="0.35">
      <c r="A603" s="45" t="str">
        <f>Database_Productkaarten[[#This Row],[Product]]&amp;", "&amp;Database_Productkaarten[[#This Row],[Levensfase]]</f>
        <v>AC Surf 0% PR Rood, C2</v>
      </c>
      <c r="B603" s="45" t="s">
        <v>557</v>
      </c>
      <c r="C603" s="41" t="s">
        <v>443</v>
      </c>
      <c r="D603" s="45" t="s">
        <v>554</v>
      </c>
      <c r="E603" s="45" t="s">
        <v>91</v>
      </c>
      <c r="F603" s="45" t="s">
        <v>26</v>
      </c>
      <c r="G603" s="45"/>
      <c r="H603" s="45"/>
      <c r="I603" s="45"/>
      <c r="J603" s="45"/>
      <c r="K603" s="45"/>
      <c r="L603" s="45">
        <v>2.35</v>
      </c>
      <c r="M603" s="54">
        <v>0.62892669999999995</v>
      </c>
      <c r="N603" s="45">
        <v>14</v>
      </c>
      <c r="O603" s="45">
        <v>1.0978337000000001E-5</v>
      </c>
      <c r="P603" s="45">
        <v>4.3183727999999998E-2</v>
      </c>
      <c r="Q603" s="45">
        <v>5.7021305</v>
      </c>
      <c r="R603" s="45">
        <v>1.1335356E-6</v>
      </c>
      <c r="S603" s="45">
        <v>3.5752850000000001E-3</v>
      </c>
      <c r="T603" s="45">
        <v>1.9151161E-2</v>
      </c>
      <c r="U603" s="45">
        <v>3.8023555000000001E-3</v>
      </c>
      <c r="V603" s="45">
        <v>2.0049337999999999</v>
      </c>
      <c r="W603" s="45">
        <v>0.12926487</v>
      </c>
      <c r="X603" s="45">
        <v>338.63108999999997</v>
      </c>
      <c r="Y603" s="45">
        <v>1.1891815999999999E-2</v>
      </c>
      <c r="Z603" s="45"/>
      <c r="AA603" s="45"/>
      <c r="AB603" s="45"/>
      <c r="AC603" s="45"/>
      <c r="AD603" s="45"/>
      <c r="AE603" s="45"/>
      <c r="AF603" s="45"/>
      <c r="AG603" s="45"/>
      <c r="AH603" s="45"/>
      <c r="AI603" s="45"/>
      <c r="AJ603" s="45"/>
      <c r="AK603" s="45"/>
      <c r="AL603" s="45"/>
      <c r="AM603" s="45"/>
      <c r="AN603" s="45"/>
      <c r="AO603" s="45"/>
      <c r="AP603" s="45"/>
      <c r="AQ603" s="45"/>
      <c r="AR603" s="45"/>
      <c r="AS603" s="45"/>
      <c r="AT603" s="45"/>
      <c r="AU603" s="45">
        <v>0</v>
      </c>
      <c r="AV603" s="45"/>
      <c r="AW603" s="45"/>
      <c r="AX603" s="45">
        <v>0</v>
      </c>
      <c r="AY603" s="45"/>
      <c r="AZ603" s="45"/>
      <c r="BA603" s="45"/>
      <c r="BB603" s="45">
        <v>0</v>
      </c>
      <c r="BC603" s="45">
        <v>0</v>
      </c>
      <c r="BD603" s="45">
        <v>0</v>
      </c>
      <c r="BE603" s="45">
        <v>0</v>
      </c>
      <c r="BF603" s="45"/>
      <c r="BG603" s="45"/>
      <c r="BH603" s="45"/>
      <c r="BI603" s="45"/>
      <c r="BJ603" s="45"/>
      <c r="BK603" s="78">
        <v>0</v>
      </c>
      <c r="BL603" s="45" t="s">
        <v>555</v>
      </c>
      <c r="BM603" s="45"/>
    </row>
    <row r="604" spans="1:65" x14ac:dyDescent="0.35">
      <c r="A604" s="45" t="str">
        <f>Database_Productkaarten[[#This Row],[Product]]&amp;", "&amp;Database_Productkaarten[[#This Row],[Levensfase]]</f>
        <v>AC Surf 0% PR Rood, C3</v>
      </c>
      <c r="B604" s="45" t="s">
        <v>557</v>
      </c>
      <c r="C604" s="41" t="s">
        <v>443</v>
      </c>
      <c r="D604" s="45" t="s">
        <v>554</v>
      </c>
      <c r="E604" s="45" t="s">
        <v>91</v>
      </c>
      <c r="F604" s="45" t="s">
        <v>27</v>
      </c>
      <c r="G604" s="45"/>
      <c r="H604" s="45"/>
      <c r="I604" s="45"/>
      <c r="J604" s="45"/>
      <c r="K604" s="45"/>
      <c r="L604" s="45">
        <v>2.35</v>
      </c>
      <c r="M604" s="54">
        <v>0.16120214999999999</v>
      </c>
      <c r="N604" s="45">
        <v>14</v>
      </c>
      <c r="O604" s="45">
        <v>4.1291555000000003E-7</v>
      </c>
      <c r="P604" s="45">
        <v>8.4766977000000007E-3</v>
      </c>
      <c r="Q604" s="45">
        <v>1.6375614000000001</v>
      </c>
      <c r="R604" s="45">
        <v>2.2198113E-7</v>
      </c>
      <c r="S604" s="45">
        <v>5.9777666999999998E-4</v>
      </c>
      <c r="T604" s="45">
        <v>5.9352911999999997E-3</v>
      </c>
      <c r="U604" s="45">
        <v>1.3067828999999999E-3</v>
      </c>
      <c r="V604" s="45">
        <v>0.43290835999999999</v>
      </c>
      <c r="W604" s="45">
        <v>6.1478065000000002E-3</v>
      </c>
      <c r="X604" s="45">
        <v>20.733394000000001</v>
      </c>
      <c r="Y604" s="45">
        <v>7.2985148000000004E-4</v>
      </c>
      <c r="Z604" s="45"/>
      <c r="AA604" s="45"/>
      <c r="AB604" s="45"/>
      <c r="AC604" s="45"/>
      <c r="AD604" s="45"/>
      <c r="AE604" s="45"/>
      <c r="AF604" s="45"/>
      <c r="AG604" s="45"/>
      <c r="AH604" s="45"/>
      <c r="AI604" s="45"/>
      <c r="AJ604" s="45"/>
      <c r="AK604" s="45"/>
      <c r="AL604" s="45"/>
      <c r="AM604" s="45"/>
      <c r="AN604" s="45"/>
      <c r="AO604" s="45"/>
      <c r="AP604" s="45"/>
      <c r="AQ604" s="45"/>
      <c r="AR604" s="45"/>
      <c r="AS604" s="45"/>
      <c r="AT604" s="45"/>
      <c r="AU604" s="45">
        <v>0.10367149000000001</v>
      </c>
      <c r="AV604" s="45"/>
      <c r="AW604" s="45"/>
      <c r="AX604" s="45">
        <v>19.003353000000001</v>
      </c>
      <c r="AY604" s="45"/>
      <c r="AZ604" s="45"/>
      <c r="BA604" s="45"/>
      <c r="BB604" s="45">
        <v>2.3419052000000001E-3</v>
      </c>
      <c r="BC604" s="45">
        <v>7.9811735999999999E-6</v>
      </c>
      <c r="BD604" s="45">
        <v>1.9057085000000001E-2</v>
      </c>
      <c r="BE604" s="45">
        <v>1.2430745000000001E-4</v>
      </c>
      <c r="BF604" s="45"/>
      <c r="BG604" s="45"/>
      <c r="BH604" s="45"/>
      <c r="BI604" s="45"/>
      <c r="BJ604" s="45"/>
      <c r="BK604" s="78">
        <v>0</v>
      </c>
      <c r="BL604" s="45" t="s">
        <v>555</v>
      </c>
      <c r="BM604" s="45"/>
    </row>
    <row r="605" spans="1:65" x14ac:dyDescent="0.35">
      <c r="A605" s="45" t="str">
        <f>Database_Productkaarten[[#This Row],[Product]]&amp;", "&amp;Database_Productkaarten[[#This Row],[Levensfase]]</f>
        <v>AC Surf 0% PR Rood, D1</v>
      </c>
      <c r="B605" s="45" t="s">
        <v>557</v>
      </c>
      <c r="C605" s="41" t="s">
        <v>443</v>
      </c>
      <c r="D605" s="45" t="s">
        <v>554</v>
      </c>
      <c r="E605" s="45" t="s">
        <v>91</v>
      </c>
      <c r="F605" s="45" t="s">
        <v>51</v>
      </c>
      <c r="G605" s="45"/>
      <c r="H605" s="45"/>
      <c r="I605" s="45"/>
      <c r="J605" s="45"/>
      <c r="K605" s="45"/>
      <c r="L605" s="45">
        <v>2.35</v>
      </c>
      <c r="M605" s="54">
        <v>-3.9940282190082397</v>
      </c>
      <c r="N605" s="45">
        <v>14</v>
      </c>
      <c r="O605" s="45">
        <v>-5.3083861559999999E-5</v>
      </c>
      <c r="P605" s="45">
        <v>-0.71692586487599985</v>
      </c>
      <c r="Q605" s="45">
        <v>-29.453415403005039</v>
      </c>
      <c r="R605" s="45">
        <v>-2.4570558369599997E-6</v>
      </c>
      <c r="S605" s="45">
        <v>-7.7011500167679978E-2</v>
      </c>
      <c r="T605" s="45">
        <v>-0.21047290098895999</v>
      </c>
      <c r="U605" s="45">
        <v>-1.950378109216E-2</v>
      </c>
      <c r="V605" s="45">
        <v>-7.8223977558315188</v>
      </c>
      <c r="W605" s="45">
        <v>-1.1166398682647993</v>
      </c>
      <c r="X605" s="45">
        <v>-4891.1566199070849</v>
      </c>
      <c r="Y605" s="45">
        <v>-0.14465848866560002</v>
      </c>
      <c r="Z605" s="45"/>
      <c r="AA605" s="45"/>
      <c r="AB605" s="45"/>
      <c r="AC605" s="45"/>
      <c r="AD605" s="45"/>
      <c r="AE605" s="45"/>
      <c r="AF605" s="45"/>
      <c r="AG605" s="45"/>
      <c r="AH605" s="45"/>
      <c r="AI605" s="45"/>
      <c r="AJ605" s="45"/>
      <c r="AK605" s="45"/>
      <c r="AL605" s="45"/>
      <c r="AM605" s="45"/>
      <c r="AN605" s="45"/>
      <c r="AO605" s="45"/>
      <c r="AP605" s="45"/>
      <c r="AQ605" s="45"/>
      <c r="AR605" s="45"/>
      <c r="AS605" s="45"/>
      <c r="AT605" s="45"/>
      <c r="AU605" s="45">
        <v>-11.369800508735439</v>
      </c>
      <c r="AV605" s="45"/>
      <c r="AW605" s="45"/>
      <c r="AX605" s="45">
        <v>-1618.7164207527067</v>
      </c>
      <c r="AY605" s="45"/>
      <c r="AZ605" s="45"/>
      <c r="BA605" s="45"/>
      <c r="BB605" s="45">
        <v>-17.146799885022556</v>
      </c>
      <c r="BC605" s="45">
        <v>-5.8071008679999982E-4</v>
      </c>
      <c r="BD605" s="45">
        <v>-1.9123424257876798</v>
      </c>
      <c r="BE605" s="45">
        <v>-6.8135050495999998E-4</v>
      </c>
      <c r="BF605" s="45"/>
      <c r="BG605" s="45"/>
      <c r="BH605" s="45"/>
      <c r="BI605" s="45"/>
      <c r="BJ605" s="45"/>
      <c r="BK605" s="78">
        <v>0</v>
      </c>
      <c r="BL605" s="45" t="s">
        <v>555</v>
      </c>
      <c r="BM605" s="45"/>
    </row>
    <row r="606" spans="1:65" x14ac:dyDescent="0.35">
      <c r="A606" s="45" t="str">
        <f>Database_Productkaarten[[#This Row],[Product]]&amp;", "&amp;Database_Productkaarten[[#This Row],[Levensfase]]</f>
        <v>AC Surf 0% PR Rood, D2</v>
      </c>
      <c r="B606" s="45" t="s">
        <v>557</v>
      </c>
      <c r="C606" s="41" t="s">
        <v>443</v>
      </c>
      <c r="D606" s="45" t="s">
        <v>554</v>
      </c>
      <c r="E606" s="45" t="s">
        <v>91</v>
      </c>
      <c r="F606" s="45" t="s">
        <v>52</v>
      </c>
      <c r="G606" s="45"/>
      <c r="H606" s="45"/>
      <c r="I606" s="45"/>
      <c r="J606" s="45"/>
      <c r="K606" s="45"/>
      <c r="L606" s="45">
        <v>2.35</v>
      </c>
      <c r="M606" s="54">
        <v>-1.7432485997650797</v>
      </c>
      <c r="N606" s="45">
        <v>14</v>
      </c>
      <c r="O606" s="45">
        <v>-1.1701460510175659E-5</v>
      </c>
      <c r="P606" s="45">
        <v>-8.1006426357399977E-2</v>
      </c>
      <c r="Q606" s="45">
        <v>-11.842531568619121</v>
      </c>
      <c r="R606" s="45">
        <v>-1.9280419955081308E-6</v>
      </c>
      <c r="S606" s="45">
        <v>-9.0391843866624959E-3</v>
      </c>
      <c r="T606" s="45">
        <v>-0.13405284289597388</v>
      </c>
      <c r="U606" s="45">
        <v>-1.8286879350528897E-2</v>
      </c>
      <c r="V606" s="45">
        <v>-4.2077376746337602</v>
      </c>
      <c r="W606" s="45">
        <v>-9.6041481358032629E-2</v>
      </c>
      <c r="X606" s="45">
        <v>-367.08503409022074</v>
      </c>
      <c r="Y606" s="45">
        <v>-1.5663308917534816E-2</v>
      </c>
      <c r="Z606" s="45"/>
      <c r="AA606" s="45"/>
      <c r="AB606" s="45"/>
      <c r="AC606" s="45"/>
      <c r="AD606" s="45"/>
      <c r="AE606" s="45"/>
      <c r="AF606" s="45"/>
      <c r="AG606" s="45"/>
      <c r="AH606" s="45"/>
      <c r="AI606" s="45"/>
      <c r="AJ606" s="45"/>
      <c r="AK606" s="45"/>
      <c r="AL606" s="45"/>
      <c r="AM606" s="45"/>
      <c r="AN606" s="45"/>
      <c r="AO606" s="45"/>
      <c r="AP606" s="45"/>
      <c r="AQ606" s="45"/>
      <c r="AR606" s="45"/>
      <c r="AS606" s="45"/>
      <c r="AT606" s="45"/>
      <c r="AU606" s="45">
        <v>-3.2872385445229195</v>
      </c>
      <c r="AV606" s="45"/>
      <c r="AW606" s="45"/>
      <c r="AX606" s="45">
        <v>-179.59502578448095</v>
      </c>
      <c r="AY606" s="45"/>
      <c r="AZ606" s="45"/>
      <c r="BA606" s="45"/>
      <c r="BB606" s="45">
        <v>-3.6189588003407429E-2</v>
      </c>
      <c r="BC606" s="45">
        <v>-1.1386895447098782E-4</v>
      </c>
      <c r="BD606" s="45">
        <v>-2.9577370864538395</v>
      </c>
      <c r="BE606" s="45">
        <v>-1.1182462259105182E-3</v>
      </c>
      <c r="BF606" s="45"/>
      <c r="BG606" s="45"/>
      <c r="BH606" s="45"/>
      <c r="BI606" s="45"/>
      <c r="BJ606" s="45"/>
      <c r="BK606" s="78">
        <v>0</v>
      </c>
      <c r="BL606" s="45" t="s">
        <v>555</v>
      </c>
      <c r="BM606" s="45"/>
    </row>
    <row r="607" spans="1:65" x14ac:dyDescent="0.35">
      <c r="A607" s="45" t="str">
        <f>Database_Productkaarten[[#This Row],[Product]]&amp;", "&amp;Database_Productkaarten[[#This Row],[Levensfase]]</f>
        <v>SMA 8-11 Rood, Totaal</v>
      </c>
      <c r="B607" s="45" t="s">
        <v>558</v>
      </c>
      <c r="C607" s="41" t="s">
        <v>443</v>
      </c>
      <c r="D607" s="45" t="s">
        <v>554</v>
      </c>
      <c r="E607" s="45" t="s">
        <v>91</v>
      </c>
      <c r="F607" s="45" t="s">
        <v>16</v>
      </c>
      <c r="G607" s="45"/>
      <c r="H607" s="45"/>
      <c r="I607" s="45"/>
      <c r="J607" s="45"/>
      <c r="K607" s="45"/>
      <c r="L607" s="45">
        <v>2.35</v>
      </c>
      <c r="M607" s="54">
        <v>13.102682692738266</v>
      </c>
      <c r="N607" s="45">
        <v>16</v>
      </c>
      <c r="O607" s="45">
        <v>1.2975117855943425E-4</v>
      </c>
      <c r="P607" s="45">
        <v>1.8946863108368341</v>
      </c>
      <c r="Q607" s="45">
        <v>107.03488024389046</v>
      </c>
      <c r="R607" s="45">
        <v>1.1614561117163846E-5</v>
      </c>
      <c r="S607" s="45">
        <v>0.18406777371754912</v>
      </c>
      <c r="T607" s="45">
        <v>0.60270031135647384</v>
      </c>
      <c r="U607" s="45">
        <v>6.5510801649347875E-2</v>
      </c>
      <c r="V607" s="45">
        <v>29.893492246725806</v>
      </c>
      <c r="W607" s="45">
        <v>3.5625144962551896</v>
      </c>
      <c r="X607" s="45">
        <v>12589.563687379823</v>
      </c>
      <c r="Y607" s="45">
        <v>0.37718314004541409</v>
      </c>
      <c r="Z607" s="45"/>
      <c r="AA607" s="45"/>
      <c r="AB607" s="45"/>
      <c r="AC607" s="45"/>
      <c r="AD607" s="45"/>
      <c r="AE607" s="45"/>
      <c r="AF607" s="45"/>
      <c r="AG607" s="45"/>
      <c r="AH607" s="45"/>
      <c r="AI607" s="45"/>
      <c r="AJ607" s="45"/>
      <c r="AK607" s="45"/>
      <c r="AL607" s="45"/>
      <c r="AM607" s="45"/>
      <c r="AN607" s="45"/>
      <c r="AO607" s="45"/>
      <c r="AP607" s="45"/>
      <c r="AQ607" s="45"/>
      <c r="AR607" s="45"/>
      <c r="AS607" s="45"/>
      <c r="AT607" s="45"/>
      <c r="AU607" s="45">
        <v>44.528391406999646</v>
      </c>
      <c r="AV607" s="45"/>
      <c r="AW607" s="45"/>
      <c r="AX607" s="45">
        <v>4042.6807550580797</v>
      </c>
      <c r="AY607" s="45"/>
      <c r="AZ607" s="45"/>
      <c r="BA607" s="45"/>
      <c r="BB607" s="45">
        <v>37.377054857760498</v>
      </c>
      <c r="BC607" s="45">
        <v>1.8031693264975804E-3</v>
      </c>
      <c r="BD607" s="45">
        <v>5.4443383257309499</v>
      </c>
      <c r="BE607" s="45">
        <v>2.6520808435421895E-3</v>
      </c>
      <c r="BF607" s="45"/>
      <c r="BG607" s="45"/>
      <c r="BH607" s="45"/>
      <c r="BI607" s="45"/>
      <c r="BJ607" s="45"/>
      <c r="BK607" s="78">
        <v>0</v>
      </c>
      <c r="BL607" s="45" t="s">
        <v>556</v>
      </c>
      <c r="BM607" s="45"/>
    </row>
    <row r="608" spans="1:65" x14ac:dyDescent="0.35">
      <c r="A608" s="45" t="str">
        <f>Database_Productkaarten[[#This Row],[Product]]&amp;", "&amp;Database_Productkaarten[[#This Row],[Levensfase]]</f>
        <v>SMA 8-11 Rood, A1</v>
      </c>
      <c r="B608" s="45" t="s">
        <v>558</v>
      </c>
      <c r="C608" s="41" t="s">
        <v>443</v>
      </c>
      <c r="D608" s="45" t="s">
        <v>554</v>
      </c>
      <c r="E608" s="45" t="s">
        <v>91</v>
      </c>
      <c r="F608" s="45" t="s">
        <v>19</v>
      </c>
      <c r="G608" s="45"/>
      <c r="H608" s="45"/>
      <c r="I608" s="45"/>
      <c r="J608" s="45"/>
      <c r="K608" s="45"/>
      <c r="L608" s="45">
        <v>2.35</v>
      </c>
      <c r="M608" s="54">
        <v>12.879648440999997</v>
      </c>
      <c r="N608" s="45">
        <v>16</v>
      </c>
      <c r="O608" s="45">
        <v>1.456609044E-4</v>
      </c>
      <c r="P608" s="45">
        <v>2.3508632936999998</v>
      </c>
      <c r="Q608" s="45">
        <v>93.356903873999997</v>
      </c>
      <c r="R608" s="45">
        <v>7.7213363700000005E-6</v>
      </c>
      <c r="S608" s="45">
        <v>0.25309327667999998</v>
      </c>
      <c r="T608" s="45">
        <v>0.67153724549999994</v>
      </c>
      <c r="U608" s="45">
        <v>6.0270069900000001E-2</v>
      </c>
      <c r="V608" s="45">
        <v>26.073554318999999</v>
      </c>
      <c r="W608" s="45">
        <v>3.6992468288999998</v>
      </c>
      <c r="X608" s="45">
        <v>16144.2295868325</v>
      </c>
      <c r="Y608" s="45">
        <v>0.47687047560000007</v>
      </c>
      <c r="Z608" s="45"/>
      <c r="AA608" s="45"/>
      <c r="AB608" s="45"/>
      <c r="AC608" s="45"/>
      <c r="AD608" s="45"/>
      <c r="AE608" s="45"/>
      <c r="AF608" s="45"/>
      <c r="AG608" s="45"/>
      <c r="AH608" s="45"/>
      <c r="AI608" s="45"/>
      <c r="AJ608" s="45"/>
      <c r="AK608" s="45"/>
      <c r="AL608" s="45"/>
      <c r="AM608" s="45"/>
      <c r="AN608" s="45"/>
      <c r="AO608" s="45"/>
      <c r="AP608" s="45"/>
      <c r="AQ608" s="45"/>
      <c r="AR608" s="45"/>
      <c r="AS608" s="45"/>
      <c r="AT608" s="45"/>
      <c r="AU608" s="45">
        <v>46.667058574500004</v>
      </c>
      <c r="AV608" s="45"/>
      <c r="AW608" s="45"/>
      <c r="AX608" s="45">
        <v>5314.9783656734999</v>
      </c>
      <c r="AY608" s="45"/>
      <c r="AZ608" s="45"/>
      <c r="BA608" s="45"/>
      <c r="BB608" s="45">
        <v>56.740654666800005</v>
      </c>
      <c r="BC608" s="45">
        <v>1.7979368189999997E-3</v>
      </c>
      <c r="BD608" s="45">
        <v>5.0981155920000001</v>
      </c>
      <c r="BE608" s="45">
        <v>1.9688769540000001E-3</v>
      </c>
      <c r="BF608" s="45"/>
      <c r="BG608" s="45"/>
      <c r="BH608" s="45"/>
      <c r="BI608" s="45"/>
      <c r="BJ608" s="45"/>
      <c r="BK608" s="78">
        <v>0</v>
      </c>
      <c r="BL608" s="45" t="s">
        <v>556</v>
      </c>
      <c r="BM608" s="45"/>
    </row>
    <row r="609" spans="1:65" x14ac:dyDescent="0.35">
      <c r="A609" s="45" t="str">
        <f>Database_Productkaarten[[#This Row],[Product]]&amp;", "&amp;Database_Productkaarten[[#This Row],[Levensfase]]</f>
        <v>SMA 8-11 Rood, A2</v>
      </c>
      <c r="B609" s="45" t="s">
        <v>558</v>
      </c>
      <c r="C609" s="41" t="s">
        <v>443</v>
      </c>
      <c r="D609" s="45" t="s">
        <v>554</v>
      </c>
      <c r="E609" s="45" t="s">
        <v>91</v>
      </c>
      <c r="F609" s="45" t="s">
        <v>20</v>
      </c>
      <c r="G609" s="45"/>
      <c r="H609" s="45"/>
      <c r="I609" s="45"/>
      <c r="J609" s="45"/>
      <c r="K609" s="45"/>
      <c r="L609" s="45">
        <v>2.35</v>
      </c>
      <c r="M609" s="54">
        <v>2.4307964394150003</v>
      </c>
      <c r="N609" s="45">
        <v>16</v>
      </c>
      <c r="O609" s="45">
        <v>1.5064990869629999E-5</v>
      </c>
      <c r="P609" s="45">
        <v>0.10455005876800001</v>
      </c>
      <c r="Q609" s="45">
        <v>15.003097835616002</v>
      </c>
      <c r="R609" s="45">
        <v>2.4817267241000006E-6</v>
      </c>
      <c r="S609" s="45">
        <v>1.2816067583900002E-2</v>
      </c>
      <c r="T609" s="45">
        <v>0.20588537639540005</v>
      </c>
      <c r="U609" s="45">
        <v>2.3472284118600004E-2</v>
      </c>
      <c r="V609" s="45">
        <v>6.0515928570560007</v>
      </c>
      <c r="W609" s="45">
        <v>0.1307750831676</v>
      </c>
      <c r="X609" s="45">
        <v>535.92296399565896</v>
      </c>
      <c r="Y609" s="45">
        <v>2.0800316694400009E-2</v>
      </c>
      <c r="Z609" s="45"/>
      <c r="AA609" s="45"/>
      <c r="AB609" s="45"/>
      <c r="AC609" s="45"/>
      <c r="AD609" s="45"/>
      <c r="AE609" s="45"/>
      <c r="AF609" s="45"/>
      <c r="AG609" s="45"/>
      <c r="AH609" s="45"/>
      <c r="AI609" s="45"/>
      <c r="AJ609" s="45"/>
      <c r="AK609" s="45"/>
      <c r="AL609" s="45"/>
      <c r="AM609" s="45"/>
      <c r="AN609" s="45"/>
      <c r="AO609" s="45"/>
      <c r="AP609" s="45"/>
      <c r="AQ609" s="45"/>
      <c r="AR609" s="45"/>
      <c r="AS609" s="45"/>
      <c r="AT609" s="45"/>
      <c r="AU609" s="45">
        <v>4.1844821066910001</v>
      </c>
      <c r="AV609" s="45"/>
      <c r="AW609" s="45"/>
      <c r="AX609" s="45">
        <v>231.69305034644901</v>
      </c>
      <c r="AY609" s="45"/>
      <c r="AZ609" s="45"/>
      <c r="BA609" s="45"/>
      <c r="BB609" s="45">
        <v>4.2908625141899998E-2</v>
      </c>
      <c r="BC609" s="45">
        <v>1.3900675574579998E-4</v>
      </c>
      <c r="BD609" s="45">
        <v>4.1705277317539995</v>
      </c>
      <c r="BE609" s="45">
        <v>1.4404183863400003E-3</v>
      </c>
      <c r="BF609" s="45"/>
      <c r="BG609" s="45"/>
      <c r="BH609" s="45"/>
      <c r="BI609" s="45"/>
      <c r="BJ609" s="45"/>
      <c r="BK609" s="78">
        <v>0</v>
      </c>
      <c r="BL609" s="45" t="s">
        <v>556</v>
      </c>
      <c r="BM609" s="45"/>
    </row>
    <row r="610" spans="1:65" x14ac:dyDescent="0.35">
      <c r="A610" s="45" t="str">
        <f>Database_Productkaarten[[#This Row],[Product]]&amp;", "&amp;Database_Productkaarten[[#This Row],[Levensfase]]</f>
        <v>SMA 8-11 Rood, A3</v>
      </c>
      <c r="B610" s="45" t="s">
        <v>558</v>
      </c>
      <c r="C610" s="41" t="s">
        <v>443</v>
      </c>
      <c r="D610" s="45" t="s">
        <v>554</v>
      </c>
      <c r="E610" s="45" t="s">
        <v>91</v>
      </c>
      <c r="F610" s="45" t="s">
        <v>21</v>
      </c>
      <c r="G610" s="45"/>
      <c r="H610" s="45"/>
      <c r="I610" s="45"/>
      <c r="J610" s="45"/>
      <c r="K610" s="45"/>
      <c r="L610" s="45">
        <v>2.35</v>
      </c>
      <c r="M610" s="54">
        <v>1.6535537506540927</v>
      </c>
      <c r="N610" s="45">
        <v>16</v>
      </c>
      <c r="O610" s="45">
        <v>5.2713531167084548E-6</v>
      </c>
      <c r="P610" s="45">
        <v>0.19207865336915458</v>
      </c>
      <c r="Q610" s="45">
        <v>22.669455609947878</v>
      </c>
      <c r="R610" s="45">
        <v>2.5506295190080962E-6</v>
      </c>
      <c r="S610" s="45">
        <v>3.6927587031904642E-3</v>
      </c>
      <c r="T610" s="45">
        <v>2.6185219957496675E-2</v>
      </c>
      <c r="U610" s="45">
        <v>4.8609564714452522E-3</v>
      </c>
      <c r="V610" s="45">
        <v>3.5625618886590238</v>
      </c>
      <c r="W610" s="45">
        <v>2.5530337415448572E-2</v>
      </c>
      <c r="X610" s="45">
        <v>104.00297466151824</v>
      </c>
      <c r="Y610" s="45">
        <v>2.6652329923810936E-2</v>
      </c>
      <c r="Z610" s="45"/>
      <c r="AA610" s="45"/>
      <c r="AB610" s="45"/>
      <c r="AC610" s="45"/>
      <c r="AD610" s="45"/>
      <c r="AE610" s="45"/>
      <c r="AF610" s="45"/>
      <c r="AG610" s="45"/>
      <c r="AH610" s="45"/>
      <c r="AI610" s="45"/>
      <c r="AJ610" s="45"/>
      <c r="AK610" s="45"/>
      <c r="AL610" s="45"/>
      <c r="AM610" s="45"/>
      <c r="AN610" s="45"/>
      <c r="AO610" s="45"/>
      <c r="AP610" s="45"/>
      <c r="AQ610" s="45"/>
      <c r="AR610" s="45"/>
      <c r="AS610" s="45"/>
      <c r="AT610" s="45"/>
      <c r="AU610" s="45">
        <v>7.6727774558279922</v>
      </c>
      <c r="AV610" s="45"/>
      <c r="AW610" s="45"/>
      <c r="AX610" s="45">
        <v>392.03275105654564</v>
      </c>
      <c r="AY610" s="45"/>
      <c r="AZ610" s="45"/>
      <c r="BA610" s="45"/>
      <c r="BB610" s="45">
        <v>5.1312985347488176E-2</v>
      </c>
      <c r="BC610" s="45">
        <v>5.4391746066704031E-4</v>
      </c>
      <c r="BD610" s="45">
        <v>0.27772677342255825</v>
      </c>
      <c r="BE610" s="45">
        <v>3.8469637044231497E-4</v>
      </c>
      <c r="BF610" s="45"/>
      <c r="BG610" s="45"/>
      <c r="BH610" s="45"/>
      <c r="BI610" s="45"/>
      <c r="BJ610" s="45"/>
      <c r="BK610" s="78">
        <v>0</v>
      </c>
      <c r="BL610" s="45" t="s">
        <v>556</v>
      </c>
      <c r="BM610" s="45"/>
    </row>
    <row r="611" spans="1:65" x14ac:dyDescent="0.35">
      <c r="A611" s="45" t="str">
        <f>Database_Productkaarten[[#This Row],[Product]]&amp;", "&amp;Database_Productkaarten[[#This Row],[Levensfase]]</f>
        <v>SMA 8-11 Rood, A4</v>
      </c>
      <c r="B611" s="45" t="s">
        <v>558</v>
      </c>
      <c r="C611" s="41" t="s">
        <v>443</v>
      </c>
      <c r="D611" s="45" t="s">
        <v>554</v>
      </c>
      <c r="E611" s="45" t="s">
        <v>91</v>
      </c>
      <c r="F611" s="45" t="s">
        <v>22</v>
      </c>
      <c r="G611" s="45"/>
      <c r="H611" s="45"/>
      <c r="I611" s="45"/>
      <c r="J611" s="45"/>
      <c r="K611" s="45"/>
      <c r="L611" s="45">
        <v>2.35</v>
      </c>
      <c r="M611" s="54">
        <v>0.62892669999999995</v>
      </c>
      <c r="N611" s="45">
        <v>16</v>
      </c>
      <c r="O611" s="45">
        <v>1.0978337000000001E-5</v>
      </c>
      <c r="P611" s="45">
        <v>4.3183727999999998E-2</v>
      </c>
      <c r="Q611" s="45">
        <v>5.7021305</v>
      </c>
      <c r="R611" s="45">
        <v>1.1335356E-6</v>
      </c>
      <c r="S611" s="45">
        <v>3.5752850000000001E-3</v>
      </c>
      <c r="T611" s="45">
        <v>1.9151161E-2</v>
      </c>
      <c r="U611" s="45">
        <v>3.8023555000000001E-3</v>
      </c>
      <c r="V611" s="45">
        <v>2.0049337999999999</v>
      </c>
      <c r="W611" s="45">
        <v>0.12926487</v>
      </c>
      <c r="X611" s="45">
        <v>338.63108999999997</v>
      </c>
      <c r="Y611" s="45">
        <v>1.1891815999999999E-2</v>
      </c>
      <c r="Z611" s="45"/>
      <c r="AA611" s="45"/>
      <c r="AB611" s="45"/>
      <c r="AC611" s="45"/>
      <c r="AD611" s="45"/>
      <c r="AE611" s="45"/>
      <c r="AF611" s="45"/>
      <c r="AG611" s="45"/>
      <c r="AH611" s="45"/>
      <c r="AI611" s="45"/>
      <c r="AJ611" s="45"/>
      <c r="AK611" s="45"/>
      <c r="AL611" s="45"/>
      <c r="AM611" s="45"/>
      <c r="AN611" s="45"/>
      <c r="AO611" s="45"/>
      <c r="AP611" s="45"/>
      <c r="AQ611" s="45"/>
      <c r="AR611" s="45"/>
      <c r="AS611" s="45"/>
      <c r="AT611" s="45"/>
      <c r="AU611" s="45">
        <v>0</v>
      </c>
      <c r="AV611" s="45"/>
      <c r="AW611" s="45"/>
      <c r="AX611" s="45">
        <v>0</v>
      </c>
      <c r="AY611" s="45"/>
      <c r="AZ611" s="45"/>
      <c r="BA611" s="45"/>
      <c r="BB611" s="45">
        <v>0</v>
      </c>
      <c r="BC611" s="45">
        <v>0</v>
      </c>
      <c r="BD611" s="45">
        <v>0</v>
      </c>
      <c r="BE611" s="45">
        <v>0</v>
      </c>
      <c r="BF611" s="45"/>
      <c r="BG611" s="45"/>
      <c r="BH611" s="45"/>
      <c r="BI611" s="45"/>
      <c r="BJ611" s="45"/>
      <c r="BK611" s="78">
        <v>0</v>
      </c>
      <c r="BL611" s="45" t="s">
        <v>556</v>
      </c>
      <c r="BM611" s="45"/>
    </row>
    <row r="612" spans="1:65" x14ac:dyDescent="0.35">
      <c r="A612" s="45" t="str">
        <f>Database_Productkaarten[[#This Row],[Product]]&amp;", "&amp;Database_Productkaarten[[#This Row],[Levensfase]]</f>
        <v>SMA 8-11 Rood, A5</v>
      </c>
      <c r="B612" s="45" t="s">
        <v>558</v>
      </c>
      <c r="C612" s="41" t="s">
        <v>443</v>
      </c>
      <c r="D612" s="45" t="s">
        <v>554</v>
      </c>
      <c r="E612" s="45" t="s">
        <v>91</v>
      </c>
      <c r="F612" s="45" t="s">
        <v>23</v>
      </c>
      <c r="G612" s="45"/>
      <c r="H612" s="45"/>
      <c r="I612" s="45"/>
      <c r="J612" s="45"/>
      <c r="K612" s="45"/>
      <c r="L612" s="45">
        <v>2.35</v>
      </c>
      <c r="M612" s="54">
        <v>0.26142994000000003</v>
      </c>
      <c r="N612" s="45">
        <v>16</v>
      </c>
      <c r="O612" s="45">
        <v>6.4405276999999999E-7</v>
      </c>
      <c r="P612" s="45">
        <v>1.3221688000000001E-2</v>
      </c>
      <c r="Q612" s="45">
        <v>2.554217</v>
      </c>
      <c r="R612" s="45">
        <v>3.4623921999999999E-7</v>
      </c>
      <c r="S612" s="45">
        <v>9.5560771999999997E-4</v>
      </c>
      <c r="T612" s="45">
        <v>1.0774331999999999E-2</v>
      </c>
      <c r="U612" s="45">
        <v>2.4326081999999998E-3</v>
      </c>
      <c r="V612" s="45">
        <v>0.67890231999999995</v>
      </c>
      <c r="W612" s="45">
        <v>9.5891563000000003E-3</v>
      </c>
      <c r="X612" s="45">
        <v>32.339298999999997</v>
      </c>
      <c r="Y612" s="45">
        <v>1.1383995E-3</v>
      </c>
      <c r="Z612" s="45"/>
      <c r="AA612" s="45"/>
      <c r="AB612" s="45"/>
      <c r="AC612" s="45"/>
      <c r="AD612" s="45"/>
      <c r="AE612" s="45"/>
      <c r="AF612" s="45"/>
      <c r="AG612" s="45"/>
      <c r="AH612" s="45"/>
      <c r="AI612" s="45"/>
      <c r="AJ612" s="45"/>
      <c r="AK612" s="45"/>
      <c r="AL612" s="45"/>
      <c r="AM612" s="45"/>
      <c r="AN612" s="45"/>
      <c r="AO612" s="45"/>
      <c r="AP612" s="45"/>
      <c r="AQ612" s="45"/>
      <c r="AR612" s="45"/>
      <c r="AS612" s="45"/>
      <c r="AT612" s="45"/>
      <c r="AU612" s="45">
        <v>0.16170355</v>
      </c>
      <c r="AV612" s="45"/>
      <c r="AW612" s="45"/>
      <c r="AX612" s="45">
        <v>29.640834999999999</v>
      </c>
      <c r="AY612" s="45"/>
      <c r="AZ612" s="45"/>
      <c r="BA612" s="45"/>
      <c r="BB612" s="45">
        <v>3.6528305999999999E-3</v>
      </c>
      <c r="BC612" s="45">
        <v>1.2448785000000001E-5</v>
      </c>
      <c r="BD612" s="45">
        <v>2.9724645000000001E-2</v>
      </c>
      <c r="BE612" s="45">
        <v>1.9389087E-4</v>
      </c>
      <c r="BF612" s="45"/>
      <c r="BG612" s="45"/>
      <c r="BH612" s="45"/>
      <c r="BI612" s="45"/>
      <c r="BJ612" s="45"/>
      <c r="BK612" s="78">
        <v>0</v>
      </c>
      <c r="BL612" s="45" t="s">
        <v>556</v>
      </c>
      <c r="BM612" s="45"/>
    </row>
    <row r="613" spans="1:65" x14ac:dyDescent="0.35">
      <c r="A613" s="45" t="str">
        <f>Database_Productkaarten[[#This Row],[Product]]&amp;", "&amp;Database_Productkaarten[[#This Row],[Levensfase]]</f>
        <v>SMA 8-11 Rood, B1</v>
      </c>
      <c r="B613" s="45" t="s">
        <v>558</v>
      </c>
      <c r="C613" s="41" t="s">
        <v>443</v>
      </c>
      <c r="D613" s="45" t="s">
        <v>554</v>
      </c>
      <c r="E613" s="45" t="s">
        <v>91</v>
      </c>
      <c r="F613" s="45" t="s">
        <v>24</v>
      </c>
      <c r="G613" s="45"/>
      <c r="H613" s="45"/>
      <c r="I613" s="45"/>
      <c r="J613" s="45"/>
      <c r="K613" s="45"/>
      <c r="L613" s="45">
        <v>2.35</v>
      </c>
      <c r="M613" s="54">
        <v>0.17738230499999999</v>
      </c>
      <c r="N613" s="45">
        <v>16</v>
      </c>
      <c r="O613" s="45">
        <v>0</v>
      </c>
      <c r="P613" s="45">
        <v>0</v>
      </c>
      <c r="Q613" s="45">
        <v>0</v>
      </c>
      <c r="R613" s="45">
        <v>0</v>
      </c>
      <c r="S613" s="45">
        <v>0</v>
      </c>
      <c r="T613" s="45">
        <v>0</v>
      </c>
      <c r="U613" s="45">
        <v>0</v>
      </c>
      <c r="V613" s="45">
        <v>0.71456721000000001</v>
      </c>
      <c r="W613" s="45">
        <v>0.76606255499999998</v>
      </c>
      <c r="X613" s="45">
        <v>900.632205</v>
      </c>
      <c r="Y613" s="45">
        <v>4.3588450499999998E-4</v>
      </c>
      <c r="Z613" s="45"/>
      <c r="AA613" s="45"/>
      <c r="AB613" s="45"/>
      <c r="AC613" s="45"/>
      <c r="AD613" s="45"/>
      <c r="AE613" s="45"/>
      <c r="AF613" s="45"/>
      <c r="AG613" s="45"/>
      <c r="AH613" s="45"/>
      <c r="AI613" s="45"/>
      <c r="AJ613" s="45"/>
      <c r="AK613" s="45"/>
      <c r="AL613" s="45"/>
      <c r="AM613" s="45"/>
      <c r="AN613" s="45"/>
      <c r="AO613" s="45"/>
      <c r="AP613" s="45"/>
      <c r="AQ613" s="45"/>
      <c r="AR613" s="45"/>
      <c r="AS613" s="45"/>
      <c r="AT613" s="45"/>
      <c r="AU613" s="45">
        <v>0</v>
      </c>
      <c r="AV613" s="45"/>
      <c r="AW613" s="45"/>
      <c r="AX613" s="45">
        <v>0</v>
      </c>
      <c r="AY613" s="45"/>
      <c r="AZ613" s="45"/>
      <c r="BA613" s="45"/>
      <c r="BB613" s="45">
        <v>0</v>
      </c>
      <c r="BC613" s="45">
        <v>0</v>
      </c>
      <c r="BD613" s="45">
        <v>0</v>
      </c>
      <c r="BE613" s="45">
        <v>0</v>
      </c>
      <c r="BF613" s="45"/>
      <c r="BG613" s="45"/>
      <c r="BH613" s="45"/>
      <c r="BI613" s="45"/>
      <c r="BJ613" s="45"/>
      <c r="BK613" s="78">
        <v>0</v>
      </c>
      <c r="BL613" s="45" t="s">
        <v>556</v>
      </c>
      <c r="BM613" s="45"/>
    </row>
    <row r="614" spans="1:65" x14ac:dyDescent="0.35">
      <c r="A614" s="45" t="str">
        <f>Database_Productkaarten[[#This Row],[Product]]&amp;", "&amp;Database_Productkaarten[[#This Row],[Levensfase]]</f>
        <v>SMA 8-11 Rood, C1</v>
      </c>
      <c r="B614" s="45" t="s">
        <v>558</v>
      </c>
      <c r="C614" s="41" t="s">
        <v>443</v>
      </c>
      <c r="D614" s="45" t="s">
        <v>554</v>
      </c>
      <c r="E614" s="45" t="s">
        <v>91</v>
      </c>
      <c r="F614" s="45" t="s">
        <v>25</v>
      </c>
      <c r="G614" s="45"/>
      <c r="H614" s="45"/>
      <c r="I614" s="45"/>
      <c r="J614" s="45"/>
      <c r="K614" s="45"/>
      <c r="L614" s="45">
        <v>2.35</v>
      </c>
      <c r="M614" s="54">
        <v>0.13639726999999999</v>
      </c>
      <c r="N614" s="45">
        <v>16</v>
      </c>
      <c r="O614" s="45">
        <v>3.6644380999999999E-7</v>
      </c>
      <c r="P614" s="45">
        <v>7.5226846000000002E-3</v>
      </c>
      <c r="Q614" s="45">
        <v>1.4532613999999999</v>
      </c>
      <c r="R614" s="45">
        <v>1.9699817000000001E-7</v>
      </c>
      <c r="S614" s="45">
        <v>4.8171299999999999E-4</v>
      </c>
      <c r="T614" s="45">
        <v>4.2661764999999997E-3</v>
      </c>
      <c r="U614" s="45">
        <v>8.9941806E-4</v>
      </c>
      <c r="V614" s="45">
        <v>0.38176861000000001</v>
      </c>
      <c r="W614" s="45">
        <v>5.4558992000000002E-3</v>
      </c>
      <c r="X614" s="45">
        <v>18.399946</v>
      </c>
      <c r="Y614" s="45">
        <v>6.4771006999999995E-4</v>
      </c>
      <c r="Z614" s="45"/>
      <c r="AA614" s="45"/>
      <c r="AB614" s="45"/>
      <c r="AC614" s="45"/>
      <c r="AD614" s="45"/>
      <c r="AE614" s="45"/>
      <c r="AF614" s="45"/>
      <c r="AG614" s="45"/>
      <c r="AH614" s="45"/>
      <c r="AI614" s="45"/>
      <c r="AJ614" s="45"/>
      <c r="AK614" s="45"/>
      <c r="AL614" s="45"/>
      <c r="AM614" s="45"/>
      <c r="AN614" s="45"/>
      <c r="AO614" s="45"/>
      <c r="AP614" s="45"/>
      <c r="AQ614" s="45"/>
      <c r="AR614" s="45"/>
      <c r="AS614" s="45"/>
      <c r="AT614" s="45"/>
      <c r="AU614" s="45">
        <v>9.2003741E-2</v>
      </c>
      <c r="AV614" s="45"/>
      <c r="AW614" s="45"/>
      <c r="AX614" s="45">
        <v>16.864612999999999</v>
      </c>
      <c r="AY614" s="45"/>
      <c r="AZ614" s="45"/>
      <c r="BA614" s="45"/>
      <c r="BB614" s="45">
        <v>2.0783346E-3</v>
      </c>
      <c r="BC614" s="45">
        <v>7.0829294000000003E-6</v>
      </c>
      <c r="BD614" s="45">
        <v>1.6912297999999999E-2</v>
      </c>
      <c r="BE614" s="45">
        <v>1.1031722E-4</v>
      </c>
      <c r="BF614" s="45"/>
      <c r="BG614" s="45"/>
      <c r="BH614" s="45"/>
      <c r="BI614" s="45"/>
      <c r="BJ614" s="45"/>
      <c r="BK614" s="78">
        <v>0</v>
      </c>
      <c r="BL614" s="45" t="s">
        <v>556</v>
      </c>
      <c r="BM614" s="45"/>
    </row>
    <row r="615" spans="1:65" x14ac:dyDescent="0.35">
      <c r="A615" s="45" t="str">
        <f>Database_Productkaarten[[#This Row],[Product]]&amp;", "&amp;Database_Productkaarten[[#This Row],[Levensfase]]</f>
        <v>SMA 8-11 Rood, C2</v>
      </c>
      <c r="B615" s="45" t="s">
        <v>558</v>
      </c>
      <c r="C615" s="41" t="s">
        <v>443</v>
      </c>
      <c r="D615" s="45" t="s">
        <v>554</v>
      </c>
      <c r="E615" s="45" t="s">
        <v>91</v>
      </c>
      <c r="F615" s="45" t="s">
        <v>26</v>
      </c>
      <c r="G615" s="45"/>
      <c r="H615" s="45"/>
      <c r="I615" s="45"/>
      <c r="J615" s="45"/>
      <c r="K615" s="45"/>
      <c r="L615" s="45">
        <v>2.35</v>
      </c>
      <c r="M615" s="54">
        <v>0.62892669999999995</v>
      </c>
      <c r="N615" s="45">
        <v>16</v>
      </c>
      <c r="O615" s="45">
        <v>1.0978337000000001E-5</v>
      </c>
      <c r="P615" s="45">
        <v>4.3183727999999998E-2</v>
      </c>
      <c r="Q615" s="45">
        <v>5.7021305</v>
      </c>
      <c r="R615" s="45">
        <v>1.1335356E-6</v>
      </c>
      <c r="S615" s="45">
        <v>3.5752850000000001E-3</v>
      </c>
      <c r="T615" s="45">
        <v>1.9151161E-2</v>
      </c>
      <c r="U615" s="45">
        <v>3.8023555000000001E-3</v>
      </c>
      <c r="V615" s="45">
        <v>2.0049337999999999</v>
      </c>
      <c r="W615" s="45">
        <v>0.12926487</v>
      </c>
      <c r="X615" s="45">
        <v>338.63108999999997</v>
      </c>
      <c r="Y615" s="45">
        <v>1.1891815999999999E-2</v>
      </c>
      <c r="Z615" s="45"/>
      <c r="AA615" s="45"/>
      <c r="AB615" s="45"/>
      <c r="AC615" s="45"/>
      <c r="AD615" s="45"/>
      <c r="AE615" s="45"/>
      <c r="AF615" s="45"/>
      <c r="AG615" s="45"/>
      <c r="AH615" s="45"/>
      <c r="AI615" s="45"/>
      <c r="AJ615" s="45"/>
      <c r="AK615" s="45"/>
      <c r="AL615" s="45"/>
      <c r="AM615" s="45"/>
      <c r="AN615" s="45"/>
      <c r="AO615" s="45"/>
      <c r="AP615" s="45"/>
      <c r="AQ615" s="45"/>
      <c r="AR615" s="45"/>
      <c r="AS615" s="45"/>
      <c r="AT615" s="45"/>
      <c r="AU615" s="45">
        <v>0</v>
      </c>
      <c r="AV615" s="45"/>
      <c r="AW615" s="45"/>
      <c r="AX615" s="45">
        <v>0</v>
      </c>
      <c r="AY615" s="45"/>
      <c r="AZ615" s="45"/>
      <c r="BA615" s="45"/>
      <c r="BB615" s="45">
        <v>0</v>
      </c>
      <c r="BC615" s="45">
        <v>0</v>
      </c>
      <c r="BD615" s="45">
        <v>0</v>
      </c>
      <c r="BE615" s="45">
        <v>0</v>
      </c>
      <c r="BF615" s="45"/>
      <c r="BG615" s="45"/>
      <c r="BH615" s="45"/>
      <c r="BI615" s="45"/>
      <c r="BJ615" s="45"/>
      <c r="BK615" s="78">
        <v>0</v>
      </c>
      <c r="BL615" s="45" t="s">
        <v>556</v>
      </c>
      <c r="BM615" s="45"/>
    </row>
    <row r="616" spans="1:65" x14ac:dyDescent="0.35">
      <c r="A616" s="45" t="str">
        <f>Database_Productkaarten[[#This Row],[Product]]&amp;", "&amp;Database_Productkaarten[[#This Row],[Levensfase]]</f>
        <v>SMA 8-11 Rood, C3</v>
      </c>
      <c r="B616" s="45" t="s">
        <v>558</v>
      </c>
      <c r="C616" s="41" t="s">
        <v>443</v>
      </c>
      <c r="D616" s="45" t="s">
        <v>554</v>
      </c>
      <c r="E616" s="45" t="s">
        <v>91</v>
      </c>
      <c r="F616" s="45" t="s">
        <v>27</v>
      </c>
      <c r="G616" s="45"/>
      <c r="H616" s="45"/>
      <c r="I616" s="45"/>
      <c r="J616" s="45"/>
      <c r="K616" s="45"/>
      <c r="L616" s="45">
        <v>2.35</v>
      </c>
      <c r="M616" s="54">
        <v>0.16120214999999999</v>
      </c>
      <c r="N616" s="45">
        <v>16</v>
      </c>
      <c r="O616" s="45">
        <v>4.1291555000000003E-7</v>
      </c>
      <c r="P616" s="45">
        <v>8.4766977000000007E-3</v>
      </c>
      <c r="Q616" s="45">
        <v>1.6375614000000001</v>
      </c>
      <c r="R616" s="45">
        <v>2.2198113E-7</v>
      </c>
      <c r="S616" s="45">
        <v>5.9777666999999998E-4</v>
      </c>
      <c r="T616" s="45">
        <v>5.9352911999999997E-3</v>
      </c>
      <c r="U616" s="45">
        <v>1.3067828999999999E-3</v>
      </c>
      <c r="V616" s="45">
        <v>0.43290835999999999</v>
      </c>
      <c r="W616" s="45">
        <v>6.1478065000000002E-3</v>
      </c>
      <c r="X616" s="45">
        <v>20.733394000000001</v>
      </c>
      <c r="Y616" s="45">
        <v>7.2985148000000004E-4</v>
      </c>
      <c r="Z616" s="45"/>
      <c r="AA616" s="45"/>
      <c r="AB616" s="45"/>
      <c r="AC616" s="45"/>
      <c r="AD616" s="45"/>
      <c r="AE616" s="45"/>
      <c r="AF616" s="45"/>
      <c r="AG616" s="45"/>
      <c r="AH616" s="45"/>
      <c r="AI616" s="45"/>
      <c r="AJ616" s="45"/>
      <c r="AK616" s="45"/>
      <c r="AL616" s="45"/>
      <c r="AM616" s="45"/>
      <c r="AN616" s="45"/>
      <c r="AO616" s="45"/>
      <c r="AP616" s="45"/>
      <c r="AQ616" s="45"/>
      <c r="AR616" s="45"/>
      <c r="AS616" s="45"/>
      <c r="AT616" s="45"/>
      <c r="AU616" s="45">
        <v>0.10367149000000001</v>
      </c>
      <c r="AV616" s="45"/>
      <c r="AW616" s="45"/>
      <c r="AX616" s="45">
        <v>19.003353000000001</v>
      </c>
      <c r="AY616" s="45"/>
      <c r="AZ616" s="45"/>
      <c r="BA616" s="45"/>
      <c r="BB616" s="45">
        <v>2.3419052000000001E-3</v>
      </c>
      <c r="BC616" s="45">
        <v>7.9811735999999999E-6</v>
      </c>
      <c r="BD616" s="45">
        <v>1.9057085000000001E-2</v>
      </c>
      <c r="BE616" s="45">
        <v>1.2430745000000001E-4</v>
      </c>
      <c r="BF616" s="45"/>
      <c r="BG616" s="45"/>
      <c r="BH616" s="45"/>
      <c r="BI616" s="45"/>
      <c r="BJ616" s="45"/>
      <c r="BK616" s="78">
        <v>0</v>
      </c>
      <c r="BL616" s="45" t="s">
        <v>556</v>
      </c>
      <c r="BM616" s="45"/>
    </row>
    <row r="617" spans="1:65" x14ac:dyDescent="0.35">
      <c r="A617" s="45" t="str">
        <f>Database_Productkaarten[[#This Row],[Product]]&amp;", "&amp;Database_Productkaarten[[#This Row],[Levensfase]]</f>
        <v>SMA 8-11 Rood, D1</v>
      </c>
      <c r="B617" s="45" t="s">
        <v>558</v>
      </c>
      <c r="C617" s="41" t="s">
        <v>443</v>
      </c>
      <c r="D617" s="45" t="s">
        <v>554</v>
      </c>
      <c r="E617" s="45" t="s">
        <v>91</v>
      </c>
      <c r="F617" s="45" t="s">
        <v>51</v>
      </c>
      <c r="G617" s="45"/>
      <c r="H617" s="45"/>
      <c r="I617" s="45"/>
      <c r="J617" s="45"/>
      <c r="K617" s="45"/>
      <c r="L617" s="45">
        <v>2.35</v>
      </c>
      <c r="M617" s="54">
        <v>-4.3817123265254798</v>
      </c>
      <c r="N617" s="45">
        <v>16</v>
      </c>
      <c r="O617" s="45">
        <v>-5.1048255323199997E-5</v>
      </c>
      <c r="P617" s="45">
        <v>-0.80617084251509985</v>
      </c>
      <c r="Q617" s="45">
        <v>-32.122321411378074</v>
      </c>
      <c r="R617" s="45">
        <v>-2.69695287011E-6</v>
      </c>
      <c r="S617" s="45">
        <v>-8.692507497639998E-2</v>
      </c>
      <c r="T617" s="45">
        <v>-0.23261877696141997</v>
      </c>
      <c r="U617" s="45">
        <v>-2.1201775043519999E-2</v>
      </c>
      <c r="V617" s="45">
        <v>-8.353246859814039</v>
      </c>
      <c r="W617" s="45">
        <v>-1.2609720491412999</v>
      </c>
      <c r="X617" s="45">
        <v>-5520.6604356928601</v>
      </c>
      <c r="Y617" s="45">
        <v>-0.16143045076449999</v>
      </c>
      <c r="Z617" s="45"/>
      <c r="AA617" s="45"/>
      <c r="AB617" s="45"/>
      <c r="AC617" s="45"/>
      <c r="AD617" s="45"/>
      <c r="AE617" s="45"/>
      <c r="AF617" s="45"/>
      <c r="AG617" s="45"/>
      <c r="AH617" s="45"/>
      <c r="AI617" s="45"/>
      <c r="AJ617" s="45"/>
      <c r="AK617" s="45"/>
      <c r="AL617" s="45"/>
      <c r="AM617" s="45"/>
      <c r="AN617" s="45"/>
      <c r="AO617" s="45"/>
      <c r="AP617" s="45"/>
      <c r="AQ617" s="45"/>
      <c r="AR617" s="45"/>
      <c r="AS617" s="45"/>
      <c r="AT617" s="45"/>
      <c r="AU617" s="45">
        <v>-11.83821820720188</v>
      </c>
      <c r="AV617" s="45"/>
      <c r="AW617" s="45"/>
      <c r="AX617" s="45">
        <v>-1823.6523511269206</v>
      </c>
      <c r="AY617" s="45"/>
      <c r="AZ617" s="45"/>
      <c r="BA617" s="45"/>
      <c r="BB617" s="45">
        <v>-19.440585285810016</v>
      </c>
      <c r="BC617" s="45">
        <v>-6.2314055375699989E-4</v>
      </c>
      <c r="BD617" s="45">
        <v>-1.79768618192736</v>
      </c>
      <c r="BE617" s="45">
        <v>-7.1383789006200006E-4</v>
      </c>
      <c r="BF617" s="45"/>
      <c r="BG617" s="45"/>
      <c r="BH617" s="45"/>
      <c r="BI617" s="45"/>
      <c r="BJ617" s="45"/>
      <c r="BK617" s="78">
        <v>0</v>
      </c>
      <c r="BL617" s="45" t="s">
        <v>556</v>
      </c>
      <c r="BM617" s="45"/>
    </row>
    <row r="618" spans="1:65" x14ac:dyDescent="0.35">
      <c r="A618" s="45" t="str">
        <f>Database_Productkaarten[[#This Row],[Product]]&amp;", "&amp;Database_Productkaarten[[#This Row],[Levensfase]]</f>
        <v>SMA 8-11 Rood, D2</v>
      </c>
      <c r="B618" s="45" t="s">
        <v>558</v>
      </c>
      <c r="C618" s="41" t="s">
        <v>443</v>
      </c>
      <c r="D618" s="45" t="s">
        <v>554</v>
      </c>
      <c r="E618" s="45" t="s">
        <v>91</v>
      </c>
      <c r="F618" s="45" t="s">
        <v>52</v>
      </c>
      <c r="G618" s="45"/>
      <c r="H618" s="45"/>
      <c r="I618" s="45"/>
      <c r="J618" s="45"/>
      <c r="K618" s="45"/>
      <c r="L618" s="45">
        <v>2.35</v>
      </c>
      <c r="M618" s="54">
        <v>-1.4738686768053453</v>
      </c>
      <c r="N618" s="45">
        <v>16</v>
      </c>
      <c r="O618" s="45">
        <v>-8.5779006337041975E-6</v>
      </c>
      <c r="P618" s="45">
        <v>-6.2223378785220052E-2</v>
      </c>
      <c r="Q618" s="45">
        <v>-8.9215564642953851</v>
      </c>
      <c r="R618" s="45">
        <v>-1.4744683458342524E-6</v>
      </c>
      <c r="S618" s="45">
        <v>-7.7949216631412925E-3</v>
      </c>
      <c r="T618" s="45">
        <v>-0.12756687523500299</v>
      </c>
      <c r="U618" s="45">
        <v>-1.4134253957177394E-2</v>
      </c>
      <c r="V618" s="45">
        <v>-3.6589840581751845</v>
      </c>
      <c r="W618" s="45">
        <v>-7.7850861086559683E-2</v>
      </c>
      <c r="X618" s="45">
        <v>-323.29842641699315</v>
      </c>
      <c r="Y618" s="45">
        <v>-1.2445008963296932E-2</v>
      </c>
      <c r="Z618" s="45"/>
      <c r="AA618" s="45"/>
      <c r="AB618" s="45"/>
      <c r="AC618" s="45"/>
      <c r="AD618" s="45"/>
      <c r="AE618" s="45"/>
      <c r="AF618" s="45"/>
      <c r="AG618" s="45"/>
      <c r="AH618" s="45"/>
      <c r="AI618" s="45"/>
      <c r="AJ618" s="45"/>
      <c r="AK618" s="45"/>
      <c r="AL618" s="45"/>
      <c r="AM618" s="45"/>
      <c r="AN618" s="45"/>
      <c r="AO618" s="45"/>
      <c r="AP618" s="45"/>
      <c r="AQ618" s="45"/>
      <c r="AR618" s="45"/>
      <c r="AS618" s="45"/>
      <c r="AT618" s="45"/>
      <c r="AU618" s="45">
        <v>-2.5150873038174693</v>
      </c>
      <c r="AV618" s="45"/>
      <c r="AW618" s="45"/>
      <c r="AX618" s="45">
        <v>-137.8798618914945</v>
      </c>
      <c r="AY618" s="45"/>
      <c r="AZ618" s="45"/>
      <c r="BA618" s="45"/>
      <c r="BB618" s="45">
        <v>-2.5309204118872251E-2</v>
      </c>
      <c r="BC618" s="45">
        <v>-8.206404315825989E-5</v>
      </c>
      <c r="BD618" s="45">
        <v>-2.3700396175182457</v>
      </c>
      <c r="BE618" s="45">
        <v>-8.5658851717812685E-4</v>
      </c>
      <c r="BF618" s="45"/>
      <c r="BG618" s="45"/>
      <c r="BH618" s="45"/>
      <c r="BI618" s="45"/>
      <c r="BJ618" s="45"/>
      <c r="BK618" s="78">
        <v>0</v>
      </c>
      <c r="BL618" s="45" t="s">
        <v>556</v>
      </c>
      <c r="BM618" s="45"/>
    </row>
    <row r="619" spans="1:65" x14ac:dyDescent="0.35">
      <c r="A619" s="45" t="str">
        <f>Database_Productkaarten[[#This Row],[Product]]&amp;", "&amp;Database_Productkaarten[[#This Row],[Levensfase]]</f>
        <v>Kleeflaag, Totaal</v>
      </c>
      <c r="B619" s="45" t="s">
        <v>546</v>
      </c>
      <c r="C619" s="41" t="s">
        <v>443</v>
      </c>
      <c r="D619" s="45" t="s">
        <v>546</v>
      </c>
      <c r="E619" s="45" t="s">
        <v>539</v>
      </c>
      <c r="F619" s="45" t="s">
        <v>16</v>
      </c>
      <c r="G619" s="45"/>
      <c r="H619" s="45"/>
      <c r="I619" s="45"/>
      <c r="J619" s="45"/>
      <c r="K619" s="45"/>
      <c r="L619" s="45">
        <v>2.9999999999999997E-4</v>
      </c>
      <c r="M619" s="54">
        <f>SUM(M620:M631)</f>
        <v>5.7342190759044065E-2</v>
      </c>
      <c r="N619" s="45">
        <v>45</v>
      </c>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c r="AO619" s="45"/>
      <c r="AP619" s="45"/>
      <c r="AQ619" s="45"/>
      <c r="AR619" s="45"/>
      <c r="AS619" s="45"/>
      <c r="AT619" s="45"/>
      <c r="AU619" s="45"/>
      <c r="AV619" s="45"/>
      <c r="AW619" s="45"/>
      <c r="AX619" s="45"/>
      <c r="AY619" s="45"/>
      <c r="AZ619" s="45"/>
      <c r="BA619" s="45"/>
      <c r="BB619" s="45"/>
      <c r="BC619" s="45"/>
      <c r="BD619" s="45"/>
      <c r="BE619" s="45"/>
      <c r="BF619" s="45"/>
      <c r="BG619" s="45"/>
      <c r="BH619" s="45"/>
      <c r="BI619" s="45"/>
      <c r="BJ619" s="45"/>
      <c r="BK619" s="78">
        <v>0</v>
      </c>
      <c r="BL619" s="45" t="s">
        <v>559</v>
      </c>
      <c r="BM619" s="45"/>
    </row>
    <row r="620" spans="1:65" x14ac:dyDescent="0.35">
      <c r="A620" s="45" t="str">
        <f>Database_Productkaarten[[#This Row],[Product]]&amp;", "&amp;Database_Productkaarten[[#This Row],[Levensfase]]</f>
        <v>Kleeflaag, A1</v>
      </c>
      <c r="B620" s="45" t="s">
        <v>546</v>
      </c>
      <c r="C620" s="41" t="s">
        <v>443</v>
      </c>
      <c r="D620" s="45" t="s">
        <v>546</v>
      </c>
      <c r="E620" s="45" t="s">
        <v>539</v>
      </c>
      <c r="F620" s="45" t="s">
        <v>19</v>
      </c>
      <c r="G620" s="45"/>
      <c r="H620" s="45"/>
      <c r="I620" s="45"/>
      <c r="J620" s="45"/>
      <c r="K620" s="45"/>
      <c r="L620" s="45">
        <v>2.9999999999999997E-4</v>
      </c>
      <c r="M620" s="54">
        <v>5.4899999999999997E-2</v>
      </c>
      <c r="N620" s="45">
        <v>45</v>
      </c>
      <c r="O620" s="216">
        <v>3.3299999999999999E-6</v>
      </c>
      <c r="P620" s="210">
        <v>6.0000000000000001E-3</v>
      </c>
      <c r="Q620" s="210">
        <v>0.26889999999999997</v>
      </c>
      <c r="R620" s="216">
        <v>1.2989999999999999E-7</v>
      </c>
      <c r="S620" s="216">
        <v>3.7940000000000001E-4</v>
      </c>
      <c r="T620" s="210">
        <v>1.6999999999999999E-3</v>
      </c>
      <c r="U620" s="216">
        <v>2.6370000000000001E-4</v>
      </c>
      <c r="V620" s="210">
        <v>0.17699999999999999</v>
      </c>
      <c r="W620" s="210">
        <v>4.4000000000000003E-3</v>
      </c>
      <c r="X620" s="211">
        <v>16.0228</v>
      </c>
      <c r="Y620" s="216">
        <v>5.6130000000000004E-4</v>
      </c>
      <c r="Z620" s="216"/>
      <c r="AA620" s="216"/>
      <c r="AB620" s="216"/>
      <c r="AC620" s="216"/>
      <c r="AD620" s="216"/>
      <c r="AE620" s="216"/>
      <c r="AF620" s="216"/>
      <c r="AG620" s="216"/>
      <c r="AH620" s="216"/>
      <c r="AI620" s="216"/>
      <c r="AJ620" s="216"/>
      <c r="AK620" s="216"/>
      <c r="AL620" s="216"/>
      <c r="AM620" s="216"/>
      <c r="AN620" s="216"/>
      <c r="AO620" s="216"/>
      <c r="AP620" s="216"/>
      <c r="AQ620" s="216"/>
      <c r="AR620" s="216"/>
      <c r="AS620" s="216"/>
      <c r="AT620" s="216"/>
      <c r="AU620" s="212"/>
      <c r="AV620" s="212"/>
      <c r="AW620" s="212"/>
      <c r="AX620" s="212"/>
      <c r="AY620" s="212"/>
      <c r="AZ620" s="212"/>
      <c r="BA620" s="212"/>
      <c r="BB620" s="212"/>
      <c r="BC620" s="212"/>
      <c r="BD620" s="212"/>
      <c r="BE620" s="212"/>
      <c r="BF620" s="212"/>
      <c r="BG620" s="212"/>
      <c r="BH620" s="212"/>
      <c r="BI620" s="212"/>
      <c r="BJ620" s="212"/>
      <c r="BK620" s="78">
        <v>0</v>
      </c>
      <c r="BL620" s="45" t="s">
        <v>559</v>
      </c>
      <c r="BM620" s="45"/>
    </row>
    <row r="621" spans="1:65" x14ac:dyDescent="0.35">
      <c r="A621" s="45" t="str">
        <f>Database_Productkaarten[[#This Row],[Product]]&amp;", "&amp;Database_Productkaarten[[#This Row],[Levensfase]]</f>
        <v>Kleeflaag, A2</v>
      </c>
      <c r="B621" s="45" t="s">
        <v>546</v>
      </c>
      <c r="C621" s="41" t="s">
        <v>443</v>
      </c>
      <c r="D621" s="45" t="s">
        <v>546</v>
      </c>
      <c r="E621" s="45" t="s">
        <v>539</v>
      </c>
      <c r="F621" s="45" t="s">
        <v>20</v>
      </c>
      <c r="G621" s="45"/>
      <c r="H621" s="45"/>
      <c r="I621" s="45"/>
      <c r="J621" s="45"/>
      <c r="K621" s="45"/>
      <c r="L621" s="45">
        <v>2.9999999999999997E-4</v>
      </c>
      <c r="M621" s="54">
        <f>M863*Database_Productkaarten[[#This Row],[Soortelijk Gewicht '[ton / m3']]]</f>
        <v>1.4219075904407398E-4</v>
      </c>
      <c r="N621" s="45">
        <v>45</v>
      </c>
      <c r="O621" s="55">
        <f>O863*Database_Productkaarten[[#This Row],[Soortelijk Gewicht '[ton / m3']]]</f>
        <v>2.4324676499999996E-9</v>
      </c>
      <c r="P621" s="55">
        <f>P863*Database_Productkaarten[[#This Row],[Soortelijk Gewicht '[ton / m3']]]</f>
        <v>9.5912347499999973E-6</v>
      </c>
      <c r="Q621" s="55">
        <f>Q863*Database_Productkaarten[[#This Row],[Soortelijk Gewicht '[ton / m3']]]</f>
        <v>1.2673168349999998E-3</v>
      </c>
      <c r="R621" s="55">
        <f>R863*Database_Productkaarten[[#This Row],[Soortelijk Gewicht '[ton / m3']]]</f>
        <v>2.5195507499999996E-10</v>
      </c>
      <c r="S621" s="55">
        <f>S863*Database_Productkaarten[[#This Row],[Soortelijk Gewicht '[ton / m3']]]</f>
        <v>7.9984018499999992E-7</v>
      </c>
      <c r="T621" s="55">
        <f>T863*Database_Productkaarten[[#This Row],[Soortelijk Gewicht '[ton / m3']]]</f>
        <v>4.6220252999999998E-6</v>
      </c>
      <c r="U621" s="55">
        <f>U863*Database_Productkaarten[[#This Row],[Soortelijk Gewicht '[ton / m3']]]</f>
        <v>9.4136338499999995E-7</v>
      </c>
      <c r="V621" s="55">
        <f>V863*Database_Productkaarten[[#This Row],[Soortelijk Gewicht '[ton / m3']]]</f>
        <v>4.4630659499999995E-4</v>
      </c>
      <c r="W621" s="55">
        <f>W863*Database_Productkaarten[[#This Row],[Soortelijk Gewicht '[ton / m3']]]</f>
        <v>2.8781852999999994E-5</v>
      </c>
      <c r="X621" s="55">
        <f>X863*Database_Productkaarten[[#This Row],[Soortelijk Gewicht '[ton / m3']]]</f>
        <v>7.5325681499999991E-2</v>
      </c>
      <c r="Y621" s="55">
        <f>Y863*Database_Productkaarten[[#This Row],[Soortelijk Gewicht '[ton / m3']]]</f>
        <v>2.6450427E-6</v>
      </c>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f>AU863*Database_Productkaarten[[#This Row],[Soortelijk Gewicht '[ton / m3']]]</f>
        <v>3.4266721499999996E-4</v>
      </c>
      <c r="AV621" s="55"/>
      <c r="AW621" s="55"/>
      <c r="AX621" s="55">
        <f>AX863*Database_Productkaarten[[#This Row],[Soortelijk Gewicht '[ton / m3']]]</f>
        <v>2.1910091999999999E-2</v>
      </c>
      <c r="AY621" s="55"/>
      <c r="AZ621" s="55"/>
      <c r="BA621" s="55"/>
      <c r="BB621" s="55">
        <f>BB863*Database_Productkaarten[[#This Row],[Soortelijk Gewicht '[ton / m3']]]</f>
        <v>4.4479147499999989E-6</v>
      </c>
      <c r="BC621" s="55">
        <f>BC863*Database_Productkaarten[[#This Row],[Soortelijk Gewicht '[ton / m3']]]</f>
        <v>1.5521503499999997E-7</v>
      </c>
      <c r="BD621" s="55">
        <f>BD863*Database_Productkaarten[[#This Row],[Soortelijk Gewicht '[ton / m3']]]</f>
        <v>1.8092590499999997E-3</v>
      </c>
      <c r="BE621" s="55">
        <f>BE863*Database_Productkaarten[[#This Row],[Soortelijk Gewicht '[ton / m3']]]</f>
        <v>0</v>
      </c>
      <c r="BF621" s="55"/>
      <c r="BG621" s="55"/>
      <c r="BH621" s="55"/>
      <c r="BI621" s="55"/>
      <c r="BJ621" s="55"/>
      <c r="BK621" s="78">
        <v>0</v>
      </c>
      <c r="BL621" s="45" t="s">
        <v>559</v>
      </c>
      <c r="BM621" s="45"/>
    </row>
    <row r="622" spans="1:65" ht="28" x14ac:dyDescent="0.35">
      <c r="A622" s="45" t="str">
        <f>Database_Productkaarten[[#This Row],[Product]]&amp;", "&amp;Database_Productkaarten[[#This Row],[Levensfase]]</f>
        <v>Kleeflaag, A3</v>
      </c>
      <c r="B622" s="45" t="s">
        <v>546</v>
      </c>
      <c r="C622" s="41" t="s">
        <v>443</v>
      </c>
      <c r="D622" s="45" t="s">
        <v>546</v>
      </c>
      <c r="E622" s="45" t="s">
        <v>539</v>
      </c>
      <c r="F622" s="45" t="s">
        <v>21</v>
      </c>
      <c r="G622" s="45"/>
      <c r="H622" s="45"/>
      <c r="I622" s="45"/>
      <c r="J622" s="45"/>
      <c r="K622" s="45"/>
      <c r="L622" s="45">
        <v>2.9999999999999997E-4</v>
      </c>
      <c r="M622" s="54">
        <v>2.3E-3</v>
      </c>
      <c r="N622" s="45">
        <v>45</v>
      </c>
      <c r="O622" s="216">
        <v>9.1160000000000001E-5</v>
      </c>
      <c r="P622" s="210">
        <v>1.32E-2</v>
      </c>
      <c r="Q622" s="216">
        <v>2.3859999999999998E-9</v>
      </c>
      <c r="R622" s="216">
        <v>1.3339999999999999E-5</v>
      </c>
      <c r="S622" s="210" t="s">
        <v>560</v>
      </c>
      <c r="T622" s="210" t="s">
        <v>561</v>
      </c>
      <c r="U622" s="210">
        <v>4.7000000000000002E-3</v>
      </c>
      <c r="V622" s="210" t="s">
        <v>562</v>
      </c>
      <c r="W622" s="210">
        <v>0.223</v>
      </c>
      <c r="X622" s="210" t="s">
        <v>563</v>
      </c>
      <c r="Y622" s="45"/>
      <c r="Z622" s="45"/>
      <c r="AA622" s="45"/>
      <c r="AB622" s="45"/>
      <c r="AC622" s="45"/>
      <c r="AD622" s="45"/>
      <c r="AE622" s="45"/>
      <c r="AF622" s="45"/>
      <c r="AG622" s="45"/>
      <c r="AH622" s="45"/>
      <c r="AI622" s="45"/>
      <c r="AJ622" s="45"/>
      <c r="AK622" s="45"/>
      <c r="AL622" s="45"/>
      <c r="AM622" s="45"/>
      <c r="AN622" s="45"/>
      <c r="AO622" s="45"/>
      <c r="AP622" s="45"/>
      <c r="AQ622" s="45"/>
      <c r="AR622" s="45"/>
      <c r="AS622" s="45"/>
      <c r="AT622" s="45"/>
      <c r="AU622" s="212"/>
      <c r="AV622" s="212"/>
      <c r="AW622" s="212"/>
      <c r="AX622" s="212"/>
      <c r="AY622" s="212"/>
      <c r="AZ622" s="212"/>
      <c r="BA622" s="212"/>
      <c r="BB622" s="212"/>
      <c r="BC622" s="212"/>
      <c r="BD622" s="212"/>
      <c r="BE622" s="212"/>
      <c r="BF622" s="212"/>
      <c r="BG622" s="212"/>
      <c r="BH622" s="212"/>
      <c r="BI622" s="212"/>
      <c r="BJ622" s="212"/>
      <c r="BK622" s="78">
        <v>0</v>
      </c>
      <c r="BL622" s="45" t="s">
        <v>559</v>
      </c>
      <c r="BM622" s="45"/>
    </row>
    <row r="623" spans="1:65" x14ac:dyDescent="0.35">
      <c r="A623" s="45" t="str">
        <f>Database_Productkaarten[[#This Row],[Product]]&amp;", "&amp;Database_Productkaarten[[#This Row],[Levensfase]]</f>
        <v>Kleeflaag, A4</v>
      </c>
      <c r="B623" s="45" t="s">
        <v>546</v>
      </c>
      <c r="C623" s="41" t="s">
        <v>443</v>
      </c>
      <c r="D623" s="45" t="s">
        <v>546</v>
      </c>
      <c r="E623" s="45" t="s">
        <v>539</v>
      </c>
      <c r="F623" s="45" t="s">
        <v>22</v>
      </c>
      <c r="G623" s="45"/>
      <c r="H623" s="45"/>
      <c r="I623" s="45"/>
      <c r="J623" s="45"/>
      <c r="K623" s="45"/>
      <c r="L623" s="45">
        <v>2.9999999999999997E-4</v>
      </c>
      <c r="M623" s="54"/>
      <c r="N623" s="45">
        <v>45</v>
      </c>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c r="AO623" s="45"/>
      <c r="AP623" s="45"/>
      <c r="AQ623" s="45"/>
      <c r="AR623" s="45"/>
      <c r="AS623" s="45"/>
      <c r="AT623" s="45"/>
      <c r="AU623" s="45"/>
      <c r="AV623" s="45"/>
      <c r="AW623" s="45"/>
      <c r="AX623" s="45"/>
      <c r="AY623" s="45"/>
      <c r="AZ623" s="45"/>
      <c r="BA623" s="45"/>
      <c r="BB623" s="45"/>
      <c r="BC623" s="45"/>
      <c r="BD623" s="45"/>
      <c r="BE623" s="45"/>
      <c r="BF623" s="45"/>
      <c r="BG623" s="45"/>
      <c r="BH623" s="45"/>
      <c r="BI623" s="45"/>
      <c r="BJ623" s="45"/>
      <c r="BK623" s="78">
        <v>0</v>
      </c>
      <c r="BL623" s="45" t="s">
        <v>559</v>
      </c>
      <c r="BM623" s="45"/>
    </row>
    <row r="624" spans="1:65" x14ac:dyDescent="0.35">
      <c r="A624" s="45" t="str">
        <f>Database_Productkaarten[[#This Row],[Product]]&amp;", "&amp;Database_Productkaarten[[#This Row],[Levensfase]]</f>
        <v>Kleeflaag, A5</v>
      </c>
      <c r="B624" s="45" t="s">
        <v>546</v>
      </c>
      <c r="C624" s="41" t="s">
        <v>443</v>
      </c>
      <c r="D624" s="45" t="s">
        <v>546</v>
      </c>
      <c r="E624" s="45" t="s">
        <v>539</v>
      </c>
      <c r="F624" s="45" t="s">
        <v>23</v>
      </c>
      <c r="G624" s="45"/>
      <c r="H624" s="45"/>
      <c r="I624" s="45"/>
      <c r="J624" s="45"/>
      <c r="K624" s="45"/>
      <c r="L624" s="45">
        <v>2.9999999999999997E-4</v>
      </c>
      <c r="M624" s="54"/>
      <c r="N624" s="45">
        <v>45</v>
      </c>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c r="AO624" s="45"/>
      <c r="AP624" s="45"/>
      <c r="AQ624" s="45"/>
      <c r="AR624" s="45"/>
      <c r="AS624" s="45"/>
      <c r="AT624" s="45"/>
      <c r="AU624" s="45"/>
      <c r="AV624" s="45"/>
      <c r="AW624" s="45"/>
      <c r="AX624" s="45"/>
      <c r="AY624" s="45"/>
      <c r="AZ624" s="45"/>
      <c r="BA624" s="45"/>
      <c r="BB624" s="45"/>
      <c r="BC624" s="45"/>
      <c r="BD624" s="45"/>
      <c r="BE624" s="45"/>
      <c r="BF624" s="45"/>
      <c r="BG624" s="45"/>
      <c r="BH624" s="45"/>
      <c r="BI624" s="45"/>
      <c r="BJ624" s="45"/>
      <c r="BK624" s="78">
        <v>0</v>
      </c>
      <c r="BL624" s="45" t="s">
        <v>559</v>
      </c>
      <c r="BM624" s="45"/>
    </row>
    <row r="625" spans="1:65" x14ac:dyDescent="0.35">
      <c r="A625" s="45" t="str">
        <f>Database_Productkaarten[[#This Row],[Product]]&amp;", "&amp;Database_Productkaarten[[#This Row],[Levensfase]]</f>
        <v>Kleeflaag, B1</v>
      </c>
      <c r="B625" s="45" t="s">
        <v>546</v>
      </c>
      <c r="C625" s="41" t="s">
        <v>443</v>
      </c>
      <c r="D625" s="45" t="s">
        <v>546</v>
      </c>
      <c r="E625" s="45" t="s">
        <v>539</v>
      </c>
      <c r="F625" s="45" t="s">
        <v>24</v>
      </c>
      <c r="G625" s="45"/>
      <c r="H625" s="45"/>
      <c r="I625" s="45"/>
      <c r="J625" s="45"/>
      <c r="K625" s="45"/>
      <c r="L625" s="45">
        <v>2.9999999999999997E-4</v>
      </c>
      <c r="M625" s="54"/>
      <c r="N625" s="45">
        <v>45</v>
      </c>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c r="AO625" s="45"/>
      <c r="AP625" s="45"/>
      <c r="AQ625" s="45"/>
      <c r="AR625" s="45"/>
      <c r="AS625" s="45"/>
      <c r="AT625" s="45"/>
      <c r="AU625" s="45"/>
      <c r="AV625" s="45"/>
      <c r="AW625" s="45"/>
      <c r="AX625" s="45"/>
      <c r="AY625" s="45"/>
      <c r="AZ625" s="45"/>
      <c r="BA625" s="45"/>
      <c r="BB625" s="45"/>
      <c r="BC625" s="45"/>
      <c r="BD625" s="45"/>
      <c r="BE625" s="45"/>
      <c r="BF625" s="45"/>
      <c r="BG625" s="45"/>
      <c r="BH625" s="45"/>
      <c r="BI625" s="45"/>
      <c r="BJ625" s="45"/>
      <c r="BK625" s="78">
        <v>0</v>
      </c>
      <c r="BL625" s="45" t="s">
        <v>559</v>
      </c>
      <c r="BM625" s="45"/>
    </row>
    <row r="626" spans="1:65" x14ac:dyDescent="0.35">
      <c r="A626" s="45" t="str">
        <f>Database_Productkaarten[[#This Row],[Product]]&amp;", "&amp;Database_Productkaarten[[#This Row],[Levensfase]]</f>
        <v>Kleeflaag, C1</v>
      </c>
      <c r="B626" s="45" t="s">
        <v>546</v>
      </c>
      <c r="C626" s="41" t="s">
        <v>443</v>
      </c>
      <c r="D626" s="45" t="s">
        <v>546</v>
      </c>
      <c r="E626" s="45" t="s">
        <v>539</v>
      </c>
      <c r="F626" s="45" t="s">
        <v>25</v>
      </c>
      <c r="G626" s="45"/>
      <c r="H626" s="45"/>
      <c r="I626" s="45"/>
      <c r="J626" s="45"/>
      <c r="K626" s="45"/>
      <c r="L626" s="45">
        <v>2.9999999999999997E-4</v>
      </c>
      <c r="M626" s="54"/>
      <c r="N626" s="45">
        <v>45</v>
      </c>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c r="AO626" s="45"/>
      <c r="AP626" s="45"/>
      <c r="AQ626" s="45"/>
      <c r="AR626" s="45"/>
      <c r="AS626" s="45"/>
      <c r="AT626" s="45"/>
      <c r="AU626" s="45"/>
      <c r="AV626" s="45"/>
      <c r="AW626" s="45"/>
      <c r="AX626" s="45"/>
      <c r="AY626" s="45"/>
      <c r="AZ626" s="45"/>
      <c r="BA626" s="45"/>
      <c r="BB626" s="45"/>
      <c r="BC626" s="45"/>
      <c r="BD626" s="45"/>
      <c r="BE626" s="45"/>
      <c r="BF626" s="45"/>
      <c r="BG626" s="45"/>
      <c r="BH626" s="45"/>
      <c r="BI626" s="45"/>
      <c r="BJ626" s="45"/>
      <c r="BK626" s="78">
        <v>0</v>
      </c>
      <c r="BL626" s="45" t="s">
        <v>559</v>
      </c>
      <c r="BM626" s="45"/>
    </row>
    <row r="627" spans="1:65" x14ac:dyDescent="0.35">
      <c r="A627" s="45" t="str">
        <f>Database_Productkaarten[[#This Row],[Product]]&amp;", "&amp;Database_Productkaarten[[#This Row],[Levensfase]]</f>
        <v>Kleeflaag, C2</v>
      </c>
      <c r="B627" s="45" t="s">
        <v>546</v>
      </c>
      <c r="C627" s="41" t="s">
        <v>443</v>
      </c>
      <c r="D627" s="45" t="s">
        <v>546</v>
      </c>
      <c r="E627" s="45" t="s">
        <v>539</v>
      </c>
      <c r="F627" s="45" t="s">
        <v>26</v>
      </c>
      <c r="G627" s="45"/>
      <c r="H627" s="45"/>
      <c r="I627" s="45"/>
      <c r="J627" s="45"/>
      <c r="K627" s="45"/>
      <c r="L627" s="45">
        <v>2.9999999999999997E-4</v>
      </c>
      <c r="M627" s="54"/>
      <c r="N627" s="45">
        <v>45</v>
      </c>
      <c r="O627" s="209"/>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c r="AO627" s="45"/>
      <c r="AP627" s="45"/>
      <c r="AQ627" s="45"/>
      <c r="AR627" s="45"/>
      <c r="AS627" s="45"/>
      <c r="AT627" s="45"/>
      <c r="AU627" s="45"/>
      <c r="AV627" s="45"/>
      <c r="AW627" s="45"/>
      <c r="AX627" s="45"/>
      <c r="AY627" s="45"/>
      <c r="AZ627" s="45"/>
      <c r="BA627" s="45"/>
      <c r="BB627" s="45"/>
      <c r="BC627" s="45"/>
      <c r="BD627" s="45"/>
      <c r="BE627" s="45"/>
      <c r="BF627" s="45"/>
      <c r="BG627" s="45"/>
      <c r="BH627" s="45"/>
      <c r="BI627" s="45"/>
      <c r="BJ627" s="45"/>
      <c r="BK627" s="78">
        <v>0</v>
      </c>
      <c r="BL627" s="45" t="s">
        <v>559</v>
      </c>
      <c r="BM627" s="45"/>
    </row>
    <row r="628" spans="1:65" x14ac:dyDescent="0.35">
      <c r="A628" s="45" t="str">
        <f>Database_Productkaarten[[#This Row],[Product]]&amp;", "&amp;Database_Productkaarten[[#This Row],[Levensfase]]</f>
        <v>Kleeflaag, C3</v>
      </c>
      <c r="B628" s="45" t="s">
        <v>546</v>
      </c>
      <c r="C628" s="41" t="s">
        <v>443</v>
      </c>
      <c r="D628" s="45" t="s">
        <v>546</v>
      </c>
      <c r="E628" s="45" t="s">
        <v>539</v>
      </c>
      <c r="F628" s="45" t="s">
        <v>27</v>
      </c>
      <c r="G628" s="45"/>
      <c r="H628" s="45"/>
      <c r="I628" s="45"/>
      <c r="J628" s="45"/>
      <c r="K628" s="45"/>
      <c r="L628" s="45">
        <v>2.9999999999999997E-4</v>
      </c>
      <c r="M628" s="54"/>
      <c r="N628" s="45">
        <v>45</v>
      </c>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c r="AO628" s="45"/>
      <c r="AP628" s="45"/>
      <c r="AQ628" s="45"/>
      <c r="AR628" s="45"/>
      <c r="AS628" s="45"/>
      <c r="AT628" s="45"/>
      <c r="AU628" s="45"/>
      <c r="AV628" s="45"/>
      <c r="AW628" s="45"/>
      <c r="AX628" s="45"/>
      <c r="AY628" s="45"/>
      <c r="AZ628" s="45"/>
      <c r="BA628" s="45"/>
      <c r="BB628" s="45"/>
      <c r="BC628" s="45"/>
      <c r="BD628" s="45"/>
      <c r="BE628" s="45"/>
      <c r="BF628" s="45"/>
      <c r="BG628" s="45"/>
      <c r="BH628" s="45"/>
      <c r="BI628" s="45"/>
      <c r="BJ628" s="45"/>
      <c r="BK628" s="78">
        <v>0</v>
      </c>
      <c r="BL628" s="45" t="s">
        <v>559</v>
      </c>
      <c r="BM628" s="45"/>
    </row>
    <row r="629" spans="1:65" x14ac:dyDescent="0.35">
      <c r="A629" s="45" t="str">
        <f>Database_Productkaarten[[#This Row],[Product]]&amp;", "&amp;Database_Productkaarten[[#This Row],[Levensfase]]</f>
        <v>Kleeflaag, C4</v>
      </c>
      <c r="B629" s="45" t="s">
        <v>546</v>
      </c>
      <c r="C629" s="41" t="s">
        <v>443</v>
      </c>
      <c r="D629" s="45" t="s">
        <v>546</v>
      </c>
      <c r="E629" s="45" t="s">
        <v>539</v>
      </c>
      <c r="F629" s="45" t="s">
        <v>28</v>
      </c>
      <c r="G629" s="45"/>
      <c r="H629" s="45"/>
      <c r="I629" s="45"/>
      <c r="J629" s="45"/>
      <c r="K629" s="45"/>
      <c r="L629" s="45">
        <v>2.9999999999999997E-4</v>
      </c>
      <c r="M629" s="54"/>
      <c r="N629" s="45">
        <v>45</v>
      </c>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c r="AO629" s="45"/>
      <c r="AP629" s="45"/>
      <c r="AQ629" s="45"/>
      <c r="AR629" s="45"/>
      <c r="AS629" s="45"/>
      <c r="AT629" s="45"/>
      <c r="AU629" s="45"/>
      <c r="AV629" s="45"/>
      <c r="AW629" s="45"/>
      <c r="AX629" s="45"/>
      <c r="AY629" s="45"/>
      <c r="AZ629" s="45"/>
      <c r="BA629" s="45"/>
      <c r="BB629" s="45"/>
      <c r="BC629" s="45"/>
      <c r="BD629" s="45"/>
      <c r="BE629" s="45"/>
      <c r="BF629" s="45"/>
      <c r="BG629" s="45"/>
      <c r="BH629" s="45"/>
      <c r="BI629" s="45"/>
      <c r="BJ629" s="45"/>
      <c r="BK629" s="78">
        <v>0</v>
      </c>
      <c r="BL629" s="45" t="s">
        <v>559</v>
      </c>
      <c r="BM629" s="45"/>
    </row>
    <row r="630" spans="1:65" x14ac:dyDescent="0.35">
      <c r="A630" s="45" t="str">
        <f>Database_Productkaarten[[#This Row],[Product]]&amp;", "&amp;Database_Productkaarten[[#This Row],[Levensfase]]</f>
        <v>Kleeflaag, D1</v>
      </c>
      <c r="B630" s="45" t="s">
        <v>546</v>
      </c>
      <c r="C630" s="41" t="s">
        <v>443</v>
      </c>
      <c r="D630" s="45" t="s">
        <v>546</v>
      </c>
      <c r="E630" s="45" t="s">
        <v>539</v>
      </c>
      <c r="F630" s="45" t="s">
        <v>51</v>
      </c>
      <c r="G630" s="45"/>
      <c r="H630" s="45"/>
      <c r="I630" s="45"/>
      <c r="J630" s="45"/>
      <c r="K630" s="45"/>
      <c r="L630" s="45">
        <v>2.9999999999999997E-4</v>
      </c>
      <c r="M630" s="54"/>
      <c r="N630" s="45">
        <v>45</v>
      </c>
      <c r="O630" s="209"/>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c r="AO630" s="45"/>
      <c r="AP630" s="45"/>
      <c r="AQ630" s="45"/>
      <c r="AR630" s="45"/>
      <c r="AS630" s="45"/>
      <c r="AT630" s="45"/>
      <c r="AU630" s="45"/>
      <c r="AV630" s="45"/>
      <c r="AW630" s="45"/>
      <c r="AX630" s="45"/>
      <c r="AY630" s="45"/>
      <c r="AZ630" s="45"/>
      <c r="BA630" s="45"/>
      <c r="BB630" s="45"/>
      <c r="BC630" s="45"/>
      <c r="BD630" s="45"/>
      <c r="BE630" s="45"/>
      <c r="BF630" s="45"/>
      <c r="BG630" s="45"/>
      <c r="BH630" s="45"/>
      <c r="BI630" s="45"/>
      <c r="BJ630" s="45"/>
      <c r="BK630" s="78">
        <v>0</v>
      </c>
      <c r="BL630" s="45" t="s">
        <v>559</v>
      </c>
      <c r="BM630" s="45"/>
    </row>
    <row r="631" spans="1:65" x14ac:dyDescent="0.35">
      <c r="A631" s="45" t="str">
        <f>Database_Productkaarten[[#This Row],[Product]]&amp;", "&amp;Database_Productkaarten[[#This Row],[Levensfase]]</f>
        <v>Kleeflaag, D2</v>
      </c>
      <c r="B631" s="45" t="s">
        <v>546</v>
      </c>
      <c r="C631" s="41" t="s">
        <v>443</v>
      </c>
      <c r="D631" s="45" t="s">
        <v>546</v>
      </c>
      <c r="E631" s="45" t="s">
        <v>539</v>
      </c>
      <c r="F631" s="45" t="s">
        <v>52</v>
      </c>
      <c r="G631" s="45"/>
      <c r="H631" s="45"/>
      <c r="I631" s="45"/>
      <c r="J631" s="45"/>
      <c r="K631" s="45"/>
      <c r="L631" s="45">
        <v>2.9999999999999997E-4</v>
      </c>
      <c r="M631" s="54"/>
      <c r="N631" s="45">
        <v>45</v>
      </c>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c r="AO631" s="45"/>
      <c r="AP631" s="45"/>
      <c r="AQ631" s="45"/>
      <c r="AR631" s="45"/>
      <c r="AS631" s="45"/>
      <c r="AT631" s="45"/>
      <c r="AU631" s="45"/>
      <c r="AV631" s="45"/>
      <c r="AW631" s="45"/>
      <c r="AX631" s="45"/>
      <c r="AY631" s="45"/>
      <c r="AZ631" s="45"/>
      <c r="BA631" s="45"/>
      <c r="BB631" s="45"/>
      <c r="BC631" s="45"/>
      <c r="BD631" s="45"/>
      <c r="BE631" s="45"/>
      <c r="BF631" s="45"/>
      <c r="BG631" s="45"/>
      <c r="BH631" s="45"/>
      <c r="BI631" s="45"/>
      <c r="BJ631" s="45"/>
      <c r="BK631" s="78">
        <v>0</v>
      </c>
      <c r="BL631" s="45" t="s">
        <v>559</v>
      </c>
      <c r="BM631" s="45"/>
    </row>
    <row r="632" spans="1:65" x14ac:dyDescent="0.35">
      <c r="A632" s="45" t="str">
        <f>Database_Productkaarten[[#This Row],[Product]]&amp;", "&amp;Database_Productkaarten[[#This Row],[Levensfase]]</f>
        <v>Thermoplastische coating rood, Totaal</v>
      </c>
      <c r="B632" s="13" t="s">
        <v>620</v>
      </c>
      <c r="C632" s="13" t="s">
        <v>544</v>
      </c>
      <c r="D632" s="45" t="s">
        <v>618</v>
      </c>
      <c r="E632" s="45" t="s">
        <v>539</v>
      </c>
      <c r="F632" s="45" t="s">
        <v>16</v>
      </c>
      <c r="G632" s="45">
        <v>1</v>
      </c>
      <c r="H632" s="45">
        <v>1</v>
      </c>
      <c r="I632" s="45">
        <v>3.0000000000000001E-3</v>
      </c>
      <c r="J632" s="45"/>
      <c r="K632" s="45"/>
      <c r="L632" s="45">
        <v>3.0000000000000001E-3</v>
      </c>
      <c r="M632" s="54">
        <f>M645*1.5</f>
        <v>1.6276918045499995</v>
      </c>
      <c r="N632" s="45">
        <v>15</v>
      </c>
      <c r="O632" s="55">
        <f>O645*1.5</f>
        <v>0</v>
      </c>
      <c r="P632" s="55">
        <f t="shared" ref="P632:Y632" si="955">P645*1.5</f>
        <v>0</v>
      </c>
      <c r="Q632" s="55">
        <f t="shared" si="955"/>
        <v>0</v>
      </c>
      <c r="R632" s="55">
        <f t="shared" si="955"/>
        <v>0</v>
      </c>
      <c r="S632" s="55">
        <f t="shared" si="955"/>
        <v>0</v>
      </c>
      <c r="T632" s="55">
        <f t="shared" si="955"/>
        <v>0</v>
      </c>
      <c r="U632" s="55">
        <f t="shared" si="955"/>
        <v>0</v>
      </c>
      <c r="V632" s="55">
        <f t="shared" si="955"/>
        <v>0</v>
      </c>
      <c r="W632" s="55">
        <f t="shared" si="955"/>
        <v>0</v>
      </c>
      <c r="X632" s="55">
        <f t="shared" si="955"/>
        <v>0</v>
      </c>
      <c r="Y632" s="55">
        <f t="shared" si="955"/>
        <v>0</v>
      </c>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45"/>
      <c r="AV632" s="45"/>
      <c r="AW632" s="45"/>
      <c r="AX632" s="45"/>
      <c r="AY632" s="45"/>
      <c r="AZ632" s="45"/>
      <c r="BA632" s="45"/>
      <c r="BB632" s="45"/>
      <c r="BC632" s="45"/>
      <c r="BD632" s="45"/>
      <c r="BE632" s="45"/>
      <c r="BF632" s="45"/>
      <c r="BG632" s="45"/>
      <c r="BH632" s="45"/>
      <c r="BI632" s="45"/>
      <c r="BJ632" s="45"/>
      <c r="BK632" s="78">
        <v>0</v>
      </c>
      <c r="BL632" s="45" t="s">
        <v>592</v>
      </c>
      <c r="BM632" s="45"/>
    </row>
    <row r="633" spans="1:65" x14ac:dyDescent="0.35">
      <c r="A633" s="45" t="str">
        <f>Database_Productkaarten[[#This Row],[Product]]&amp;", "&amp;Database_Productkaarten[[#This Row],[Levensfase]]</f>
        <v>Thermoplastische coating rood, A1</v>
      </c>
      <c r="B633" s="13" t="s">
        <v>620</v>
      </c>
      <c r="C633" s="13" t="s">
        <v>544</v>
      </c>
      <c r="D633" s="45" t="s">
        <v>618</v>
      </c>
      <c r="E633" s="45" t="s">
        <v>539</v>
      </c>
      <c r="F633" s="45" t="s">
        <v>19</v>
      </c>
      <c r="G633" s="45">
        <v>1</v>
      </c>
      <c r="H633" s="45">
        <v>1</v>
      </c>
      <c r="I633" s="45">
        <v>3.0000000000000001E-3</v>
      </c>
      <c r="J633" s="45"/>
      <c r="K633" s="45"/>
      <c r="L633" s="45">
        <v>3.0000000000000001E-3</v>
      </c>
      <c r="M633" s="54">
        <f t="shared" ref="M633:M644" si="956">M646*1.5</f>
        <v>1.5152837399999999</v>
      </c>
      <c r="N633" s="45">
        <v>15</v>
      </c>
      <c r="O633" s="55">
        <f t="shared" ref="O633:BE633" si="957">O646*1.5</f>
        <v>1.53068643E-4</v>
      </c>
      <c r="P633" s="55">
        <f t="shared" si="957"/>
        <v>6.0509817000000007E-2</v>
      </c>
      <c r="Q633" s="55">
        <f t="shared" si="957"/>
        <v>7.8461805000000009</v>
      </c>
      <c r="R633" s="55">
        <f t="shared" si="957"/>
        <v>8.5852301999999998E-7</v>
      </c>
      <c r="S633" s="55">
        <f t="shared" si="957"/>
        <v>7.9764972E-3</v>
      </c>
      <c r="T633" s="55">
        <f t="shared" si="957"/>
        <v>7.8381230999999996E-2</v>
      </c>
      <c r="U633" s="55">
        <f t="shared" si="957"/>
        <v>5.1417641999999993E-3</v>
      </c>
      <c r="V633" s="55">
        <f t="shared" si="957"/>
        <v>6.9117611999999999</v>
      </c>
      <c r="W633" s="55">
        <f t="shared" si="957"/>
        <v>1.4799960599999999</v>
      </c>
      <c r="X633" s="55">
        <f t="shared" si="957"/>
        <v>703.00694999999996</v>
      </c>
      <c r="Y633" s="55">
        <f t="shared" si="957"/>
        <v>1.21670067E-2</v>
      </c>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f t="shared" si="957"/>
        <v>8.8103160000000003</v>
      </c>
      <c r="AV633" s="55"/>
      <c r="AW633" s="55"/>
      <c r="AX633" s="55">
        <f t="shared" si="957"/>
        <v>127.167939</v>
      </c>
      <c r="AY633" s="55"/>
      <c r="AZ633" s="55"/>
      <c r="BA633" s="55"/>
      <c r="BB633" s="55">
        <f t="shared" si="957"/>
        <v>0.15360052499999999</v>
      </c>
      <c r="BC633" s="55">
        <f t="shared" si="957"/>
        <v>9.4318872000000013E-5</v>
      </c>
      <c r="BD633" s="55">
        <f t="shared" si="957"/>
        <v>2.96125755</v>
      </c>
      <c r="BE633" s="55">
        <f t="shared" si="957"/>
        <v>3.1257038999999998E-4</v>
      </c>
      <c r="BF633" s="55"/>
      <c r="BG633" s="55"/>
      <c r="BH633" s="55"/>
      <c r="BI633" s="55"/>
      <c r="BJ633" s="55"/>
      <c r="BK633" s="78">
        <v>0</v>
      </c>
      <c r="BL633" s="45" t="s">
        <v>592</v>
      </c>
      <c r="BM633" s="45" t="s">
        <v>619</v>
      </c>
    </row>
    <row r="634" spans="1:65" x14ac:dyDescent="0.35">
      <c r="A634" s="45" t="str">
        <f>Database_Productkaarten[[#This Row],[Product]]&amp;", "&amp;Database_Productkaarten[[#This Row],[Levensfase]]</f>
        <v>Thermoplastische coating rood, A2</v>
      </c>
      <c r="B634" s="13" t="s">
        <v>620</v>
      </c>
      <c r="C634" s="13" t="s">
        <v>544</v>
      </c>
      <c r="D634" s="45" t="s">
        <v>618</v>
      </c>
      <c r="E634" s="45" t="s">
        <v>539</v>
      </c>
      <c r="F634" s="45" t="s">
        <v>20</v>
      </c>
      <c r="G634" s="45">
        <v>1</v>
      </c>
      <c r="H634" s="45">
        <v>1</v>
      </c>
      <c r="I634" s="45">
        <v>3.0000000000000001E-3</v>
      </c>
      <c r="J634" s="45"/>
      <c r="K634" s="45"/>
      <c r="L634" s="45">
        <v>3.0000000000000001E-3</v>
      </c>
      <c r="M634" s="54">
        <f t="shared" si="956"/>
        <v>0</v>
      </c>
      <c r="N634" s="45">
        <v>15</v>
      </c>
      <c r="O634" s="55">
        <f t="shared" ref="O634:Y634" si="958">O647*1.5</f>
        <v>0</v>
      </c>
      <c r="P634" s="55">
        <f t="shared" si="958"/>
        <v>0</v>
      </c>
      <c r="Q634" s="55">
        <f t="shared" si="958"/>
        <v>0</v>
      </c>
      <c r="R634" s="55">
        <f t="shared" si="958"/>
        <v>0</v>
      </c>
      <c r="S634" s="55">
        <f t="shared" si="958"/>
        <v>0</v>
      </c>
      <c r="T634" s="55">
        <f t="shared" si="958"/>
        <v>0</v>
      </c>
      <c r="U634" s="55">
        <f t="shared" si="958"/>
        <v>0</v>
      </c>
      <c r="V634" s="55">
        <f t="shared" si="958"/>
        <v>0</v>
      </c>
      <c r="W634" s="55">
        <f t="shared" si="958"/>
        <v>0</v>
      </c>
      <c r="X634" s="55">
        <f t="shared" si="958"/>
        <v>0</v>
      </c>
      <c r="Y634" s="55">
        <f t="shared" si="958"/>
        <v>0</v>
      </c>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212"/>
      <c r="AV634" s="212"/>
      <c r="AW634" s="212"/>
      <c r="AX634" s="212"/>
      <c r="AY634" s="212"/>
      <c r="AZ634" s="212"/>
      <c r="BA634" s="212"/>
      <c r="BB634" s="212"/>
      <c r="BC634" s="212"/>
      <c r="BD634" s="212"/>
      <c r="BE634" s="212"/>
      <c r="BF634" s="212"/>
      <c r="BG634" s="212"/>
      <c r="BH634" s="212"/>
      <c r="BI634" s="212"/>
      <c r="BJ634" s="212"/>
      <c r="BK634" s="78">
        <v>0</v>
      </c>
      <c r="BL634" s="45" t="s">
        <v>592</v>
      </c>
      <c r="BM634" s="45" t="s">
        <v>619</v>
      </c>
    </row>
    <row r="635" spans="1:65" x14ac:dyDescent="0.35">
      <c r="A635" s="45" t="str">
        <f>Database_Productkaarten[[#This Row],[Product]]&amp;", "&amp;Database_Productkaarten[[#This Row],[Levensfase]]</f>
        <v>Thermoplastische coating rood, A3</v>
      </c>
      <c r="B635" s="13" t="s">
        <v>620</v>
      </c>
      <c r="C635" s="13" t="s">
        <v>544</v>
      </c>
      <c r="D635" s="45" t="s">
        <v>618</v>
      </c>
      <c r="E635" s="45" t="s">
        <v>539</v>
      </c>
      <c r="F635" s="45" t="s">
        <v>21</v>
      </c>
      <c r="G635" s="45">
        <v>1</v>
      </c>
      <c r="H635" s="45">
        <v>1</v>
      </c>
      <c r="I635" s="45">
        <v>3.0000000000000001E-3</v>
      </c>
      <c r="J635" s="45"/>
      <c r="K635" s="45"/>
      <c r="L635" s="45">
        <v>3.0000000000000001E-3</v>
      </c>
      <c r="M635" s="54">
        <f t="shared" si="956"/>
        <v>5.7586455000000001E-4</v>
      </c>
      <c r="N635" s="45">
        <v>15</v>
      </c>
      <c r="O635" s="55">
        <f t="shared" ref="O635:BE635" si="959">O648*1.5</f>
        <v>3.1652108999999996E-8</v>
      </c>
      <c r="P635" s="55">
        <f t="shared" si="959"/>
        <v>5.8327593000000001E-5</v>
      </c>
      <c r="Q635" s="55">
        <f t="shared" si="959"/>
        <v>7.7508353999999995E-3</v>
      </c>
      <c r="R635" s="55">
        <f t="shared" si="959"/>
        <v>3.8268840000000006E-10</v>
      </c>
      <c r="S635" s="55">
        <f t="shared" si="959"/>
        <v>1.1544350100000001E-6</v>
      </c>
      <c r="T635" s="55">
        <f t="shared" si="959"/>
        <v>1.4515044300000001E-5</v>
      </c>
      <c r="U635" s="55">
        <f t="shared" si="959"/>
        <v>2.9862328499999998E-6</v>
      </c>
      <c r="V635" s="55">
        <f t="shared" si="959"/>
        <v>8.7210990000000002E-4</v>
      </c>
      <c r="W635" s="55">
        <f t="shared" si="959"/>
        <v>2.4045982799999997E-5</v>
      </c>
      <c r="X635" s="55">
        <f t="shared" si="959"/>
        <v>0.10147214100000002</v>
      </c>
      <c r="Y635" s="55">
        <f t="shared" si="959"/>
        <v>3.9502994999999997E-5</v>
      </c>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f t="shared" si="959"/>
        <v>1.10975103E-2</v>
      </c>
      <c r="AV635" s="55"/>
      <c r="AW635" s="55"/>
      <c r="AX635" s="55">
        <f t="shared" si="959"/>
        <v>0.110221443</v>
      </c>
      <c r="AY635" s="55"/>
      <c r="AZ635" s="55"/>
      <c r="BA635" s="55"/>
      <c r="BB635" s="55">
        <f t="shared" si="959"/>
        <v>6.3141260999999998E-5</v>
      </c>
      <c r="BC635" s="55">
        <f t="shared" si="959"/>
        <v>7.9384442999999997E-8</v>
      </c>
      <c r="BD635" s="55">
        <f t="shared" si="959"/>
        <v>3.0342693E-4</v>
      </c>
      <c r="BE635" s="55">
        <f t="shared" si="959"/>
        <v>2.1286545000000001E-7</v>
      </c>
      <c r="BF635" s="55"/>
      <c r="BG635" s="55"/>
      <c r="BH635" s="55"/>
      <c r="BI635" s="55"/>
      <c r="BJ635" s="55"/>
      <c r="BK635" s="78">
        <v>0</v>
      </c>
      <c r="BL635" s="45" t="s">
        <v>592</v>
      </c>
      <c r="BM635" s="45" t="s">
        <v>619</v>
      </c>
    </row>
    <row r="636" spans="1:65" x14ac:dyDescent="0.35">
      <c r="A636" s="45" t="str">
        <f>Database_Productkaarten[[#This Row],[Product]]&amp;", "&amp;Database_Productkaarten[[#This Row],[Levensfase]]</f>
        <v>Thermoplastische coating rood, A4</v>
      </c>
      <c r="B636" s="13" t="s">
        <v>620</v>
      </c>
      <c r="C636" s="13" t="s">
        <v>544</v>
      </c>
      <c r="D636" s="45" t="s">
        <v>618</v>
      </c>
      <c r="E636" s="45" t="s">
        <v>539</v>
      </c>
      <c r="F636" s="45" t="s">
        <v>22</v>
      </c>
      <c r="G636" s="45">
        <v>1</v>
      </c>
      <c r="H636" s="45">
        <v>1</v>
      </c>
      <c r="I636" s="45">
        <v>3.0000000000000001E-3</v>
      </c>
      <c r="J636" s="45"/>
      <c r="K636" s="45"/>
      <c r="L636" s="45">
        <v>3.0000000000000001E-3</v>
      </c>
      <c r="M636" s="54">
        <f t="shared" si="956"/>
        <v>4.1999999999999997E-3</v>
      </c>
      <c r="N636" s="45">
        <v>15</v>
      </c>
      <c r="O636" s="55">
        <f t="shared" ref="O636:Y636" si="960">O649*1.5</f>
        <v>7.2899999999999998E-8</v>
      </c>
      <c r="P636" s="55">
        <f t="shared" si="960"/>
        <v>2.877E-4</v>
      </c>
      <c r="Q636" s="55">
        <f t="shared" si="960"/>
        <v>3.7949999999999998E-2</v>
      </c>
      <c r="R636" s="55">
        <f t="shared" si="960"/>
        <v>7.5599999999999995E-9</v>
      </c>
      <c r="S636" s="55" t="e">
        <f t="shared" si="960"/>
        <v>#VALUE!</v>
      </c>
      <c r="T636" s="55" t="e">
        <f t="shared" si="960"/>
        <v>#VALUE!</v>
      </c>
      <c r="U636" s="55" t="e">
        <f t="shared" si="960"/>
        <v>#VALUE!</v>
      </c>
      <c r="V636" s="55">
        <f t="shared" si="960"/>
        <v>1.3350000000000001E-2</v>
      </c>
      <c r="W636" s="55" t="e">
        <f t="shared" si="960"/>
        <v>#VALUE!</v>
      </c>
      <c r="X636" s="55">
        <f t="shared" si="960"/>
        <v>2.2597499999999999</v>
      </c>
      <c r="Y636" s="55" t="e">
        <f t="shared" si="960"/>
        <v>#VALUE!</v>
      </c>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212"/>
      <c r="AV636" s="212"/>
      <c r="AW636" s="212"/>
      <c r="AX636" s="212"/>
      <c r="AY636" s="212"/>
      <c r="AZ636" s="212"/>
      <c r="BA636" s="212"/>
      <c r="BB636" s="212"/>
      <c r="BC636" s="212"/>
      <c r="BD636" s="212"/>
      <c r="BE636" s="212"/>
      <c r="BF636" s="212"/>
      <c r="BG636" s="212"/>
      <c r="BH636" s="212"/>
      <c r="BI636" s="212"/>
      <c r="BJ636" s="212"/>
      <c r="BK636" s="78">
        <v>0</v>
      </c>
      <c r="BL636" s="45" t="s">
        <v>592</v>
      </c>
      <c r="BM636" s="45" t="s">
        <v>619</v>
      </c>
    </row>
    <row r="637" spans="1:65" x14ac:dyDescent="0.35">
      <c r="A637" s="45" t="str">
        <f>Database_Productkaarten[[#This Row],[Product]]&amp;", "&amp;Database_Productkaarten[[#This Row],[Levensfase]]</f>
        <v>Thermoplastische coating rood, A5</v>
      </c>
      <c r="B637" s="13" t="s">
        <v>620</v>
      </c>
      <c r="C637" s="13" t="s">
        <v>544</v>
      </c>
      <c r="D637" s="45" t="s">
        <v>618</v>
      </c>
      <c r="E637" s="45" t="s">
        <v>539</v>
      </c>
      <c r="F637" s="45" t="s">
        <v>23</v>
      </c>
      <c r="G637" s="45">
        <v>1</v>
      </c>
      <c r="H637" s="45">
        <v>1</v>
      </c>
      <c r="I637" s="45">
        <v>3.0000000000000001E-3</v>
      </c>
      <c r="J637" s="45"/>
      <c r="K637" s="45"/>
      <c r="L637" s="45">
        <v>3.0000000000000001E-3</v>
      </c>
      <c r="M637" s="54">
        <f t="shared" si="956"/>
        <v>5.1150000000000001E-2</v>
      </c>
      <c r="N637" s="45">
        <v>15</v>
      </c>
      <c r="O637" s="55">
        <f t="shared" ref="O637:Y637" si="961">O650*1.5</f>
        <v>8.0070000000000002E-7</v>
      </c>
      <c r="P637" s="55">
        <f t="shared" si="961"/>
        <v>2.2500000000000003E-3</v>
      </c>
      <c r="Q637" s="55">
        <f t="shared" si="961"/>
        <v>0.30630000000000002</v>
      </c>
      <c r="R637" s="55">
        <f t="shared" si="961"/>
        <v>4.0304999999999996E-8</v>
      </c>
      <c r="S637" s="55" t="e">
        <f t="shared" si="961"/>
        <v>#VALUE!</v>
      </c>
      <c r="T637" s="55">
        <f t="shared" si="961"/>
        <v>2.5499999999999997E-3</v>
      </c>
      <c r="U637" s="55" t="e">
        <f t="shared" si="961"/>
        <v>#VALUE!</v>
      </c>
      <c r="V637" s="55">
        <f t="shared" si="961"/>
        <v>0.21179999999999999</v>
      </c>
      <c r="W637" s="55">
        <f t="shared" si="961"/>
        <v>4.2750000000000003E-2</v>
      </c>
      <c r="X637" s="55">
        <f t="shared" si="961"/>
        <v>21.703800000000001</v>
      </c>
      <c r="Y637" s="55" t="e">
        <f t="shared" si="961"/>
        <v>#VALUE!</v>
      </c>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212"/>
      <c r="AV637" s="212"/>
      <c r="AW637" s="212"/>
      <c r="AX637" s="212"/>
      <c r="AY637" s="212"/>
      <c r="AZ637" s="212"/>
      <c r="BA637" s="212"/>
      <c r="BB637" s="212"/>
      <c r="BC637" s="212"/>
      <c r="BD637" s="212"/>
      <c r="BE637" s="212"/>
      <c r="BF637" s="212"/>
      <c r="BG637" s="212"/>
      <c r="BH637" s="212"/>
      <c r="BI637" s="212"/>
      <c r="BJ637" s="212"/>
      <c r="BK637" s="78">
        <v>0</v>
      </c>
      <c r="BL637" s="45" t="s">
        <v>592</v>
      </c>
      <c r="BM637" s="45" t="s">
        <v>619</v>
      </c>
    </row>
    <row r="638" spans="1:65" x14ac:dyDescent="0.35">
      <c r="A638" s="45" t="str">
        <f>Database_Productkaarten[[#This Row],[Product]]&amp;", "&amp;Database_Productkaarten[[#This Row],[Levensfase]]</f>
        <v>Thermoplastische coating rood, B1</v>
      </c>
      <c r="B638" s="13" t="s">
        <v>620</v>
      </c>
      <c r="C638" s="13" t="s">
        <v>544</v>
      </c>
      <c r="D638" s="45" t="s">
        <v>618</v>
      </c>
      <c r="E638" s="45" t="s">
        <v>539</v>
      </c>
      <c r="F638" s="45" t="s">
        <v>24</v>
      </c>
      <c r="G638" s="45">
        <v>1</v>
      </c>
      <c r="H638" s="45">
        <v>1</v>
      </c>
      <c r="I638" s="45">
        <v>3.0000000000000001E-3</v>
      </c>
      <c r="J638" s="45"/>
      <c r="K638" s="45"/>
      <c r="L638" s="45">
        <v>3.0000000000000001E-3</v>
      </c>
      <c r="M638" s="54">
        <f t="shared" si="956"/>
        <v>0</v>
      </c>
      <c r="N638" s="45">
        <v>15</v>
      </c>
      <c r="O638" s="55">
        <f t="shared" ref="O638:Y638" si="962">O651*1.5</f>
        <v>0</v>
      </c>
      <c r="P638" s="55">
        <f t="shared" si="962"/>
        <v>0</v>
      </c>
      <c r="Q638" s="55">
        <f t="shared" si="962"/>
        <v>0</v>
      </c>
      <c r="R638" s="55">
        <f t="shared" si="962"/>
        <v>0</v>
      </c>
      <c r="S638" s="55">
        <f t="shared" si="962"/>
        <v>0</v>
      </c>
      <c r="T638" s="55">
        <f t="shared" si="962"/>
        <v>0</v>
      </c>
      <c r="U638" s="55">
        <f t="shared" si="962"/>
        <v>0</v>
      </c>
      <c r="V638" s="55">
        <f t="shared" si="962"/>
        <v>0</v>
      </c>
      <c r="W638" s="55">
        <f t="shared" si="962"/>
        <v>0</v>
      </c>
      <c r="X638" s="55">
        <f t="shared" si="962"/>
        <v>0</v>
      </c>
      <c r="Y638" s="55">
        <f t="shared" si="962"/>
        <v>0</v>
      </c>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212"/>
      <c r="AV638" s="212"/>
      <c r="AW638" s="212"/>
      <c r="AX638" s="212"/>
      <c r="AY638" s="212"/>
      <c r="AZ638" s="212"/>
      <c r="BA638" s="212"/>
      <c r="BB638" s="212"/>
      <c r="BC638" s="212"/>
      <c r="BD638" s="212"/>
      <c r="BE638" s="212"/>
      <c r="BF638" s="212"/>
      <c r="BG638" s="212"/>
      <c r="BH638" s="212"/>
      <c r="BI638" s="212"/>
      <c r="BJ638" s="212"/>
      <c r="BK638" s="78">
        <v>0</v>
      </c>
      <c r="BL638" s="45" t="s">
        <v>592</v>
      </c>
      <c r="BM638" s="45" t="s">
        <v>619</v>
      </c>
    </row>
    <row r="639" spans="1:65" x14ac:dyDescent="0.35">
      <c r="A639" s="45" t="str">
        <f>Database_Productkaarten[[#This Row],[Product]]&amp;", "&amp;Database_Productkaarten[[#This Row],[Levensfase]]</f>
        <v>Thermoplastische coating rood, C1</v>
      </c>
      <c r="B639" s="13" t="s">
        <v>620</v>
      </c>
      <c r="C639" s="13" t="s">
        <v>544</v>
      </c>
      <c r="D639" s="45" t="s">
        <v>618</v>
      </c>
      <c r="E639" s="45" t="s">
        <v>539</v>
      </c>
      <c r="F639" s="45" t="s">
        <v>25</v>
      </c>
      <c r="G639" s="45">
        <v>1</v>
      </c>
      <c r="H639" s="45">
        <v>1</v>
      </c>
      <c r="I639" s="45">
        <v>3.0000000000000001E-3</v>
      </c>
      <c r="J639" s="45"/>
      <c r="K639" s="45"/>
      <c r="L639" s="45">
        <v>3.0000000000000001E-3</v>
      </c>
      <c r="M639" s="54">
        <f t="shared" si="956"/>
        <v>9.6000000000000009E-3</v>
      </c>
      <c r="N639" s="45">
        <v>15</v>
      </c>
      <c r="O639" s="55">
        <f t="shared" ref="O639:Y639" si="963">O652*1.5</f>
        <v>4.8299999999999996E-8</v>
      </c>
      <c r="P639" s="55">
        <f t="shared" si="963"/>
        <v>7.0500000000000001E-4</v>
      </c>
      <c r="Q639" s="55">
        <f t="shared" si="963"/>
        <v>0.1032</v>
      </c>
      <c r="R639" s="55">
        <f t="shared" si="963"/>
        <v>1.7970000000000001E-8</v>
      </c>
      <c r="S639" s="55" t="e">
        <f t="shared" si="963"/>
        <v>#VALUE!</v>
      </c>
      <c r="T639" s="55" t="e">
        <f t="shared" si="963"/>
        <v>#VALUE!</v>
      </c>
      <c r="U639" s="55" t="e">
        <f t="shared" si="963"/>
        <v>#VALUE!</v>
      </c>
      <c r="V639" s="55">
        <f t="shared" si="963"/>
        <v>2.5500000000000002E-2</v>
      </c>
      <c r="W639" s="55" t="e">
        <f t="shared" si="963"/>
        <v>#VALUE!</v>
      </c>
      <c r="X639" s="55">
        <f t="shared" si="963"/>
        <v>1.6927500000000002</v>
      </c>
      <c r="Y639" s="55" t="e">
        <f t="shared" si="963"/>
        <v>#VALUE!</v>
      </c>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212"/>
      <c r="AV639" s="212"/>
      <c r="AW639" s="212"/>
      <c r="AX639" s="212"/>
      <c r="AY639" s="212"/>
      <c r="AZ639" s="212"/>
      <c r="BA639" s="212"/>
      <c r="BB639" s="212"/>
      <c r="BC639" s="212"/>
      <c r="BD639" s="212"/>
      <c r="BE639" s="212"/>
      <c r="BF639" s="212"/>
      <c r="BG639" s="212"/>
      <c r="BH639" s="212"/>
      <c r="BI639" s="212"/>
      <c r="BJ639" s="212"/>
      <c r="BK639" s="78">
        <v>0</v>
      </c>
      <c r="BL639" s="45" t="s">
        <v>592</v>
      </c>
      <c r="BM639" s="45" t="s">
        <v>619</v>
      </c>
    </row>
    <row r="640" spans="1:65" x14ac:dyDescent="0.35">
      <c r="A640" s="45" t="str">
        <f>Database_Productkaarten[[#This Row],[Product]]&amp;", "&amp;Database_Productkaarten[[#This Row],[Levensfase]]</f>
        <v>Thermoplastische coating rood, C2</v>
      </c>
      <c r="B640" s="13" t="s">
        <v>620</v>
      </c>
      <c r="C640" s="13" t="s">
        <v>544</v>
      </c>
      <c r="D640" s="45" t="s">
        <v>618</v>
      </c>
      <c r="E640" s="45" t="s">
        <v>539</v>
      </c>
      <c r="F640" s="45" t="s">
        <v>26</v>
      </c>
      <c r="G640" s="45">
        <v>1</v>
      </c>
      <c r="H640" s="45">
        <v>1</v>
      </c>
      <c r="I640" s="45">
        <v>3.0000000000000001E-3</v>
      </c>
      <c r="J640" s="45"/>
      <c r="K640" s="45"/>
      <c r="L640" s="45">
        <v>3.0000000000000001E-3</v>
      </c>
      <c r="M640" s="54">
        <f t="shared" si="956"/>
        <v>4.1999999999999997E-3</v>
      </c>
      <c r="N640" s="45">
        <v>15</v>
      </c>
      <c r="O640" s="55">
        <f t="shared" ref="O640:Y640" si="964">O653*1.5</f>
        <v>7.1684999999999996E-8</v>
      </c>
      <c r="P640" s="55">
        <f t="shared" si="964"/>
        <v>2.8289999999999999E-4</v>
      </c>
      <c r="Q640" s="55">
        <f t="shared" si="964"/>
        <v>3.7349999999999994E-2</v>
      </c>
      <c r="R640" s="55">
        <f t="shared" si="964"/>
        <v>7.4339999999999998E-9</v>
      </c>
      <c r="S640" s="55" t="e">
        <f t="shared" si="964"/>
        <v>#VALUE!</v>
      </c>
      <c r="T640" s="55" t="e">
        <f t="shared" si="964"/>
        <v>#VALUE!</v>
      </c>
      <c r="U640" s="55" t="e">
        <f t="shared" si="964"/>
        <v>#VALUE!</v>
      </c>
      <c r="V640" s="55">
        <f t="shared" si="964"/>
        <v>1.32E-2</v>
      </c>
      <c r="W640" s="55" t="e">
        <f t="shared" si="964"/>
        <v>#VALUE!</v>
      </c>
      <c r="X640" s="55">
        <f t="shared" si="964"/>
        <v>2.2221000000000002</v>
      </c>
      <c r="Y640" s="55" t="e">
        <f t="shared" si="964"/>
        <v>#VALUE!</v>
      </c>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212"/>
      <c r="AV640" s="212"/>
      <c r="AW640" s="212"/>
      <c r="AX640" s="212"/>
      <c r="AY640" s="212"/>
      <c r="AZ640" s="212"/>
      <c r="BA640" s="212"/>
      <c r="BB640" s="212"/>
      <c r="BC640" s="212"/>
      <c r="BD640" s="212"/>
      <c r="BE640" s="212"/>
      <c r="BF640" s="212"/>
      <c r="BG640" s="212"/>
      <c r="BH640" s="212"/>
      <c r="BI640" s="212"/>
      <c r="BJ640" s="212"/>
      <c r="BK640" s="78">
        <v>0</v>
      </c>
      <c r="BL640" s="45" t="s">
        <v>592</v>
      </c>
      <c r="BM640" s="45" t="s">
        <v>619</v>
      </c>
    </row>
    <row r="641" spans="1:65" x14ac:dyDescent="0.35">
      <c r="A641" s="45" t="str">
        <f>Database_Productkaarten[[#This Row],[Product]]&amp;", "&amp;Database_Productkaarten[[#This Row],[Levensfase]]</f>
        <v>Thermoplastische coating rood, C3</v>
      </c>
      <c r="B641" s="13" t="s">
        <v>620</v>
      </c>
      <c r="C641" s="13" t="s">
        <v>544</v>
      </c>
      <c r="D641" s="45" t="s">
        <v>618</v>
      </c>
      <c r="E641" s="45" t="s">
        <v>539</v>
      </c>
      <c r="F641" s="45" t="s">
        <v>27</v>
      </c>
      <c r="G641" s="45">
        <v>1</v>
      </c>
      <c r="H641" s="45">
        <v>1</v>
      </c>
      <c r="I641" s="45">
        <v>3.0000000000000001E-3</v>
      </c>
      <c r="J641" s="45"/>
      <c r="K641" s="45"/>
      <c r="L641" s="45">
        <v>3.0000000000000001E-3</v>
      </c>
      <c r="M641" s="54">
        <f t="shared" si="956"/>
        <v>4.1700000000000001E-2</v>
      </c>
      <c r="N641" s="45">
        <v>15</v>
      </c>
      <c r="O641" s="55">
        <f t="shared" ref="O641:Y641" si="965">O654*1.5</f>
        <v>1.3179E-8</v>
      </c>
      <c r="P641" s="55">
        <f t="shared" si="965"/>
        <v>5.3219999999999995E-5</v>
      </c>
      <c r="Q641" s="55">
        <f t="shared" si="965"/>
        <v>0.34109999999999996</v>
      </c>
      <c r="R641" s="55">
        <f t="shared" si="965"/>
        <v>1.7954999999999999E-7</v>
      </c>
      <c r="S641" s="55" t="e">
        <f t="shared" si="965"/>
        <v>#VALUE!</v>
      </c>
      <c r="T641" s="55">
        <f t="shared" si="965"/>
        <v>1.8E-3</v>
      </c>
      <c r="U641" s="55">
        <f t="shared" si="965"/>
        <v>1.8E-3</v>
      </c>
      <c r="V641" s="55">
        <f t="shared" si="965"/>
        <v>2.1000000000000001E-2</v>
      </c>
      <c r="W641" s="55" t="e">
        <f t="shared" si="965"/>
        <v>#VALUE!</v>
      </c>
      <c r="X641" s="55">
        <f t="shared" si="965"/>
        <v>7.7999999999999996E-3</v>
      </c>
      <c r="Y641" s="55" t="e">
        <f t="shared" si="965"/>
        <v>#VALUE!</v>
      </c>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212"/>
      <c r="AV641" s="212"/>
      <c r="AW641" s="212"/>
      <c r="AX641" s="212"/>
      <c r="AY641" s="212"/>
      <c r="AZ641" s="212"/>
      <c r="BA641" s="212"/>
      <c r="BB641" s="212"/>
      <c r="BC641" s="212"/>
      <c r="BD641" s="212"/>
      <c r="BE641" s="212"/>
      <c r="BF641" s="212"/>
      <c r="BG641" s="212"/>
      <c r="BH641" s="212"/>
      <c r="BI641" s="212"/>
      <c r="BJ641" s="212"/>
      <c r="BK641" s="78">
        <v>0</v>
      </c>
      <c r="BL641" s="45" t="s">
        <v>592</v>
      </c>
      <c r="BM641" s="45" t="s">
        <v>619</v>
      </c>
    </row>
    <row r="642" spans="1:65" x14ac:dyDescent="0.35">
      <c r="A642" s="45" t="str">
        <f>Database_Productkaarten[[#This Row],[Product]]&amp;", "&amp;Database_Productkaarten[[#This Row],[Levensfase]]</f>
        <v>Thermoplastische coating rood, C4</v>
      </c>
      <c r="B642" s="13" t="s">
        <v>620</v>
      </c>
      <c r="C642" s="13" t="s">
        <v>544</v>
      </c>
      <c r="D642" s="45" t="s">
        <v>618</v>
      </c>
      <c r="E642" s="45" t="s">
        <v>539</v>
      </c>
      <c r="F642" s="45" t="s">
        <v>28</v>
      </c>
      <c r="G642" s="45">
        <v>1</v>
      </c>
      <c r="H642" s="45">
        <v>1</v>
      </c>
      <c r="I642" s="45">
        <v>3.0000000000000001E-3</v>
      </c>
      <c r="J642" s="45"/>
      <c r="K642" s="45"/>
      <c r="L642" s="45">
        <v>3.0000000000000001E-3</v>
      </c>
      <c r="M642" s="54">
        <f t="shared" si="956"/>
        <v>9.8219999999999991E-4</v>
      </c>
      <c r="N642" s="45">
        <v>15</v>
      </c>
      <c r="O642" s="55">
        <f t="shared" ref="O642:Y642" si="966">O655*1.5</f>
        <v>2.0850000000000001E-9</v>
      </c>
      <c r="P642" s="55">
        <f t="shared" si="966"/>
        <v>1.9454999999999999E-5</v>
      </c>
      <c r="Q642" s="55">
        <f t="shared" si="966"/>
        <v>1.5300000000000001E-2</v>
      </c>
      <c r="R642" s="55">
        <f t="shared" si="966"/>
        <v>4.3050000000000001E-10</v>
      </c>
      <c r="S642" s="55" t="e">
        <f t="shared" si="966"/>
        <v>#VALUE!</v>
      </c>
      <c r="T642" s="55" t="e">
        <f t="shared" si="966"/>
        <v>#VALUE!</v>
      </c>
      <c r="U642" s="55" t="e">
        <f t="shared" si="966"/>
        <v>#VALUE!</v>
      </c>
      <c r="V642" s="55" t="e">
        <f t="shared" si="966"/>
        <v>#VALUE!</v>
      </c>
      <c r="W642" s="55" t="e">
        <f t="shared" si="966"/>
        <v>#VALUE!</v>
      </c>
      <c r="X642" s="55">
        <f t="shared" si="966"/>
        <v>0.47835000000000005</v>
      </c>
      <c r="Y642" s="55" t="e">
        <f t="shared" si="966"/>
        <v>#VALUE!</v>
      </c>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212"/>
      <c r="AV642" s="212"/>
      <c r="AW642" s="212"/>
      <c r="AX642" s="212"/>
      <c r="AY642" s="212"/>
      <c r="AZ642" s="212"/>
      <c r="BA642" s="212"/>
      <c r="BB642" s="212"/>
      <c r="BC642" s="212"/>
      <c r="BD642" s="212"/>
      <c r="BE642" s="212"/>
      <c r="BF642" s="212"/>
      <c r="BG642" s="212"/>
      <c r="BH642" s="212"/>
      <c r="BI642" s="212"/>
      <c r="BJ642" s="212"/>
      <c r="BK642" s="78">
        <v>0</v>
      </c>
      <c r="BL642" s="45" t="s">
        <v>592</v>
      </c>
      <c r="BM642" s="45" t="s">
        <v>619</v>
      </c>
    </row>
    <row r="643" spans="1:65" x14ac:dyDescent="0.35">
      <c r="A643" s="45" t="str">
        <f>Database_Productkaarten[[#This Row],[Product]]&amp;", "&amp;Database_Productkaarten[[#This Row],[Levensfase]]</f>
        <v>Thermoplastische coating rood, D1</v>
      </c>
      <c r="B643" s="13" t="s">
        <v>620</v>
      </c>
      <c r="C643" s="13" t="s">
        <v>544</v>
      </c>
      <c r="D643" s="45" t="s">
        <v>618</v>
      </c>
      <c r="E643" s="45" t="s">
        <v>539</v>
      </c>
      <c r="F643" s="45" t="s">
        <v>51</v>
      </c>
      <c r="G643" s="45">
        <v>1</v>
      </c>
      <c r="H643" s="45">
        <v>1</v>
      </c>
      <c r="I643" s="45">
        <v>3.0000000000000001E-3</v>
      </c>
      <c r="J643" s="45"/>
      <c r="K643" s="45"/>
      <c r="L643" s="45">
        <v>3.0000000000000001E-3</v>
      </c>
      <c r="M643" s="54">
        <f t="shared" si="956"/>
        <v>0</v>
      </c>
      <c r="N643" s="45">
        <v>15</v>
      </c>
      <c r="O643" s="55">
        <f t="shared" ref="O643:Y643" si="967">O656*1.5</f>
        <v>0</v>
      </c>
      <c r="P643" s="55">
        <f t="shared" si="967"/>
        <v>0</v>
      </c>
      <c r="Q643" s="55">
        <f t="shared" si="967"/>
        <v>0</v>
      </c>
      <c r="R643" s="55">
        <f t="shared" si="967"/>
        <v>0</v>
      </c>
      <c r="S643" s="55">
        <f t="shared" si="967"/>
        <v>0</v>
      </c>
      <c r="T643" s="55">
        <f t="shared" si="967"/>
        <v>0</v>
      </c>
      <c r="U643" s="55">
        <f t="shared" si="967"/>
        <v>0</v>
      </c>
      <c r="V643" s="55">
        <f t="shared" si="967"/>
        <v>0</v>
      </c>
      <c r="W643" s="55">
        <f t="shared" si="967"/>
        <v>0</v>
      </c>
      <c r="X643" s="55">
        <f t="shared" si="967"/>
        <v>0</v>
      </c>
      <c r="Y643" s="55">
        <f t="shared" si="967"/>
        <v>0</v>
      </c>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212"/>
      <c r="AV643" s="212"/>
      <c r="AW643" s="212"/>
      <c r="AX643" s="212"/>
      <c r="AY643" s="212"/>
      <c r="AZ643" s="212"/>
      <c r="BA643" s="212"/>
      <c r="BB643" s="212"/>
      <c r="BC643" s="212"/>
      <c r="BD643" s="212"/>
      <c r="BE643" s="212"/>
      <c r="BF643" s="212"/>
      <c r="BG643" s="212"/>
      <c r="BH643" s="212"/>
      <c r="BI643" s="212"/>
      <c r="BJ643" s="212"/>
      <c r="BK643" s="78">
        <v>0</v>
      </c>
      <c r="BL643" s="45" t="s">
        <v>592</v>
      </c>
      <c r="BM643" s="45" t="s">
        <v>619</v>
      </c>
    </row>
    <row r="644" spans="1:65" x14ac:dyDescent="0.35">
      <c r="A644" s="45" t="str">
        <f>Database_Productkaarten[[#This Row],[Product]]&amp;", "&amp;Database_Productkaarten[[#This Row],[Levensfase]]</f>
        <v>Thermoplastische coating rood, D2</v>
      </c>
      <c r="B644" s="13" t="s">
        <v>620</v>
      </c>
      <c r="C644" s="13" t="s">
        <v>544</v>
      </c>
      <c r="D644" s="45" t="s">
        <v>618</v>
      </c>
      <c r="E644" s="45" t="s">
        <v>539</v>
      </c>
      <c r="F644" s="45" t="s">
        <v>52</v>
      </c>
      <c r="G644" s="45">
        <v>1</v>
      </c>
      <c r="H644" s="45">
        <v>1</v>
      </c>
      <c r="I644" s="45">
        <v>3.0000000000000001E-3</v>
      </c>
      <c r="J644" s="45"/>
      <c r="K644" s="45"/>
      <c r="L644" s="45">
        <v>3.0000000000000001E-3</v>
      </c>
      <c r="M644" s="54">
        <f t="shared" si="956"/>
        <v>0</v>
      </c>
      <c r="N644" s="45">
        <v>15</v>
      </c>
      <c r="O644" s="55">
        <f t="shared" ref="O644:Y644" si="968">O657*1.5</f>
        <v>0</v>
      </c>
      <c r="P644" s="55">
        <f t="shared" si="968"/>
        <v>0</v>
      </c>
      <c r="Q644" s="55">
        <f t="shared" si="968"/>
        <v>0</v>
      </c>
      <c r="R644" s="55">
        <f t="shared" si="968"/>
        <v>0</v>
      </c>
      <c r="S644" s="55">
        <f t="shared" si="968"/>
        <v>0</v>
      </c>
      <c r="T644" s="55">
        <f t="shared" si="968"/>
        <v>0</v>
      </c>
      <c r="U644" s="55">
        <f t="shared" si="968"/>
        <v>0</v>
      </c>
      <c r="V644" s="55">
        <f t="shared" si="968"/>
        <v>0</v>
      </c>
      <c r="W644" s="55">
        <f t="shared" si="968"/>
        <v>0</v>
      </c>
      <c r="X644" s="55">
        <f t="shared" si="968"/>
        <v>0</v>
      </c>
      <c r="Y644" s="55">
        <f t="shared" si="968"/>
        <v>0</v>
      </c>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212"/>
      <c r="AV644" s="212"/>
      <c r="AW644" s="212"/>
      <c r="AX644" s="212"/>
      <c r="AY644" s="212"/>
      <c r="AZ644" s="212"/>
      <c r="BA644" s="212"/>
      <c r="BB644" s="212"/>
      <c r="BC644" s="212"/>
      <c r="BD644" s="212"/>
      <c r="BE644" s="212"/>
      <c r="BF644" s="212"/>
      <c r="BG644" s="212"/>
      <c r="BH644" s="212"/>
      <c r="BI644" s="212"/>
      <c r="BJ644" s="212"/>
      <c r="BK644" s="78">
        <v>0</v>
      </c>
      <c r="BL644" s="45" t="s">
        <v>592</v>
      </c>
      <c r="BM644" s="45" t="s">
        <v>619</v>
      </c>
    </row>
    <row r="645" spans="1:65" x14ac:dyDescent="0.35">
      <c r="A645" s="45" t="str">
        <f>Database_Productkaarten[[#This Row],[Product]]&amp;", "&amp;Database_Productkaarten[[#This Row],[Levensfase]]</f>
        <v>Thermoplast markering, Totaal</v>
      </c>
      <c r="B645" s="13" t="s">
        <v>545</v>
      </c>
      <c r="C645" s="13" t="s">
        <v>544</v>
      </c>
      <c r="D645" s="45" t="s">
        <v>564</v>
      </c>
      <c r="E645" s="45" t="s">
        <v>538</v>
      </c>
      <c r="F645" s="45" t="s">
        <v>16</v>
      </c>
      <c r="G645" s="45">
        <v>1</v>
      </c>
      <c r="H645" s="45">
        <v>1</v>
      </c>
      <c r="I645" s="45">
        <v>3.0000000000000001E-3</v>
      </c>
      <c r="J645" s="45"/>
      <c r="K645" s="45"/>
      <c r="L645" s="45">
        <v>2E-3</v>
      </c>
      <c r="M645" s="54">
        <f>SUM(M646:M657)</f>
        <v>1.0851278696999997</v>
      </c>
      <c r="N645" s="45">
        <v>12</v>
      </c>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c r="BA645" s="55"/>
      <c r="BB645" s="55"/>
      <c r="BC645" s="55"/>
      <c r="BD645" s="55"/>
      <c r="BE645" s="55"/>
      <c r="BF645" s="55"/>
      <c r="BG645" s="55"/>
      <c r="BH645" s="55"/>
      <c r="BI645" s="55"/>
      <c r="BJ645" s="55"/>
      <c r="BK645" s="78">
        <v>0</v>
      </c>
      <c r="BL645" s="45" t="s">
        <v>592</v>
      </c>
      <c r="BM645" s="45"/>
    </row>
    <row r="646" spans="1:65" x14ac:dyDescent="0.35">
      <c r="A646" s="45" t="str">
        <f>Database_Productkaarten[[#This Row],[Product]]&amp;", "&amp;Database_Productkaarten[[#This Row],[Levensfase]]</f>
        <v>Thermoplast markering, A1</v>
      </c>
      <c r="B646" s="13" t="s">
        <v>545</v>
      </c>
      <c r="C646" s="13" t="s">
        <v>544</v>
      </c>
      <c r="D646" s="45" t="s">
        <v>564</v>
      </c>
      <c r="E646" s="45" t="s">
        <v>538</v>
      </c>
      <c r="F646" s="45" t="s">
        <v>19</v>
      </c>
      <c r="G646" s="45">
        <v>1</v>
      </c>
      <c r="H646" s="45">
        <v>1</v>
      </c>
      <c r="I646" s="45">
        <v>3.0000000000000001E-3</v>
      </c>
      <c r="J646" s="45"/>
      <c r="K646" s="45"/>
      <c r="L646" s="45">
        <v>2E-3</v>
      </c>
      <c r="M646" s="54">
        <v>1.0101891599999999</v>
      </c>
      <c r="N646" s="45">
        <v>12</v>
      </c>
      <c r="O646" s="55">
        <v>1.0204576199999999E-4</v>
      </c>
      <c r="P646" s="55">
        <v>4.0339878000000003E-2</v>
      </c>
      <c r="Q646" s="55">
        <v>5.2307870000000003</v>
      </c>
      <c r="R646" s="55">
        <v>5.7234867999999999E-7</v>
      </c>
      <c r="S646" s="55">
        <v>5.3176648E-3</v>
      </c>
      <c r="T646" s="55">
        <v>5.2254153999999997E-2</v>
      </c>
      <c r="U646" s="55">
        <v>3.4278427999999998E-3</v>
      </c>
      <c r="V646" s="55">
        <v>4.6078408</v>
      </c>
      <c r="W646" s="55">
        <v>0.98666403999999996</v>
      </c>
      <c r="X646" s="55">
        <v>468.67129999999997</v>
      </c>
      <c r="Y646" s="55">
        <v>8.1113378E-3</v>
      </c>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v>5.8735439999999999</v>
      </c>
      <c r="AV646" s="55"/>
      <c r="AW646" s="55"/>
      <c r="AX646" s="55">
        <v>84.778626000000003</v>
      </c>
      <c r="AY646" s="55"/>
      <c r="AZ646" s="55"/>
      <c r="BA646" s="55"/>
      <c r="BB646" s="55">
        <v>0.10240035</v>
      </c>
      <c r="BC646" s="55">
        <v>6.2879248000000004E-5</v>
      </c>
      <c r="BD646" s="55">
        <v>1.9741717000000001</v>
      </c>
      <c r="BE646" s="55">
        <v>2.0838026E-4</v>
      </c>
      <c r="BF646" s="55"/>
      <c r="BG646" s="55"/>
      <c r="BH646" s="55"/>
      <c r="BI646" s="55"/>
      <c r="BJ646" s="55"/>
      <c r="BK646" s="78">
        <v>0</v>
      </c>
      <c r="BL646" s="45" t="s">
        <v>592</v>
      </c>
      <c r="BM646" s="45" t="s">
        <v>593</v>
      </c>
    </row>
    <row r="647" spans="1:65" x14ac:dyDescent="0.35">
      <c r="A647" s="45" t="str">
        <f>Database_Productkaarten[[#This Row],[Product]]&amp;", "&amp;Database_Productkaarten[[#This Row],[Levensfase]]</f>
        <v>Thermoplast markering, A2</v>
      </c>
      <c r="B647" s="13" t="s">
        <v>545</v>
      </c>
      <c r="C647" s="13" t="s">
        <v>544</v>
      </c>
      <c r="D647" s="45" t="s">
        <v>564</v>
      </c>
      <c r="E647" s="45" t="s">
        <v>538</v>
      </c>
      <c r="F647" s="45" t="s">
        <v>20</v>
      </c>
      <c r="G647" s="45">
        <v>1</v>
      </c>
      <c r="H647" s="45">
        <v>1</v>
      </c>
      <c r="I647" s="45">
        <v>3.0000000000000001E-3</v>
      </c>
      <c r="J647" s="45"/>
      <c r="K647" s="45"/>
      <c r="L647" s="45">
        <v>2E-3</v>
      </c>
      <c r="M647" s="54"/>
      <c r="N647" s="45">
        <v>12</v>
      </c>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c r="BI647" s="55"/>
      <c r="BJ647" s="55"/>
      <c r="BK647" s="78">
        <v>0</v>
      </c>
      <c r="BL647" s="45" t="s">
        <v>592</v>
      </c>
      <c r="BM647" s="45" t="s">
        <v>593</v>
      </c>
    </row>
    <row r="648" spans="1:65" x14ac:dyDescent="0.35">
      <c r="A648" s="45" t="str">
        <f>Database_Productkaarten[[#This Row],[Product]]&amp;", "&amp;Database_Productkaarten[[#This Row],[Levensfase]]</f>
        <v>Thermoplast markering, A3</v>
      </c>
      <c r="B648" s="13" t="s">
        <v>545</v>
      </c>
      <c r="C648" s="13" t="s">
        <v>544</v>
      </c>
      <c r="D648" s="45" t="s">
        <v>564</v>
      </c>
      <c r="E648" s="45" t="s">
        <v>538</v>
      </c>
      <c r="F648" s="45" t="s">
        <v>21</v>
      </c>
      <c r="G648" s="45">
        <v>1</v>
      </c>
      <c r="H648" s="45">
        <v>1</v>
      </c>
      <c r="I648" s="45">
        <v>3.0000000000000001E-3</v>
      </c>
      <c r="J648" s="45"/>
      <c r="K648" s="45"/>
      <c r="L648" s="45">
        <v>2E-3</v>
      </c>
      <c r="M648" s="54">
        <v>3.8390970000000001E-4</v>
      </c>
      <c r="N648" s="45">
        <v>12</v>
      </c>
      <c r="O648" s="55">
        <v>2.1101405999999999E-8</v>
      </c>
      <c r="P648" s="55">
        <v>3.8885062000000001E-5</v>
      </c>
      <c r="Q648" s="55">
        <v>5.1672235999999996E-3</v>
      </c>
      <c r="R648" s="55">
        <v>2.5512560000000002E-10</v>
      </c>
      <c r="S648" s="55">
        <v>7.6962333999999997E-7</v>
      </c>
      <c r="T648" s="55">
        <v>9.6766962000000006E-6</v>
      </c>
      <c r="U648" s="55">
        <v>1.9908218999999999E-6</v>
      </c>
      <c r="V648" s="55">
        <v>5.8140660000000001E-4</v>
      </c>
      <c r="W648" s="55">
        <v>1.6030655199999999E-5</v>
      </c>
      <c r="X648" s="55">
        <v>6.7648094000000006E-2</v>
      </c>
      <c r="Y648" s="55">
        <v>2.633533E-5</v>
      </c>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v>7.3983401999999998E-3</v>
      </c>
      <c r="AV648" s="55"/>
      <c r="AW648" s="55"/>
      <c r="AX648" s="55">
        <v>7.3480961999999997E-2</v>
      </c>
      <c r="AY648" s="55"/>
      <c r="AZ648" s="55"/>
      <c r="BA648" s="55"/>
      <c r="BB648" s="55">
        <v>4.2094174000000003E-5</v>
      </c>
      <c r="BC648" s="55">
        <v>5.2922961999999998E-8</v>
      </c>
      <c r="BD648" s="55">
        <v>2.0228461999999999E-4</v>
      </c>
      <c r="BE648" s="55">
        <v>1.4191030000000001E-7</v>
      </c>
      <c r="BF648" s="55"/>
      <c r="BG648" s="55"/>
      <c r="BH648" s="55"/>
      <c r="BI648" s="55"/>
      <c r="BJ648" s="55"/>
      <c r="BK648" s="78">
        <v>0</v>
      </c>
      <c r="BL648" s="45" t="s">
        <v>592</v>
      </c>
      <c r="BM648" s="45" t="s">
        <v>593</v>
      </c>
    </row>
    <row r="649" spans="1:65" x14ac:dyDescent="0.35">
      <c r="A649" s="45" t="str">
        <f>Database_Productkaarten[[#This Row],[Product]]&amp;", "&amp;Database_Productkaarten[[#This Row],[Levensfase]]</f>
        <v>Thermoplast markering, A4</v>
      </c>
      <c r="B649" s="13" t="s">
        <v>545</v>
      </c>
      <c r="C649" s="13" t="s">
        <v>544</v>
      </c>
      <c r="D649" s="45" t="s">
        <v>564</v>
      </c>
      <c r="E649" s="45" t="s">
        <v>538</v>
      </c>
      <c r="F649" s="45" t="s">
        <v>22</v>
      </c>
      <c r="G649" s="45">
        <v>1</v>
      </c>
      <c r="H649" s="45">
        <v>1</v>
      </c>
      <c r="I649" s="45">
        <v>3.0000000000000001E-3</v>
      </c>
      <c r="J649" s="45"/>
      <c r="K649" s="45"/>
      <c r="L649" s="45">
        <v>2E-3</v>
      </c>
      <c r="M649" s="54">
        <v>2.8E-3</v>
      </c>
      <c r="N649" s="45">
        <v>12</v>
      </c>
      <c r="O649" s="55">
        <v>4.8599999999999998E-8</v>
      </c>
      <c r="P649" s="55">
        <v>1.918E-4</v>
      </c>
      <c r="Q649" s="55">
        <v>2.53E-2</v>
      </c>
      <c r="R649" s="55">
        <v>5.04E-9</v>
      </c>
      <c r="S649" s="55" t="s">
        <v>565</v>
      </c>
      <c r="T649" s="55" t="s">
        <v>566</v>
      </c>
      <c r="U649" s="55" t="s">
        <v>567</v>
      </c>
      <c r="V649" s="55">
        <v>8.8999999999999999E-3</v>
      </c>
      <c r="W649" s="55" t="s">
        <v>568</v>
      </c>
      <c r="X649" s="55">
        <v>1.5065</v>
      </c>
      <c r="Y649" s="55" t="s">
        <v>569</v>
      </c>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c r="BA649" s="55"/>
      <c r="BB649" s="55"/>
      <c r="BC649" s="55"/>
      <c r="BD649" s="55"/>
      <c r="BE649" s="55"/>
      <c r="BF649" s="55"/>
      <c r="BG649" s="55"/>
      <c r="BH649" s="55"/>
      <c r="BI649" s="55"/>
      <c r="BJ649" s="55"/>
      <c r="BK649" s="78">
        <v>0</v>
      </c>
      <c r="BL649" s="45" t="s">
        <v>592</v>
      </c>
      <c r="BM649" s="45" t="s">
        <v>593</v>
      </c>
    </row>
    <row r="650" spans="1:65" x14ac:dyDescent="0.35">
      <c r="A650" s="45" t="str">
        <f>Database_Productkaarten[[#This Row],[Product]]&amp;", "&amp;Database_Productkaarten[[#This Row],[Levensfase]]</f>
        <v>Thermoplast markering, A5</v>
      </c>
      <c r="B650" s="13" t="s">
        <v>545</v>
      </c>
      <c r="C650" s="13" t="s">
        <v>544</v>
      </c>
      <c r="D650" s="45" t="s">
        <v>564</v>
      </c>
      <c r="E650" s="45" t="s">
        <v>538</v>
      </c>
      <c r="F650" s="45" t="s">
        <v>23</v>
      </c>
      <c r="G650" s="45">
        <v>1</v>
      </c>
      <c r="H650" s="45">
        <v>1</v>
      </c>
      <c r="I650" s="45">
        <v>3.0000000000000001E-3</v>
      </c>
      <c r="J650" s="45"/>
      <c r="K650" s="45"/>
      <c r="L650" s="45">
        <v>2E-3</v>
      </c>
      <c r="M650" s="54">
        <v>3.4099999999999998E-2</v>
      </c>
      <c r="N650" s="45">
        <v>12</v>
      </c>
      <c r="O650" s="55">
        <v>5.3379999999999998E-7</v>
      </c>
      <c r="P650" s="55">
        <v>1.5E-3</v>
      </c>
      <c r="Q650" s="55">
        <v>0.20419999999999999</v>
      </c>
      <c r="R650" s="55">
        <v>2.6869999999999998E-8</v>
      </c>
      <c r="S650" s="55" t="s">
        <v>570</v>
      </c>
      <c r="T650" s="55">
        <v>1.6999999999999999E-3</v>
      </c>
      <c r="U650" s="55" t="s">
        <v>571</v>
      </c>
      <c r="V650" s="55">
        <v>0.14119999999999999</v>
      </c>
      <c r="W650" s="55">
        <v>2.8500000000000001E-2</v>
      </c>
      <c r="X650" s="55">
        <v>14.469200000000001</v>
      </c>
      <c r="Y650" s="55" t="s">
        <v>572</v>
      </c>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c r="BA650" s="55"/>
      <c r="BB650" s="55"/>
      <c r="BC650" s="55"/>
      <c r="BD650" s="55"/>
      <c r="BE650" s="55"/>
      <c r="BF650" s="55"/>
      <c r="BG650" s="55"/>
      <c r="BH650" s="55"/>
      <c r="BI650" s="55"/>
      <c r="BJ650" s="55"/>
      <c r="BK650" s="78">
        <v>0</v>
      </c>
      <c r="BL650" s="45" t="s">
        <v>592</v>
      </c>
      <c r="BM650" s="45" t="s">
        <v>593</v>
      </c>
    </row>
    <row r="651" spans="1:65" x14ac:dyDescent="0.35">
      <c r="A651" s="45" t="str">
        <f>Database_Productkaarten[[#This Row],[Product]]&amp;", "&amp;Database_Productkaarten[[#This Row],[Levensfase]]</f>
        <v>Thermoplast markering, B1</v>
      </c>
      <c r="B651" s="13" t="s">
        <v>545</v>
      </c>
      <c r="C651" s="13" t="s">
        <v>544</v>
      </c>
      <c r="D651" s="45" t="s">
        <v>564</v>
      </c>
      <c r="E651" s="45" t="s">
        <v>538</v>
      </c>
      <c r="F651" s="45" t="s">
        <v>24</v>
      </c>
      <c r="G651" s="45">
        <v>1</v>
      </c>
      <c r="H651" s="45">
        <v>1</v>
      </c>
      <c r="I651" s="45">
        <v>3.0000000000000001E-3</v>
      </c>
      <c r="J651" s="45"/>
      <c r="K651" s="45"/>
      <c r="L651" s="45">
        <v>2E-3</v>
      </c>
      <c r="M651" s="54"/>
      <c r="N651" s="45">
        <v>12</v>
      </c>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c r="BA651" s="55"/>
      <c r="BB651" s="55"/>
      <c r="BC651" s="55"/>
      <c r="BD651" s="55"/>
      <c r="BE651" s="55"/>
      <c r="BF651" s="55"/>
      <c r="BG651" s="55"/>
      <c r="BH651" s="55"/>
      <c r="BI651" s="55"/>
      <c r="BJ651" s="55"/>
      <c r="BK651" s="78">
        <v>0</v>
      </c>
      <c r="BL651" s="45" t="s">
        <v>592</v>
      </c>
      <c r="BM651" s="45" t="s">
        <v>593</v>
      </c>
    </row>
    <row r="652" spans="1:65" x14ac:dyDescent="0.35">
      <c r="A652" s="45" t="str">
        <f>Database_Productkaarten[[#This Row],[Product]]&amp;", "&amp;Database_Productkaarten[[#This Row],[Levensfase]]</f>
        <v>Thermoplast markering, C1</v>
      </c>
      <c r="B652" s="13" t="s">
        <v>545</v>
      </c>
      <c r="C652" s="13" t="s">
        <v>544</v>
      </c>
      <c r="D652" s="45" t="s">
        <v>564</v>
      </c>
      <c r="E652" s="45" t="s">
        <v>538</v>
      </c>
      <c r="F652" s="45" t="s">
        <v>25</v>
      </c>
      <c r="G652" s="45">
        <v>1</v>
      </c>
      <c r="H652" s="45">
        <v>1</v>
      </c>
      <c r="I652" s="45">
        <v>3.0000000000000001E-3</v>
      </c>
      <c r="J652" s="45"/>
      <c r="K652" s="45"/>
      <c r="L652" s="45">
        <v>2E-3</v>
      </c>
      <c r="M652" s="54">
        <v>6.4000000000000003E-3</v>
      </c>
      <c r="N652" s="45">
        <v>12</v>
      </c>
      <c r="O652" s="55">
        <v>3.2199999999999997E-8</v>
      </c>
      <c r="P652" s="55">
        <v>4.6999999999999999E-4</v>
      </c>
      <c r="Q652" s="55">
        <v>6.88E-2</v>
      </c>
      <c r="R652" s="55">
        <v>1.198E-8</v>
      </c>
      <c r="S652" s="55" t="s">
        <v>573</v>
      </c>
      <c r="T652" s="55" t="s">
        <v>574</v>
      </c>
      <c r="U652" s="55" t="s">
        <v>575</v>
      </c>
      <c r="V652" s="55">
        <v>1.7000000000000001E-2</v>
      </c>
      <c r="W652" s="55" t="s">
        <v>576</v>
      </c>
      <c r="X652" s="55">
        <v>1.1285000000000001</v>
      </c>
      <c r="Y652" s="55" t="s">
        <v>577</v>
      </c>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c r="BA652" s="55"/>
      <c r="BB652" s="55"/>
      <c r="BC652" s="55"/>
      <c r="BD652" s="55"/>
      <c r="BE652" s="55"/>
      <c r="BF652" s="55"/>
      <c r="BG652" s="55"/>
      <c r="BH652" s="55"/>
      <c r="BI652" s="55"/>
      <c r="BJ652" s="55"/>
      <c r="BK652" s="78">
        <v>0</v>
      </c>
      <c r="BL652" s="45" t="s">
        <v>592</v>
      </c>
      <c r="BM652" s="45" t="s">
        <v>593</v>
      </c>
    </row>
    <row r="653" spans="1:65" x14ac:dyDescent="0.35">
      <c r="A653" s="45" t="str">
        <f>Database_Productkaarten[[#This Row],[Product]]&amp;", "&amp;Database_Productkaarten[[#This Row],[Levensfase]]</f>
        <v>Thermoplast markering, C2</v>
      </c>
      <c r="B653" s="13" t="s">
        <v>545</v>
      </c>
      <c r="C653" s="13" t="s">
        <v>544</v>
      </c>
      <c r="D653" s="45" t="s">
        <v>564</v>
      </c>
      <c r="E653" s="45" t="s">
        <v>538</v>
      </c>
      <c r="F653" s="45" t="s">
        <v>26</v>
      </c>
      <c r="G653" s="45">
        <v>1</v>
      </c>
      <c r="H653" s="45">
        <v>1</v>
      </c>
      <c r="I653" s="45">
        <v>3.0000000000000001E-3</v>
      </c>
      <c r="J653" s="45"/>
      <c r="K653" s="45"/>
      <c r="L653" s="45">
        <v>2E-3</v>
      </c>
      <c r="M653" s="54">
        <v>2.8E-3</v>
      </c>
      <c r="N653" s="45">
        <v>12</v>
      </c>
      <c r="O653" s="55">
        <v>4.779E-8</v>
      </c>
      <c r="P653" s="55">
        <v>1.886E-4</v>
      </c>
      <c r="Q653" s="55">
        <v>2.4899999999999999E-2</v>
      </c>
      <c r="R653" s="55">
        <v>4.9559999999999998E-9</v>
      </c>
      <c r="S653" s="55" t="s">
        <v>578</v>
      </c>
      <c r="T653" s="55" t="s">
        <v>579</v>
      </c>
      <c r="U653" s="55" t="s">
        <v>580</v>
      </c>
      <c r="V653" s="55">
        <v>8.8000000000000005E-3</v>
      </c>
      <c r="W653" s="55" t="s">
        <v>581</v>
      </c>
      <c r="X653" s="55">
        <v>1.4814000000000001</v>
      </c>
      <c r="Y653" s="55" t="s">
        <v>582</v>
      </c>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c r="BA653" s="55"/>
      <c r="BB653" s="55"/>
      <c r="BC653" s="55"/>
      <c r="BD653" s="55"/>
      <c r="BE653" s="55"/>
      <c r="BF653" s="55"/>
      <c r="BG653" s="55"/>
      <c r="BH653" s="55"/>
      <c r="BI653" s="55"/>
      <c r="BJ653" s="55"/>
      <c r="BK653" s="78">
        <v>0</v>
      </c>
      <c r="BL653" s="45" t="s">
        <v>592</v>
      </c>
      <c r="BM653" s="45" t="s">
        <v>593</v>
      </c>
    </row>
    <row r="654" spans="1:65" x14ac:dyDescent="0.35">
      <c r="A654" s="45" t="str">
        <f>Database_Productkaarten[[#This Row],[Product]]&amp;", "&amp;Database_Productkaarten[[#This Row],[Levensfase]]</f>
        <v>Thermoplast markering, C3</v>
      </c>
      <c r="B654" s="13" t="s">
        <v>545</v>
      </c>
      <c r="C654" s="13" t="s">
        <v>544</v>
      </c>
      <c r="D654" s="45" t="s">
        <v>564</v>
      </c>
      <c r="E654" s="45" t="s">
        <v>538</v>
      </c>
      <c r="F654" s="45" t="s">
        <v>27</v>
      </c>
      <c r="G654" s="45">
        <v>1</v>
      </c>
      <c r="H654" s="45">
        <v>1</v>
      </c>
      <c r="I654" s="45">
        <v>3.0000000000000001E-3</v>
      </c>
      <c r="J654" s="45"/>
      <c r="K654" s="45"/>
      <c r="L654" s="45">
        <v>2E-3</v>
      </c>
      <c r="M654" s="54">
        <v>2.7799999999999998E-2</v>
      </c>
      <c r="N654" s="45">
        <v>12</v>
      </c>
      <c r="O654" s="55">
        <v>8.7860000000000001E-9</v>
      </c>
      <c r="P654" s="55">
        <v>3.5479999999999999E-5</v>
      </c>
      <c r="Q654" s="55">
        <v>0.22739999999999999</v>
      </c>
      <c r="R654" s="55">
        <v>1.1969999999999999E-7</v>
      </c>
      <c r="S654" s="55" t="s">
        <v>589</v>
      </c>
      <c r="T654" s="55">
        <v>1.1999999999999999E-3</v>
      </c>
      <c r="U654" s="55">
        <v>1.1999999999999999E-3</v>
      </c>
      <c r="V654" s="55">
        <v>1.4E-2</v>
      </c>
      <c r="W654" s="55" t="s">
        <v>590</v>
      </c>
      <c r="X654" s="55">
        <v>5.1999999999999998E-3</v>
      </c>
      <c r="Y654" s="55" t="s">
        <v>591</v>
      </c>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c r="BA654" s="55"/>
      <c r="BB654" s="55"/>
      <c r="BC654" s="55"/>
      <c r="BD654" s="55"/>
      <c r="BE654" s="55"/>
      <c r="BF654" s="55"/>
      <c r="BG654" s="55"/>
      <c r="BH654" s="55"/>
      <c r="BI654" s="55"/>
      <c r="BJ654" s="55"/>
      <c r="BK654" s="78">
        <v>0</v>
      </c>
      <c r="BL654" s="45" t="s">
        <v>592</v>
      </c>
      <c r="BM654" s="45" t="s">
        <v>593</v>
      </c>
    </row>
    <row r="655" spans="1:65" x14ac:dyDescent="0.35">
      <c r="A655" s="45" t="str">
        <f>Database_Productkaarten[[#This Row],[Product]]&amp;", "&amp;Database_Productkaarten[[#This Row],[Levensfase]]</f>
        <v>Thermoplast markering, C4</v>
      </c>
      <c r="B655" s="13" t="s">
        <v>545</v>
      </c>
      <c r="C655" s="13" t="s">
        <v>544</v>
      </c>
      <c r="D655" s="45" t="s">
        <v>564</v>
      </c>
      <c r="E655" s="45" t="s">
        <v>538</v>
      </c>
      <c r="F655" s="45" t="s">
        <v>28</v>
      </c>
      <c r="G655" s="45">
        <v>1</v>
      </c>
      <c r="H655" s="45">
        <v>1</v>
      </c>
      <c r="I655" s="45">
        <v>3.0000000000000001E-3</v>
      </c>
      <c r="J655" s="45"/>
      <c r="K655" s="45"/>
      <c r="L655" s="45">
        <v>2E-3</v>
      </c>
      <c r="M655" s="54">
        <v>6.5479999999999998E-4</v>
      </c>
      <c r="N655" s="45">
        <v>12</v>
      </c>
      <c r="O655" s="55">
        <v>1.39E-9</v>
      </c>
      <c r="P655" s="55">
        <v>1.2969999999999999E-5</v>
      </c>
      <c r="Q655" s="55">
        <v>1.0200000000000001E-2</v>
      </c>
      <c r="R655" s="55">
        <v>2.8699999999999999E-10</v>
      </c>
      <c r="S655" s="55" t="s">
        <v>583</v>
      </c>
      <c r="T655" s="55" t="s">
        <v>584</v>
      </c>
      <c r="U655" s="55" t="s">
        <v>585</v>
      </c>
      <c r="V655" s="55" t="s">
        <v>586</v>
      </c>
      <c r="W655" s="55" t="s">
        <v>587</v>
      </c>
      <c r="X655" s="55">
        <v>0.31890000000000002</v>
      </c>
      <c r="Y655" s="55" t="s">
        <v>588</v>
      </c>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c r="BA655" s="55"/>
      <c r="BB655" s="55"/>
      <c r="BC655" s="55"/>
      <c r="BD655" s="55"/>
      <c r="BE655" s="55"/>
      <c r="BF655" s="55"/>
      <c r="BG655" s="55"/>
      <c r="BH655" s="55"/>
      <c r="BI655" s="55"/>
      <c r="BJ655" s="55"/>
      <c r="BK655" s="78">
        <v>0</v>
      </c>
      <c r="BL655" s="45" t="s">
        <v>592</v>
      </c>
      <c r="BM655" s="45" t="s">
        <v>593</v>
      </c>
    </row>
    <row r="656" spans="1:65" x14ac:dyDescent="0.35">
      <c r="A656" s="45" t="str">
        <f>Database_Productkaarten[[#This Row],[Product]]&amp;", "&amp;Database_Productkaarten[[#This Row],[Levensfase]]</f>
        <v>Thermoplast markering, D1</v>
      </c>
      <c r="B656" s="13" t="s">
        <v>545</v>
      </c>
      <c r="C656" s="13" t="s">
        <v>544</v>
      </c>
      <c r="D656" s="45" t="s">
        <v>564</v>
      </c>
      <c r="E656" s="45" t="s">
        <v>538</v>
      </c>
      <c r="F656" s="45" t="s">
        <v>51</v>
      </c>
      <c r="G656" s="45">
        <v>1</v>
      </c>
      <c r="H656" s="45">
        <v>1</v>
      </c>
      <c r="I656" s="45">
        <v>3.0000000000000001E-3</v>
      </c>
      <c r="J656" s="45"/>
      <c r="K656" s="45"/>
      <c r="L656" s="45">
        <v>2E-3</v>
      </c>
      <c r="M656" s="54"/>
      <c r="N656" s="45">
        <v>12</v>
      </c>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78">
        <v>0</v>
      </c>
      <c r="BL656" s="45" t="s">
        <v>592</v>
      </c>
      <c r="BM656" s="45" t="s">
        <v>593</v>
      </c>
    </row>
    <row r="657" spans="1:74" x14ac:dyDescent="0.35">
      <c r="A657" s="45" t="str">
        <f>Database_Productkaarten[[#This Row],[Product]]&amp;", "&amp;Database_Productkaarten[[#This Row],[Levensfase]]</f>
        <v>Thermoplast markering, D2</v>
      </c>
      <c r="B657" s="13" t="s">
        <v>545</v>
      </c>
      <c r="C657" s="13" t="s">
        <v>544</v>
      </c>
      <c r="D657" s="45" t="s">
        <v>564</v>
      </c>
      <c r="E657" s="45" t="s">
        <v>538</v>
      </c>
      <c r="F657" s="45" t="s">
        <v>52</v>
      </c>
      <c r="G657" s="45">
        <v>1</v>
      </c>
      <c r="H657" s="45">
        <v>1</v>
      </c>
      <c r="I657" s="45">
        <v>3.0000000000000001E-3</v>
      </c>
      <c r="J657" s="45"/>
      <c r="K657" s="45"/>
      <c r="L657" s="45">
        <v>2E-3</v>
      </c>
      <c r="M657" s="54"/>
      <c r="N657" s="45">
        <v>12</v>
      </c>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c r="BA657" s="55"/>
      <c r="BB657" s="55"/>
      <c r="BC657" s="55"/>
      <c r="BD657" s="55"/>
      <c r="BE657" s="55"/>
      <c r="BF657" s="55"/>
      <c r="BG657" s="55"/>
      <c r="BH657" s="55"/>
      <c r="BI657" s="55"/>
      <c r="BJ657" s="55"/>
      <c r="BK657" s="78">
        <v>0</v>
      </c>
      <c r="BL657" s="45" t="s">
        <v>592</v>
      </c>
      <c r="BM657" s="45" t="s">
        <v>593</v>
      </c>
    </row>
    <row r="658" spans="1:74" x14ac:dyDescent="0.35">
      <c r="A658" s="45" t="str">
        <f>Database_Productkaarten[[#This Row],[Product]]&amp;", "&amp;Database_Productkaarten[[#This Row],[Levensfase]]</f>
        <v>Plastic Road CCL200, Totaal</v>
      </c>
      <c r="B658" s="45" t="s">
        <v>617</v>
      </c>
      <c r="C658" s="13" t="s">
        <v>544</v>
      </c>
      <c r="D658" s="45" t="s">
        <v>554</v>
      </c>
      <c r="E658" s="45" t="s">
        <v>539</v>
      </c>
      <c r="F658" s="45" t="s">
        <v>16</v>
      </c>
      <c r="G658" s="45"/>
      <c r="H658" s="45"/>
      <c r="I658" s="45"/>
      <c r="J658" s="45"/>
      <c r="K658" s="45"/>
      <c r="L658" s="45">
        <v>0.04</v>
      </c>
      <c r="M658" s="54">
        <v>13.37</v>
      </c>
      <c r="N658" s="45">
        <v>50</v>
      </c>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c r="BA658" s="55"/>
      <c r="BB658" s="55"/>
      <c r="BC658" s="55"/>
      <c r="BD658" s="55"/>
      <c r="BE658" s="55"/>
      <c r="BF658" s="55"/>
      <c r="BG658" s="55"/>
      <c r="BH658" s="55"/>
      <c r="BI658" s="55"/>
      <c r="BJ658" s="55"/>
      <c r="BK658" s="78">
        <v>0.38119999999999998</v>
      </c>
      <c r="BL658" s="45"/>
      <c r="BM658" s="45"/>
    </row>
    <row r="659" spans="1:74" x14ac:dyDescent="0.35">
      <c r="A659" s="45" t="str">
        <f>Database_Productkaarten[[#This Row],[Product]]&amp;", "&amp;Database_Productkaarten[[#This Row],[Levensfase]]</f>
        <v>Plastic Road CCL200, A1</v>
      </c>
      <c r="B659" s="45" t="s">
        <v>617</v>
      </c>
      <c r="C659" s="13" t="s">
        <v>544</v>
      </c>
      <c r="D659" s="45" t="s">
        <v>554</v>
      </c>
      <c r="E659" s="45" t="s">
        <v>539</v>
      </c>
      <c r="F659" s="45" t="s">
        <v>19</v>
      </c>
      <c r="G659" s="45"/>
      <c r="H659" s="45"/>
      <c r="I659" s="45"/>
      <c r="J659" s="45"/>
      <c r="K659" s="45"/>
      <c r="L659" s="45">
        <v>0.04</v>
      </c>
      <c r="M659" s="54">
        <v>8.66</v>
      </c>
      <c r="N659" s="45">
        <v>50</v>
      </c>
      <c r="O659" s="55"/>
      <c r="P659" s="55"/>
      <c r="Q659" s="55">
        <v>75.2</v>
      </c>
      <c r="R659" s="55"/>
      <c r="S659" s="55"/>
      <c r="T659" s="55"/>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c r="BA659" s="55"/>
      <c r="BB659" s="55"/>
      <c r="BC659" s="55"/>
      <c r="BD659" s="55"/>
      <c r="BE659" s="55"/>
      <c r="BF659" s="55"/>
      <c r="BG659" s="55"/>
      <c r="BH659" s="55"/>
      <c r="BI659" s="55"/>
      <c r="BJ659" s="55"/>
      <c r="BK659" s="78">
        <v>0.38119999999999998</v>
      </c>
      <c r="BL659" s="45"/>
      <c r="BM659" s="45" t="s">
        <v>611</v>
      </c>
    </row>
    <row r="660" spans="1:74" x14ac:dyDescent="0.35">
      <c r="A660" s="45" t="str">
        <f>Database_Productkaarten[[#This Row],[Product]]&amp;", "&amp;Database_Productkaarten[[#This Row],[Levensfase]]</f>
        <v>Plastic Road CCL200, A2</v>
      </c>
      <c r="B660" s="45" t="s">
        <v>617</v>
      </c>
      <c r="C660" s="13" t="s">
        <v>544</v>
      </c>
      <c r="D660" s="45" t="s">
        <v>554</v>
      </c>
      <c r="E660" s="45" t="s">
        <v>539</v>
      </c>
      <c r="F660" s="45" t="s">
        <v>20</v>
      </c>
      <c r="G660" s="45"/>
      <c r="H660" s="45"/>
      <c r="I660" s="45"/>
      <c r="J660" s="45"/>
      <c r="K660" s="45"/>
      <c r="L660" s="45">
        <v>0.04</v>
      </c>
      <c r="M660" s="54">
        <v>0.25</v>
      </c>
      <c r="N660" s="45">
        <v>50</v>
      </c>
      <c r="O660" s="55"/>
      <c r="P660" s="55"/>
      <c r="Q660" s="55">
        <v>2.1</v>
      </c>
      <c r="R660" s="55"/>
      <c r="S660" s="55"/>
      <c r="T660" s="55"/>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c r="BA660" s="55"/>
      <c r="BB660" s="55"/>
      <c r="BC660" s="55"/>
      <c r="BD660" s="55"/>
      <c r="BE660" s="55"/>
      <c r="BF660" s="55"/>
      <c r="BG660" s="55"/>
      <c r="BH660" s="55"/>
      <c r="BI660" s="55"/>
      <c r="BJ660" s="55"/>
      <c r="BK660" s="78">
        <v>0.38119999999999998</v>
      </c>
      <c r="BL660" s="45"/>
      <c r="BM660" s="45"/>
    </row>
    <row r="661" spans="1:74" x14ac:dyDescent="0.35">
      <c r="A661" s="45" t="str">
        <f>Database_Productkaarten[[#This Row],[Product]]&amp;", "&amp;Database_Productkaarten[[#This Row],[Levensfase]]</f>
        <v>Plastic Road CCL200, A3</v>
      </c>
      <c r="B661" s="45" t="s">
        <v>617</v>
      </c>
      <c r="C661" s="13" t="s">
        <v>544</v>
      </c>
      <c r="D661" s="45" t="s">
        <v>554</v>
      </c>
      <c r="E661" s="45" t="s">
        <v>539</v>
      </c>
      <c r="F661" s="45" t="s">
        <v>21</v>
      </c>
      <c r="G661" s="45"/>
      <c r="H661" s="45"/>
      <c r="I661" s="45"/>
      <c r="J661" s="45"/>
      <c r="K661" s="45"/>
      <c r="L661" s="45">
        <v>0.04</v>
      </c>
      <c r="M661" s="54">
        <v>1.98</v>
      </c>
      <c r="N661" s="45">
        <v>50</v>
      </c>
      <c r="O661" s="55"/>
      <c r="P661" s="55"/>
      <c r="Q661" s="55">
        <v>20</v>
      </c>
      <c r="R661" s="55"/>
      <c r="S661" s="55"/>
      <c r="T661" s="55"/>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c r="BA661" s="55"/>
      <c r="BB661" s="55"/>
      <c r="BC661" s="55"/>
      <c r="BD661" s="55"/>
      <c r="BE661" s="55"/>
      <c r="BF661" s="55"/>
      <c r="BG661" s="55"/>
      <c r="BH661" s="55"/>
      <c r="BI661" s="55"/>
      <c r="BJ661" s="55"/>
      <c r="BK661" s="78">
        <v>0.38119999999999998</v>
      </c>
      <c r="BL661" s="45"/>
      <c r="BM661" s="45"/>
    </row>
    <row r="662" spans="1:74" x14ac:dyDescent="0.35">
      <c r="A662" s="45" t="str">
        <f>Database_Productkaarten[[#This Row],[Product]]&amp;", "&amp;Database_Productkaarten[[#This Row],[Levensfase]]</f>
        <v>Plastic Road CCL200, A4</v>
      </c>
      <c r="B662" s="45" t="s">
        <v>617</v>
      </c>
      <c r="C662" s="13" t="s">
        <v>544</v>
      </c>
      <c r="D662" s="45" t="s">
        <v>554</v>
      </c>
      <c r="E662" s="45" t="s">
        <v>539</v>
      </c>
      <c r="F662" s="45" t="s">
        <v>22</v>
      </c>
      <c r="G662" s="45"/>
      <c r="H662" s="45"/>
      <c r="I662" s="45"/>
      <c r="J662" s="45"/>
      <c r="K662" s="45"/>
      <c r="L662" s="45">
        <v>0.04</v>
      </c>
      <c r="M662" s="54">
        <v>0.09</v>
      </c>
      <c r="N662" s="45">
        <v>50</v>
      </c>
      <c r="O662" s="55"/>
      <c r="P662" s="55"/>
      <c r="Q662" s="55">
        <v>0.77300000000000002</v>
      </c>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c r="BI662" s="55"/>
      <c r="BJ662" s="55"/>
      <c r="BK662" s="78">
        <v>0.38119999999999998</v>
      </c>
      <c r="BL662" s="45"/>
      <c r="BM662" s="45" t="s">
        <v>611</v>
      </c>
    </row>
    <row r="663" spans="1:74" x14ac:dyDescent="0.35">
      <c r="A663" s="45" t="str">
        <f>Database_Productkaarten[[#This Row],[Product]]&amp;", "&amp;Database_Productkaarten[[#This Row],[Levensfase]]</f>
        <v>Plastic Road CCL200, A5</v>
      </c>
      <c r="B663" s="45" t="s">
        <v>617</v>
      </c>
      <c r="C663" s="13" t="s">
        <v>544</v>
      </c>
      <c r="D663" s="45" t="s">
        <v>554</v>
      </c>
      <c r="E663" s="45" t="s">
        <v>539</v>
      </c>
      <c r="F663" s="45" t="s">
        <v>23</v>
      </c>
      <c r="G663" s="45"/>
      <c r="H663" s="45"/>
      <c r="I663" s="45"/>
      <c r="J663" s="45"/>
      <c r="K663" s="45"/>
      <c r="L663" s="45">
        <v>0.04</v>
      </c>
      <c r="M663" s="54">
        <v>0.55000000000000004</v>
      </c>
      <c r="N663" s="45">
        <v>50</v>
      </c>
      <c r="O663" s="55"/>
      <c r="P663" s="55"/>
      <c r="Q663" s="55">
        <v>5.25</v>
      </c>
      <c r="R663" s="55"/>
      <c r="S663" s="55"/>
      <c r="T663" s="55"/>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c r="BA663" s="55"/>
      <c r="BB663" s="55"/>
      <c r="BC663" s="55"/>
      <c r="BD663" s="55"/>
      <c r="BE663" s="55"/>
      <c r="BF663" s="55"/>
      <c r="BG663" s="55"/>
      <c r="BH663" s="55"/>
      <c r="BI663" s="55"/>
      <c r="BJ663" s="55"/>
      <c r="BK663" s="78">
        <v>0.38119999999999998</v>
      </c>
      <c r="BL663" s="45"/>
      <c r="BM663" s="45" t="s">
        <v>610</v>
      </c>
    </row>
    <row r="664" spans="1:74" x14ac:dyDescent="0.35">
      <c r="A664" s="45" t="str">
        <f>Database_Productkaarten[[#This Row],[Product]]&amp;", "&amp;Database_Productkaarten[[#This Row],[Levensfase]]</f>
        <v>Plastic Road CCL200, B1</v>
      </c>
      <c r="B664" s="45" t="s">
        <v>617</v>
      </c>
      <c r="C664" s="13" t="s">
        <v>544</v>
      </c>
      <c r="D664" s="45" t="s">
        <v>554</v>
      </c>
      <c r="E664" s="45" t="s">
        <v>539</v>
      </c>
      <c r="F664" s="45" t="s">
        <v>24</v>
      </c>
      <c r="G664" s="45"/>
      <c r="H664" s="45"/>
      <c r="I664" s="45"/>
      <c r="J664" s="45"/>
      <c r="K664" s="45"/>
      <c r="L664" s="45">
        <v>0.04</v>
      </c>
      <c r="M664" s="54">
        <v>0</v>
      </c>
      <c r="N664" s="45">
        <v>50</v>
      </c>
      <c r="O664" s="55"/>
      <c r="P664" s="55"/>
      <c r="Q664" s="55">
        <v>0</v>
      </c>
      <c r="R664" s="55"/>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c r="BA664" s="55"/>
      <c r="BB664" s="55"/>
      <c r="BC664" s="55"/>
      <c r="BD664" s="55"/>
      <c r="BE664" s="55"/>
      <c r="BF664" s="55"/>
      <c r="BG664" s="55"/>
      <c r="BH664" s="55"/>
      <c r="BI664" s="55"/>
      <c r="BJ664" s="55"/>
      <c r="BK664" s="78">
        <v>0.38119999999999998</v>
      </c>
      <c r="BL664" s="45"/>
      <c r="BM664" s="45"/>
    </row>
    <row r="665" spans="1:74" x14ac:dyDescent="0.35">
      <c r="A665" s="45" t="str">
        <f>Database_Productkaarten[[#This Row],[Product]]&amp;", "&amp;Database_Productkaarten[[#This Row],[Levensfase]]</f>
        <v>Plastic Road CCL200, C1</v>
      </c>
      <c r="B665" s="45" t="s">
        <v>617</v>
      </c>
      <c r="C665" s="13" t="s">
        <v>544</v>
      </c>
      <c r="D665" s="45" t="s">
        <v>554</v>
      </c>
      <c r="E665" s="45" t="s">
        <v>539</v>
      </c>
      <c r="F665" s="45" t="s">
        <v>25</v>
      </c>
      <c r="G665" s="45"/>
      <c r="H665" s="45"/>
      <c r="I665" s="45"/>
      <c r="J665" s="45"/>
      <c r="K665" s="45"/>
      <c r="L665" s="45">
        <v>0.04</v>
      </c>
      <c r="M665" s="54">
        <v>0.04</v>
      </c>
      <c r="N665" s="45">
        <v>50</v>
      </c>
      <c r="O665" s="55"/>
      <c r="P665" s="55"/>
      <c r="Q665" s="55">
        <v>0.45700000000000002</v>
      </c>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78">
        <v>0.38119999999999998</v>
      </c>
      <c r="BL665" s="45"/>
      <c r="BM665" s="45" t="s">
        <v>610</v>
      </c>
    </row>
    <row r="666" spans="1:74" x14ac:dyDescent="0.35">
      <c r="A666" s="45" t="str">
        <f>Database_Productkaarten[[#This Row],[Product]]&amp;", "&amp;Database_Productkaarten[[#This Row],[Levensfase]]</f>
        <v>Plastic Road CCL200, C2</v>
      </c>
      <c r="B666" s="45" t="s">
        <v>617</v>
      </c>
      <c r="C666" s="13" t="s">
        <v>544</v>
      </c>
      <c r="D666" s="45" t="s">
        <v>554</v>
      </c>
      <c r="E666" s="45" t="s">
        <v>539</v>
      </c>
      <c r="F666" s="45" t="s">
        <v>26</v>
      </c>
      <c r="G666" s="45"/>
      <c r="H666" s="45"/>
      <c r="I666" s="45"/>
      <c r="J666" s="45"/>
      <c r="K666" s="45"/>
      <c r="L666" s="45">
        <v>0.04</v>
      </c>
      <c r="M666" s="54">
        <v>0.05</v>
      </c>
      <c r="N666" s="45">
        <v>50</v>
      </c>
      <c r="O666" s="55"/>
      <c r="P666" s="55"/>
      <c r="Q666" s="55">
        <v>0.42399999999999999</v>
      </c>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78">
        <v>0.38119999999999998</v>
      </c>
      <c r="BL666" s="45"/>
      <c r="BM666" s="45"/>
    </row>
    <row r="667" spans="1:74" x14ac:dyDescent="0.35">
      <c r="A667" s="45" t="str">
        <f>Database_Productkaarten[[#This Row],[Product]]&amp;", "&amp;Database_Productkaarten[[#This Row],[Levensfase]]</f>
        <v>Plastic Road CCL200, C3</v>
      </c>
      <c r="B667" s="45" t="s">
        <v>617</v>
      </c>
      <c r="C667" s="13" t="s">
        <v>544</v>
      </c>
      <c r="D667" s="45" t="s">
        <v>554</v>
      </c>
      <c r="E667" s="45" t="s">
        <v>539</v>
      </c>
      <c r="F667" s="45" t="s">
        <v>27</v>
      </c>
      <c r="G667" s="45"/>
      <c r="H667" s="45"/>
      <c r="I667" s="45"/>
      <c r="J667" s="45"/>
      <c r="K667" s="45"/>
      <c r="L667" s="45">
        <v>0.04</v>
      </c>
      <c r="M667" s="54">
        <v>2.61</v>
      </c>
      <c r="N667" s="45">
        <v>50</v>
      </c>
      <c r="O667" s="55"/>
      <c r="P667" s="55"/>
      <c r="Q667" s="55">
        <v>36.799999999999997</v>
      </c>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78">
        <v>0.38119999999999998</v>
      </c>
      <c r="BL667" s="45"/>
      <c r="BM667" s="45"/>
    </row>
    <row r="668" spans="1:74" x14ac:dyDescent="0.35">
      <c r="A668" s="45" t="str">
        <f>Database_Productkaarten[[#This Row],[Product]]&amp;", "&amp;Database_Productkaarten[[#This Row],[Levensfase]]</f>
        <v>Plastic Road CCL200, C4</v>
      </c>
      <c r="B668" s="45" t="s">
        <v>617</v>
      </c>
      <c r="C668" s="13" t="s">
        <v>544</v>
      </c>
      <c r="D668" s="45" t="s">
        <v>554</v>
      </c>
      <c r="E668" s="45" t="s">
        <v>539</v>
      </c>
      <c r="F668" s="45" t="s">
        <v>28</v>
      </c>
      <c r="G668" s="45"/>
      <c r="H668" s="45"/>
      <c r="I668" s="45"/>
      <c r="J668" s="45"/>
      <c r="K668" s="45"/>
      <c r="L668" s="45">
        <v>0.04</v>
      </c>
      <c r="M668" s="54">
        <v>0.01</v>
      </c>
      <c r="N668" s="45">
        <v>50</v>
      </c>
      <c r="O668" s="55"/>
      <c r="P668" s="55"/>
      <c r="Q668" s="55">
        <v>0.127</v>
      </c>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78">
        <v>0.38119999999999998</v>
      </c>
      <c r="BL668" s="45"/>
      <c r="BM668" s="45"/>
    </row>
    <row r="669" spans="1:74" x14ac:dyDescent="0.35">
      <c r="A669" s="45" t="str">
        <f>Database_Productkaarten[[#This Row],[Product]]&amp;", "&amp;Database_Productkaarten[[#This Row],[Levensfase]]</f>
        <v>Plastic Road CCL200, D1</v>
      </c>
      <c r="B669" s="45" t="s">
        <v>617</v>
      </c>
      <c r="C669" s="13" t="s">
        <v>544</v>
      </c>
      <c r="D669" s="45" t="s">
        <v>554</v>
      </c>
      <c r="E669" s="45" t="s">
        <v>539</v>
      </c>
      <c r="F669" s="45" t="s">
        <v>51</v>
      </c>
      <c r="G669" s="45"/>
      <c r="H669" s="45"/>
      <c r="I669" s="45"/>
      <c r="J669" s="45"/>
      <c r="K669" s="45"/>
      <c r="L669" s="45">
        <v>0.04</v>
      </c>
      <c r="M669" s="54">
        <v>-0.87</v>
      </c>
      <c r="N669" s="45">
        <v>50</v>
      </c>
      <c r="O669" s="55"/>
      <c r="P669" s="55"/>
      <c r="Q669" s="55">
        <v>-14.6</v>
      </c>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78">
        <v>0.38119999999999998</v>
      </c>
      <c r="BL669" s="45"/>
      <c r="BM669" s="45"/>
      <c r="BV669" s="41">
        <f>39.461-22.5-1.571-0.264-0.003-0.025-0.008-0.008-0.025-0.014</f>
        <v>15.043000000000001</v>
      </c>
    </row>
    <row r="670" spans="1:74" x14ac:dyDescent="0.35">
      <c r="A670" s="45" t="str">
        <f>Database_Productkaarten[[#This Row],[Product]]&amp;", "&amp;Database_Productkaarten[[#This Row],[Levensfase]]</f>
        <v>Plastic Road CCL200, D2</v>
      </c>
      <c r="B670" s="45" t="s">
        <v>617</v>
      </c>
      <c r="C670" s="13" t="s">
        <v>544</v>
      </c>
      <c r="D670" s="45" t="s">
        <v>554</v>
      </c>
      <c r="E670" s="45" t="s">
        <v>539</v>
      </c>
      <c r="F670" s="45" t="s">
        <v>52</v>
      </c>
      <c r="G670" s="45"/>
      <c r="H670" s="45"/>
      <c r="I670" s="45"/>
      <c r="J670" s="45"/>
      <c r="K670" s="45"/>
      <c r="L670" s="45">
        <v>0.04</v>
      </c>
      <c r="M670" s="54"/>
      <c r="N670" s="45">
        <v>50</v>
      </c>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78">
        <v>0.38119999999999998</v>
      </c>
      <c r="BL670" s="45"/>
      <c r="BM670" s="45"/>
    </row>
    <row r="671" spans="1:74" x14ac:dyDescent="0.35">
      <c r="A671" s="45" t="str">
        <f>Database_Productkaarten[[#This Row],[Product]]&amp;", "&amp;Database_Productkaarten[[#This Row],[Levensfase]]</f>
        <v>Opsluitband geopolymeer 100x200, Totaal</v>
      </c>
      <c r="B671" t="s">
        <v>1264</v>
      </c>
      <c r="C671" t="s">
        <v>464</v>
      </c>
      <c r="D671" s="41" t="s">
        <v>594</v>
      </c>
      <c r="E671" s="41" t="s">
        <v>538</v>
      </c>
      <c r="F671" s="41" t="s">
        <v>16</v>
      </c>
      <c r="G671" s="45">
        <v>1</v>
      </c>
      <c r="H671" s="45">
        <v>0.2</v>
      </c>
      <c r="I671" s="45">
        <v>0.1</v>
      </c>
      <c r="J671" s="45"/>
      <c r="K671" s="45"/>
      <c r="L671" s="41">
        <v>8.5000000000000006E-2</v>
      </c>
      <c r="M671" s="54"/>
      <c r="N671" s="4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78">
        <v>0.24167</v>
      </c>
      <c r="BL671" s="41" t="s">
        <v>1266</v>
      </c>
      <c r="BM671" s="41" t="s">
        <v>1267</v>
      </c>
    </row>
    <row r="672" spans="1:74" x14ac:dyDescent="0.35">
      <c r="A672" s="45" t="str">
        <f>Database_Productkaarten[[#This Row],[Product]]&amp;", "&amp;Database_Productkaarten[[#This Row],[Levensfase]]</f>
        <v>Opsluitband geopolymeer 100x200, A1</v>
      </c>
      <c r="B672" t="s">
        <v>1264</v>
      </c>
      <c r="C672" t="s">
        <v>464</v>
      </c>
      <c r="D672" s="41" t="s">
        <v>594</v>
      </c>
      <c r="E672" s="41" t="s">
        <v>538</v>
      </c>
      <c r="F672" s="41" t="s">
        <v>19</v>
      </c>
      <c r="G672" s="45">
        <v>1</v>
      </c>
      <c r="H672" s="45">
        <v>0.2</v>
      </c>
      <c r="I672" s="45">
        <v>0.1</v>
      </c>
      <c r="J672" s="45"/>
      <c r="K672" s="45"/>
      <c r="L672" s="41">
        <v>8.5000000000000006E-2</v>
      </c>
      <c r="M672" s="54">
        <f>SUM(M673:M684)</f>
        <v>0.47157476345830862</v>
      </c>
      <c r="N672" s="41">
        <v>25</v>
      </c>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c r="BC672" s="55"/>
      <c r="BD672" s="55"/>
      <c r="BE672" s="55"/>
      <c r="BF672" s="55"/>
      <c r="BG672" s="55"/>
      <c r="BH672" s="55"/>
      <c r="BI672" s="55"/>
      <c r="BJ672" s="55"/>
      <c r="BK672" s="78">
        <v>0.24167</v>
      </c>
      <c r="BL672" s="41" t="s">
        <v>1266</v>
      </c>
      <c r="BM672" s="41" t="s">
        <v>1267</v>
      </c>
    </row>
    <row r="673" spans="1:65" x14ac:dyDescent="0.35">
      <c r="A673" s="45" t="str">
        <f>Database_Productkaarten[[#This Row],[Product]]&amp;", "&amp;Database_Productkaarten[[#This Row],[Levensfase]]</f>
        <v>Opsluitband geopolymeer 100x200, A2</v>
      </c>
      <c r="B673" t="s">
        <v>1264</v>
      </c>
      <c r="C673" t="s">
        <v>464</v>
      </c>
      <c r="D673" s="41" t="s">
        <v>594</v>
      </c>
      <c r="E673" s="41" t="s">
        <v>538</v>
      </c>
      <c r="F673" s="41" t="s">
        <v>20</v>
      </c>
      <c r="G673" s="45">
        <v>1</v>
      </c>
      <c r="H673" s="45">
        <v>0.2</v>
      </c>
      <c r="I673" s="45">
        <v>0.1</v>
      </c>
      <c r="J673" s="45"/>
      <c r="K673" s="45"/>
      <c r="L673" s="41">
        <v>8.5000000000000006E-2</v>
      </c>
      <c r="M673" s="54">
        <v>0.26</v>
      </c>
      <c r="N673" s="41">
        <v>25</v>
      </c>
      <c r="O673" s="55"/>
      <c r="P673" s="55"/>
      <c r="Q673" s="55">
        <v>3.02</v>
      </c>
      <c r="R673" s="55"/>
      <c r="S673" s="55"/>
      <c r="T673" s="55"/>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c r="BC673" s="55"/>
      <c r="BD673" s="55"/>
      <c r="BE673" s="55"/>
      <c r="BF673" s="55"/>
      <c r="BG673" s="55"/>
      <c r="BH673" s="55"/>
      <c r="BI673" s="55"/>
      <c r="BJ673" s="55"/>
      <c r="BK673" s="78">
        <v>0.24167</v>
      </c>
      <c r="BL673" s="41" t="s">
        <v>1266</v>
      </c>
      <c r="BM673" s="41" t="s">
        <v>1267</v>
      </c>
    </row>
    <row r="674" spans="1:65" x14ac:dyDescent="0.35">
      <c r="A674" s="45" t="str">
        <f>Database_Productkaarten[[#This Row],[Product]]&amp;", "&amp;Database_Productkaarten[[#This Row],[Levensfase]]</f>
        <v>Opsluitband geopolymeer 100x200, A3</v>
      </c>
      <c r="B674" t="s">
        <v>1264</v>
      </c>
      <c r="C674" t="s">
        <v>464</v>
      </c>
      <c r="D674" s="41" t="s">
        <v>594</v>
      </c>
      <c r="E674" s="41" t="s">
        <v>538</v>
      </c>
      <c r="F674" s="41" t="s">
        <v>21</v>
      </c>
      <c r="G674" s="45">
        <v>1</v>
      </c>
      <c r="H674" s="45">
        <v>0.2</v>
      </c>
      <c r="I674" s="45">
        <v>0.1</v>
      </c>
      <c r="J674" s="45"/>
      <c r="K674" s="45"/>
      <c r="L674" s="41">
        <v>8.5000000000000006E-2</v>
      </c>
      <c r="M674" s="54">
        <v>7.0000000000000007E-2</v>
      </c>
      <c r="N674" s="41">
        <v>25</v>
      </c>
      <c r="O674" s="55"/>
      <c r="P674" s="55"/>
      <c r="Q674" s="55">
        <v>0.624</v>
      </c>
      <c r="R674" s="55"/>
      <c r="S674" s="55"/>
      <c r="T674" s="55"/>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c r="BC674" s="55"/>
      <c r="BD674" s="55"/>
      <c r="BE674" s="55"/>
      <c r="BF674" s="55"/>
      <c r="BG674" s="55"/>
      <c r="BH674" s="55"/>
      <c r="BI674" s="55"/>
      <c r="BJ674" s="55"/>
      <c r="BK674" s="78">
        <v>0.24167</v>
      </c>
      <c r="BL674" s="41" t="s">
        <v>1266</v>
      </c>
      <c r="BM674" s="41" t="s">
        <v>1267</v>
      </c>
    </row>
    <row r="675" spans="1:65" x14ac:dyDescent="0.35">
      <c r="A675" s="45" t="str">
        <f>Database_Productkaarten[[#This Row],[Product]]&amp;", "&amp;Database_Productkaarten[[#This Row],[Levensfase]]</f>
        <v>Opsluitband geopolymeer 100x200, A4</v>
      </c>
      <c r="B675" t="s">
        <v>1264</v>
      </c>
      <c r="C675" t="s">
        <v>464</v>
      </c>
      <c r="D675" s="41" t="s">
        <v>594</v>
      </c>
      <c r="E675" s="41" t="s">
        <v>538</v>
      </c>
      <c r="F675" s="41" t="s">
        <v>22</v>
      </c>
      <c r="G675" s="45">
        <v>1</v>
      </c>
      <c r="H675" s="45">
        <v>0.2</v>
      </c>
      <c r="I675" s="45">
        <v>0.1</v>
      </c>
      <c r="J675" s="45"/>
      <c r="K675" s="45"/>
      <c r="L675" s="41">
        <v>8.5000000000000006E-2</v>
      </c>
      <c r="M675" s="54">
        <v>0.05</v>
      </c>
      <c r="N675" s="41">
        <v>25</v>
      </c>
      <c r="O675" s="55"/>
      <c r="P675" s="55"/>
      <c r="Q675" s="55">
        <v>0.67700000000000005</v>
      </c>
      <c r="R675" s="55"/>
      <c r="S675" s="55"/>
      <c r="T675" s="55"/>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c r="BC675" s="55"/>
      <c r="BD675" s="55"/>
      <c r="BE675" s="55"/>
      <c r="BF675" s="55"/>
      <c r="BG675" s="55"/>
      <c r="BH675" s="55"/>
      <c r="BI675" s="55"/>
      <c r="BJ675" s="55"/>
      <c r="BK675" s="78">
        <v>0.24167</v>
      </c>
      <c r="BL675" s="41" t="s">
        <v>1266</v>
      </c>
      <c r="BM675" s="41" t="s">
        <v>1268</v>
      </c>
    </row>
    <row r="676" spans="1:65" x14ac:dyDescent="0.35">
      <c r="A676" s="45" t="str">
        <f>Database_Productkaarten[[#This Row],[Product]]&amp;", "&amp;Database_Productkaarten[[#This Row],[Levensfase]]</f>
        <v>Opsluitband geopolymeer 100x200, A5</v>
      </c>
      <c r="B676" t="s">
        <v>1264</v>
      </c>
      <c r="C676" t="s">
        <v>464</v>
      </c>
      <c r="D676" s="41" t="s">
        <v>594</v>
      </c>
      <c r="E676" s="41" t="s">
        <v>538</v>
      </c>
      <c r="F676" s="41" t="s">
        <v>23</v>
      </c>
      <c r="G676" s="45">
        <v>1</v>
      </c>
      <c r="H676" s="45">
        <v>0.2</v>
      </c>
      <c r="I676" s="45">
        <v>0.1</v>
      </c>
      <c r="J676" s="45"/>
      <c r="K676" s="45"/>
      <c r="L676" s="41">
        <v>8.5000000000000006E-2</v>
      </c>
      <c r="M676" s="54">
        <v>4.0287381729154297E-2</v>
      </c>
      <c r="N676" s="41">
        <v>25</v>
      </c>
      <c r="O676" s="55">
        <v>6.891991675E-7</v>
      </c>
      <c r="P676" s="55">
        <v>2.7175165124999996E-3</v>
      </c>
      <c r="Q676" s="55">
        <v>0.35907310324999997</v>
      </c>
      <c r="R676" s="55">
        <v>7.1387271249999994E-8</v>
      </c>
      <c r="S676" s="55">
        <v>2.2662138574999999E-4</v>
      </c>
      <c r="T676" s="55">
        <v>1.309573835E-3</v>
      </c>
      <c r="U676" s="55">
        <v>2.6671962575E-4</v>
      </c>
      <c r="V676" s="55">
        <v>0.12645353525</v>
      </c>
      <c r="W676" s="55">
        <v>8.1548583500000004E-3</v>
      </c>
      <c r="X676" s="55">
        <v>21.342276425000001</v>
      </c>
      <c r="Y676" s="55">
        <v>7.494287650000001E-4</v>
      </c>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78">
        <v>0.24167</v>
      </c>
      <c r="BL676" s="41" t="s">
        <v>1266</v>
      </c>
      <c r="BM676" s="41" t="s">
        <v>1269</v>
      </c>
    </row>
    <row r="677" spans="1:65" x14ac:dyDescent="0.35">
      <c r="A677" s="45" t="str">
        <f>Database_Productkaarten[[#This Row],[Product]]&amp;", "&amp;Database_Productkaarten[[#This Row],[Levensfase]]</f>
        <v>Opsluitband geopolymeer 100x200, B1</v>
      </c>
      <c r="B677" t="s">
        <v>1264</v>
      </c>
      <c r="C677" t="s">
        <v>464</v>
      </c>
      <c r="D677" s="41" t="s">
        <v>594</v>
      </c>
      <c r="E677" s="41" t="s">
        <v>538</v>
      </c>
      <c r="F677" s="41" t="s">
        <v>24</v>
      </c>
      <c r="G677" s="45">
        <v>1</v>
      </c>
      <c r="H677" s="45">
        <v>0.2</v>
      </c>
      <c r="I677" s="45">
        <v>0.1</v>
      </c>
      <c r="J677" s="45"/>
      <c r="K677" s="45"/>
      <c r="L677" s="41">
        <v>8.5000000000000006E-2</v>
      </c>
      <c r="M677" s="54">
        <v>1.55E-2</v>
      </c>
      <c r="N677" s="41">
        <v>25</v>
      </c>
      <c r="O677" s="55">
        <v>2.1420000000000002E-5</v>
      </c>
      <c r="P677" s="55">
        <v>6.6200000000000005E-4</v>
      </c>
      <c r="Q677" s="55">
        <v>0.1933</v>
      </c>
      <c r="R677" s="55">
        <v>1.7649999999999999E-8</v>
      </c>
      <c r="S677" s="55">
        <v>5.3579999999999999E-5</v>
      </c>
      <c r="T677" s="55">
        <v>4.7879999999999998E-4</v>
      </c>
      <c r="U677" s="55">
        <v>1.131E-4</v>
      </c>
      <c r="V677" s="55">
        <v>2.5499999999999998E-2</v>
      </c>
      <c r="W677" s="55">
        <v>6.8380000000000003E-4</v>
      </c>
      <c r="X677" s="55">
        <v>3.5981000000000001</v>
      </c>
      <c r="Y677" s="55">
        <v>2.1890000000000001E-4</v>
      </c>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78">
        <v>0.24167</v>
      </c>
      <c r="BL677" s="41" t="s">
        <v>1266</v>
      </c>
      <c r="BM677" s="41" t="s">
        <v>1267</v>
      </c>
    </row>
    <row r="678" spans="1:65" x14ac:dyDescent="0.35">
      <c r="A678" s="45" t="str">
        <f>Database_Productkaarten[[#This Row],[Product]]&amp;", "&amp;Database_Productkaarten[[#This Row],[Levensfase]]</f>
        <v>Opsluitband geopolymeer 100x200, C1</v>
      </c>
      <c r="B678" t="s">
        <v>1264</v>
      </c>
      <c r="C678" t="s">
        <v>464</v>
      </c>
      <c r="D678" s="41" t="s">
        <v>594</v>
      </c>
      <c r="E678" s="41" t="s">
        <v>538</v>
      </c>
      <c r="F678" s="41" t="s">
        <v>25</v>
      </c>
      <c r="G678" s="45">
        <v>1</v>
      </c>
      <c r="H678" s="45">
        <v>0.2</v>
      </c>
      <c r="I678" s="45">
        <v>0.1</v>
      </c>
      <c r="J678" s="45"/>
      <c r="K678" s="45"/>
      <c r="L678" s="41">
        <v>8.5000000000000006E-2</v>
      </c>
      <c r="M678" s="54">
        <v>0</v>
      </c>
      <c r="N678" s="41">
        <v>25</v>
      </c>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78">
        <v>0.24167</v>
      </c>
      <c r="BL678" s="41" t="s">
        <v>1266</v>
      </c>
      <c r="BM678" s="41" t="s">
        <v>1270</v>
      </c>
    </row>
    <row r="679" spans="1:65" x14ac:dyDescent="0.35">
      <c r="A679" s="45" t="str">
        <f>Database_Productkaarten[[#This Row],[Product]]&amp;", "&amp;Database_Productkaarten[[#This Row],[Levensfase]]</f>
        <v>Opsluitband geopolymeer 100x200, C2</v>
      </c>
      <c r="B679" t="s">
        <v>1264</v>
      </c>
      <c r="C679" t="s">
        <v>464</v>
      </c>
      <c r="D679" s="41" t="s">
        <v>594</v>
      </c>
      <c r="E679" s="41" t="s">
        <v>538</v>
      </c>
      <c r="F679" s="41" t="s">
        <v>26</v>
      </c>
      <c r="G679" s="45">
        <v>1</v>
      </c>
      <c r="H679" s="45">
        <v>0.2</v>
      </c>
      <c r="I679" s="45">
        <v>0.1</v>
      </c>
      <c r="J679" s="45"/>
      <c r="K679" s="45"/>
      <c r="L679" s="41">
        <v>8.5000000000000006E-2</v>
      </c>
      <c r="M679" s="54">
        <v>1.55E-2</v>
      </c>
      <c r="N679" s="41">
        <v>25</v>
      </c>
      <c r="O679" s="55">
        <v>2.1420000000000002E-5</v>
      </c>
      <c r="P679" s="55">
        <v>6.6200000000000005E-4</v>
      </c>
      <c r="Q679" s="55">
        <v>0.1933</v>
      </c>
      <c r="R679" s="55">
        <v>1.7649999999999999E-8</v>
      </c>
      <c r="S679" s="55">
        <v>5.3579999999999999E-5</v>
      </c>
      <c r="T679" s="55">
        <v>4.7879999999999998E-4</v>
      </c>
      <c r="U679" s="55">
        <v>1.131E-4</v>
      </c>
      <c r="V679" s="55">
        <v>2.5499999999999998E-2</v>
      </c>
      <c r="W679" s="55">
        <v>6.8380000000000003E-4</v>
      </c>
      <c r="X679" s="55">
        <v>3.5981000000000001</v>
      </c>
      <c r="Y679" s="55">
        <v>2.1890000000000001E-4</v>
      </c>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78">
        <v>0.24167</v>
      </c>
      <c r="BL679" s="41" t="s">
        <v>1266</v>
      </c>
      <c r="BM679" s="41" t="s">
        <v>1268</v>
      </c>
    </row>
    <row r="680" spans="1:65" x14ac:dyDescent="0.35">
      <c r="A680" s="45" t="str">
        <f>Database_Productkaarten[[#This Row],[Product]]&amp;", "&amp;Database_Productkaarten[[#This Row],[Levensfase]]</f>
        <v>Opsluitband geopolymeer 100x200, C3</v>
      </c>
      <c r="B680" t="s">
        <v>1264</v>
      </c>
      <c r="C680" t="s">
        <v>464</v>
      </c>
      <c r="D680" s="41" t="s">
        <v>594</v>
      </c>
      <c r="E680" s="41" t="s">
        <v>538</v>
      </c>
      <c r="F680" s="41" t="s">
        <v>27</v>
      </c>
      <c r="G680" s="45">
        <v>1</v>
      </c>
      <c r="H680" s="45">
        <v>0.2</v>
      </c>
      <c r="I680" s="45">
        <v>0.1</v>
      </c>
      <c r="J680" s="45"/>
      <c r="K680" s="45"/>
      <c r="L680" s="41">
        <v>8.5000000000000006E-2</v>
      </c>
      <c r="M680" s="54">
        <v>4.0287381729154297E-2</v>
      </c>
      <c r="N680" s="41">
        <v>25</v>
      </c>
      <c r="O680" s="55">
        <v>6.891991675E-7</v>
      </c>
      <c r="P680" s="55">
        <v>2.7175165124999996E-3</v>
      </c>
      <c r="Q680" s="55">
        <v>0.35907310324999997</v>
      </c>
      <c r="R680" s="55">
        <v>7.1387271249999994E-8</v>
      </c>
      <c r="S680" s="55">
        <v>2.2662138574999999E-4</v>
      </c>
      <c r="T680" s="55">
        <v>1.309573835E-3</v>
      </c>
      <c r="U680" s="55">
        <v>2.6671962575E-4</v>
      </c>
      <c r="V680" s="55">
        <v>0.12645353525</v>
      </c>
      <c r="W680" s="55">
        <v>8.1548583500000004E-3</v>
      </c>
      <c r="X680" s="55">
        <v>21.342276425000001</v>
      </c>
      <c r="Y680" s="55">
        <v>7.494287650000001E-4</v>
      </c>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78">
        <v>0.24167</v>
      </c>
      <c r="BL680" s="41" t="s">
        <v>1266</v>
      </c>
      <c r="BM680" s="41" t="s">
        <v>1267</v>
      </c>
    </row>
    <row r="681" spans="1:65" x14ac:dyDescent="0.35">
      <c r="A681" s="45" t="str">
        <f>Database_Productkaarten[[#This Row],[Product]]&amp;", "&amp;Database_Productkaarten[[#This Row],[Levensfase]]</f>
        <v>Opsluitband geopolymeer 100x200, C4</v>
      </c>
      <c r="B681" t="s">
        <v>1264</v>
      </c>
      <c r="C681" t="s">
        <v>464</v>
      </c>
      <c r="D681" s="41" t="s">
        <v>594</v>
      </c>
      <c r="E681" s="41" t="s">
        <v>538</v>
      </c>
      <c r="F681" s="41" t="s">
        <v>28</v>
      </c>
      <c r="G681" s="45">
        <v>1</v>
      </c>
      <c r="H681" s="45">
        <v>0.2</v>
      </c>
      <c r="I681" s="45">
        <v>0.1</v>
      </c>
      <c r="J681" s="45"/>
      <c r="K681" s="45"/>
      <c r="L681" s="41">
        <v>8.5000000000000006E-2</v>
      </c>
      <c r="M681" s="54">
        <v>0.01</v>
      </c>
      <c r="N681" s="41">
        <v>25</v>
      </c>
      <c r="O681" s="55"/>
      <c r="P681" s="55"/>
      <c r="Q681" s="55">
        <v>7.8100000000000003E-2</v>
      </c>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c r="BA681" s="55"/>
      <c r="BB681" s="55"/>
      <c r="BC681" s="55"/>
      <c r="BD681" s="55"/>
      <c r="BE681" s="55"/>
      <c r="BF681" s="55"/>
      <c r="BG681" s="55"/>
      <c r="BH681" s="55"/>
      <c r="BI681" s="55"/>
      <c r="BJ681" s="55"/>
      <c r="BK681" s="78">
        <v>0.24167</v>
      </c>
      <c r="BL681" s="41" t="s">
        <v>1266</v>
      </c>
      <c r="BM681" s="41" t="s">
        <v>1267</v>
      </c>
    </row>
    <row r="682" spans="1:65" x14ac:dyDescent="0.35">
      <c r="A682" s="45" t="str">
        <f>Database_Productkaarten[[#This Row],[Product]]&amp;", "&amp;Database_Productkaarten[[#This Row],[Levensfase]]</f>
        <v>Opsluitband geopolymeer 100x200, D1</v>
      </c>
      <c r="B682" t="s">
        <v>1264</v>
      </c>
      <c r="C682" t="s">
        <v>464</v>
      </c>
      <c r="D682" s="41" t="s">
        <v>594</v>
      </c>
      <c r="E682" s="41" t="s">
        <v>538</v>
      </c>
      <c r="F682" s="41" t="s">
        <v>51</v>
      </c>
      <c r="G682" s="45">
        <v>1</v>
      </c>
      <c r="H682" s="45">
        <v>0.2</v>
      </c>
      <c r="I682" s="45">
        <v>0.1</v>
      </c>
      <c r="J682" s="45"/>
      <c r="K682" s="45"/>
      <c r="L682" s="41">
        <v>8.5000000000000006E-2</v>
      </c>
      <c r="M682" s="54">
        <v>0</v>
      </c>
      <c r="N682" s="41">
        <v>25</v>
      </c>
      <c r="O682" s="55"/>
      <c r="P682" s="55"/>
      <c r="Q682" s="55">
        <v>4.3299999999999996E-3</v>
      </c>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c r="BA682" s="55"/>
      <c r="BB682" s="55"/>
      <c r="BC682" s="55"/>
      <c r="BD682" s="55"/>
      <c r="BE682" s="55"/>
      <c r="BF682" s="55"/>
      <c r="BG682" s="55"/>
      <c r="BH682" s="55"/>
      <c r="BI682" s="55"/>
      <c r="BJ682" s="55"/>
      <c r="BK682" s="78">
        <v>0.24167</v>
      </c>
      <c r="BL682" s="41" t="s">
        <v>1266</v>
      </c>
      <c r="BM682" s="41" t="s">
        <v>1267</v>
      </c>
    </row>
    <row r="683" spans="1:65" x14ac:dyDescent="0.35">
      <c r="A683" s="45" t="str">
        <f>Database_Productkaarten[[#This Row],[Product]]&amp;", "&amp;Database_Productkaarten[[#This Row],[Levensfase]]</f>
        <v>Opsluitband geopolymeer 100x200, D2</v>
      </c>
      <c r="B683" t="s">
        <v>1264</v>
      </c>
      <c r="C683" t="s">
        <v>464</v>
      </c>
      <c r="D683" s="41" t="s">
        <v>594</v>
      </c>
      <c r="E683" s="41" t="s">
        <v>538</v>
      </c>
      <c r="F683" s="41" t="s">
        <v>52</v>
      </c>
      <c r="G683" s="45">
        <v>1</v>
      </c>
      <c r="H683" s="45">
        <v>0.2</v>
      </c>
      <c r="I683" s="45">
        <v>0.1</v>
      </c>
      <c r="J683" s="45"/>
      <c r="K683" s="45"/>
      <c r="L683" s="41">
        <v>8.5000000000000006E-2</v>
      </c>
      <c r="M683" s="54">
        <v>-0.03</v>
      </c>
      <c r="N683" s="41">
        <v>25</v>
      </c>
      <c r="O683" s="55"/>
      <c r="P683" s="55"/>
      <c r="Q683" s="55">
        <v>-0.249</v>
      </c>
      <c r="R683" s="55"/>
      <c r="S683" s="55"/>
      <c r="T683" s="55"/>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c r="BA683" s="55"/>
      <c r="BB683" s="55"/>
      <c r="BC683" s="55"/>
      <c r="BD683" s="55"/>
      <c r="BE683" s="55"/>
      <c r="BF683" s="55"/>
      <c r="BG683" s="55"/>
      <c r="BH683" s="55"/>
      <c r="BI683" s="55"/>
      <c r="BJ683" s="55"/>
      <c r="BK683" s="78">
        <v>0.24167</v>
      </c>
      <c r="BL683" s="41" t="s">
        <v>1266</v>
      </c>
      <c r="BM683" s="41" t="s">
        <v>1267</v>
      </c>
    </row>
    <row r="684" spans="1:65" x14ac:dyDescent="0.35">
      <c r="A684" s="45" t="str">
        <f>Database_Productkaarten[[#This Row],[Product]]&amp;", "&amp;Database_Productkaarten[[#This Row],[Levensfase]]</f>
        <v>Opsluitband geopolymeer 80x200, Totaal</v>
      </c>
      <c r="B684" t="s">
        <v>1265</v>
      </c>
      <c r="C684" t="s">
        <v>464</v>
      </c>
      <c r="D684" s="41" t="s">
        <v>594</v>
      </c>
      <c r="E684" s="41" t="s">
        <v>538</v>
      </c>
      <c r="F684" s="41" t="s">
        <v>16</v>
      </c>
      <c r="G684" s="45">
        <v>1</v>
      </c>
      <c r="H684" s="45">
        <v>0.2</v>
      </c>
      <c r="I684" s="45">
        <v>0.08</v>
      </c>
      <c r="J684" s="45"/>
      <c r="K684" s="45"/>
      <c r="L684" s="41">
        <f>L671*0.8</f>
        <v>6.8000000000000005E-2</v>
      </c>
      <c r="M684" s="54"/>
      <c r="N684" s="41">
        <v>25</v>
      </c>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c r="BA684" s="55"/>
      <c r="BB684" s="55"/>
      <c r="BC684" s="55"/>
      <c r="BD684" s="55"/>
      <c r="BE684" s="55"/>
      <c r="BF684" s="55"/>
      <c r="BG684" s="55"/>
      <c r="BH684" s="55"/>
      <c r="BI684" s="55"/>
      <c r="BJ684" s="55"/>
      <c r="BK684" s="78">
        <v>0.24167</v>
      </c>
      <c r="BL684" s="41" t="s">
        <v>1266</v>
      </c>
      <c r="BM684" s="41" t="s">
        <v>1267</v>
      </c>
    </row>
    <row r="685" spans="1:65" x14ac:dyDescent="0.35">
      <c r="A685" s="45" t="str">
        <f>Database_Productkaarten[[#This Row],[Product]]&amp;", "&amp;Database_Productkaarten[[#This Row],[Levensfase]]</f>
        <v>Opsluitband geopolymeer 80x200, A1</v>
      </c>
      <c r="B685" t="s">
        <v>1265</v>
      </c>
      <c r="C685" t="s">
        <v>464</v>
      </c>
      <c r="D685" s="41" t="s">
        <v>594</v>
      </c>
      <c r="E685" s="41" t="s">
        <v>538</v>
      </c>
      <c r="F685" s="41" t="s">
        <v>19</v>
      </c>
      <c r="G685" s="45">
        <v>1</v>
      </c>
      <c r="H685" s="45">
        <v>0.2</v>
      </c>
      <c r="I685" s="45">
        <v>0.08</v>
      </c>
      <c r="J685" s="45"/>
      <c r="K685" s="45"/>
      <c r="L685" s="41">
        <f t="shared" ref="L685:Y696" si="969">L672*0.8</f>
        <v>6.8000000000000005E-2</v>
      </c>
      <c r="M685" s="54">
        <f t="shared" si="969"/>
        <v>0.37725981076664694</v>
      </c>
      <c r="N685" s="41">
        <v>25</v>
      </c>
      <c r="O685" s="55">
        <f>O672*0.8</f>
        <v>0</v>
      </c>
      <c r="P685" s="55">
        <f t="shared" si="969"/>
        <v>0</v>
      </c>
      <c r="Q685" s="55">
        <f t="shared" si="969"/>
        <v>0</v>
      </c>
      <c r="R685" s="55">
        <f t="shared" si="969"/>
        <v>0</v>
      </c>
      <c r="S685" s="55">
        <f t="shared" si="969"/>
        <v>0</v>
      </c>
      <c r="T685" s="55">
        <f t="shared" si="969"/>
        <v>0</v>
      </c>
      <c r="U685" s="55">
        <f t="shared" si="969"/>
        <v>0</v>
      </c>
      <c r="V685" s="55">
        <f t="shared" si="969"/>
        <v>0</v>
      </c>
      <c r="W685" s="55">
        <f t="shared" si="969"/>
        <v>0</v>
      </c>
      <c r="X685" s="55">
        <f t="shared" si="969"/>
        <v>0</v>
      </c>
      <c r="Y685" s="55">
        <f t="shared" si="969"/>
        <v>0</v>
      </c>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c r="BC685" s="55"/>
      <c r="BD685" s="55"/>
      <c r="BE685" s="55"/>
      <c r="BF685" s="55"/>
      <c r="BG685" s="55"/>
      <c r="BH685" s="55"/>
      <c r="BI685" s="55"/>
      <c r="BJ685" s="55"/>
      <c r="BK685" s="78">
        <v>0.24167</v>
      </c>
      <c r="BL685" s="41" t="s">
        <v>1266</v>
      </c>
      <c r="BM685" s="41" t="s">
        <v>1267</v>
      </c>
    </row>
    <row r="686" spans="1:65" x14ac:dyDescent="0.35">
      <c r="A686" s="45" t="str">
        <f>Database_Productkaarten[[#This Row],[Product]]&amp;", "&amp;Database_Productkaarten[[#This Row],[Levensfase]]</f>
        <v>Opsluitband geopolymeer 80x200, A2</v>
      </c>
      <c r="B686" t="s">
        <v>1265</v>
      </c>
      <c r="C686" t="s">
        <v>464</v>
      </c>
      <c r="D686" s="41" t="s">
        <v>594</v>
      </c>
      <c r="E686" s="41" t="s">
        <v>538</v>
      </c>
      <c r="F686" s="41" t="s">
        <v>20</v>
      </c>
      <c r="G686" s="45">
        <v>1</v>
      </c>
      <c r="H686" s="45">
        <v>0.2</v>
      </c>
      <c r="I686" s="45">
        <v>0.08</v>
      </c>
      <c r="J686" s="45"/>
      <c r="K686" s="45"/>
      <c r="L686" s="41">
        <f t="shared" si="969"/>
        <v>6.8000000000000005E-2</v>
      </c>
      <c r="M686" s="54">
        <f t="shared" si="969"/>
        <v>0.20800000000000002</v>
      </c>
      <c r="N686" s="41">
        <v>25</v>
      </c>
      <c r="O686" s="55">
        <f t="shared" si="969"/>
        <v>0</v>
      </c>
      <c r="P686" s="55">
        <f t="shared" si="969"/>
        <v>0</v>
      </c>
      <c r="Q686" s="55">
        <f t="shared" si="969"/>
        <v>2.4160000000000004</v>
      </c>
      <c r="R686" s="55">
        <f t="shared" si="969"/>
        <v>0</v>
      </c>
      <c r="S686" s="55">
        <f t="shared" si="969"/>
        <v>0</v>
      </c>
      <c r="T686" s="55">
        <f t="shared" si="969"/>
        <v>0</v>
      </c>
      <c r="U686" s="55">
        <f t="shared" si="969"/>
        <v>0</v>
      </c>
      <c r="V686" s="55">
        <f t="shared" si="969"/>
        <v>0</v>
      </c>
      <c r="W686" s="55">
        <f t="shared" si="969"/>
        <v>0</v>
      </c>
      <c r="X686" s="55">
        <f t="shared" si="969"/>
        <v>0</v>
      </c>
      <c r="Y686" s="55">
        <f t="shared" si="969"/>
        <v>0</v>
      </c>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78">
        <v>0.24167</v>
      </c>
      <c r="BL686" s="41" t="s">
        <v>1266</v>
      </c>
      <c r="BM686" s="41" t="s">
        <v>1267</v>
      </c>
    </row>
    <row r="687" spans="1:65" x14ac:dyDescent="0.35">
      <c r="A687" s="45" t="str">
        <f>Database_Productkaarten[[#This Row],[Product]]&amp;", "&amp;Database_Productkaarten[[#This Row],[Levensfase]]</f>
        <v>Opsluitband geopolymeer 80x200, A3</v>
      </c>
      <c r="B687" t="s">
        <v>1265</v>
      </c>
      <c r="C687" t="s">
        <v>464</v>
      </c>
      <c r="D687" s="41" t="s">
        <v>594</v>
      </c>
      <c r="E687" s="41" t="s">
        <v>538</v>
      </c>
      <c r="F687" s="41" t="s">
        <v>21</v>
      </c>
      <c r="G687" s="45">
        <v>1</v>
      </c>
      <c r="H687" s="45">
        <v>0.2</v>
      </c>
      <c r="I687" s="45">
        <v>0.08</v>
      </c>
      <c r="J687" s="45"/>
      <c r="K687" s="45"/>
      <c r="L687" s="41">
        <f t="shared" si="969"/>
        <v>6.8000000000000005E-2</v>
      </c>
      <c r="M687" s="54">
        <f t="shared" si="969"/>
        <v>5.6000000000000008E-2</v>
      </c>
      <c r="N687" s="41">
        <v>25</v>
      </c>
      <c r="O687" s="55">
        <f t="shared" si="969"/>
        <v>0</v>
      </c>
      <c r="P687" s="55">
        <f t="shared" si="969"/>
        <v>0</v>
      </c>
      <c r="Q687" s="55">
        <f t="shared" si="969"/>
        <v>0.49920000000000003</v>
      </c>
      <c r="R687" s="55">
        <f t="shared" si="969"/>
        <v>0</v>
      </c>
      <c r="S687" s="55">
        <f t="shared" si="969"/>
        <v>0</v>
      </c>
      <c r="T687" s="55">
        <f t="shared" si="969"/>
        <v>0</v>
      </c>
      <c r="U687" s="55">
        <f t="shared" si="969"/>
        <v>0</v>
      </c>
      <c r="V687" s="55">
        <f t="shared" si="969"/>
        <v>0</v>
      </c>
      <c r="W687" s="55">
        <f t="shared" si="969"/>
        <v>0</v>
      </c>
      <c r="X687" s="55">
        <f t="shared" si="969"/>
        <v>0</v>
      </c>
      <c r="Y687" s="55">
        <f t="shared" si="969"/>
        <v>0</v>
      </c>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c r="BA687" s="55"/>
      <c r="BB687" s="55"/>
      <c r="BC687" s="55"/>
      <c r="BD687" s="55"/>
      <c r="BE687" s="55"/>
      <c r="BF687" s="55"/>
      <c r="BG687" s="55"/>
      <c r="BH687" s="55"/>
      <c r="BI687" s="55"/>
      <c r="BJ687" s="55"/>
      <c r="BK687" s="78">
        <v>0.24167</v>
      </c>
      <c r="BL687" s="41" t="s">
        <v>1266</v>
      </c>
      <c r="BM687" s="41" t="s">
        <v>1267</v>
      </c>
    </row>
    <row r="688" spans="1:65" x14ac:dyDescent="0.35">
      <c r="A688" s="45" t="str">
        <f>Database_Productkaarten[[#This Row],[Product]]&amp;", "&amp;Database_Productkaarten[[#This Row],[Levensfase]]</f>
        <v>Opsluitband geopolymeer 80x200, A4</v>
      </c>
      <c r="B688" t="s">
        <v>1265</v>
      </c>
      <c r="C688" t="s">
        <v>464</v>
      </c>
      <c r="D688" s="41" t="s">
        <v>594</v>
      </c>
      <c r="E688" s="41" t="s">
        <v>538</v>
      </c>
      <c r="F688" s="41" t="s">
        <v>22</v>
      </c>
      <c r="G688" s="45">
        <v>1</v>
      </c>
      <c r="H688" s="45">
        <v>0.2</v>
      </c>
      <c r="I688" s="45">
        <v>0.08</v>
      </c>
      <c r="J688" s="45"/>
      <c r="K688" s="45"/>
      <c r="L688" s="41">
        <f t="shared" si="969"/>
        <v>6.8000000000000005E-2</v>
      </c>
      <c r="M688" s="54">
        <f t="shared" si="969"/>
        <v>4.0000000000000008E-2</v>
      </c>
      <c r="N688" s="41">
        <v>25</v>
      </c>
      <c r="O688" s="55">
        <f t="shared" si="969"/>
        <v>0</v>
      </c>
      <c r="P688" s="55">
        <f t="shared" si="969"/>
        <v>0</v>
      </c>
      <c r="Q688" s="55">
        <f t="shared" si="969"/>
        <v>0.54160000000000008</v>
      </c>
      <c r="R688" s="55">
        <f t="shared" si="969"/>
        <v>0</v>
      </c>
      <c r="S688" s="55">
        <f t="shared" si="969"/>
        <v>0</v>
      </c>
      <c r="T688" s="55">
        <f t="shared" si="969"/>
        <v>0</v>
      </c>
      <c r="U688" s="55">
        <f t="shared" si="969"/>
        <v>0</v>
      </c>
      <c r="V688" s="55">
        <f t="shared" si="969"/>
        <v>0</v>
      </c>
      <c r="W688" s="55">
        <f t="shared" si="969"/>
        <v>0</v>
      </c>
      <c r="X688" s="55">
        <f t="shared" si="969"/>
        <v>0</v>
      </c>
      <c r="Y688" s="55">
        <f t="shared" si="969"/>
        <v>0</v>
      </c>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c r="BA688" s="55"/>
      <c r="BB688" s="55"/>
      <c r="BC688" s="55"/>
      <c r="BD688" s="55"/>
      <c r="BE688" s="55"/>
      <c r="BF688" s="55"/>
      <c r="BG688" s="55"/>
      <c r="BH688" s="55"/>
      <c r="BI688" s="55"/>
      <c r="BJ688" s="55"/>
      <c r="BK688" s="78">
        <v>0.24167</v>
      </c>
      <c r="BL688" s="41" t="s">
        <v>1266</v>
      </c>
      <c r="BM688" s="41" t="s">
        <v>1268</v>
      </c>
    </row>
    <row r="689" spans="1:65" x14ac:dyDescent="0.35">
      <c r="A689" s="45" t="str">
        <f>Database_Productkaarten[[#This Row],[Product]]&amp;", "&amp;Database_Productkaarten[[#This Row],[Levensfase]]</f>
        <v>Opsluitband geopolymeer 80x200, A5</v>
      </c>
      <c r="B689" t="s">
        <v>1265</v>
      </c>
      <c r="C689" t="s">
        <v>464</v>
      </c>
      <c r="D689" s="41" t="s">
        <v>594</v>
      </c>
      <c r="E689" s="41" t="s">
        <v>538</v>
      </c>
      <c r="F689" s="41" t="s">
        <v>23</v>
      </c>
      <c r="G689" s="45">
        <v>1</v>
      </c>
      <c r="H689" s="45">
        <v>0.2</v>
      </c>
      <c r="I689" s="45">
        <v>0.08</v>
      </c>
      <c r="J689" s="45"/>
      <c r="K689" s="45"/>
      <c r="L689" s="41">
        <f t="shared" si="969"/>
        <v>6.8000000000000005E-2</v>
      </c>
      <c r="M689" s="54">
        <f t="shared" si="969"/>
        <v>3.2229905383323439E-2</v>
      </c>
      <c r="N689" s="41">
        <v>25</v>
      </c>
      <c r="O689" s="55">
        <f>O676</f>
        <v>6.891991675E-7</v>
      </c>
      <c r="P689" s="55">
        <f t="shared" si="969"/>
        <v>2.1740132099999998E-3</v>
      </c>
      <c r="Q689" s="55">
        <f t="shared" si="969"/>
        <v>0.28725848259999998</v>
      </c>
      <c r="R689" s="55">
        <f t="shared" si="969"/>
        <v>5.7109816999999998E-8</v>
      </c>
      <c r="S689" s="55">
        <f t="shared" si="969"/>
        <v>1.812971086E-4</v>
      </c>
      <c r="T689" s="55">
        <f t="shared" si="969"/>
        <v>1.047659068E-3</v>
      </c>
      <c r="U689" s="55">
        <f t="shared" si="969"/>
        <v>2.1337570060000002E-4</v>
      </c>
      <c r="V689" s="55">
        <f t="shared" si="969"/>
        <v>0.1011628282</v>
      </c>
      <c r="W689" s="55">
        <f t="shared" si="969"/>
        <v>6.5238866800000003E-3</v>
      </c>
      <c r="X689" s="55">
        <f t="shared" si="969"/>
        <v>17.073821140000003</v>
      </c>
      <c r="Y689" s="55">
        <f t="shared" si="969"/>
        <v>5.9954301200000008E-4</v>
      </c>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c r="BA689" s="55"/>
      <c r="BB689" s="55"/>
      <c r="BC689" s="55"/>
      <c r="BD689" s="55"/>
      <c r="BE689" s="55"/>
      <c r="BF689" s="55"/>
      <c r="BG689" s="55"/>
      <c r="BH689" s="55"/>
      <c r="BI689" s="55"/>
      <c r="BJ689" s="55"/>
      <c r="BK689" s="78">
        <v>0.24167</v>
      </c>
      <c r="BL689" s="41" t="s">
        <v>1266</v>
      </c>
      <c r="BM689" s="41" t="s">
        <v>1269</v>
      </c>
    </row>
    <row r="690" spans="1:65" x14ac:dyDescent="0.35">
      <c r="A690" s="45" t="str">
        <f>Database_Productkaarten[[#This Row],[Product]]&amp;", "&amp;Database_Productkaarten[[#This Row],[Levensfase]]</f>
        <v>Opsluitband geopolymeer 80x200, B1</v>
      </c>
      <c r="B690" t="s">
        <v>1265</v>
      </c>
      <c r="C690" t="s">
        <v>464</v>
      </c>
      <c r="D690" s="41" t="s">
        <v>594</v>
      </c>
      <c r="E690" s="41" t="s">
        <v>538</v>
      </c>
      <c r="F690" s="41" t="s">
        <v>24</v>
      </c>
      <c r="G690" s="45">
        <v>1</v>
      </c>
      <c r="H690" s="45">
        <v>0.2</v>
      </c>
      <c r="I690" s="45">
        <v>0.08</v>
      </c>
      <c r="J690" s="45"/>
      <c r="K690" s="45"/>
      <c r="L690" s="41">
        <f t="shared" si="969"/>
        <v>6.8000000000000005E-2</v>
      </c>
      <c r="M690" s="54">
        <f t="shared" si="969"/>
        <v>1.2400000000000001E-2</v>
      </c>
      <c r="N690" s="41">
        <v>25</v>
      </c>
      <c r="O690" s="55">
        <f t="shared" si="969"/>
        <v>1.7136000000000003E-5</v>
      </c>
      <c r="P690" s="55">
        <f t="shared" si="969"/>
        <v>5.2960000000000008E-4</v>
      </c>
      <c r="Q690" s="55">
        <f t="shared" si="969"/>
        <v>0.15464</v>
      </c>
      <c r="R690" s="55">
        <f t="shared" si="969"/>
        <v>1.412E-8</v>
      </c>
      <c r="S690" s="55">
        <f t="shared" si="969"/>
        <v>4.2864000000000002E-5</v>
      </c>
      <c r="T690" s="55">
        <f t="shared" si="969"/>
        <v>3.8304000000000002E-4</v>
      </c>
      <c r="U690" s="55">
        <f t="shared" si="969"/>
        <v>9.0480000000000001E-5</v>
      </c>
      <c r="V690" s="55">
        <f t="shared" si="969"/>
        <v>2.0400000000000001E-2</v>
      </c>
      <c r="W690" s="55">
        <f t="shared" si="969"/>
        <v>5.4704000000000005E-4</v>
      </c>
      <c r="X690" s="55">
        <f t="shared" si="969"/>
        <v>2.8784800000000001</v>
      </c>
      <c r="Y690" s="55">
        <f t="shared" si="969"/>
        <v>1.7512000000000002E-4</v>
      </c>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c r="BA690" s="55"/>
      <c r="BB690" s="55"/>
      <c r="BC690" s="55"/>
      <c r="BD690" s="55"/>
      <c r="BE690" s="55"/>
      <c r="BF690" s="55"/>
      <c r="BG690" s="55"/>
      <c r="BH690" s="55"/>
      <c r="BI690" s="55"/>
      <c r="BJ690" s="55"/>
      <c r="BK690" s="78">
        <v>0.24167</v>
      </c>
      <c r="BL690" s="41" t="s">
        <v>1266</v>
      </c>
      <c r="BM690" s="41" t="s">
        <v>1267</v>
      </c>
    </row>
    <row r="691" spans="1:65" x14ac:dyDescent="0.35">
      <c r="A691" s="45" t="str">
        <f>Database_Productkaarten[[#This Row],[Product]]&amp;", "&amp;Database_Productkaarten[[#This Row],[Levensfase]]</f>
        <v>Opsluitband geopolymeer 80x200, C1</v>
      </c>
      <c r="B691" t="s">
        <v>1265</v>
      </c>
      <c r="C691" t="s">
        <v>464</v>
      </c>
      <c r="D691" s="41" t="s">
        <v>594</v>
      </c>
      <c r="E691" s="41" t="s">
        <v>538</v>
      </c>
      <c r="F691" s="41" t="s">
        <v>25</v>
      </c>
      <c r="G691" s="45">
        <v>1</v>
      </c>
      <c r="H691" s="45">
        <v>0.2</v>
      </c>
      <c r="I691" s="45">
        <v>0.08</v>
      </c>
      <c r="J691" s="45"/>
      <c r="K691" s="45"/>
      <c r="L691" s="41">
        <f t="shared" si="969"/>
        <v>6.8000000000000005E-2</v>
      </c>
      <c r="M691" s="54">
        <f t="shared" si="969"/>
        <v>0</v>
      </c>
      <c r="N691" s="41">
        <v>25</v>
      </c>
      <c r="O691" s="55">
        <f t="shared" si="969"/>
        <v>0</v>
      </c>
      <c r="P691" s="55">
        <f t="shared" si="969"/>
        <v>0</v>
      </c>
      <c r="Q691" s="55">
        <f t="shared" si="969"/>
        <v>0</v>
      </c>
      <c r="R691" s="55">
        <f t="shared" si="969"/>
        <v>0</v>
      </c>
      <c r="S691" s="55">
        <f t="shared" si="969"/>
        <v>0</v>
      </c>
      <c r="T691" s="55">
        <f t="shared" si="969"/>
        <v>0</v>
      </c>
      <c r="U691" s="55">
        <f t="shared" si="969"/>
        <v>0</v>
      </c>
      <c r="V691" s="55">
        <f t="shared" si="969"/>
        <v>0</v>
      </c>
      <c r="W691" s="55">
        <f t="shared" si="969"/>
        <v>0</v>
      </c>
      <c r="X691" s="55">
        <f t="shared" si="969"/>
        <v>0</v>
      </c>
      <c r="Y691" s="55">
        <f t="shared" si="969"/>
        <v>0</v>
      </c>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c r="BA691" s="55"/>
      <c r="BB691" s="55"/>
      <c r="BC691" s="55"/>
      <c r="BD691" s="55"/>
      <c r="BE691" s="55"/>
      <c r="BF691" s="55"/>
      <c r="BG691" s="55"/>
      <c r="BH691" s="55"/>
      <c r="BI691" s="55"/>
      <c r="BJ691" s="55"/>
      <c r="BK691" s="78">
        <v>0.24167</v>
      </c>
      <c r="BL691" s="41" t="s">
        <v>1266</v>
      </c>
      <c r="BM691" s="41" t="s">
        <v>1270</v>
      </c>
    </row>
    <row r="692" spans="1:65" x14ac:dyDescent="0.35">
      <c r="A692" s="45" t="str">
        <f>Database_Productkaarten[[#This Row],[Product]]&amp;", "&amp;Database_Productkaarten[[#This Row],[Levensfase]]</f>
        <v>Opsluitband geopolymeer 80x200, C2</v>
      </c>
      <c r="B692" t="s">
        <v>1265</v>
      </c>
      <c r="C692" t="s">
        <v>464</v>
      </c>
      <c r="D692" s="41" t="s">
        <v>594</v>
      </c>
      <c r="E692" s="41" t="s">
        <v>538</v>
      </c>
      <c r="F692" s="41" t="s">
        <v>26</v>
      </c>
      <c r="G692" s="45">
        <v>1</v>
      </c>
      <c r="H692" s="45">
        <v>0.2</v>
      </c>
      <c r="I692" s="45">
        <v>0.08</v>
      </c>
      <c r="J692" s="45"/>
      <c r="K692" s="45"/>
      <c r="L692" s="41">
        <f t="shared" si="969"/>
        <v>6.8000000000000005E-2</v>
      </c>
      <c r="M692" s="54">
        <f t="shared" si="969"/>
        <v>1.2400000000000001E-2</v>
      </c>
      <c r="N692" s="41">
        <v>25</v>
      </c>
      <c r="O692" s="55">
        <f t="shared" si="969"/>
        <v>1.7136000000000003E-5</v>
      </c>
      <c r="P692" s="55">
        <f t="shared" si="969"/>
        <v>5.2960000000000008E-4</v>
      </c>
      <c r="Q692" s="55">
        <f t="shared" si="969"/>
        <v>0.15464</v>
      </c>
      <c r="R692" s="55">
        <f t="shared" si="969"/>
        <v>1.412E-8</v>
      </c>
      <c r="S692" s="55">
        <f t="shared" si="969"/>
        <v>4.2864000000000002E-5</v>
      </c>
      <c r="T692" s="55">
        <f t="shared" si="969"/>
        <v>3.8304000000000002E-4</v>
      </c>
      <c r="U692" s="55">
        <f t="shared" si="969"/>
        <v>9.0480000000000001E-5</v>
      </c>
      <c r="V692" s="55">
        <f t="shared" si="969"/>
        <v>2.0400000000000001E-2</v>
      </c>
      <c r="W692" s="55">
        <f t="shared" si="969"/>
        <v>5.4704000000000005E-4</v>
      </c>
      <c r="X692" s="55">
        <f t="shared" si="969"/>
        <v>2.8784800000000001</v>
      </c>
      <c r="Y692" s="55">
        <f t="shared" si="969"/>
        <v>1.7512000000000002E-4</v>
      </c>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c r="BA692" s="55"/>
      <c r="BB692" s="55"/>
      <c r="BC692" s="55"/>
      <c r="BD692" s="55"/>
      <c r="BE692" s="55"/>
      <c r="BF692" s="55"/>
      <c r="BG692" s="55"/>
      <c r="BH692" s="55"/>
      <c r="BI692" s="55"/>
      <c r="BJ692" s="55"/>
      <c r="BK692" s="78">
        <v>0.24167</v>
      </c>
      <c r="BL692" s="41" t="s">
        <v>1266</v>
      </c>
      <c r="BM692" s="41" t="s">
        <v>1268</v>
      </c>
    </row>
    <row r="693" spans="1:65" x14ac:dyDescent="0.35">
      <c r="A693" s="45" t="str">
        <f>Database_Productkaarten[[#This Row],[Product]]&amp;", "&amp;Database_Productkaarten[[#This Row],[Levensfase]]</f>
        <v>Opsluitband geopolymeer 80x200, C3</v>
      </c>
      <c r="B693" t="s">
        <v>1265</v>
      </c>
      <c r="C693" t="s">
        <v>464</v>
      </c>
      <c r="D693" s="41" t="s">
        <v>594</v>
      </c>
      <c r="E693" s="41" t="s">
        <v>538</v>
      </c>
      <c r="F693" s="41" t="s">
        <v>27</v>
      </c>
      <c r="G693" s="45">
        <v>1</v>
      </c>
      <c r="H693" s="45">
        <v>0.2</v>
      </c>
      <c r="I693" s="45">
        <v>0.08</v>
      </c>
      <c r="J693" s="45"/>
      <c r="K693" s="45"/>
      <c r="L693" s="41">
        <f t="shared" si="969"/>
        <v>6.8000000000000005E-2</v>
      </c>
      <c r="M693" s="54">
        <f t="shared" si="969"/>
        <v>3.2229905383323439E-2</v>
      </c>
      <c r="N693" s="41">
        <v>25</v>
      </c>
      <c r="O693" s="55">
        <f t="shared" si="969"/>
        <v>5.51359334E-7</v>
      </c>
      <c r="P693" s="55">
        <f t="shared" si="969"/>
        <v>2.1740132099999998E-3</v>
      </c>
      <c r="Q693" s="55">
        <f t="shared" si="969"/>
        <v>0.28725848259999998</v>
      </c>
      <c r="R693" s="55">
        <f t="shared" si="969"/>
        <v>5.7109816999999998E-8</v>
      </c>
      <c r="S693" s="55">
        <f t="shared" si="969"/>
        <v>1.812971086E-4</v>
      </c>
      <c r="T693" s="55">
        <f t="shared" si="969"/>
        <v>1.047659068E-3</v>
      </c>
      <c r="U693" s="55">
        <f t="shared" si="969"/>
        <v>2.1337570060000002E-4</v>
      </c>
      <c r="V693" s="55">
        <f t="shared" si="969"/>
        <v>0.1011628282</v>
      </c>
      <c r="W693" s="55">
        <f t="shared" si="969"/>
        <v>6.5238866800000003E-3</v>
      </c>
      <c r="X693" s="55">
        <f t="shared" si="969"/>
        <v>17.073821140000003</v>
      </c>
      <c r="Y693" s="55">
        <f t="shared" si="969"/>
        <v>5.9954301200000008E-4</v>
      </c>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c r="BA693" s="55"/>
      <c r="BB693" s="55"/>
      <c r="BC693" s="55"/>
      <c r="BD693" s="55"/>
      <c r="BE693" s="55"/>
      <c r="BF693" s="55"/>
      <c r="BG693" s="55"/>
      <c r="BH693" s="55"/>
      <c r="BI693" s="55"/>
      <c r="BJ693" s="55"/>
      <c r="BK693" s="78">
        <v>0.24167</v>
      </c>
      <c r="BL693" s="41" t="s">
        <v>1266</v>
      </c>
      <c r="BM693" s="41" t="s">
        <v>1267</v>
      </c>
    </row>
    <row r="694" spans="1:65" x14ac:dyDescent="0.35">
      <c r="A694" s="45" t="str">
        <f>Database_Productkaarten[[#This Row],[Product]]&amp;", "&amp;Database_Productkaarten[[#This Row],[Levensfase]]</f>
        <v>Opsluitband geopolymeer 80x200, C4</v>
      </c>
      <c r="B694" t="s">
        <v>1265</v>
      </c>
      <c r="C694" t="s">
        <v>464</v>
      </c>
      <c r="D694" s="41" t="s">
        <v>594</v>
      </c>
      <c r="E694" s="41" t="s">
        <v>538</v>
      </c>
      <c r="F694" s="41" t="s">
        <v>28</v>
      </c>
      <c r="G694" s="45">
        <v>1</v>
      </c>
      <c r="H694" s="45">
        <v>0.2</v>
      </c>
      <c r="I694" s="45">
        <v>0.08</v>
      </c>
      <c r="J694" s="45"/>
      <c r="K694" s="45"/>
      <c r="L694" s="41">
        <f t="shared" si="969"/>
        <v>6.8000000000000005E-2</v>
      </c>
      <c r="M694" s="54">
        <f t="shared" si="969"/>
        <v>8.0000000000000002E-3</v>
      </c>
      <c r="N694" s="41">
        <v>25</v>
      </c>
      <c r="O694" s="55">
        <f t="shared" si="969"/>
        <v>0</v>
      </c>
      <c r="P694" s="55">
        <f t="shared" si="969"/>
        <v>0</v>
      </c>
      <c r="Q694" s="55">
        <f t="shared" si="969"/>
        <v>6.2480000000000008E-2</v>
      </c>
      <c r="R694" s="55">
        <f t="shared" si="969"/>
        <v>0</v>
      </c>
      <c r="S694" s="55">
        <f t="shared" si="969"/>
        <v>0</v>
      </c>
      <c r="T694" s="55">
        <f t="shared" si="969"/>
        <v>0</v>
      </c>
      <c r="U694" s="55">
        <f t="shared" si="969"/>
        <v>0</v>
      </c>
      <c r="V694" s="55">
        <f t="shared" si="969"/>
        <v>0</v>
      </c>
      <c r="W694" s="55">
        <f t="shared" si="969"/>
        <v>0</v>
      </c>
      <c r="X694" s="55">
        <f t="shared" si="969"/>
        <v>0</v>
      </c>
      <c r="Y694" s="55">
        <f t="shared" si="969"/>
        <v>0</v>
      </c>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c r="BA694" s="55"/>
      <c r="BB694" s="55"/>
      <c r="BC694" s="55"/>
      <c r="BD694" s="55"/>
      <c r="BE694" s="55"/>
      <c r="BF694" s="55"/>
      <c r="BG694" s="55"/>
      <c r="BH694" s="55"/>
      <c r="BI694" s="55"/>
      <c r="BJ694" s="55"/>
      <c r="BK694" s="78">
        <v>0.24167</v>
      </c>
      <c r="BL694" s="41" t="s">
        <v>1266</v>
      </c>
      <c r="BM694" s="41" t="s">
        <v>1267</v>
      </c>
    </row>
    <row r="695" spans="1:65" x14ac:dyDescent="0.35">
      <c r="A695" s="45" t="str">
        <f>Database_Productkaarten[[#This Row],[Product]]&amp;", "&amp;Database_Productkaarten[[#This Row],[Levensfase]]</f>
        <v>Opsluitband geopolymeer 80x200, D1</v>
      </c>
      <c r="B695" t="s">
        <v>1265</v>
      </c>
      <c r="C695" t="s">
        <v>464</v>
      </c>
      <c r="D695" s="41" t="s">
        <v>594</v>
      </c>
      <c r="E695" s="41" t="s">
        <v>538</v>
      </c>
      <c r="F695" s="41" t="s">
        <v>51</v>
      </c>
      <c r="G695" s="45">
        <v>1</v>
      </c>
      <c r="H695" s="45">
        <v>0.2</v>
      </c>
      <c r="I695" s="45">
        <v>0.08</v>
      </c>
      <c r="J695" s="45"/>
      <c r="K695" s="45"/>
      <c r="L695" s="41">
        <f t="shared" si="969"/>
        <v>6.8000000000000005E-2</v>
      </c>
      <c r="M695" s="54">
        <f t="shared" si="969"/>
        <v>0</v>
      </c>
      <c r="N695" s="41">
        <v>25</v>
      </c>
      <c r="O695" s="55">
        <f t="shared" si="969"/>
        <v>0</v>
      </c>
      <c r="P695" s="55">
        <f t="shared" si="969"/>
        <v>0</v>
      </c>
      <c r="Q695" s="55">
        <f t="shared" si="969"/>
        <v>3.4640000000000001E-3</v>
      </c>
      <c r="R695" s="55">
        <f t="shared" si="969"/>
        <v>0</v>
      </c>
      <c r="S695" s="55">
        <f t="shared" si="969"/>
        <v>0</v>
      </c>
      <c r="T695" s="55">
        <f t="shared" si="969"/>
        <v>0</v>
      </c>
      <c r="U695" s="55">
        <f t="shared" si="969"/>
        <v>0</v>
      </c>
      <c r="V695" s="55">
        <f t="shared" si="969"/>
        <v>0</v>
      </c>
      <c r="W695" s="55">
        <f t="shared" si="969"/>
        <v>0</v>
      </c>
      <c r="X695" s="55">
        <f t="shared" si="969"/>
        <v>0</v>
      </c>
      <c r="Y695" s="55">
        <f t="shared" si="969"/>
        <v>0</v>
      </c>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c r="BA695" s="55"/>
      <c r="BB695" s="55"/>
      <c r="BC695" s="55"/>
      <c r="BD695" s="55"/>
      <c r="BE695" s="55"/>
      <c r="BF695" s="55"/>
      <c r="BG695" s="55"/>
      <c r="BH695" s="55"/>
      <c r="BI695" s="55"/>
      <c r="BJ695" s="55"/>
      <c r="BK695" s="78">
        <v>0.24167</v>
      </c>
      <c r="BL695" s="41" t="s">
        <v>1266</v>
      </c>
      <c r="BM695" s="41" t="s">
        <v>1267</v>
      </c>
    </row>
    <row r="696" spans="1:65" x14ac:dyDescent="0.35">
      <c r="A696" s="45" t="str">
        <f>Database_Productkaarten[[#This Row],[Product]]&amp;", "&amp;Database_Productkaarten[[#This Row],[Levensfase]]</f>
        <v>Opsluitband geopolymeer 80x200, D2</v>
      </c>
      <c r="B696" t="s">
        <v>1265</v>
      </c>
      <c r="C696" t="s">
        <v>464</v>
      </c>
      <c r="D696" s="41" t="s">
        <v>594</v>
      </c>
      <c r="E696" s="41" t="s">
        <v>538</v>
      </c>
      <c r="F696" s="41" t="s">
        <v>52</v>
      </c>
      <c r="G696" s="45">
        <v>1</v>
      </c>
      <c r="H696" s="45">
        <v>0.2</v>
      </c>
      <c r="I696" s="45">
        <v>0.08</v>
      </c>
      <c r="J696" s="45"/>
      <c r="K696" s="45"/>
      <c r="L696" s="41">
        <f t="shared" si="969"/>
        <v>6.8000000000000005E-2</v>
      </c>
      <c r="M696" s="54">
        <f t="shared" si="969"/>
        <v>-2.4E-2</v>
      </c>
      <c r="N696" s="41">
        <v>25</v>
      </c>
      <c r="O696" s="55">
        <f t="shared" si="969"/>
        <v>0</v>
      </c>
      <c r="P696" s="55">
        <f t="shared" si="969"/>
        <v>0</v>
      </c>
      <c r="Q696" s="55">
        <f t="shared" si="969"/>
        <v>-0.19920000000000002</v>
      </c>
      <c r="R696" s="55">
        <f t="shared" si="969"/>
        <v>0</v>
      </c>
      <c r="S696" s="55">
        <f t="shared" si="969"/>
        <v>0</v>
      </c>
      <c r="T696" s="55">
        <f t="shared" si="969"/>
        <v>0</v>
      </c>
      <c r="U696" s="55">
        <f t="shared" si="969"/>
        <v>0</v>
      </c>
      <c r="V696" s="55">
        <f t="shared" si="969"/>
        <v>0</v>
      </c>
      <c r="W696" s="55">
        <f t="shared" si="969"/>
        <v>0</v>
      </c>
      <c r="X696" s="55">
        <f t="shared" si="969"/>
        <v>0</v>
      </c>
      <c r="Y696" s="55">
        <f t="shared" si="969"/>
        <v>0</v>
      </c>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78">
        <v>0.24167</v>
      </c>
      <c r="BL696" s="41" t="s">
        <v>1266</v>
      </c>
      <c r="BM696" s="41" t="s">
        <v>1267</v>
      </c>
    </row>
    <row r="697" spans="1:65" x14ac:dyDescent="0.35">
      <c r="A697" s="45" t="str">
        <f>Database_Productkaarten[[#This Row],[Product]]&amp;", "&amp;Database_Productkaarten[[#This Row],[Levensfase]]</f>
        <v>Opsluitband 100x200, Totaal</v>
      </c>
      <c r="B697" s="13" t="s">
        <v>595</v>
      </c>
      <c r="C697" s="13" t="s">
        <v>464</v>
      </c>
      <c r="D697" s="45" t="s">
        <v>594</v>
      </c>
      <c r="E697" s="45" t="s">
        <v>538</v>
      </c>
      <c r="F697" s="45" t="s">
        <v>16</v>
      </c>
      <c r="G697" s="45">
        <v>1</v>
      </c>
      <c r="H697" s="45">
        <v>0.2</v>
      </c>
      <c r="I697" s="45">
        <v>0.1</v>
      </c>
      <c r="J697" s="45"/>
      <c r="K697" s="45"/>
      <c r="L697" s="45">
        <v>4.5499999999999999E-2</v>
      </c>
      <c r="M697" s="54">
        <f>SUM(M698:M709)</f>
        <v>0.58753370000000005</v>
      </c>
      <c r="N697" s="41">
        <v>25</v>
      </c>
      <c r="O697" s="55">
        <f t="shared" ref="O697:Y697" si="970">SUM(O698:O709)</f>
        <v>7.5717349799999984E-4</v>
      </c>
      <c r="P697" s="55">
        <f t="shared" si="970"/>
        <v>2.6841159999999999E-2</v>
      </c>
      <c r="Q697" s="55">
        <f t="shared" si="970"/>
        <v>7.2815999999999992</v>
      </c>
      <c r="R697" s="55">
        <f t="shared" si="970"/>
        <v>6.8934309999999997E-7</v>
      </c>
      <c r="S697" s="55">
        <f t="shared" si="970"/>
        <v>2.0559619999999997E-3</v>
      </c>
      <c r="T697" s="55">
        <f t="shared" si="970"/>
        <v>1.7975469999999997E-2</v>
      </c>
      <c r="U697" s="55">
        <f t="shared" si="970"/>
        <v>4.2995810000000002E-3</v>
      </c>
      <c r="V697" s="55">
        <f t="shared" si="970"/>
        <v>0.98789999999999978</v>
      </c>
      <c r="W697" s="55">
        <f t="shared" si="970"/>
        <v>2.7701014999999999E-2</v>
      </c>
      <c r="X697" s="55">
        <f t="shared" si="970"/>
        <v>139.3080042</v>
      </c>
      <c r="Y697" s="55">
        <f t="shared" si="970"/>
        <v>9.040682999999999E-3</v>
      </c>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c r="BA697" s="55"/>
      <c r="BB697" s="55"/>
      <c r="BC697" s="55"/>
      <c r="BD697" s="55"/>
      <c r="BE697" s="55"/>
      <c r="BF697" s="55"/>
      <c r="BG697" s="55"/>
      <c r="BH697" s="55"/>
      <c r="BI697" s="55"/>
      <c r="BJ697" s="55"/>
      <c r="BK697" s="78">
        <v>0</v>
      </c>
      <c r="BL697" s="45" t="s">
        <v>596</v>
      </c>
      <c r="BM697" s="45"/>
    </row>
    <row r="698" spans="1:65" x14ac:dyDescent="0.35">
      <c r="A698" s="45" t="str">
        <f>Database_Productkaarten[[#This Row],[Product]]&amp;", "&amp;Database_Productkaarten[[#This Row],[Levensfase]]</f>
        <v>Opsluitband 100x200, A1</v>
      </c>
      <c r="B698" s="13" t="s">
        <v>595</v>
      </c>
      <c r="C698" s="13" t="s">
        <v>464</v>
      </c>
      <c r="D698" s="45" t="s">
        <v>594</v>
      </c>
      <c r="E698" s="45" t="s">
        <v>538</v>
      </c>
      <c r="F698" s="45" t="s">
        <v>19</v>
      </c>
      <c r="G698" s="45">
        <v>1</v>
      </c>
      <c r="H698" s="45">
        <v>0.2</v>
      </c>
      <c r="I698" s="45">
        <v>0.1</v>
      </c>
      <c r="J698" s="45"/>
      <c r="K698" s="45"/>
      <c r="L698" s="45">
        <v>4.5499999999999999E-2</v>
      </c>
      <c r="M698" s="54">
        <v>0.4269</v>
      </c>
      <c r="N698" s="45">
        <v>25</v>
      </c>
      <c r="O698" s="55">
        <v>7.1199999999999996E-4</v>
      </c>
      <c r="P698" s="55">
        <v>1.7899999999999999E-2</v>
      </c>
      <c r="Q698" s="55">
        <v>5.8981000000000003</v>
      </c>
      <c r="R698" s="55">
        <v>1.994E-7</v>
      </c>
      <c r="S698" s="55">
        <v>1.2999999999999999E-3</v>
      </c>
      <c r="T698" s="55">
        <v>1.1599999999999999E-2</v>
      </c>
      <c r="U698" s="55">
        <v>2.5000000000000001E-3</v>
      </c>
      <c r="V698" s="55">
        <v>0.5353</v>
      </c>
      <c r="W698" s="55">
        <v>1.35E-2</v>
      </c>
      <c r="X698" s="55">
        <v>87.311499999999995</v>
      </c>
      <c r="Y698" s="55">
        <v>7.4000000000000003E-3</v>
      </c>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c r="BA698" s="55"/>
      <c r="BB698" s="55"/>
      <c r="BC698" s="55"/>
      <c r="BD698" s="55"/>
      <c r="BE698" s="55"/>
      <c r="BF698" s="55"/>
      <c r="BG698" s="55"/>
      <c r="BH698" s="55"/>
      <c r="BI698" s="55"/>
      <c r="BJ698" s="55"/>
      <c r="BK698" s="78">
        <v>0</v>
      </c>
      <c r="BL698" s="45" t="s">
        <v>596</v>
      </c>
      <c r="BM698" s="45"/>
    </row>
    <row r="699" spans="1:65" x14ac:dyDescent="0.35">
      <c r="A699" s="45" t="str">
        <f>Database_Productkaarten[[#This Row],[Product]]&amp;", "&amp;Database_Productkaarten[[#This Row],[Levensfase]]</f>
        <v>Opsluitband 100x200, A2</v>
      </c>
      <c r="B699" s="13" t="s">
        <v>595</v>
      </c>
      <c r="C699" s="13" t="s">
        <v>464</v>
      </c>
      <c r="D699" s="45" t="s">
        <v>594</v>
      </c>
      <c r="E699" s="45" t="s">
        <v>538</v>
      </c>
      <c r="F699" s="45" t="s">
        <v>20</v>
      </c>
      <c r="G699" s="45">
        <v>1</v>
      </c>
      <c r="H699" s="45">
        <v>0.2</v>
      </c>
      <c r="I699" s="45">
        <v>0.1</v>
      </c>
      <c r="J699" s="45"/>
      <c r="K699" s="45"/>
      <c r="L699" s="45">
        <v>4.5499999999999999E-2</v>
      </c>
      <c r="M699" s="54"/>
      <c r="N699" s="45">
        <v>25</v>
      </c>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c r="BA699" s="55"/>
      <c r="BB699" s="55"/>
      <c r="BC699" s="55"/>
      <c r="BD699" s="55"/>
      <c r="BE699" s="55"/>
      <c r="BF699" s="55"/>
      <c r="BG699" s="55"/>
      <c r="BH699" s="55"/>
      <c r="BI699" s="55"/>
      <c r="BJ699" s="55"/>
      <c r="BK699" s="78">
        <v>0</v>
      </c>
      <c r="BL699" s="45" t="s">
        <v>596</v>
      </c>
      <c r="BM699" s="45"/>
    </row>
    <row r="700" spans="1:65" x14ac:dyDescent="0.35">
      <c r="A700" s="45" t="str">
        <f>Database_Productkaarten[[#This Row],[Product]]&amp;", "&amp;Database_Productkaarten[[#This Row],[Levensfase]]</f>
        <v>Opsluitband 100x200, A3</v>
      </c>
      <c r="B700" s="13" t="s">
        <v>595</v>
      </c>
      <c r="C700" s="13" t="s">
        <v>464</v>
      </c>
      <c r="D700" s="45" t="s">
        <v>594</v>
      </c>
      <c r="E700" s="45" t="s">
        <v>538</v>
      </c>
      <c r="F700" s="45" t="s">
        <v>21</v>
      </c>
      <c r="G700" s="45">
        <v>1</v>
      </c>
      <c r="H700" s="45">
        <v>0.2</v>
      </c>
      <c r="I700" s="45">
        <v>0.1</v>
      </c>
      <c r="J700" s="45"/>
      <c r="K700" s="45"/>
      <c r="L700" s="45">
        <v>4.5499999999999999E-2</v>
      </c>
      <c r="M700" s="54"/>
      <c r="N700" s="45">
        <v>25</v>
      </c>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c r="BA700" s="55"/>
      <c r="BB700" s="55"/>
      <c r="BC700" s="55"/>
      <c r="BD700" s="55"/>
      <c r="BE700" s="55"/>
      <c r="BF700" s="55"/>
      <c r="BG700" s="55"/>
      <c r="BH700" s="55"/>
      <c r="BI700" s="55"/>
      <c r="BJ700" s="55"/>
      <c r="BK700" s="78">
        <v>0</v>
      </c>
      <c r="BL700" s="45" t="s">
        <v>596</v>
      </c>
      <c r="BM700" s="45"/>
    </row>
    <row r="701" spans="1:65" x14ac:dyDescent="0.35">
      <c r="A701" s="45" t="str">
        <f>Database_Productkaarten[[#This Row],[Product]]&amp;", "&amp;Database_Productkaarten[[#This Row],[Levensfase]]</f>
        <v>Opsluitband 100x200, A4</v>
      </c>
      <c r="B701" s="13" t="s">
        <v>595</v>
      </c>
      <c r="C701" s="13" t="s">
        <v>464</v>
      </c>
      <c r="D701" s="45" t="s">
        <v>594</v>
      </c>
      <c r="E701" s="45" t="s">
        <v>538</v>
      </c>
      <c r="F701" s="45" t="s">
        <v>22</v>
      </c>
      <c r="G701" s="45">
        <v>1</v>
      </c>
      <c r="H701" s="45">
        <v>0.2</v>
      </c>
      <c r="I701" s="45">
        <v>0.1</v>
      </c>
      <c r="J701" s="45"/>
      <c r="K701" s="45"/>
      <c r="L701" s="45">
        <v>4.5499999999999999E-2</v>
      </c>
      <c r="M701" s="54">
        <v>0.1048</v>
      </c>
      <c r="N701" s="45">
        <v>25</v>
      </c>
      <c r="O701" s="55">
        <v>2.5050000000000002E-6</v>
      </c>
      <c r="P701" s="55">
        <v>6.6E-3</v>
      </c>
      <c r="Q701" s="55">
        <v>0.87949999999999995</v>
      </c>
      <c r="R701" s="55">
        <v>1.6430000000000001E-7</v>
      </c>
      <c r="S701" s="55">
        <v>5.22E-4</v>
      </c>
      <c r="T701" s="55">
        <v>3.8E-3</v>
      </c>
      <c r="U701" s="55">
        <v>7.6780000000000001E-4</v>
      </c>
      <c r="V701" s="55">
        <v>0.36030000000000001</v>
      </c>
      <c r="W701" s="55">
        <v>1.0500000000000001E-2</v>
      </c>
      <c r="X701" s="55">
        <v>37.311900000000001</v>
      </c>
      <c r="Y701" s="55">
        <v>1.1999999999999999E-3</v>
      </c>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c r="BA701" s="55"/>
      <c r="BB701" s="55"/>
      <c r="BC701" s="55"/>
      <c r="BD701" s="55"/>
      <c r="BE701" s="55"/>
      <c r="BF701" s="55"/>
      <c r="BG701" s="55"/>
      <c r="BH701" s="55"/>
      <c r="BI701" s="55"/>
      <c r="BJ701" s="55"/>
      <c r="BK701" s="78">
        <v>0</v>
      </c>
      <c r="BL701" s="45" t="s">
        <v>596</v>
      </c>
      <c r="BM701" s="45"/>
    </row>
    <row r="702" spans="1:65" x14ac:dyDescent="0.35">
      <c r="A702" s="45" t="str">
        <f>Database_Productkaarten[[#This Row],[Product]]&amp;", "&amp;Database_Productkaarten[[#This Row],[Levensfase]]</f>
        <v>Opsluitband 100x200, A5</v>
      </c>
      <c r="B702" s="13" t="s">
        <v>595</v>
      </c>
      <c r="C702" s="13" t="s">
        <v>464</v>
      </c>
      <c r="D702" s="45" t="s">
        <v>594</v>
      </c>
      <c r="E702" s="45" t="s">
        <v>538</v>
      </c>
      <c r="F702" s="45" t="s">
        <v>23</v>
      </c>
      <c r="G702" s="45">
        <v>1</v>
      </c>
      <c r="H702" s="45">
        <v>0.2</v>
      </c>
      <c r="I702" s="45">
        <v>0.1</v>
      </c>
      <c r="J702" s="45"/>
      <c r="K702" s="45"/>
      <c r="L702" s="45">
        <v>4.5499999999999999E-2</v>
      </c>
      <c r="M702" s="54">
        <v>1.55E-2</v>
      </c>
      <c r="N702" s="45">
        <v>25</v>
      </c>
      <c r="O702" s="55">
        <v>2.1420000000000002E-5</v>
      </c>
      <c r="P702" s="55">
        <v>6.6200000000000005E-4</v>
      </c>
      <c r="Q702" s="55">
        <v>0.1933</v>
      </c>
      <c r="R702" s="55">
        <v>1.7649999999999999E-8</v>
      </c>
      <c r="S702" s="55">
        <v>5.3579999999999999E-5</v>
      </c>
      <c r="T702" s="55">
        <v>4.7879999999999998E-4</v>
      </c>
      <c r="U702" s="55">
        <v>1.131E-4</v>
      </c>
      <c r="V702" s="55">
        <v>2.5499999999999998E-2</v>
      </c>
      <c r="W702" s="55">
        <v>6.8380000000000003E-4</v>
      </c>
      <c r="X702" s="55">
        <v>3.5981000000000001</v>
      </c>
      <c r="Y702" s="55">
        <v>2.1890000000000001E-4</v>
      </c>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c r="BA702" s="55"/>
      <c r="BB702" s="55"/>
      <c r="BC702" s="55"/>
      <c r="BD702" s="55"/>
      <c r="BE702" s="55"/>
      <c r="BF702" s="55"/>
      <c r="BG702" s="55"/>
      <c r="BH702" s="55"/>
      <c r="BI702" s="55"/>
      <c r="BJ702" s="55"/>
      <c r="BK702" s="78">
        <v>0</v>
      </c>
      <c r="BL702" s="45" t="s">
        <v>596</v>
      </c>
      <c r="BM702" s="45"/>
    </row>
    <row r="703" spans="1:65" x14ac:dyDescent="0.35">
      <c r="A703" s="45" t="str">
        <f>Database_Productkaarten[[#This Row],[Product]]&amp;", "&amp;Database_Productkaarten[[#This Row],[Levensfase]]</f>
        <v>Opsluitband 100x200, B1</v>
      </c>
      <c r="B703" s="13" t="s">
        <v>595</v>
      </c>
      <c r="C703" s="13" t="s">
        <v>464</v>
      </c>
      <c r="D703" s="45" t="s">
        <v>594</v>
      </c>
      <c r="E703" s="45" t="s">
        <v>538</v>
      </c>
      <c r="F703" s="45" t="s">
        <v>24</v>
      </c>
      <c r="G703" s="45">
        <v>1</v>
      </c>
      <c r="H703" s="45">
        <v>0.2</v>
      </c>
      <c r="I703" s="45">
        <v>0.1</v>
      </c>
      <c r="J703" s="45"/>
      <c r="K703" s="45"/>
      <c r="L703" s="45">
        <v>4.5499999999999999E-2</v>
      </c>
      <c r="M703" s="54"/>
      <c r="N703" s="45">
        <v>25</v>
      </c>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c r="BA703" s="55"/>
      <c r="BB703" s="55"/>
      <c r="BC703" s="55"/>
      <c r="BD703" s="55"/>
      <c r="BE703" s="55"/>
      <c r="BF703" s="55"/>
      <c r="BG703" s="55"/>
      <c r="BH703" s="55"/>
      <c r="BI703" s="55"/>
      <c r="BJ703" s="55"/>
      <c r="BK703" s="78">
        <v>0</v>
      </c>
      <c r="BL703" s="45" t="s">
        <v>596</v>
      </c>
      <c r="BM703" s="45"/>
    </row>
    <row r="704" spans="1:65" x14ac:dyDescent="0.35">
      <c r="A704" s="45" t="str">
        <f>Database_Productkaarten[[#This Row],[Product]]&amp;", "&amp;Database_Productkaarten[[#This Row],[Levensfase]]</f>
        <v>Opsluitband 100x200, C1</v>
      </c>
      <c r="B704" s="13" t="s">
        <v>595</v>
      </c>
      <c r="C704" s="13" t="s">
        <v>464</v>
      </c>
      <c r="D704" s="45" t="s">
        <v>594</v>
      </c>
      <c r="E704" s="45" t="s">
        <v>538</v>
      </c>
      <c r="F704" s="45" t="s">
        <v>25</v>
      </c>
      <c r="G704" s="45">
        <v>1</v>
      </c>
      <c r="H704" s="45">
        <v>0.2</v>
      </c>
      <c r="I704" s="45">
        <v>0.1</v>
      </c>
      <c r="J704" s="45"/>
      <c r="K704" s="45"/>
      <c r="L704" s="45">
        <v>4.5499999999999999E-2</v>
      </c>
      <c r="M704" s="54">
        <v>1.55E-2</v>
      </c>
      <c r="N704" s="45">
        <v>25</v>
      </c>
      <c r="O704" s="55">
        <v>2.1420000000000002E-5</v>
      </c>
      <c r="P704" s="55">
        <v>6.6200000000000005E-4</v>
      </c>
      <c r="Q704" s="55">
        <v>0.1933</v>
      </c>
      <c r="R704" s="55">
        <v>1.7649999999999999E-8</v>
      </c>
      <c r="S704" s="55">
        <v>5.3579999999999999E-5</v>
      </c>
      <c r="T704" s="55">
        <v>4.7879999999999998E-4</v>
      </c>
      <c r="U704" s="55">
        <v>1.131E-4</v>
      </c>
      <c r="V704" s="55">
        <v>2.5499999999999998E-2</v>
      </c>
      <c r="W704" s="55">
        <v>6.8380000000000003E-4</v>
      </c>
      <c r="X704" s="55">
        <v>3.5981000000000001</v>
      </c>
      <c r="Y704" s="55">
        <v>2.1890000000000001E-4</v>
      </c>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c r="BA704" s="55"/>
      <c r="BB704" s="55"/>
      <c r="BC704" s="55"/>
      <c r="BD704" s="55"/>
      <c r="BE704" s="55"/>
      <c r="BF704" s="55"/>
      <c r="BG704" s="55"/>
      <c r="BH704" s="55"/>
      <c r="BI704" s="55"/>
      <c r="BJ704" s="55"/>
      <c r="BK704" s="78">
        <v>0</v>
      </c>
      <c r="BL704" s="45" t="s">
        <v>596</v>
      </c>
      <c r="BM704" s="45"/>
    </row>
    <row r="705" spans="1:65" x14ac:dyDescent="0.35">
      <c r="A705" s="45" t="str">
        <f>Database_Productkaarten[[#This Row],[Product]]&amp;", "&amp;Database_Productkaarten[[#This Row],[Levensfase]]</f>
        <v>Opsluitband 100x200, C2</v>
      </c>
      <c r="B705" s="13" t="s">
        <v>595</v>
      </c>
      <c r="C705" s="13" t="s">
        <v>464</v>
      </c>
      <c r="D705" s="45" t="s">
        <v>594</v>
      </c>
      <c r="E705" s="45" t="s">
        <v>538</v>
      </c>
      <c r="F705" s="45" t="s">
        <v>26</v>
      </c>
      <c r="G705" s="45">
        <v>1</v>
      </c>
      <c r="H705" s="45">
        <v>0.2</v>
      </c>
      <c r="I705" s="45">
        <v>0.1</v>
      </c>
      <c r="J705" s="45"/>
      <c r="K705" s="45"/>
      <c r="L705" s="45">
        <v>4.5499999999999999E-2</v>
      </c>
      <c r="M705" s="54">
        <v>3.5299999999999998E-2</v>
      </c>
      <c r="N705" s="45">
        <v>25</v>
      </c>
      <c r="O705" s="55">
        <v>8.4349999999999995E-7</v>
      </c>
      <c r="P705" s="55">
        <v>2.2000000000000001E-3</v>
      </c>
      <c r="Q705" s="55">
        <v>0.29609999999999997</v>
      </c>
      <c r="R705" s="55">
        <v>5.533E-8</v>
      </c>
      <c r="S705" s="55">
        <v>1.7569999999999999E-4</v>
      </c>
      <c r="T705" s="55">
        <v>1.2999999999999999E-3</v>
      </c>
      <c r="U705" s="55">
        <v>2.5849999999999999E-4</v>
      </c>
      <c r="V705" s="55">
        <v>0.12130000000000001</v>
      </c>
      <c r="W705" s="55">
        <v>3.5000000000000001E-3</v>
      </c>
      <c r="X705" s="55">
        <v>12.5617</v>
      </c>
      <c r="Y705" s="55">
        <v>4.1859999999999998E-4</v>
      </c>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c r="BA705" s="55"/>
      <c r="BB705" s="55"/>
      <c r="BC705" s="55"/>
      <c r="BD705" s="55"/>
      <c r="BE705" s="55"/>
      <c r="BF705" s="55"/>
      <c r="BG705" s="55"/>
      <c r="BH705" s="55"/>
      <c r="BI705" s="55"/>
      <c r="BJ705" s="55"/>
      <c r="BK705" s="78">
        <v>0</v>
      </c>
      <c r="BL705" s="45" t="s">
        <v>596</v>
      </c>
      <c r="BM705" s="45"/>
    </row>
    <row r="706" spans="1:65" x14ac:dyDescent="0.35">
      <c r="A706" s="45" t="str">
        <f>Database_Productkaarten[[#This Row],[Product]]&amp;", "&amp;Database_Productkaarten[[#This Row],[Levensfase]]</f>
        <v>Opsluitband 100x200, C3</v>
      </c>
      <c r="B706" s="13" t="s">
        <v>595</v>
      </c>
      <c r="C706" s="13" t="s">
        <v>464</v>
      </c>
      <c r="D706" s="45" t="s">
        <v>594</v>
      </c>
      <c r="E706" s="45" t="s">
        <v>538</v>
      </c>
      <c r="F706" s="45" t="s">
        <v>27</v>
      </c>
      <c r="G706" s="45">
        <v>1</v>
      </c>
      <c r="H706" s="45">
        <v>0.2</v>
      </c>
      <c r="I706" s="45">
        <v>0.1</v>
      </c>
      <c r="J706" s="45"/>
      <c r="K706" s="45"/>
      <c r="L706" s="45">
        <v>4.5499999999999999E-2</v>
      </c>
      <c r="M706" s="54">
        <v>1.2800000000000001E-2</v>
      </c>
      <c r="N706" s="45">
        <v>25</v>
      </c>
      <c r="O706" s="55">
        <v>7.3259999999999997E-9</v>
      </c>
      <c r="P706" s="55">
        <v>8.25E-5</v>
      </c>
      <c r="Q706" s="55">
        <v>3.5999999999999999E-3</v>
      </c>
      <c r="R706" s="55">
        <v>2.5069999999999999E-7</v>
      </c>
      <c r="S706" s="55">
        <v>8.2319999999999998E-5</v>
      </c>
      <c r="T706" s="55">
        <v>1.4E-3</v>
      </c>
      <c r="U706" s="55">
        <v>7.2809999999999997E-4</v>
      </c>
      <c r="V706" s="55">
        <v>1.5E-3</v>
      </c>
      <c r="W706" s="55">
        <v>8.4549999999999995E-6</v>
      </c>
      <c r="X706" s="55">
        <v>1.042E-4</v>
      </c>
      <c r="Y706" s="55">
        <v>1.2510000000000001E-5</v>
      </c>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78">
        <v>0</v>
      </c>
      <c r="BL706" s="45" t="s">
        <v>596</v>
      </c>
      <c r="BM706" s="45"/>
    </row>
    <row r="707" spans="1:65" x14ac:dyDescent="0.35">
      <c r="A707" s="45" t="str">
        <f>Database_Productkaarten[[#This Row],[Product]]&amp;", "&amp;Database_Productkaarten[[#This Row],[Levensfase]]</f>
        <v>Opsluitband 100x200, C4</v>
      </c>
      <c r="B707" s="13" t="s">
        <v>595</v>
      </c>
      <c r="C707" s="13" t="s">
        <v>464</v>
      </c>
      <c r="D707" s="45" t="s">
        <v>594</v>
      </c>
      <c r="E707" s="45" t="s">
        <v>538</v>
      </c>
      <c r="F707" s="45" t="s">
        <v>28</v>
      </c>
      <c r="G707" s="45">
        <v>1</v>
      </c>
      <c r="H707" s="45">
        <v>0.2</v>
      </c>
      <c r="I707" s="45">
        <v>0.1</v>
      </c>
      <c r="J707" s="45"/>
      <c r="K707" s="45"/>
      <c r="L707" s="45">
        <v>4.5499999999999999E-2</v>
      </c>
      <c r="M707" s="54">
        <v>3.3369999999999998E-4</v>
      </c>
      <c r="N707" s="45">
        <v>25</v>
      </c>
      <c r="O707" s="55">
        <v>2.6719999999999999E-9</v>
      </c>
      <c r="P707" s="55">
        <v>3.4659999999999997E-5</v>
      </c>
      <c r="Q707" s="55">
        <v>2.3999999999999998E-3</v>
      </c>
      <c r="R707" s="55">
        <v>8.5309999999999998E-10</v>
      </c>
      <c r="S707" s="55">
        <v>2.582E-6</v>
      </c>
      <c r="T707" s="55">
        <v>1.787E-5</v>
      </c>
      <c r="U707" s="55">
        <v>3.3809999999999999E-6</v>
      </c>
      <c r="V707" s="55">
        <v>1E-3</v>
      </c>
      <c r="W707" s="55">
        <v>2.4960000000000002E-5</v>
      </c>
      <c r="X707" s="55">
        <v>8.7499999999999994E-2</v>
      </c>
      <c r="Y707" s="55">
        <v>2.5730000000000002E-6</v>
      </c>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5"/>
      <c r="BI707" s="55"/>
      <c r="BJ707" s="55"/>
      <c r="BK707" s="78">
        <v>0</v>
      </c>
      <c r="BL707" s="45" t="s">
        <v>596</v>
      </c>
      <c r="BM707" s="45"/>
    </row>
    <row r="708" spans="1:65" x14ac:dyDescent="0.35">
      <c r="A708" s="45" t="str">
        <f>Database_Productkaarten[[#This Row],[Product]]&amp;", "&amp;Database_Productkaarten[[#This Row],[Levensfase]]</f>
        <v>Opsluitband 100x200, D1</v>
      </c>
      <c r="B708" s="13" t="s">
        <v>595</v>
      </c>
      <c r="C708" s="13" t="s">
        <v>464</v>
      </c>
      <c r="D708" s="45" t="s">
        <v>594</v>
      </c>
      <c r="E708" s="45" t="s">
        <v>538</v>
      </c>
      <c r="F708" s="45" t="s">
        <v>51</v>
      </c>
      <c r="G708" s="45">
        <v>1</v>
      </c>
      <c r="H708" s="45">
        <v>0.2</v>
      </c>
      <c r="I708" s="45">
        <v>0.1</v>
      </c>
      <c r="J708" s="45"/>
      <c r="K708" s="45"/>
      <c r="L708" s="45">
        <v>4.5499999999999999E-2</v>
      </c>
      <c r="M708" s="54">
        <v>-2.3599999999999999E-2</v>
      </c>
      <c r="N708" s="45">
        <v>25</v>
      </c>
      <c r="O708" s="55">
        <v>-1.0249999999999999E-6</v>
      </c>
      <c r="P708" s="55">
        <v>-1.2999999999999999E-3</v>
      </c>
      <c r="Q708" s="55">
        <v>-0.1847</v>
      </c>
      <c r="R708" s="55">
        <v>-1.6540000000000001E-8</v>
      </c>
      <c r="S708" s="55">
        <v>-1.338E-4</v>
      </c>
      <c r="T708" s="55">
        <v>-1.1000000000000001E-3</v>
      </c>
      <c r="U708" s="55">
        <v>-1.8440000000000001E-4</v>
      </c>
      <c r="V708" s="55">
        <v>-8.2500000000000004E-2</v>
      </c>
      <c r="W708" s="55">
        <v>-1.1999999999999999E-3</v>
      </c>
      <c r="X708" s="55">
        <v>-5.1608999999999998</v>
      </c>
      <c r="Y708" s="55">
        <v>-4.3080000000000001E-4</v>
      </c>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5"/>
      <c r="BI708" s="55"/>
      <c r="BJ708" s="55"/>
      <c r="BK708" s="78">
        <v>0</v>
      </c>
      <c r="BL708" s="45" t="s">
        <v>596</v>
      </c>
      <c r="BM708" s="45"/>
    </row>
    <row r="709" spans="1:65" x14ac:dyDescent="0.35">
      <c r="A709" s="45" t="str">
        <f>Database_Productkaarten[[#This Row],[Product]]&amp;", "&amp;Database_Productkaarten[[#This Row],[Levensfase]]</f>
        <v>Opsluitband 100x200, D2</v>
      </c>
      <c r="B709" s="13" t="s">
        <v>595</v>
      </c>
      <c r="C709" s="13" t="s">
        <v>464</v>
      </c>
      <c r="D709" s="45" t="s">
        <v>594</v>
      </c>
      <c r="E709" s="45" t="s">
        <v>538</v>
      </c>
      <c r="F709" s="45" t="s">
        <v>52</v>
      </c>
      <c r="G709" s="45">
        <v>1</v>
      </c>
      <c r="H709" s="45">
        <v>0.2</v>
      </c>
      <c r="I709" s="45">
        <v>0.1</v>
      </c>
      <c r="J709" s="45"/>
      <c r="K709" s="45"/>
      <c r="L709" s="45">
        <v>4.5499999999999999E-2</v>
      </c>
      <c r="M709" s="54"/>
      <c r="N709" s="45">
        <v>25</v>
      </c>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5"/>
      <c r="BI709" s="55"/>
      <c r="BJ709" s="55"/>
      <c r="BK709" s="78">
        <v>0</v>
      </c>
      <c r="BL709" s="45" t="s">
        <v>596</v>
      </c>
      <c r="BM709" s="45"/>
    </row>
    <row r="710" spans="1:65" x14ac:dyDescent="0.35">
      <c r="A710" s="45" t="str">
        <f>Database_Productkaarten[[#This Row],[Product]]&amp;", "&amp;Database_Productkaarten[[#This Row],[Levensfase]]</f>
        <v>Opsluitband 80x200, Totaal</v>
      </c>
      <c r="B710" s="13" t="s">
        <v>547</v>
      </c>
      <c r="C710" s="13" t="s">
        <v>464</v>
      </c>
      <c r="D710" s="45" t="s">
        <v>594</v>
      </c>
      <c r="E710" s="45" t="s">
        <v>538</v>
      </c>
      <c r="F710" s="45" t="s">
        <v>16</v>
      </c>
      <c r="G710" s="45">
        <v>1</v>
      </c>
      <c r="H710" s="45">
        <v>0.2</v>
      </c>
      <c r="I710" s="45">
        <v>0.08</v>
      </c>
      <c r="J710" s="45"/>
      <c r="K710" s="45"/>
      <c r="L710" s="45">
        <f>L697*0.8</f>
        <v>3.6400000000000002E-2</v>
      </c>
      <c r="M710" s="54">
        <f t="shared" ref="M710:M722" si="971">M697*0.8</f>
        <v>0.47002696000000005</v>
      </c>
      <c r="N710" s="45">
        <v>25</v>
      </c>
      <c r="O710" s="55">
        <f>O697*0.8</f>
        <v>6.0573879839999996E-4</v>
      </c>
      <c r="P710" s="55">
        <f t="shared" ref="P710:Y710" si="972">P697*0.8</f>
        <v>2.1472928000000002E-2</v>
      </c>
      <c r="Q710" s="55">
        <f t="shared" si="972"/>
        <v>5.8252799999999993</v>
      </c>
      <c r="R710" s="55">
        <f t="shared" si="972"/>
        <v>5.5147448E-7</v>
      </c>
      <c r="S710" s="55">
        <f t="shared" si="972"/>
        <v>1.6447695999999999E-3</v>
      </c>
      <c r="T710" s="55">
        <f t="shared" si="972"/>
        <v>1.4380375999999999E-2</v>
      </c>
      <c r="U710" s="55">
        <f t="shared" si="972"/>
        <v>3.4396648000000005E-3</v>
      </c>
      <c r="V710" s="55">
        <f t="shared" si="972"/>
        <v>0.79031999999999991</v>
      </c>
      <c r="W710" s="55">
        <f t="shared" si="972"/>
        <v>2.2160812000000002E-2</v>
      </c>
      <c r="X710" s="55">
        <f t="shared" si="972"/>
        <v>111.44640336000001</v>
      </c>
      <c r="Y710" s="55">
        <f t="shared" si="972"/>
        <v>7.2325463999999996E-3</v>
      </c>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55"/>
      <c r="BC710" s="55"/>
      <c r="BD710" s="55"/>
      <c r="BE710" s="55"/>
      <c r="BF710" s="55"/>
      <c r="BG710" s="55"/>
      <c r="BH710" s="55"/>
      <c r="BI710" s="55"/>
      <c r="BJ710" s="55"/>
      <c r="BK710" s="78">
        <v>0</v>
      </c>
      <c r="BL710" s="45" t="s">
        <v>596</v>
      </c>
      <c r="BM710" s="45" t="s">
        <v>597</v>
      </c>
    </row>
    <row r="711" spans="1:65" x14ac:dyDescent="0.35">
      <c r="A711" s="45" t="str">
        <f>Database_Productkaarten[[#This Row],[Product]]&amp;", "&amp;Database_Productkaarten[[#This Row],[Levensfase]]</f>
        <v>Opsluitband 80x200, A1</v>
      </c>
      <c r="B711" s="13" t="s">
        <v>547</v>
      </c>
      <c r="C711" s="13" t="s">
        <v>464</v>
      </c>
      <c r="D711" s="45" t="s">
        <v>594</v>
      </c>
      <c r="E711" s="45" t="s">
        <v>538</v>
      </c>
      <c r="F711" s="45" t="s">
        <v>19</v>
      </c>
      <c r="G711" s="45">
        <v>1</v>
      </c>
      <c r="H711" s="45">
        <v>0.2</v>
      </c>
      <c r="I711" s="45">
        <v>0.08</v>
      </c>
      <c r="J711" s="45"/>
      <c r="K711" s="45"/>
      <c r="L711" s="45">
        <f t="shared" ref="L711" si="973">L698*0.8</f>
        <v>3.6400000000000002E-2</v>
      </c>
      <c r="M711" s="54">
        <f t="shared" si="971"/>
        <v>0.34152000000000005</v>
      </c>
      <c r="N711" s="45">
        <v>25</v>
      </c>
      <c r="O711" s="55">
        <f t="shared" ref="O711:Y711" si="974">O698*0.8</f>
        <v>5.6959999999999997E-4</v>
      </c>
      <c r="P711" s="55">
        <f t="shared" si="974"/>
        <v>1.4319999999999999E-2</v>
      </c>
      <c r="Q711" s="55">
        <f t="shared" si="974"/>
        <v>4.7184800000000005</v>
      </c>
      <c r="R711" s="55">
        <f t="shared" si="974"/>
        <v>1.5952000000000001E-7</v>
      </c>
      <c r="S711" s="55">
        <f t="shared" si="974"/>
        <v>1.0399999999999999E-3</v>
      </c>
      <c r="T711" s="55">
        <f t="shared" si="974"/>
        <v>9.2800000000000001E-3</v>
      </c>
      <c r="U711" s="55">
        <f t="shared" si="974"/>
        <v>2E-3</v>
      </c>
      <c r="V711" s="55">
        <f t="shared" si="974"/>
        <v>0.42824000000000001</v>
      </c>
      <c r="W711" s="55">
        <f t="shared" si="974"/>
        <v>1.0800000000000001E-2</v>
      </c>
      <c r="X711" s="55">
        <f t="shared" si="974"/>
        <v>69.849199999999996</v>
      </c>
      <c r="Y711" s="55">
        <f t="shared" si="974"/>
        <v>5.9200000000000008E-3</v>
      </c>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c r="BA711" s="55"/>
      <c r="BB711" s="55"/>
      <c r="BC711" s="55"/>
      <c r="BD711" s="55"/>
      <c r="BE711" s="55"/>
      <c r="BF711" s="55"/>
      <c r="BG711" s="55"/>
      <c r="BH711" s="55"/>
      <c r="BI711" s="55"/>
      <c r="BJ711" s="55"/>
      <c r="BK711" s="78">
        <v>0</v>
      </c>
      <c r="BL711" s="45" t="s">
        <v>596</v>
      </c>
      <c r="BM711" s="45" t="s">
        <v>597</v>
      </c>
    </row>
    <row r="712" spans="1:65" x14ac:dyDescent="0.35">
      <c r="A712" s="45" t="str">
        <f>Database_Productkaarten[[#This Row],[Product]]&amp;", "&amp;Database_Productkaarten[[#This Row],[Levensfase]]</f>
        <v>Opsluitband 80x200, A2</v>
      </c>
      <c r="B712" s="13" t="s">
        <v>547</v>
      </c>
      <c r="C712" s="13" t="s">
        <v>464</v>
      </c>
      <c r="D712" s="45" t="s">
        <v>594</v>
      </c>
      <c r="E712" s="45" t="s">
        <v>538</v>
      </c>
      <c r="F712" s="45" t="s">
        <v>20</v>
      </c>
      <c r="G712" s="45">
        <v>1</v>
      </c>
      <c r="H712" s="45">
        <v>0.2</v>
      </c>
      <c r="I712" s="45">
        <v>0.08</v>
      </c>
      <c r="J712" s="45"/>
      <c r="K712" s="45"/>
      <c r="L712" s="45">
        <f t="shared" ref="L712" si="975">L699*0.8</f>
        <v>3.6400000000000002E-2</v>
      </c>
      <c r="M712" s="54">
        <f t="shared" si="971"/>
        <v>0</v>
      </c>
      <c r="N712" s="45">
        <v>25</v>
      </c>
      <c r="O712" s="55">
        <f t="shared" ref="O712:Y712" si="976">O699*0.8</f>
        <v>0</v>
      </c>
      <c r="P712" s="55">
        <f t="shared" si="976"/>
        <v>0</v>
      </c>
      <c r="Q712" s="55">
        <f t="shared" si="976"/>
        <v>0</v>
      </c>
      <c r="R712" s="55">
        <f t="shared" si="976"/>
        <v>0</v>
      </c>
      <c r="S712" s="55">
        <f t="shared" si="976"/>
        <v>0</v>
      </c>
      <c r="T712" s="55">
        <f t="shared" si="976"/>
        <v>0</v>
      </c>
      <c r="U712" s="55">
        <f t="shared" si="976"/>
        <v>0</v>
      </c>
      <c r="V712" s="55">
        <f t="shared" si="976"/>
        <v>0</v>
      </c>
      <c r="W712" s="55">
        <f t="shared" si="976"/>
        <v>0</v>
      </c>
      <c r="X712" s="55">
        <f t="shared" si="976"/>
        <v>0</v>
      </c>
      <c r="Y712" s="55">
        <f t="shared" si="976"/>
        <v>0</v>
      </c>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c r="BA712" s="55"/>
      <c r="BB712" s="55"/>
      <c r="BC712" s="55"/>
      <c r="BD712" s="55"/>
      <c r="BE712" s="55"/>
      <c r="BF712" s="55"/>
      <c r="BG712" s="55"/>
      <c r="BH712" s="55"/>
      <c r="BI712" s="55"/>
      <c r="BJ712" s="55"/>
      <c r="BK712" s="78">
        <v>0</v>
      </c>
      <c r="BL712" s="45" t="s">
        <v>596</v>
      </c>
      <c r="BM712" s="45" t="s">
        <v>597</v>
      </c>
    </row>
    <row r="713" spans="1:65" x14ac:dyDescent="0.35">
      <c r="A713" s="45" t="str">
        <f>Database_Productkaarten[[#This Row],[Product]]&amp;", "&amp;Database_Productkaarten[[#This Row],[Levensfase]]</f>
        <v>Opsluitband 80x200, A3</v>
      </c>
      <c r="B713" s="13" t="s">
        <v>547</v>
      </c>
      <c r="C713" s="13" t="s">
        <v>464</v>
      </c>
      <c r="D713" s="45" t="s">
        <v>594</v>
      </c>
      <c r="E713" s="45" t="s">
        <v>538</v>
      </c>
      <c r="F713" s="45" t="s">
        <v>21</v>
      </c>
      <c r="G713" s="45">
        <v>1</v>
      </c>
      <c r="H713" s="45">
        <v>0.2</v>
      </c>
      <c r="I713" s="45">
        <v>0.08</v>
      </c>
      <c r="J713" s="45"/>
      <c r="K713" s="45"/>
      <c r="L713" s="45">
        <f t="shared" ref="L713" si="977">L700*0.8</f>
        <v>3.6400000000000002E-2</v>
      </c>
      <c r="M713" s="54">
        <f t="shared" si="971"/>
        <v>0</v>
      </c>
      <c r="N713" s="45">
        <v>25</v>
      </c>
      <c r="O713" s="55">
        <f t="shared" ref="O713:Y713" si="978">O700*0.8</f>
        <v>0</v>
      </c>
      <c r="P713" s="55">
        <f t="shared" si="978"/>
        <v>0</v>
      </c>
      <c r="Q713" s="55">
        <f t="shared" si="978"/>
        <v>0</v>
      </c>
      <c r="R713" s="55">
        <f t="shared" si="978"/>
        <v>0</v>
      </c>
      <c r="S713" s="55">
        <f t="shared" si="978"/>
        <v>0</v>
      </c>
      <c r="T713" s="55">
        <f t="shared" si="978"/>
        <v>0</v>
      </c>
      <c r="U713" s="55">
        <f t="shared" si="978"/>
        <v>0</v>
      </c>
      <c r="V713" s="55">
        <f t="shared" si="978"/>
        <v>0</v>
      </c>
      <c r="W713" s="55">
        <f t="shared" si="978"/>
        <v>0</v>
      </c>
      <c r="X713" s="55">
        <f t="shared" si="978"/>
        <v>0</v>
      </c>
      <c r="Y713" s="55">
        <f t="shared" si="978"/>
        <v>0</v>
      </c>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55"/>
      <c r="BC713" s="55"/>
      <c r="BD713" s="55"/>
      <c r="BE713" s="55"/>
      <c r="BF713" s="55"/>
      <c r="BG713" s="55"/>
      <c r="BH713" s="55"/>
      <c r="BI713" s="55"/>
      <c r="BJ713" s="55"/>
      <c r="BK713" s="78">
        <v>0</v>
      </c>
      <c r="BL713" s="45" t="s">
        <v>596</v>
      </c>
      <c r="BM713" s="45" t="s">
        <v>597</v>
      </c>
    </row>
    <row r="714" spans="1:65" x14ac:dyDescent="0.35">
      <c r="A714" s="45" t="str">
        <f>Database_Productkaarten[[#This Row],[Product]]&amp;", "&amp;Database_Productkaarten[[#This Row],[Levensfase]]</f>
        <v>Opsluitband 80x200, A4</v>
      </c>
      <c r="B714" s="13" t="s">
        <v>547</v>
      </c>
      <c r="C714" s="13" t="s">
        <v>464</v>
      </c>
      <c r="D714" s="45" t="s">
        <v>594</v>
      </c>
      <c r="E714" s="45" t="s">
        <v>538</v>
      </c>
      <c r="F714" s="45" t="s">
        <v>22</v>
      </c>
      <c r="G714" s="45">
        <v>1</v>
      </c>
      <c r="H714" s="45">
        <v>0.2</v>
      </c>
      <c r="I714" s="45">
        <v>0.08</v>
      </c>
      <c r="J714" s="45"/>
      <c r="K714" s="45"/>
      <c r="L714" s="45">
        <f t="shared" ref="L714" si="979">L701*0.8</f>
        <v>3.6400000000000002E-2</v>
      </c>
      <c r="M714" s="54">
        <f t="shared" si="971"/>
        <v>8.3840000000000012E-2</v>
      </c>
      <c r="N714" s="45">
        <v>25</v>
      </c>
      <c r="O714" s="55">
        <f t="shared" ref="O714:Y714" si="980">O701*0.8</f>
        <v>2.0040000000000002E-6</v>
      </c>
      <c r="P714" s="55">
        <f t="shared" si="980"/>
        <v>5.28E-3</v>
      </c>
      <c r="Q714" s="55">
        <f t="shared" si="980"/>
        <v>0.7036</v>
      </c>
      <c r="R714" s="55">
        <f t="shared" si="980"/>
        <v>1.3144000000000002E-7</v>
      </c>
      <c r="S714" s="55">
        <f t="shared" si="980"/>
        <v>4.1760000000000001E-4</v>
      </c>
      <c r="T714" s="55">
        <f t="shared" si="980"/>
        <v>3.0400000000000002E-3</v>
      </c>
      <c r="U714" s="55">
        <f t="shared" si="980"/>
        <v>6.1424000000000006E-4</v>
      </c>
      <c r="V714" s="55">
        <f t="shared" si="980"/>
        <v>0.28824</v>
      </c>
      <c r="W714" s="55">
        <f t="shared" si="980"/>
        <v>8.4000000000000012E-3</v>
      </c>
      <c r="X714" s="55">
        <f t="shared" si="980"/>
        <v>29.849520000000002</v>
      </c>
      <c r="Y714" s="55">
        <f t="shared" si="980"/>
        <v>9.5999999999999992E-4</v>
      </c>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c r="BA714" s="55"/>
      <c r="BB714" s="55"/>
      <c r="BC714" s="55"/>
      <c r="BD714" s="55"/>
      <c r="BE714" s="55"/>
      <c r="BF714" s="55"/>
      <c r="BG714" s="55"/>
      <c r="BH714" s="55"/>
      <c r="BI714" s="55"/>
      <c r="BJ714" s="55"/>
      <c r="BK714" s="78">
        <v>0</v>
      </c>
      <c r="BL714" s="45" t="s">
        <v>596</v>
      </c>
      <c r="BM714" s="45" t="s">
        <v>597</v>
      </c>
    </row>
    <row r="715" spans="1:65" x14ac:dyDescent="0.35">
      <c r="A715" s="45" t="str">
        <f>Database_Productkaarten[[#This Row],[Product]]&amp;", "&amp;Database_Productkaarten[[#This Row],[Levensfase]]</f>
        <v>Opsluitband 80x200, A5</v>
      </c>
      <c r="B715" s="13" t="s">
        <v>547</v>
      </c>
      <c r="C715" s="13" t="s">
        <v>464</v>
      </c>
      <c r="D715" s="45" t="s">
        <v>594</v>
      </c>
      <c r="E715" s="45" t="s">
        <v>538</v>
      </c>
      <c r="F715" s="45" t="s">
        <v>23</v>
      </c>
      <c r="G715" s="45">
        <v>1</v>
      </c>
      <c r="H715" s="45">
        <v>0.2</v>
      </c>
      <c r="I715" s="45">
        <v>0.08</v>
      </c>
      <c r="J715" s="45"/>
      <c r="K715" s="45"/>
      <c r="L715" s="45">
        <f t="shared" ref="L715" si="981">L702*0.8</f>
        <v>3.6400000000000002E-2</v>
      </c>
      <c r="M715" s="54">
        <f>M702</f>
        <v>1.55E-2</v>
      </c>
      <c r="N715" s="45">
        <v>25</v>
      </c>
      <c r="O715" s="55">
        <f>O702</f>
        <v>2.1420000000000002E-5</v>
      </c>
      <c r="P715" s="55">
        <f t="shared" ref="P715:Y717" si="982">P702</f>
        <v>6.6200000000000005E-4</v>
      </c>
      <c r="Q715" s="55">
        <f t="shared" si="982"/>
        <v>0.1933</v>
      </c>
      <c r="R715" s="55">
        <f t="shared" si="982"/>
        <v>1.7649999999999999E-8</v>
      </c>
      <c r="S715" s="55">
        <f t="shared" si="982"/>
        <v>5.3579999999999999E-5</v>
      </c>
      <c r="T715" s="55">
        <f t="shared" si="982"/>
        <v>4.7879999999999998E-4</v>
      </c>
      <c r="U715" s="55">
        <f t="shared" si="982"/>
        <v>1.131E-4</v>
      </c>
      <c r="V715" s="55">
        <f t="shared" si="982"/>
        <v>2.5499999999999998E-2</v>
      </c>
      <c r="W715" s="55">
        <f t="shared" si="982"/>
        <v>6.8380000000000003E-4</v>
      </c>
      <c r="X715" s="55">
        <f t="shared" si="982"/>
        <v>3.5981000000000001</v>
      </c>
      <c r="Y715" s="55">
        <f t="shared" si="982"/>
        <v>2.1890000000000001E-4</v>
      </c>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5"/>
      <c r="BI715" s="55"/>
      <c r="BJ715" s="55"/>
      <c r="BK715" s="78">
        <v>0</v>
      </c>
      <c r="BL715" s="45" t="s">
        <v>596</v>
      </c>
      <c r="BM715" s="45" t="s">
        <v>597</v>
      </c>
    </row>
    <row r="716" spans="1:65" x14ac:dyDescent="0.35">
      <c r="A716" s="45" t="str">
        <f>Database_Productkaarten[[#This Row],[Product]]&amp;", "&amp;Database_Productkaarten[[#This Row],[Levensfase]]</f>
        <v>Opsluitband 80x200, B1</v>
      </c>
      <c r="B716" s="13" t="s">
        <v>547</v>
      </c>
      <c r="C716" s="13" t="s">
        <v>464</v>
      </c>
      <c r="D716" s="45" t="s">
        <v>594</v>
      </c>
      <c r="E716" s="45" t="s">
        <v>538</v>
      </c>
      <c r="F716" s="45" t="s">
        <v>24</v>
      </c>
      <c r="G716" s="45">
        <v>1</v>
      </c>
      <c r="H716" s="45">
        <v>0.2</v>
      </c>
      <c r="I716" s="45">
        <v>0.08</v>
      </c>
      <c r="J716" s="45"/>
      <c r="K716" s="45"/>
      <c r="L716" s="45">
        <f t="shared" ref="L716" si="983">L703*0.8</f>
        <v>3.6400000000000002E-2</v>
      </c>
      <c r="M716" s="54">
        <f t="shared" si="971"/>
        <v>0</v>
      </c>
      <c r="N716" s="45">
        <v>25</v>
      </c>
      <c r="O716" s="55">
        <f t="shared" ref="O716:Y716" si="984">O703*0.8</f>
        <v>0</v>
      </c>
      <c r="P716" s="55">
        <f t="shared" si="984"/>
        <v>0</v>
      </c>
      <c r="Q716" s="55">
        <f t="shared" si="984"/>
        <v>0</v>
      </c>
      <c r="R716" s="55">
        <f t="shared" si="984"/>
        <v>0</v>
      </c>
      <c r="S716" s="55">
        <f t="shared" si="984"/>
        <v>0</v>
      </c>
      <c r="T716" s="55">
        <f t="shared" si="984"/>
        <v>0</v>
      </c>
      <c r="U716" s="55">
        <f t="shared" si="984"/>
        <v>0</v>
      </c>
      <c r="V716" s="55">
        <f t="shared" si="984"/>
        <v>0</v>
      </c>
      <c r="W716" s="55">
        <f t="shared" si="984"/>
        <v>0</v>
      </c>
      <c r="X716" s="55">
        <f t="shared" si="984"/>
        <v>0</v>
      </c>
      <c r="Y716" s="55">
        <f t="shared" si="984"/>
        <v>0</v>
      </c>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78">
        <v>0</v>
      </c>
      <c r="BL716" s="45" t="s">
        <v>596</v>
      </c>
      <c r="BM716" s="45" t="s">
        <v>597</v>
      </c>
    </row>
    <row r="717" spans="1:65" x14ac:dyDescent="0.35">
      <c r="A717" s="45" t="str">
        <f>Database_Productkaarten[[#This Row],[Product]]&amp;", "&amp;Database_Productkaarten[[#This Row],[Levensfase]]</f>
        <v>Opsluitband 80x200, C1</v>
      </c>
      <c r="B717" s="13" t="s">
        <v>547</v>
      </c>
      <c r="C717" s="13" t="s">
        <v>464</v>
      </c>
      <c r="D717" s="45" t="s">
        <v>594</v>
      </c>
      <c r="E717" s="45" t="s">
        <v>538</v>
      </c>
      <c r="F717" s="45" t="s">
        <v>25</v>
      </c>
      <c r="G717" s="45">
        <v>1</v>
      </c>
      <c r="H717" s="45">
        <v>0.2</v>
      </c>
      <c r="I717" s="45">
        <v>0.08</v>
      </c>
      <c r="J717" s="45"/>
      <c r="K717" s="45"/>
      <c r="L717" s="45">
        <f t="shared" ref="L717" si="985">L704*0.8</f>
        <v>3.6400000000000002E-2</v>
      </c>
      <c r="M717" s="54">
        <f>M704</f>
        <v>1.55E-2</v>
      </c>
      <c r="N717" s="45">
        <v>25</v>
      </c>
      <c r="O717" s="55">
        <f>O704</f>
        <v>2.1420000000000002E-5</v>
      </c>
      <c r="P717" s="55">
        <f t="shared" si="982"/>
        <v>6.6200000000000005E-4</v>
      </c>
      <c r="Q717" s="55">
        <f t="shared" si="982"/>
        <v>0.1933</v>
      </c>
      <c r="R717" s="55">
        <f t="shared" si="982"/>
        <v>1.7649999999999999E-8</v>
      </c>
      <c r="S717" s="55">
        <f t="shared" si="982"/>
        <v>5.3579999999999999E-5</v>
      </c>
      <c r="T717" s="55">
        <f t="shared" si="982"/>
        <v>4.7879999999999998E-4</v>
      </c>
      <c r="U717" s="55">
        <f t="shared" si="982"/>
        <v>1.131E-4</v>
      </c>
      <c r="V717" s="55">
        <f t="shared" si="982"/>
        <v>2.5499999999999998E-2</v>
      </c>
      <c r="W717" s="55">
        <f t="shared" si="982"/>
        <v>6.8380000000000003E-4</v>
      </c>
      <c r="X717" s="55">
        <f t="shared" si="982"/>
        <v>3.5981000000000001</v>
      </c>
      <c r="Y717" s="55">
        <f t="shared" si="982"/>
        <v>2.1890000000000001E-4</v>
      </c>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5"/>
      <c r="BI717" s="55"/>
      <c r="BJ717" s="55"/>
      <c r="BK717" s="78">
        <v>0</v>
      </c>
      <c r="BL717" s="45" t="s">
        <v>596</v>
      </c>
      <c r="BM717" s="45" t="s">
        <v>597</v>
      </c>
    </row>
    <row r="718" spans="1:65" x14ac:dyDescent="0.35">
      <c r="A718" s="45" t="str">
        <f>Database_Productkaarten[[#This Row],[Product]]&amp;", "&amp;Database_Productkaarten[[#This Row],[Levensfase]]</f>
        <v>Opsluitband 80x200, C2</v>
      </c>
      <c r="B718" s="13" t="s">
        <v>547</v>
      </c>
      <c r="C718" s="13" t="s">
        <v>464</v>
      </c>
      <c r="D718" s="45" t="s">
        <v>594</v>
      </c>
      <c r="E718" s="45" t="s">
        <v>538</v>
      </c>
      <c r="F718" s="45" t="s">
        <v>26</v>
      </c>
      <c r="G718" s="45">
        <v>1</v>
      </c>
      <c r="H718" s="45">
        <v>0.2</v>
      </c>
      <c r="I718" s="45">
        <v>0.08</v>
      </c>
      <c r="J718" s="45"/>
      <c r="K718" s="45"/>
      <c r="L718" s="45">
        <f t="shared" ref="L718" si="986">L705*0.8</f>
        <v>3.6400000000000002E-2</v>
      </c>
      <c r="M718" s="54">
        <f t="shared" si="971"/>
        <v>2.8240000000000001E-2</v>
      </c>
      <c r="N718" s="45">
        <v>25</v>
      </c>
      <c r="O718" s="55">
        <f t="shared" ref="O718:Y718" si="987">O705*0.8</f>
        <v>6.7479999999999998E-7</v>
      </c>
      <c r="P718" s="55">
        <f t="shared" si="987"/>
        <v>1.7600000000000003E-3</v>
      </c>
      <c r="Q718" s="55">
        <f t="shared" si="987"/>
        <v>0.23687999999999998</v>
      </c>
      <c r="R718" s="55">
        <f t="shared" si="987"/>
        <v>4.4264000000000005E-8</v>
      </c>
      <c r="S718" s="55">
        <f t="shared" si="987"/>
        <v>1.4056E-4</v>
      </c>
      <c r="T718" s="55">
        <f t="shared" si="987"/>
        <v>1.0399999999999999E-3</v>
      </c>
      <c r="U718" s="55">
        <f t="shared" si="987"/>
        <v>2.0680000000000001E-4</v>
      </c>
      <c r="V718" s="55">
        <f t="shared" si="987"/>
        <v>9.7040000000000015E-2</v>
      </c>
      <c r="W718" s="55">
        <f t="shared" si="987"/>
        <v>2.8000000000000004E-3</v>
      </c>
      <c r="X718" s="55">
        <f t="shared" si="987"/>
        <v>10.04936</v>
      </c>
      <c r="Y718" s="55">
        <f t="shared" si="987"/>
        <v>3.3488000000000002E-4</v>
      </c>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5"/>
      <c r="BI718" s="55"/>
      <c r="BJ718" s="55"/>
      <c r="BK718" s="78">
        <v>0</v>
      </c>
      <c r="BL718" s="45" t="s">
        <v>596</v>
      </c>
      <c r="BM718" s="45" t="s">
        <v>597</v>
      </c>
    </row>
    <row r="719" spans="1:65" x14ac:dyDescent="0.35">
      <c r="A719" s="45" t="str">
        <f>Database_Productkaarten[[#This Row],[Product]]&amp;", "&amp;Database_Productkaarten[[#This Row],[Levensfase]]</f>
        <v>Opsluitband 80x200, C3</v>
      </c>
      <c r="B719" s="13" t="s">
        <v>547</v>
      </c>
      <c r="C719" s="13" t="s">
        <v>464</v>
      </c>
      <c r="D719" s="45" t="s">
        <v>594</v>
      </c>
      <c r="E719" s="45" t="s">
        <v>538</v>
      </c>
      <c r="F719" s="45" t="s">
        <v>27</v>
      </c>
      <c r="G719" s="45">
        <v>1</v>
      </c>
      <c r="H719" s="45">
        <v>0.2</v>
      </c>
      <c r="I719" s="45">
        <v>0.08</v>
      </c>
      <c r="J719" s="45"/>
      <c r="K719" s="45"/>
      <c r="L719" s="45">
        <f t="shared" ref="L719" si="988">L706*0.8</f>
        <v>3.6400000000000002E-2</v>
      </c>
      <c r="M719" s="54">
        <f t="shared" si="971"/>
        <v>1.0240000000000001E-2</v>
      </c>
      <c r="N719" s="45">
        <v>25</v>
      </c>
      <c r="O719" s="55">
        <f t="shared" ref="O719:Y719" si="989">O706*0.8</f>
        <v>5.8608000000000003E-9</v>
      </c>
      <c r="P719" s="55">
        <f t="shared" si="989"/>
        <v>6.6000000000000005E-5</v>
      </c>
      <c r="Q719" s="55">
        <f t="shared" si="989"/>
        <v>2.8800000000000002E-3</v>
      </c>
      <c r="R719" s="55">
        <f t="shared" si="989"/>
        <v>2.0055999999999999E-7</v>
      </c>
      <c r="S719" s="55">
        <f t="shared" si="989"/>
        <v>6.5856000000000001E-5</v>
      </c>
      <c r="T719" s="55">
        <f t="shared" si="989"/>
        <v>1.1200000000000001E-3</v>
      </c>
      <c r="U719" s="55">
        <f t="shared" si="989"/>
        <v>5.8248000000000002E-4</v>
      </c>
      <c r="V719" s="55">
        <f t="shared" si="989"/>
        <v>1.2000000000000001E-3</v>
      </c>
      <c r="W719" s="55">
        <f t="shared" si="989"/>
        <v>6.764E-6</v>
      </c>
      <c r="X719" s="55">
        <f t="shared" si="989"/>
        <v>8.3360000000000001E-5</v>
      </c>
      <c r="Y719" s="55">
        <f t="shared" si="989"/>
        <v>1.0008000000000001E-5</v>
      </c>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5"/>
      <c r="BI719" s="55"/>
      <c r="BJ719" s="55"/>
      <c r="BK719" s="78">
        <v>0</v>
      </c>
      <c r="BL719" s="45" t="s">
        <v>596</v>
      </c>
      <c r="BM719" s="45" t="s">
        <v>597</v>
      </c>
    </row>
    <row r="720" spans="1:65" x14ac:dyDescent="0.35">
      <c r="A720" s="45" t="str">
        <f>Database_Productkaarten[[#This Row],[Product]]&amp;", "&amp;Database_Productkaarten[[#This Row],[Levensfase]]</f>
        <v>Opsluitband 80x200, C4</v>
      </c>
      <c r="B720" s="13" t="s">
        <v>547</v>
      </c>
      <c r="C720" s="13" t="s">
        <v>464</v>
      </c>
      <c r="D720" s="45" t="s">
        <v>594</v>
      </c>
      <c r="E720" s="45" t="s">
        <v>538</v>
      </c>
      <c r="F720" s="45" t="s">
        <v>28</v>
      </c>
      <c r="G720" s="45">
        <v>1</v>
      </c>
      <c r="H720" s="45">
        <v>0.2</v>
      </c>
      <c r="I720" s="45">
        <v>0.08</v>
      </c>
      <c r="J720" s="45"/>
      <c r="K720" s="45"/>
      <c r="L720" s="45">
        <f t="shared" ref="L720" si="990">L707*0.8</f>
        <v>3.6400000000000002E-2</v>
      </c>
      <c r="M720" s="54">
        <f t="shared" si="971"/>
        <v>2.6696000000000001E-4</v>
      </c>
      <c r="N720" s="45">
        <v>25</v>
      </c>
      <c r="O720" s="55">
        <f t="shared" ref="O720:Y720" si="991">O707*0.8</f>
        <v>2.1376000000000001E-9</v>
      </c>
      <c r="P720" s="55">
        <f t="shared" si="991"/>
        <v>2.7727999999999999E-5</v>
      </c>
      <c r="Q720" s="55">
        <f t="shared" si="991"/>
        <v>1.9199999999999998E-3</v>
      </c>
      <c r="R720" s="55">
        <f t="shared" si="991"/>
        <v>6.8248E-10</v>
      </c>
      <c r="S720" s="55">
        <f t="shared" si="991"/>
        <v>2.0656000000000002E-6</v>
      </c>
      <c r="T720" s="55">
        <f t="shared" si="991"/>
        <v>1.4296E-5</v>
      </c>
      <c r="U720" s="55">
        <f t="shared" si="991"/>
        <v>2.7047999999999999E-6</v>
      </c>
      <c r="V720" s="55">
        <f t="shared" si="991"/>
        <v>8.0000000000000004E-4</v>
      </c>
      <c r="W720" s="55">
        <f t="shared" si="991"/>
        <v>1.9968000000000003E-5</v>
      </c>
      <c r="X720" s="55">
        <f t="shared" si="991"/>
        <v>6.9999999999999993E-2</v>
      </c>
      <c r="Y720" s="55">
        <f t="shared" si="991"/>
        <v>2.0584000000000001E-6</v>
      </c>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5"/>
      <c r="BI720" s="55"/>
      <c r="BJ720" s="55"/>
      <c r="BK720" s="78">
        <v>0</v>
      </c>
      <c r="BL720" s="45" t="s">
        <v>596</v>
      </c>
      <c r="BM720" s="45" t="s">
        <v>597</v>
      </c>
    </row>
    <row r="721" spans="1:65" x14ac:dyDescent="0.35">
      <c r="A721" s="45" t="str">
        <f>Database_Productkaarten[[#This Row],[Product]]&amp;", "&amp;Database_Productkaarten[[#This Row],[Levensfase]]</f>
        <v>Opsluitband 80x200, D1</v>
      </c>
      <c r="B721" s="13" t="s">
        <v>547</v>
      </c>
      <c r="C721" s="13" t="s">
        <v>464</v>
      </c>
      <c r="D721" s="45" t="s">
        <v>594</v>
      </c>
      <c r="E721" s="45" t="s">
        <v>538</v>
      </c>
      <c r="F721" s="45" t="s">
        <v>51</v>
      </c>
      <c r="G721" s="45">
        <v>1</v>
      </c>
      <c r="H721" s="45">
        <v>0.2</v>
      </c>
      <c r="I721" s="45">
        <v>0.08</v>
      </c>
      <c r="J721" s="45"/>
      <c r="K721" s="45"/>
      <c r="L721" s="45">
        <f t="shared" ref="L721" si="992">L708*0.8</f>
        <v>3.6400000000000002E-2</v>
      </c>
      <c r="M721" s="54">
        <f t="shared" si="971"/>
        <v>-1.8880000000000001E-2</v>
      </c>
      <c r="N721" s="45">
        <v>25</v>
      </c>
      <c r="O721" s="55">
        <f t="shared" ref="O721:Y721" si="993">O708*0.8</f>
        <v>-8.1999999999999998E-7</v>
      </c>
      <c r="P721" s="55">
        <f t="shared" si="993"/>
        <v>-1.0399999999999999E-3</v>
      </c>
      <c r="Q721" s="55">
        <f t="shared" si="993"/>
        <v>-0.14776</v>
      </c>
      <c r="R721" s="55">
        <f t="shared" si="993"/>
        <v>-1.3232000000000002E-8</v>
      </c>
      <c r="S721" s="55">
        <f t="shared" si="993"/>
        <v>-1.0704000000000001E-4</v>
      </c>
      <c r="T721" s="55">
        <f t="shared" si="993"/>
        <v>-8.8000000000000014E-4</v>
      </c>
      <c r="U721" s="55">
        <f t="shared" si="993"/>
        <v>-1.4752000000000002E-4</v>
      </c>
      <c r="V721" s="55">
        <f t="shared" si="993"/>
        <v>-6.6000000000000003E-2</v>
      </c>
      <c r="W721" s="55">
        <f t="shared" si="993"/>
        <v>-9.5999999999999992E-4</v>
      </c>
      <c r="X721" s="55">
        <f t="shared" si="993"/>
        <v>-4.1287200000000004</v>
      </c>
      <c r="Y721" s="55">
        <f t="shared" si="993"/>
        <v>-3.4464000000000001E-4</v>
      </c>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5"/>
      <c r="BI721" s="55"/>
      <c r="BJ721" s="55"/>
      <c r="BK721" s="78">
        <v>0</v>
      </c>
      <c r="BL721" s="45" t="s">
        <v>596</v>
      </c>
      <c r="BM721" s="45" t="s">
        <v>597</v>
      </c>
    </row>
    <row r="722" spans="1:65" x14ac:dyDescent="0.35">
      <c r="A722" s="45" t="str">
        <f>Database_Productkaarten[[#This Row],[Product]]&amp;", "&amp;Database_Productkaarten[[#This Row],[Levensfase]]</f>
        <v>Opsluitband 80x200, D2</v>
      </c>
      <c r="B722" s="13" t="s">
        <v>547</v>
      </c>
      <c r="C722" s="13" t="s">
        <v>464</v>
      </c>
      <c r="D722" s="45" t="s">
        <v>594</v>
      </c>
      <c r="E722" s="45" t="s">
        <v>538</v>
      </c>
      <c r="F722" s="45" t="s">
        <v>52</v>
      </c>
      <c r="G722" s="45">
        <v>1</v>
      </c>
      <c r="H722" s="45">
        <v>0.2</v>
      </c>
      <c r="I722" s="45">
        <v>0.08</v>
      </c>
      <c r="J722" s="45"/>
      <c r="K722" s="45"/>
      <c r="L722" s="45">
        <f t="shared" ref="L722" si="994">L709*0.8</f>
        <v>3.6400000000000002E-2</v>
      </c>
      <c r="M722" s="54">
        <f t="shared" si="971"/>
        <v>0</v>
      </c>
      <c r="N722" s="45">
        <v>25</v>
      </c>
      <c r="O722" s="55">
        <f t="shared" ref="O722:Y722" si="995">O709*0.8</f>
        <v>0</v>
      </c>
      <c r="P722" s="55">
        <f t="shared" si="995"/>
        <v>0</v>
      </c>
      <c r="Q722" s="55">
        <f t="shared" si="995"/>
        <v>0</v>
      </c>
      <c r="R722" s="55">
        <f t="shared" si="995"/>
        <v>0</v>
      </c>
      <c r="S722" s="55">
        <f t="shared" si="995"/>
        <v>0</v>
      </c>
      <c r="T722" s="55">
        <f t="shared" si="995"/>
        <v>0</v>
      </c>
      <c r="U722" s="55">
        <f t="shared" si="995"/>
        <v>0</v>
      </c>
      <c r="V722" s="55">
        <f t="shared" si="995"/>
        <v>0</v>
      </c>
      <c r="W722" s="55">
        <f t="shared" si="995"/>
        <v>0</v>
      </c>
      <c r="X722" s="55">
        <f t="shared" si="995"/>
        <v>0</v>
      </c>
      <c r="Y722" s="55">
        <f t="shared" si="995"/>
        <v>0</v>
      </c>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5"/>
      <c r="BI722" s="55"/>
      <c r="BJ722" s="55"/>
      <c r="BK722" s="78">
        <v>0</v>
      </c>
      <c r="BL722" s="45" t="s">
        <v>596</v>
      </c>
      <c r="BM722" s="45" t="s">
        <v>597</v>
      </c>
    </row>
    <row r="723" spans="1:65" x14ac:dyDescent="0.35">
      <c r="A723" s="45" t="str">
        <f>Database_Productkaarten[[#This Row],[Product]]&amp;", "&amp;Database_Productkaarten[[#This Row],[Levensfase]]</f>
        <v>Trottoirband 280x300, Totaal</v>
      </c>
      <c r="B723" s="45" t="s">
        <v>1591</v>
      </c>
      <c r="C723" s="13" t="s">
        <v>464</v>
      </c>
      <c r="D723" s="45" t="s">
        <v>1590</v>
      </c>
      <c r="E723" s="45" t="s">
        <v>538</v>
      </c>
      <c r="F723" s="45" t="s">
        <v>16</v>
      </c>
      <c r="G723" s="45">
        <v>1</v>
      </c>
      <c r="H723" s="45">
        <v>0.3</v>
      </c>
      <c r="I723" s="45">
        <v>0.28000000000000003</v>
      </c>
      <c r="J723" s="45"/>
      <c r="K723" s="45"/>
      <c r="L723" s="45">
        <f>L697*2.8*1.5</f>
        <v>0.19109999999999999</v>
      </c>
      <c r="M723" s="54">
        <f>M697*2.8*1.5</f>
        <v>2.4676415400000002</v>
      </c>
      <c r="N723" s="45">
        <v>25</v>
      </c>
      <c r="O723" s="55">
        <f t="shared" ref="O723:Y723" si="996">O697*2.8*1.5</f>
        <v>3.1801286915999986E-3</v>
      </c>
      <c r="P723" s="55">
        <f t="shared" si="996"/>
        <v>0.11273287199999998</v>
      </c>
      <c r="Q723" s="55">
        <f t="shared" si="996"/>
        <v>30.582719999999995</v>
      </c>
      <c r="R723" s="55">
        <f t="shared" si="996"/>
        <v>2.89524102E-6</v>
      </c>
      <c r="S723" s="55">
        <f t="shared" si="996"/>
        <v>8.6350403999999985E-3</v>
      </c>
      <c r="T723" s="55">
        <f t="shared" si="996"/>
        <v>7.5496973999999981E-2</v>
      </c>
      <c r="U723" s="55">
        <f t="shared" si="996"/>
        <v>1.8058240199999999E-2</v>
      </c>
      <c r="V723" s="55">
        <f t="shared" si="996"/>
        <v>4.1491799999999985</v>
      </c>
      <c r="W723" s="55">
        <f t="shared" si="996"/>
        <v>0.11634426299999999</v>
      </c>
      <c r="X723" s="55">
        <f t="shared" si="996"/>
        <v>585.09361763999993</v>
      </c>
      <c r="Y723" s="55">
        <f t="shared" si="996"/>
        <v>3.7970868599999992E-2</v>
      </c>
      <c r="Z723" s="45"/>
      <c r="AA723" s="45"/>
      <c r="AB723" s="45"/>
      <c r="AC723" s="45"/>
      <c r="AD723" s="45"/>
      <c r="AE723" s="45"/>
      <c r="AF723" s="45"/>
      <c r="AG723" s="45"/>
      <c r="AH723" s="45"/>
      <c r="AI723" s="45"/>
      <c r="AJ723" s="45"/>
      <c r="AK723" s="45"/>
      <c r="AL723" s="45"/>
      <c r="AM723" s="45"/>
      <c r="AN723" s="45"/>
      <c r="AO723" s="45"/>
      <c r="AP723" s="45"/>
      <c r="AQ723" s="45"/>
      <c r="AR723" s="45"/>
      <c r="AS723" s="45"/>
      <c r="AT723" s="45"/>
      <c r="AU723" s="45"/>
      <c r="AV723" s="45"/>
      <c r="AW723" s="45"/>
      <c r="AX723" s="45"/>
      <c r="AY723" s="45"/>
      <c r="AZ723" s="45"/>
      <c r="BA723" s="45"/>
      <c r="BB723" s="45"/>
      <c r="BC723" s="45"/>
      <c r="BD723" s="45"/>
      <c r="BE723" s="45"/>
      <c r="BF723" s="45"/>
      <c r="BG723" s="45"/>
      <c r="BH723" s="45"/>
      <c r="BI723" s="45"/>
      <c r="BJ723" s="45"/>
      <c r="BK723" s="78">
        <v>0</v>
      </c>
      <c r="BL723" s="45" t="s">
        <v>596</v>
      </c>
      <c r="BM723" s="45" t="s">
        <v>1592</v>
      </c>
    </row>
    <row r="724" spans="1:65" x14ac:dyDescent="0.35">
      <c r="A724" s="45" t="str">
        <f>Database_Productkaarten[[#This Row],[Product]]&amp;", "&amp;Database_Productkaarten[[#This Row],[Levensfase]]</f>
        <v>Trottoirband 280x300, A1</v>
      </c>
      <c r="B724" s="45" t="s">
        <v>1591</v>
      </c>
      <c r="C724" s="13" t="s">
        <v>464</v>
      </c>
      <c r="D724" s="45" t="s">
        <v>1590</v>
      </c>
      <c r="E724" s="45" t="s">
        <v>538</v>
      </c>
      <c r="F724" s="45" t="s">
        <v>19</v>
      </c>
      <c r="G724" s="45">
        <v>1</v>
      </c>
      <c r="H724" s="45">
        <v>0.3</v>
      </c>
      <c r="I724" s="45">
        <v>0.28000000000000003</v>
      </c>
      <c r="J724" s="45"/>
      <c r="K724" s="45"/>
      <c r="L724" s="45">
        <f t="shared" ref="L724:M735" si="997">L698*2.8*1.5</f>
        <v>0.19109999999999999</v>
      </c>
      <c r="M724" s="54">
        <f t="shared" si="997"/>
        <v>1.79298</v>
      </c>
      <c r="N724" s="45">
        <v>25</v>
      </c>
      <c r="O724" s="55">
        <f t="shared" ref="O724:Y724" si="998">O698*2.8*1.5</f>
        <v>2.9903999999999998E-3</v>
      </c>
      <c r="P724" s="55">
        <f t="shared" si="998"/>
        <v>7.5179999999999997E-2</v>
      </c>
      <c r="Q724" s="55">
        <f t="shared" si="998"/>
        <v>24.772019999999998</v>
      </c>
      <c r="R724" s="55">
        <f t="shared" si="998"/>
        <v>8.374799999999999E-7</v>
      </c>
      <c r="S724" s="55">
        <f t="shared" si="998"/>
        <v>5.4599999999999996E-3</v>
      </c>
      <c r="T724" s="55">
        <f t="shared" si="998"/>
        <v>4.8719999999999992E-2</v>
      </c>
      <c r="U724" s="55">
        <f t="shared" si="998"/>
        <v>1.0499999999999999E-2</v>
      </c>
      <c r="V724" s="55">
        <f t="shared" si="998"/>
        <v>2.2482600000000001</v>
      </c>
      <c r="W724" s="55">
        <f t="shared" si="998"/>
        <v>5.67E-2</v>
      </c>
      <c r="X724" s="55">
        <f t="shared" si="998"/>
        <v>366.70829999999995</v>
      </c>
      <c r="Y724" s="55">
        <f t="shared" si="998"/>
        <v>3.1079999999999997E-2</v>
      </c>
      <c r="Z724" s="45"/>
      <c r="AA724" s="45"/>
      <c r="AB724" s="45"/>
      <c r="AC724" s="45"/>
      <c r="AD724" s="45"/>
      <c r="AE724" s="45"/>
      <c r="AF724" s="45"/>
      <c r="AG724" s="45"/>
      <c r="AH724" s="45"/>
      <c r="AI724" s="45"/>
      <c r="AJ724" s="45"/>
      <c r="AK724" s="45"/>
      <c r="AL724" s="45"/>
      <c r="AM724" s="45"/>
      <c r="AN724" s="45"/>
      <c r="AO724" s="45"/>
      <c r="AP724" s="45"/>
      <c r="AQ724" s="45"/>
      <c r="AR724" s="45"/>
      <c r="AS724" s="45"/>
      <c r="AT724" s="45"/>
      <c r="AU724" s="45"/>
      <c r="AV724" s="45"/>
      <c r="AW724" s="45"/>
      <c r="AX724" s="45"/>
      <c r="AY724" s="45"/>
      <c r="AZ724" s="45"/>
      <c r="BA724" s="45"/>
      <c r="BB724" s="45"/>
      <c r="BC724" s="45"/>
      <c r="BD724" s="45"/>
      <c r="BE724" s="45"/>
      <c r="BF724" s="45"/>
      <c r="BG724" s="45"/>
      <c r="BH724" s="45"/>
      <c r="BI724" s="45"/>
      <c r="BJ724" s="45"/>
      <c r="BK724" s="78">
        <v>0</v>
      </c>
      <c r="BL724" s="45" t="s">
        <v>596</v>
      </c>
      <c r="BM724" s="45" t="s">
        <v>1592</v>
      </c>
    </row>
    <row r="725" spans="1:65" x14ac:dyDescent="0.35">
      <c r="A725" s="45" t="str">
        <f>Database_Productkaarten[[#This Row],[Product]]&amp;", "&amp;Database_Productkaarten[[#This Row],[Levensfase]]</f>
        <v>Trottoirband 280x300, A2</v>
      </c>
      <c r="B725" s="45" t="s">
        <v>1591</v>
      </c>
      <c r="C725" s="13" t="s">
        <v>464</v>
      </c>
      <c r="D725" s="45" t="s">
        <v>1590</v>
      </c>
      <c r="E725" s="45" t="s">
        <v>538</v>
      </c>
      <c r="F725" s="45" t="s">
        <v>20</v>
      </c>
      <c r="G725" s="45">
        <v>1</v>
      </c>
      <c r="H725" s="45">
        <v>0.3</v>
      </c>
      <c r="I725" s="45">
        <v>0.28000000000000003</v>
      </c>
      <c r="J725" s="45"/>
      <c r="K725" s="45"/>
      <c r="L725" s="45">
        <f t="shared" si="997"/>
        <v>0.19109999999999999</v>
      </c>
      <c r="M725" s="54">
        <f t="shared" si="997"/>
        <v>0</v>
      </c>
      <c r="N725" s="45">
        <v>25</v>
      </c>
      <c r="O725" s="55">
        <f t="shared" ref="O725:Y725" si="999">O699*2.8*1.5</f>
        <v>0</v>
      </c>
      <c r="P725" s="55">
        <f t="shared" si="999"/>
        <v>0</v>
      </c>
      <c r="Q725" s="55">
        <f t="shared" si="999"/>
        <v>0</v>
      </c>
      <c r="R725" s="55">
        <f t="shared" si="999"/>
        <v>0</v>
      </c>
      <c r="S725" s="55">
        <f t="shared" si="999"/>
        <v>0</v>
      </c>
      <c r="T725" s="55">
        <f t="shared" si="999"/>
        <v>0</v>
      </c>
      <c r="U725" s="55">
        <f t="shared" si="999"/>
        <v>0</v>
      </c>
      <c r="V725" s="55">
        <f t="shared" si="999"/>
        <v>0</v>
      </c>
      <c r="W725" s="55">
        <f t="shared" si="999"/>
        <v>0</v>
      </c>
      <c r="X725" s="55">
        <f t="shared" si="999"/>
        <v>0</v>
      </c>
      <c r="Y725" s="55">
        <f t="shared" si="999"/>
        <v>0</v>
      </c>
      <c r="Z725" s="45"/>
      <c r="AA725" s="45"/>
      <c r="AB725" s="45"/>
      <c r="AC725" s="45"/>
      <c r="AD725" s="45"/>
      <c r="AE725" s="45"/>
      <c r="AF725" s="45"/>
      <c r="AG725" s="45"/>
      <c r="AH725" s="45"/>
      <c r="AI725" s="45"/>
      <c r="AJ725" s="45"/>
      <c r="AK725" s="45"/>
      <c r="AL725" s="45"/>
      <c r="AM725" s="45"/>
      <c r="AN725" s="45"/>
      <c r="AO725" s="45"/>
      <c r="AP725" s="45"/>
      <c r="AQ725" s="45"/>
      <c r="AR725" s="45"/>
      <c r="AS725" s="45"/>
      <c r="AT725" s="45"/>
      <c r="AU725" s="45"/>
      <c r="AV725" s="45"/>
      <c r="AW725" s="45"/>
      <c r="AX725" s="45"/>
      <c r="AY725" s="45"/>
      <c r="AZ725" s="45"/>
      <c r="BA725" s="45"/>
      <c r="BB725" s="45"/>
      <c r="BC725" s="45"/>
      <c r="BD725" s="45"/>
      <c r="BE725" s="45"/>
      <c r="BF725" s="45"/>
      <c r="BG725" s="45"/>
      <c r="BH725" s="45"/>
      <c r="BI725" s="45"/>
      <c r="BJ725" s="45"/>
      <c r="BK725" s="78">
        <v>0</v>
      </c>
      <c r="BL725" s="45" t="s">
        <v>596</v>
      </c>
      <c r="BM725" s="45" t="s">
        <v>1592</v>
      </c>
    </row>
    <row r="726" spans="1:65" x14ac:dyDescent="0.35">
      <c r="A726" s="45" t="str">
        <f>Database_Productkaarten[[#This Row],[Product]]&amp;", "&amp;Database_Productkaarten[[#This Row],[Levensfase]]</f>
        <v>Trottoirband 280x300, A3</v>
      </c>
      <c r="B726" s="45" t="s">
        <v>1591</v>
      </c>
      <c r="C726" s="13" t="s">
        <v>464</v>
      </c>
      <c r="D726" s="45" t="s">
        <v>1590</v>
      </c>
      <c r="E726" s="45" t="s">
        <v>538</v>
      </c>
      <c r="F726" s="45" t="s">
        <v>21</v>
      </c>
      <c r="G726" s="45">
        <v>1</v>
      </c>
      <c r="H726" s="45">
        <v>0.3</v>
      </c>
      <c r="I726" s="45">
        <v>0.28000000000000003</v>
      </c>
      <c r="J726" s="45"/>
      <c r="K726" s="45"/>
      <c r="L726" s="45">
        <f t="shared" si="997"/>
        <v>0.19109999999999999</v>
      </c>
      <c r="M726" s="54">
        <f t="shared" si="997"/>
        <v>0</v>
      </c>
      <c r="N726" s="45">
        <v>25</v>
      </c>
      <c r="O726" s="55">
        <f t="shared" ref="O726:Y726" si="1000">O700*2.8*1.5</f>
        <v>0</v>
      </c>
      <c r="P726" s="55">
        <f t="shared" si="1000"/>
        <v>0</v>
      </c>
      <c r="Q726" s="55">
        <f t="shared" si="1000"/>
        <v>0</v>
      </c>
      <c r="R726" s="55">
        <f t="shared" si="1000"/>
        <v>0</v>
      </c>
      <c r="S726" s="55">
        <f t="shared" si="1000"/>
        <v>0</v>
      </c>
      <c r="T726" s="55">
        <f t="shared" si="1000"/>
        <v>0</v>
      </c>
      <c r="U726" s="55">
        <f t="shared" si="1000"/>
        <v>0</v>
      </c>
      <c r="V726" s="55">
        <f t="shared" si="1000"/>
        <v>0</v>
      </c>
      <c r="W726" s="55">
        <f t="shared" si="1000"/>
        <v>0</v>
      </c>
      <c r="X726" s="55">
        <f t="shared" si="1000"/>
        <v>0</v>
      </c>
      <c r="Y726" s="55">
        <f t="shared" si="1000"/>
        <v>0</v>
      </c>
      <c r="Z726" s="45"/>
      <c r="AA726" s="45"/>
      <c r="AB726" s="45"/>
      <c r="AC726" s="45"/>
      <c r="AD726" s="45"/>
      <c r="AE726" s="45"/>
      <c r="AF726" s="45"/>
      <c r="AG726" s="45"/>
      <c r="AH726" s="45"/>
      <c r="AI726" s="45"/>
      <c r="AJ726" s="45"/>
      <c r="AK726" s="45"/>
      <c r="AL726" s="45"/>
      <c r="AM726" s="45"/>
      <c r="AN726" s="45"/>
      <c r="AO726" s="45"/>
      <c r="AP726" s="45"/>
      <c r="AQ726" s="45"/>
      <c r="AR726" s="45"/>
      <c r="AS726" s="45"/>
      <c r="AT726" s="45"/>
      <c r="AU726" s="45"/>
      <c r="AV726" s="45"/>
      <c r="AW726" s="45"/>
      <c r="AX726" s="45"/>
      <c r="AY726" s="45"/>
      <c r="AZ726" s="45"/>
      <c r="BA726" s="45"/>
      <c r="BB726" s="45"/>
      <c r="BC726" s="45"/>
      <c r="BD726" s="45"/>
      <c r="BE726" s="45"/>
      <c r="BF726" s="45"/>
      <c r="BG726" s="45"/>
      <c r="BH726" s="45"/>
      <c r="BI726" s="45"/>
      <c r="BJ726" s="45"/>
      <c r="BK726" s="78">
        <v>0</v>
      </c>
      <c r="BL726" s="45" t="s">
        <v>596</v>
      </c>
      <c r="BM726" s="45" t="s">
        <v>1592</v>
      </c>
    </row>
    <row r="727" spans="1:65" x14ac:dyDescent="0.35">
      <c r="A727" s="45" t="str">
        <f>Database_Productkaarten[[#This Row],[Product]]&amp;", "&amp;Database_Productkaarten[[#This Row],[Levensfase]]</f>
        <v>Trottoirband 280x300, A4</v>
      </c>
      <c r="B727" s="45" t="s">
        <v>1591</v>
      </c>
      <c r="C727" s="13" t="s">
        <v>464</v>
      </c>
      <c r="D727" s="45" t="s">
        <v>1590</v>
      </c>
      <c r="E727" s="45" t="s">
        <v>538</v>
      </c>
      <c r="F727" s="45" t="s">
        <v>22</v>
      </c>
      <c r="G727" s="45">
        <v>1</v>
      </c>
      <c r="H727" s="45">
        <v>0.3</v>
      </c>
      <c r="I727" s="45">
        <v>0.28000000000000003</v>
      </c>
      <c r="J727" s="45"/>
      <c r="K727" s="45"/>
      <c r="L727" s="45">
        <f t="shared" si="997"/>
        <v>0.19109999999999999</v>
      </c>
      <c r="M727" s="54">
        <f t="shared" si="997"/>
        <v>0.44016</v>
      </c>
      <c r="N727" s="45">
        <v>25</v>
      </c>
      <c r="O727" s="55">
        <f t="shared" ref="O727:Y727" si="1001">O701*2.8*1.5</f>
        <v>1.0521E-5</v>
      </c>
      <c r="P727" s="55">
        <f t="shared" si="1001"/>
        <v>2.7720000000000002E-2</v>
      </c>
      <c r="Q727" s="55">
        <f t="shared" si="1001"/>
        <v>3.6938999999999993</v>
      </c>
      <c r="R727" s="55">
        <f t="shared" si="1001"/>
        <v>6.9005999999999992E-7</v>
      </c>
      <c r="S727" s="55">
        <f t="shared" si="1001"/>
        <v>2.1923999999999997E-3</v>
      </c>
      <c r="T727" s="55">
        <f t="shared" si="1001"/>
        <v>1.5960000000000002E-2</v>
      </c>
      <c r="U727" s="55">
        <f t="shared" si="1001"/>
        <v>3.2247600000000001E-3</v>
      </c>
      <c r="V727" s="55">
        <f t="shared" si="1001"/>
        <v>1.5132599999999998</v>
      </c>
      <c r="W727" s="55">
        <f t="shared" si="1001"/>
        <v>4.41E-2</v>
      </c>
      <c r="X727" s="55">
        <f t="shared" si="1001"/>
        <v>156.70998</v>
      </c>
      <c r="Y727" s="55">
        <f t="shared" si="1001"/>
        <v>5.0399999999999993E-3</v>
      </c>
      <c r="Z727" s="45"/>
      <c r="AA727" s="45"/>
      <c r="AB727" s="45"/>
      <c r="AC727" s="45"/>
      <c r="AD727" s="45"/>
      <c r="AE727" s="45"/>
      <c r="AF727" s="45"/>
      <c r="AG727" s="45"/>
      <c r="AH727" s="45"/>
      <c r="AI727" s="45"/>
      <c r="AJ727" s="45"/>
      <c r="AK727" s="45"/>
      <c r="AL727" s="45"/>
      <c r="AM727" s="45"/>
      <c r="AN727" s="45"/>
      <c r="AO727" s="45"/>
      <c r="AP727" s="45"/>
      <c r="AQ727" s="45"/>
      <c r="AR727" s="45"/>
      <c r="AS727" s="45"/>
      <c r="AT727" s="45"/>
      <c r="AU727" s="45"/>
      <c r="AV727" s="45"/>
      <c r="AW727" s="45"/>
      <c r="AX727" s="45"/>
      <c r="AY727" s="45"/>
      <c r="AZ727" s="45"/>
      <c r="BA727" s="45"/>
      <c r="BB727" s="45"/>
      <c r="BC727" s="45"/>
      <c r="BD727" s="45"/>
      <c r="BE727" s="45"/>
      <c r="BF727" s="45"/>
      <c r="BG727" s="45"/>
      <c r="BH727" s="45"/>
      <c r="BI727" s="45"/>
      <c r="BJ727" s="45"/>
      <c r="BK727" s="78">
        <v>0</v>
      </c>
      <c r="BL727" s="45" t="s">
        <v>596</v>
      </c>
      <c r="BM727" s="45" t="s">
        <v>1592</v>
      </c>
    </row>
    <row r="728" spans="1:65" x14ac:dyDescent="0.35">
      <c r="A728" s="45" t="str">
        <f>Database_Productkaarten[[#This Row],[Product]]&amp;", "&amp;Database_Productkaarten[[#This Row],[Levensfase]]</f>
        <v>Trottoirband 280x300, A5</v>
      </c>
      <c r="B728" s="45" t="s">
        <v>1591</v>
      </c>
      <c r="C728" s="13" t="s">
        <v>464</v>
      </c>
      <c r="D728" s="45" t="s">
        <v>1590</v>
      </c>
      <c r="E728" s="45" t="s">
        <v>538</v>
      </c>
      <c r="F728" s="45" t="s">
        <v>23</v>
      </c>
      <c r="G728" s="45">
        <v>1</v>
      </c>
      <c r="H728" s="45">
        <v>0.3</v>
      </c>
      <c r="I728" s="45">
        <v>0.28000000000000003</v>
      </c>
      <c r="J728" s="45"/>
      <c r="K728" s="45"/>
      <c r="L728" s="45">
        <f t="shared" si="997"/>
        <v>0.19109999999999999</v>
      </c>
      <c r="M728" s="54">
        <f>M715</f>
        <v>1.55E-2</v>
      </c>
      <c r="N728" s="45">
        <v>25</v>
      </c>
      <c r="O728" s="55">
        <f>O715</f>
        <v>2.1420000000000002E-5</v>
      </c>
      <c r="P728" s="55">
        <f t="shared" ref="P728:Y728" si="1002">P715</f>
        <v>6.6200000000000005E-4</v>
      </c>
      <c r="Q728" s="55">
        <f t="shared" si="1002"/>
        <v>0.1933</v>
      </c>
      <c r="R728" s="55">
        <f t="shared" si="1002"/>
        <v>1.7649999999999999E-8</v>
      </c>
      <c r="S728" s="55">
        <f t="shared" si="1002"/>
        <v>5.3579999999999999E-5</v>
      </c>
      <c r="T728" s="55">
        <f t="shared" si="1002"/>
        <v>4.7879999999999998E-4</v>
      </c>
      <c r="U728" s="55">
        <f t="shared" si="1002"/>
        <v>1.131E-4</v>
      </c>
      <c r="V728" s="55">
        <f t="shared" si="1002"/>
        <v>2.5499999999999998E-2</v>
      </c>
      <c r="W728" s="55">
        <f t="shared" si="1002"/>
        <v>6.8380000000000003E-4</v>
      </c>
      <c r="X728" s="55">
        <f t="shared" si="1002"/>
        <v>3.5981000000000001</v>
      </c>
      <c r="Y728" s="55">
        <f t="shared" si="1002"/>
        <v>2.1890000000000001E-4</v>
      </c>
      <c r="Z728" s="45"/>
      <c r="AA728" s="45"/>
      <c r="AB728" s="45"/>
      <c r="AC728" s="45"/>
      <c r="AD728" s="45"/>
      <c r="AE728" s="45"/>
      <c r="AF728" s="45"/>
      <c r="AG728" s="45"/>
      <c r="AH728" s="45"/>
      <c r="AI728" s="45"/>
      <c r="AJ728" s="45"/>
      <c r="AK728" s="45"/>
      <c r="AL728" s="45"/>
      <c r="AM728" s="45"/>
      <c r="AN728" s="45"/>
      <c r="AO728" s="45"/>
      <c r="AP728" s="45"/>
      <c r="AQ728" s="45"/>
      <c r="AR728" s="45"/>
      <c r="AS728" s="45"/>
      <c r="AT728" s="45"/>
      <c r="AU728" s="45"/>
      <c r="AV728" s="45"/>
      <c r="AW728" s="45"/>
      <c r="AX728" s="45"/>
      <c r="AY728" s="45"/>
      <c r="AZ728" s="45"/>
      <c r="BA728" s="45"/>
      <c r="BB728" s="45"/>
      <c r="BC728" s="45"/>
      <c r="BD728" s="45"/>
      <c r="BE728" s="45"/>
      <c r="BF728" s="45"/>
      <c r="BG728" s="45"/>
      <c r="BH728" s="45"/>
      <c r="BI728" s="45"/>
      <c r="BJ728" s="45"/>
      <c r="BK728" s="78">
        <v>0</v>
      </c>
      <c r="BL728" s="45" t="s">
        <v>596</v>
      </c>
      <c r="BM728" s="45" t="s">
        <v>1592</v>
      </c>
    </row>
    <row r="729" spans="1:65" x14ac:dyDescent="0.35">
      <c r="A729" s="45" t="str">
        <f>Database_Productkaarten[[#This Row],[Product]]&amp;", "&amp;Database_Productkaarten[[#This Row],[Levensfase]]</f>
        <v>Trottoirband 280x300, B1</v>
      </c>
      <c r="B729" s="45" t="s">
        <v>1591</v>
      </c>
      <c r="C729" s="13" t="s">
        <v>464</v>
      </c>
      <c r="D729" s="45" t="s">
        <v>1590</v>
      </c>
      <c r="E729" s="45" t="s">
        <v>538</v>
      </c>
      <c r="F729" s="45" t="s">
        <v>24</v>
      </c>
      <c r="G729" s="45">
        <v>1</v>
      </c>
      <c r="H729" s="45">
        <v>0.3</v>
      </c>
      <c r="I729" s="45">
        <v>0.28000000000000003</v>
      </c>
      <c r="J729" s="45"/>
      <c r="K729" s="45"/>
      <c r="L729" s="45">
        <f t="shared" si="997"/>
        <v>0.19109999999999999</v>
      </c>
      <c r="M729" s="54">
        <f t="shared" si="997"/>
        <v>0</v>
      </c>
      <c r="N729" s="45">
        <v>25</v>
      </c>
      <c r="O729" s="55">
        <f t="shared" ref="O729:Y729" si="1003">O703*2.8*1.5</f>
        <v>0</v>
      </c>
      <c r="P729" s="55">
        <f t="shared" si="1003"/>
        <v>0</v>
      </c>
      <c r="Q729" s="55">
        <f t="shared" si="1003"/>
        <v>0</v>
      </c>
      <c r="R729" s="55">
        <f t="shared" si="1003"/>
        <v>0</v>
      </c>
      <c r="S729" s="55">
        <f t="shared" si="1003"/>
        <v>0</v>
      </c>
      <c r="T729" s="55">
        <f t="shared" si="1003"/>
        <v>0</v>
      </c>
      <c r="U729" s="55">
        <f t="shared" si="1003"/>
        <v>0</v>
      </c>
      <c r="V729" s="55">
        <f t="shared" si="1003"/>
        <v>0</v>
      </c>
      <c r="W729" s="55">
        <f t="shared" si="1003"/>
        <v>0</v>
      </c>
      <c r="X729" s="55">
        <f t="shared" si="1003"/>
        <v>0</v>
      </c>
      <c r="Y729" s="55">
        <f t="shared" si="1003"/>
        <v>0</v>
      </c>
      <c r="Z729" s="45"/>
      <c r="AA729" s="45"/>
      <c r="AB729" s="45"/>
      <c r="AC729" s="45"/>
      <c r="AD729" s="45"/>
      <c r="AE729" s="45"/>
      <c r="AF729" s="45"/>
      <c r="AG729" s="45"/>
      <c r="AH729" s="45"/>
      <c r="AI729" s="45"/>
      <c r="AJ729" s="45"/>
      <c r="AK729" s="45"/>
      <c r="AL729" s="45"/>
      <c r="AM729" s="45"/>
      <c r="AN729" s="45"/>
      <c r="AO729" s="45"/>
      <c r="AP729" s="45"/>
      <c r="AQ729" s="45"/>
      <c r="AR729" s="45"/>
      <c r="AS729" s="45"/>
      <c r="AT729" s="45"/>
      <c r="AU729" s="45"/>
      <c r="AV729" s="45"/>
      <c r="AW729" s="45"/>
      <c r="AX729" s="45"/>
      <c r="AY729" s="45"/>
      <c r="AZ729" s="45"/>
      <c r="BA729" s="45"/>
      <c r="BB729" s="45"/>
      <c r="BC729" s="45"/>
      <c r="BD729" s="45"/>
      <c r="BE729" s="45"/>
      <c r="BF729" s="45"/>
      <c r="BG729" s="45"/>
      <c r="BH729" s="45"/>
      <c r="BI729" s="45"/>
      <c r="BJ729" s="45"/>
      <c r="BK729" s="78">
        <v>0</v>
      </c>
      <c r="BL729" s="45" t="s">
        <v>596</v>
      </c>
      <c r="BM729" s="45" t="s">
        <v>1592</v>
      </c>
    </row>
    <row r="730" spans="1:65" x14ac:dyDescent="0.35">
      <c r="A730" s="45" t="str">
        <f>Database_Productkaarten[[#This Row],[Product]]&amp;", "&amp;Database_Productkaarten[[#This Row],[Levensfase]]</f>
        <v>Trottoirband 280x300, C1</v>
      </c>
      <c r="B730" s="45" t="s">
        <v>1591</v>
      </c>
      <c r="C730" s="13" t="s">
        <v>464</v>
      </c>
      <c r="D730" s="45" t="s">
        <v>1590</v>
      </c>
      <c r="E730" s="45" t="s">
        <v>538</v>
      </c>
      <c r="F730" s="45" t="s">
        <v>25</v>
      </c>
      <c r="G730" s="45">
        <v>1</v>
      </c>
      <c r="H730" s="45">
        <v>0.3</v>
      </c>
      <c r="I730" s="45">
        <v>0.28000000000000003</v>
      </c>
      <c r="J730" s="45"/>
      <c r="K730" s="45"/>
      <c r="L730" s="45">
        <f t="shared" si="997"/>
        <v>0.19109999999999999</v>
      </c>
      <c r="M730" s="54">
        <f>M704*2.8*1.5</f>
        <v>6.5099999999999991E-2</v>
      </c>
      <c r="N730" s="45">
        <v>25</v>
      </c>
      <c r="O730" s="55">
        <f t="shared" ref="O730:Y730" si="1004">O704*2.8*1.5</f>
        <v>8.9964000000000008E-5</v>
      </c>
      <c r="P730" s="55">
        <f t="shared" si="1004"/>
        <v>2.7803999999999997E-3</v>
      </c>
      <c r="Q730" s="55">
        <f t="shared" si="1004"/>
        <v>0.81185999999999992</v>
      </c>
      <c r="R730" s="55">
        <f t="shared" si="1004"/>
        <v>7.4129999999999989E-8</v>
      </c>
      <c r="S730" s="55">
        <f t="shared" si="1004"/>
        <v>2.2503599999999996E-4</v>
      </c>
      <c r="T730" s="55">
        <f t="shared" si="1004"/>
        <v>2.01096E-3</v>
      </c>
      <c r="U730" s="55">
        <f t="shared" si="1004"/>
        <v>4.7501999999999993E-4</v>
      </c>
      <c r="V730" s="55">
        <f t="shared" si="1004"/>
        <v>0.10709999999999999</v>
      </c>
      <c r="W730" s="55">
        <f t="shared" si="1004"/>
        <v>2.8719599999999998E-3</v>
      </c>
      <c r="X730" s="55">
        <f t="shared" si="1004"/>
        <v>15.112019999999998</v>
      </c>
      <c r="Y730" s="55">
        <f t="shared" si="1004"/>
        <v>9.1938000000000002E-4</v>
      </c>
      <c r="Z730" s="45"/>
      <c r="AA730" s="45"/>
      <c r="AB730" s="45"/>
      <c r="AC730" s="45"/>
      <c r="AD730" s="45"/>
      <c r="AE730" s="45"/>
      <c r="AF730" s="45"/>
      <c r="AG730" s="45"/>
      <c r="AH730" s="45"/>
      <c r="AI730" s="45"/>
      <c r="AJ730" s="45"/>
      <c r="AK730" s="45"/>
      <c r="AL730" s="45"/>
      <c r="AM730" s="45"/>
      <c r="AN730" s="45"/>
      <c r="AO730" s="45"/>
      <c r="AP730" s="45"/>
      <c r="AQ730" s="45"/>
      <c r="AR730" s="45"/>
      <c r="AS730" s="45"/>
      <c r="AT730" s="45"/>
      <c r="AU730" s="45"/>
      <c r="AV730" s="45"/>
      <c r="AW730" s="45"/>
      <c r="AX730" s="45"/>
      <c r="AY730" s="45"/>
      <c r="AZ730" s="45"/>
      <c r="BA730" s="45"/>
      <c r="BB730" s="45"/>
      <c r="BC730" s="45"/>
      <c r="BD730" s="45"/>
      <c r="BE730" s="45"/>
      <c r="BF730" s="45"/>
      <c r="BG730" s="45"/>
      <c r="BH730" s="45"/>
      <c r="BI730" s="45"/>
      <c r="BJ730" s="45"/>
      <c r="BK730" s="78">
        <v>0</v>
      </c>
      <c r="BL730" s="45" t="s">
        <v>596</v>
      </c>
      <c r="BM730" s="45" t="s">
        <v>1592</v>
      </c>
    </row>
    <row r="731" spans="1:65" x14ac:dyDescent="0.35">
      <c r="A731" s="45" t="str">
        <f>Database_Productkaarten[[#This Row],[Product]]&amp;", "&amp;Database_Productkaarten[[#This Row],[Levensfase]]</f>
        <v>Trottoirband 280x300, C2</v>
      </c>
      <c r="B731" s="45" t="s">
        <v>1591</v>
      </c>
      <c r="C731" s="13" t="s">
        <v>464</v>
      </c>
      <c r="D731" s="45" t="s">
        <v>1590</v>
      </c>
      <c r="E731" s="45" t="s">
        <v>538</v>
      </c>
      <c r="F731" s="45" t="s">
        <v>26</v>
      </c>
      <c r="G731" s="45">
        <v>1</v>
      </c>
      <c r="H731" s="45">
        <v>0.3</v>
      </c>
      <c r="I731" s="45">
        <v>0.28000000000000003</v>
      </c>
      <c r="J731" s="45"/>
      <c r="K731" s="45"/>
      <c r="L731" s="45">
        <f t="shared" si="997"/>
        <v>0.19109999999999999</v>
      </c>
      <c r="M731" s="54">
        <f t="shared" si="997"/>
        <v>0.14825999999999998</v>
      </c>
      <c r="N731" s="45">
        <v>25</v>
      </c>
      <c r="O731" s="55">
        <f t="shared" ref="O731:Y731" si="1005">O705*2.8*1.5</f>
        <v>3.5426999999999991E-6</v>
      </c>
      <c r="P731" s="55">
        <f t="shared" si="1005"/>
        <v>9.2399999999999999E-3</v>
      </c>
      <c r="Q731" s="55">
        <f t="shared" si="1005"/>
        <v>1.2436199999999999</v>
      </c>
      <c r="R731" s="55">
        <f t="shared" si="1005"/>
        <v>2.3238599999999997E-7</v>
      </c>
      <c r="S731" s="55">
        <f t="shared" si="1005"/>
        <v>7.3793999999999986E-4</v>
      </c>
      <c r="T731" s="55">
        <f t="shared" si="1005"/>
        <v>5.4599999999999996E-3</v>
      </c>
      <c r="U731" s="55">
        <f t="shared" si="1005"/>
        <v>1.0856999999999998E-3</v>
      </c>
      <c r="V731" s="55">
        <f t="shared" si="1005"/>
        <v>0.50946000000000002</v>
      </c>
      <c r="W731" s="55">
        <f t="shared" si="1005"/>
        <v>1.47E-2</v>
      </c>
      <c r="X731" s="55">
        <f t="shared" si="1005"/>
        <v>52.759139999999995</v>
      </c>
      <c r="Y731" s="55">
        <f t="shared" si="1005"/>
        <v>1.7581199999999997E-3</v>
      </c>
      <c r="Z731" s="45"/>
      <c r="AA731" s="45"/>
      <c r="AB731" s="45"/>
      <c r="AC731" s="45"/>
      <c r="AD731" s="45"/>
      <c r="AE731" s="45"/>
      <c r="AF731" s="45"/>
      <c r="AG731" s="45"/>
      <c r="AH731" s="45"/>
      <c r="AI731" s="45"/>
      <c r="AJ731" s="45"/>
      <c r="AK731" s="45"/>
      <c r="AL731" s="45"/>
      <c r="AM731" s="45"/>
      <c r="AN731" s="45"/>
      <c r="AO731" s="45"/>
      <c r="AP731" s="45"/>
      <c r="AQ731" s="45"/>
      <c r="AR731" s="45"/>
      <c r="AS731" s="45"/>
      <c r="AT731" s="45"/>
      <c r="AU731" s="45"/>
      <c r="AV731" s="45"/>
      <c r="AW731" s="45"/>
      <c r="AX731" s="45"/>
      <c r="AY731" s="45"/>
      <c r="AZ731" s="45"/>
      <c r="BA731" s="45"/>
      <c r="BB731" s="45"/>
      <c r="BC731" s="45"/>
      <c r="BD731" s="45"/>
      <c r="BE731" s="45"/>
      <c r="BF731" s="45"/>
      <c r="BG731" s="45"/>
      <c r="BH731" s="45"/>
      <c r="BI731" s="45"/>
      <c r="BJ731" s="45"/>
      <c r="BK731" s="78">
        <v>0</v>
      </c>
      <c r="BL731" s="45" t="s">
        <v>596</v>
      </c>
      <c r="BM731" s="45" t="s">
        <v>1592</v>
      </c>
    </row>
    <row r="732" spans="1:65" x14ac:dyDescent="0.35">
      <c r="A732" s="45" t="str">
        <f>Database_Productkaarten[[#This Row],[Product]]&amp;", "&amp;Database_Productkaarten[[#This Row],[Levensfase]]</f>
        <v>Trottoirband 280x300, C3</v>
      </c>
      <c r="B732" s="45" t="s">
        <v>1591</v>
      </c>
      <c r="C732" s="13" t="s">
        <v>464</v>
      </c>
      <c r="D732" s="45" t="s">
        <v>1590</v>
      </c>
      <c r="E732" s="45" t="s">
        <v>538</v>
      </c>
      <c r="F732" s="45" t="s">
        <v>27</v>
      </c>
      <c r="G732" s="45">
        <v>1</v>
      </c>
      <c r="H732" s="45">
        <v>0.3</v>
      </c>
      <c r="I732" s="45">
        <v>0.28000000000000003</v>
      </c>
      <c r="J732" s="45"/>
      <c r="K732" s="45"/>
      <c r="L732" s="45">
        <f t="shared" si="997"/>
        <v>0.19109999999999999</v>
      </c>
      <c r="M732" s="54">
        <f t="shared" si="997"/>
        <v>5.3759999999999995E-2</v>
      </c>
      <c r="N732" s="45">
        <v>25</v>
      </c>
      <c r="O732" s="55">
        <f t="shared" ref="O732:Y732" si="1006">O706*2.8*1.5</f>
        <v>3.07692E-8</v>
      </c>
      <c r="P732" s="55">
        <f t="shared" si="1006"/>
        <v>3.4649999999999997E-4</v>
      </c>
      <c r="Q732" s="55">
        <f t="shared" si="1006"/>
        <v>1.5119999999999998E-2</v>
      </c>
      <c r="R732" s="55">
        <f t="shared" si="1006"/>
        <v>1.05294E-6</v>
      </c>
      <c r="S732" s="55">
        <f t="shared" si="1006"/>
        <v>3.4574399999999999E-4</v>
      </c>
      <c r="T732" s="55">
        <f t="shared" si="1006"/>
        <v>5.8799999999999998E-3</v>
      </c>
      <c r="U732" s="55">
        <f t="shared" si="1006"/>
        <v>3.0580199999999998E-3</v>
      </c>
      <c r="V732" s="55">
        <f t="shared" si="1006"/>
        <v>6.3E-3</v>
      </c>
      <c r="W732" s="55">
        <f t="shared" si="1006"/>
        <v>3.5510999999999993E-5</v>
      </c>
      <c r="X732" s="55">
        <f t="shared" si="1006"/>
        <v>4.3763999999999994E-4</v>
      </c>
      <c r="Y732" s="55">
        <f t="shared" si="1006"/>
        <v>5.2541999999999999E-5</v>
      </c>
      <c r="Z732" s="45"/>
      <c r="AA732" s="45"/>
      <c r="AB732" s="45"/>
      <c r="AC732" s="45"/>
      <c r="AD732" s="45"/>
      <c r="AE732" s="45"/>
      <c r="AF732" s="45"/>
      <c r="AG732" s="45"/>
      <c r="AH732" s="45"/>
      <c r="AI732" s="45"/>
      <c r="AJ732" s="45"/>
      <c r="AK732" s="45"/>
      <c r="AL732" s="45"/>
      <c r="AM732" s="45"/>
      <c r="AN732" s="45"/>
      <c r="AO732" s="45"/>
      <c r="AP732" s="45"/>
      <c r="AQ732" s="45"/>
      <c r="AR732" s="45"/>
      <c r="AS732" s="45"/>
      <c r="AT732" s="45"/>
      <c r="AU732" s="45"/>
      <c r="AV732" s="45"/>
      <c r="AW732" s="45"/>
      <c r="AX732" s="45"/>
      <c r="AY732" s="45"/>
      <c r="AZ732" s="45"/>
      <c r="BA732" s="45"/>
      <c r="BB732" s="45"/>
      <c r="BC732" s="45"/>
      <c r="BD732" s="45"/>
      <c r="BE732" s="45"/>
      <c r="BF732" s="45"/>
      <c r="BG732" s="45"/>
      <c r="BH732" s="45"/>
      <c r="BI732" s="45"/>
      <c r="BJ732" s="45"/>
      <c r="BK732" s="78">
        <v>0</v>
      </c>
      <c r="BL732" s="45" t="s">
        <v>596</v>
      </c>
      <c r="BM732" s="45" t="s">
        <v>1592</v>
      </c>
    </row>
    <row r="733" spans="1:65" x14ac:dyDescent="0.35">
      <c r="A733" s="45" t="str">
        <f>Database_Productkaarten[[#This Row],[Product]]&amp;", "&amp;Database_Productkaarten[[#This Row],[Levensfase]]</f>
        <v>Trottoirband 280x300, C4</v>
      </c>
      <c r="B733" s="45" t="s">
        <v>1591</v>
      </c>
      <c r="C733" s="13" t="s">
        <v>464</v>
      </c>
      <c r="D733" s="45" t="s">
        <v>1590</v>
      </c>
      <c r="E733" s="45" t="s">
        <v>538</v>
      </c>
      <c r="F733" s="45" t="s">
        <v>28</v>
      </c>
      <c r="G733" s="45">
        <v>1</v>
      </c>
      <c r="H733" s="45">
        <v>0.3</v>
      </c>
      <c r="I733" s="45">
        <v>0.28000000000000003</v>
      </c>
      <c r="J733" s="45"/>
      <c r="K733" s="45"/>
      <c r="L733" s="45">
        <f t="shared" si="997"/>
        <v>0.19109999999999999</v>
      </c>
      <c r="M733" s="54">
        <f t="shared" si="997"/>
        <v>1.4015399999999997E-3</v>
      </c>
      <c r="N733" s="45">
        <v>25</v>
      </c>
      <c r="O733" s="55">
        <f t="shared" ref="O733:Y733" si="1007">O707*2.8*1.5</f>
        <v>1.1222399999999998E-8</v>
      </c>
      <c r="P733" s="55">
        <f t="shared" si="1007"/>
        <v>1.4557199999999998E-4</v>
      </c>
      <c r="Q733" s="55">
        <f t="shared" si="1007"/>
        <v>1.0079999999999999E-2</v>
      </c>
      <c r="R733" s="55">
        <f t="shared" si="1007"/>
        <v>3.5830199999999995E-9</v>
      </c>
      <c r="S733" s="55">
        <f t="shared" si="1007"/>
        <v>1.0844399999999999E-5</v>
      </c>
      <c r="T733" s="55">
        <f t="shared" si="1007"/>
        <v>7.5054000000000003E-5</v>
      </c>
      <c r="U733" s="55">
        <f t="shared" si="1007"/>
        <v>1.4200199999999998E-5</v>
      </c>
      <c r="V733" s="55">
        <f t="shared" si="1007"/>
        <v>4.1999999999999997E-3</v>
      </c>
      <c r="W733" s="55">
        <f t="shared" si="1007"/>
        <v>1.0483200000000002E-4</v>
      </c>
      <c r="X733" s="55">
        <f t="shared" si="1007"/>
        <v>0.36749999999999994</v>
      </c>
      <c r="Y733" s="55">
        <f t="shared" si="1007"/>
        <v>1.0806599999999999E-5</v>
      </c>
      <c r="Z733" s="45"/>
      <c r="AA733" s="45"/>
      <c r="AB733" s="45"/>
      <c r="AC733" s="45"/>
      <c r="AD733" s="45"/>
      <c r="AE733" s="45"/>
      <c r="AF733" s="45"/>
      <c r="AG733" s="45"/>
      <c r="AH733" s="45"/>
      <c r="AI733" s="45"/>
      <c r="AJ733" s="45"/>
      <c r="AK733" s="45"/>
      <c r="AL733" s="45"/>
      <c r="AM733" s="45"/>
      <c r="AN733" s="45"/>
      <c r="AO733" s="45"/>
      <c r="AP733" s="45"/>
      <c r="AQ733" s="45"/>
      <c r="AR733" s="45"/>
      <c r="AS733" s="45"/>
      <c r="AT733" s="45"/>
      <c r="AU733" s="45"/>
      <c r="AV733" s="45"/>
      <c r="AW733" s="45"/>
      <c r="AX733" s="45"/>
      <c r="AY733" s="45"/>
      <c r="AZ733" s="45"/>
      <c r="BA733" s="45"/>
      <c r="BB733" s="45"/>
      <c r="BC733" s="45"/>
      <c r="BD733" s="45"/>
      <c r="BE733" s="45"/>
      <c r="BF733" s="45"/>
      <c r="BG733" s="45"/>
      <c r="BH733" s="45"/>
      <c r="BI733" s="45"/>
      <c r="BJ733" s="45"/>
      <c r="BK733" s="78">
        <v>0</v>
      </c>
      <c r="BL733" s="45" t="s">
        <v>596</v>
      </c>
      <c r="BM733" s="45" t="s">
        <v>1592</v>
      </c>
    </row>
    <row r="734" spans="1:65" x14ac:dyDescent="0.35">
      <c r="A734" s="45" t="str">
        <f>Database_Productkaarten[[#This Row],[Product]]&amp;", "&amp;Database_Productkaarten[[#This Row],[Levensfase]]</f>
        <v>Trottoirband 280x300, D1</v>
      </c>
      <c r="B734" s="45" t="s">
        <v>1591</v>
      </c>
      <c r="C734" s="13" t="s">
        <v>464</v>
      </c>
      <c r="D734" s="45" t="s">
        <v>1590</v>
      </c>
      <c r="E734" s="45" t="s">
        <v>538</v>
      </c>
      <c r="F734" s="45" t="s">
        <v>51</v>
      </c>
      <c r="G734" s="45">
        <v>1</v>
      </c>
      <c r="H734" s="45">
        <v>0.3</v>
      </c>
      <c r="I734" s="45">
        <v>0.28000000000000003</v>
      </c>
      <c r="J734" s="45"/>
      <c r="K734" s="45"/>
      <c r="L734" s="45">
        <f t="shared" si="997"/>
        <v>0.19109999999999999</v>
      </c>
      <c r="M734" s="54">
        <f t="shared" si="997"/>
        <v>-9.912E-2</v>
      </c>
      <c r="N734" s="45">
        <v>25</v>
      </c>
      <c r="O734" s="55">
        <f t="shared" ref="O734:Y734" si="1008">O708*2.8*1.5</f>
        <v>-4.3049999999999994E-6</v>
      </c>
      <c r="P734" s="55">
        <f t="shared" si="1008"/>
        <v>-5.4599999999999996E-3</v>
      </c>
      <c r="Q734" s="55">
        <f t="shared" si="1008"/>
        <v>-0.77573999999999987</v>
      </c>
      <c r="R734" s="55">
        <f t="shared" si="1008"/>
        <v>-6.9467999999999997E-8</v>
      </c>
      <c r="S734" s="55">
        <f t="shared" si="1008"/>
        <v>-5.6196000000000002E-4</v>
      </c>
      <c r="T734" s="55">
        <f t="shared" si="1008"/>
        <v>-4.62E-3</v>
      </c>
      <c r="U734" s="55">
        <f t="shared" si="1008"/>
        <v>-7.7448000000000003E-4</v>
      </c>
      <c r="V734" s="55">
        <f t="shared" si="1008"/>
        <v>-0.34649999999999997</v>
      </c>
      <c r="W734" s="55">
        <f t="shared" si="1008"/>
        <v>-5.0399999999999993E-3</v>
      </c>
      <c r="X734" s="55">
        <f t="shared" si="1008"/>
        <v>-21.67578</v>
      </c>
      <c r="Y734" s="55">
        <f t="shared" si="1008"/>
        <v>-1.8093599999999999E-3</v>
      </c>
      <c r="Z734" s="45"/>
      <c r="AA734" s="45"/>
      <c r="AB734" s="45"/>
      <c r="AC734" s="45"/>
      <c r="AD734" s="45"/>
      <c r="AE734" s="45"/>
      <c r="AF734" s="45"/>
      <c r="AG734" s="45"/>
      <c r="AH734" s="45"/>
      <c r="AI734" s="45"/>
      <c r="AJ734" s="45"/>
      <c r="AK734" s="45"/>
      <c r="AL734" s="45"/>
      <c r="AM734" s="45"/>
      <c r="AN734" s="45"/>
      <c r="AO734" s="45"/>
      <c r="AP734" s="45"/>
      <c r="AQ734" s="45"/>
      <c r="AR734" s="45"/>
      <c r="AS734" s="45"/>
      <c r="AT734" s="45"/>
      <c r="AU734" s="45"/>
      <c r="AV734" s="45"/>
      <c r="AW734" s="45"/>
      <c r="AX734" s="45"/>
      <c r="AY734" s="45"/>
      <c r="AZ734" s="45"/>
      <c r="BA734" s="45"/>
      <c r="BB734" s="45"/>
      <c r="BC734" s="45"/>
      <c r="BD734" s="45"/>
      <c r="BE734" s="45"/>
      <c r="BF734" s="45"/>
      <c r="BG734" s="45"/>
      <c r="BH734" s="45"/>
      <c r="BI734" s="45"/>
      <c r="BJ734" s="45"/>
      <c r="BK734" s="78">
        <v>0</v>
      </c>
      <c r="BL734" s="45" t="s">
        <v>596</v>
      </c>
      <c r="BM734" s="45" t="s">
        <v>1592</v>
      </c>
    </row>
    <row r="735" spans="1:65" x14ac:dyDescent="0.35">
      <c r="A735" s="45" t="str">
        <f>Database_Productkaarten[[#This Row],[Product]]&amp;", "&amp;Database_Productkaarten[[#This Row],[Levensfase]]</f>
        <v>Trottoirband 280x300, D2</v>
      </c>
      <c r="B735" s="45" t="s">
        <v>1591</v>
      </c>
      <c r="C735" s="13" t="s">
        <v>464</v>
      </c>
      <c r="D735" s="45" t="s">
        <v>1590</v>
      </c>
      <c r="E735" s="45" t="s">
        <v>538</v>
      </c>
      <c r="F735" s="45" t="s">
        <v>52</v>
      </c>
      <c r="G735" s="45">
        <v>1</v>
      </c>
      <c r="H735" s="45">
        <v>0.3</v>
      </c>
      <c r="I735" s="45">
        <v>0.28000000000000003</v>
      </c>
      <c r="J735" s="45"/>
      <c r="K735" s="45"/>
      <c r="L735" s="45">
        <f t="shared" si="997"/>
        <v>0.19109999999999999</v>
      </c>
      <c r="M735" s="54">
        <f t="shared" si="997"/>
        <v>0</v>
      </c>
      <c r="N735" s="45">
        <v>25</v>
      </c>
      <c r="O735" s="55">
        <f t="shared" ref="O735:Y735" si="1009">O709*2.8*1.5</f>
        <v>0</v>
      </c>
      <c r="P735" s="55">
        <f t="shared" si="1009"/>
        <v>0</v>
      </c>
      <c r="Q735" s="55">
        <f t="shared" si="1009"/>
        <v>0</v>
      </c>
      <c r="R735" s="55">
        <f t="shared" si="1009"/>
        <v>0</v>
      </c>
      <c r="S735" s="55">
        <f t="shared" si="1009"/>
        <v>0</v>
      </c>
      <c r="T735" s="55">
        <f t="shared" si="1009"/>
        <v>0</v>
      </c>
      <c r="U735" s="55">
        <f t="shared" si="1009"/>
        <v>0</v>
      </c>
      <c r="V735" s="55">
        <f t="shared" si="1009"/>
        <v>0</v>
      </c>
      <c r="W735" s="55">
        <f t="shared" si="1009"/>
        <v>0</v>
      </c>
      <c r="X735" s="55">
        <f t="shared" si="1009"/>
        <v>0</v>
      </c>
      <c r="Y735" s="55">
        <f t="shared" si="1009"/>
        <v>0</v>
      </c>
      <c r="Z735" s="45"/>
      <c r="AA735" s="45"/>
      <c r="AB735" s="45"/>
      <c r="AC735" s="45"/>
      <c r="AD735" s="45"/>
      <c r="AE735" s="45"/>
      <c r="AF735" s="45"/>
      <c r="AG735" s="45"/>
      <c r="AH735" s="45"/>
      <c r="AI735" s="45"/>
      <c r="AJ735" s="45"/>
      <c r="AK735" s="45"/>
      <c r="AL735" s="45"/>
      <c r="AM735" s="45"/>
      <c r="AN735" s="45"/>
      <c r="AO735" s="45"/>
      <c r="AP735" s="45"/>
      <c r="AQ735" s="45"/>
      <c r="AR735" s="45"/>
      <c r="AS735" s="45"/>
      <c r="AT735" s="45"/>
      <c r="AU735" s="45"/>
      <c r="AV735" s="45"/>
      <c r="AW735" s="45"/>
      <c r="AX735" s="45"/>
      <c r="AY735" s="45"/>
      <c r="AZ735" s="45"/>
      <c r="BA735" s="45"/>
      <c r="BB735" s="45"/>
      <c r="BC735" s="45"/>
      <c r="BD735" s="45"/>
      <c r="BE735" s="45"/>
      <c r="BF735" s="45"/>
      <c r="BG735" s="45"/>
      <c r="BH735" s="45"/>
      <c r="BI735" s="45"/>
      <c r="BJ735" s="45"/>
      <c r="BK735" s="78">
        <v>0</v>
      </c>
      <c r="BL735" s="45" t="s">
        <v>596</v>
      </c>
      <c r="BM735" s="45" t="s">
        <v>1592</v>
      </c>
    </row>
    <row r="736" spans="1:65" ht="18" x14ac:dyDescent="0.55000000000000004">
      <c r="A736" s="45" t="str">
        <f>Database_Productkaarten[[#This Row],[Product]]&amp;", "&amp;Database_Productkaarten[[#This Row],[Levensfase]]</f>
        <v>Betontegel 300x300x45, Totaal</v>
      </c>
      <c r="B736" s="45" t="s">
        <v>1594</v>
      </c>
      <c r="C736" s="13" t="s">
        <v>464</v>
      </c>
      <c r="D736" s="45" t="s">
        <v>550</v>
      </c>
      <c r="E736" s="45" t="s">
        <v>539</v>
      </c>
      <c r="F736" s="45" t="s">
        <v>16</v>
      </c>
      <c r="G736" s="45">
        <v>0.3</v>
      </c>
      <c r="H736" s="45">
        <v>0.3</v>
      </c>
      <c r="I736" s="45">
        <v>4.4999999999999998E-2</v>
      </c>
      <c r="J736" s="45"/>
      <c r="K736" s="45"/>
      <c r="L736" s="45">
        <f>(11*9.5)/1000</f>
        <v>0.1045</v>
      </c>
      <c r="M736" s="54"/>
      <c r="N736" s="45">
        <v>25</v>
      </c>
      <c r="O736" s="45"/>
      <c r="P736" s="45"/>
      <c r="Q736" s="5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c r="AO736" s="45"/>
      <c r="AP736" s="45"/>
      <c r="AQ736" s="45"/>
      <c r="AR736" s="45"/>
      <c r="AS736" s="45"/>
      <c r="AT736" s="45"/>
      <c r="AU736" s="45"/>
      <c r="AV736" s="45"/>
      <c r="AW736" s="45"/>
      <c r="AX736" s="45"/>
      <c r="AY736" s="45"/>
      <c r="AZ736" s="45"/>
      <c r="BA736" s="45"/>
      <c r="BB736" s="45"/>
      <c r="BC736" s="45"/>
      <c r="BD736" s="45"/>
      <c r="BE736" s="45"/>
      <c r="BF736" s="45"/>
      <c r="BG736" s="45"/>
      <c r="BH736" s="45"/>
      <c r="BI736" s="45"/>
      <c r="BJ736" s="45"/>
      <c r="BK736" s="78">
        <v>0</v>
      </c>
      <c r="BL736" s="45" t="s">
        <v>1593</v>
      </c>
      <c r="BM736" s="369" t="s">
        <v>1596</v>
      </c>
    </row>
    <row r="737" spans="1:65" ht="18" x14ac:dyDescent="0.55000000000000004">
      <c r="A737" s="45" t="str">
        <f>Database_Productkaarten[[#This Row],[Product]]&amp;", "&amp;Database_Productkaarten[[#This Row],[Levensfase]]</f>
        <v>Betontegel 300x300x45, A1</v>
      </c>
      <c r="B737" s="45" t="s">
        <v>1594</v>
      </c>
      <c r="C737" s="13" t="s">
        <v>464</v>
      </c>
      <c r="D737" s="45" t="s">
        <v>550</v>
      </c>
      <c r="E737" s="45" t="s">
        <v>539</v>
      </c>
      <c r="F737" s="45" t="s">
        <v>19</v>
      </c>
      <c r="G737" s="45">
        <v>0.3</v>
      </c>
      <c r="H737" s="45">
        <v>0.3</v>
      </c>
      <c r="I737" s="45">
        <v>4.4999999999999998E-2</v>
      </c>
      <c r="J737" s="45"/>
      <c r="K737" s="45"/>
      <c r="L737" s="45">
        <f t="shared" ref="L737:L748" si="1010">(11*9.5)/1000</f>
        <v>0.1045</v>
      </c>
      <c r="M737" s="54">
        <v>0.96309999999999996</v>
      </c>
      <c r="N737" s="45">
        <v>25</v>
      </c>
      <c r="O737" s="45"/>
      <c r="P737" s="45"/>
      <c r="Q737" s="55">
        <v>13.3241</v>
      </c>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c r="AO737" s="45"/>
      <c r="AP737" s="45"/>
      <c r="AQ737" s="45"/>
      <c r="AR737" s="45"/>
      <c r="AS737" s="45"/>
      <c r="AT737" s="45"/>
      <c r="AU737" s="45"/>
      <c r="AV737" s="45"/>
      <c r="AW737" s="45"/>
      <c r="AX737" s="45"/>
      <c r="AY737" s="45"/>
      <c r="AZ737" s="45"/>
      <c r="BA737" s="45"/>
      <c r="BB737" s="45"/>
      <c r="BC737" s="45"/>
      <c r="BD737" s="45"/>
      <c r="BE737" s="45"/>
      <c r="BF737" s="45"/>
      <c r="BG737" s="45"/>
      <c r="BH737" s="45"/>
      <c r="BI737" s="45"/>
      <c r="BJ737" s="45"/>
      <c r="BK737" s="78">
        <v>0</v>
      </c>
      <c r="BL737" s="45" t="s">
        <v>1593</v>
      </c>
      <c r="BM737" s="369" t="s">
        <v>1596</v>
      </c>
    </row>
    <row r="738" spans="1:65" ht="18" x14ac:dyDescent="0.55000000000000004">
      <c r="A738" s="45" t="str">
        <f>Database_Productkaarten[[#This Row],[Product]]&amp;", "&amp;Database_Productkaarten[[#This Row],[Levensfase]]</f>
        <v>Betontegel 300x300x45, A2</v>
      </c>
      <c r="B738" s="45" t="s">
        <v>1594</v>
      </c>
      <c r="C738" s="13" t="s">
        <v>464</v>
      </c>
      <c r="D738" s="45" t="s">
        <v>550</v>
      </c>
      <c r="E738" s="45" t="s">
        <v>539</v>
      </c>
      <c r="F738" s="45" t="s">
        <v>20</v>
      </c>
      <c r="G738" s="45">
        <v>0.3</v>
      </c>
      <c r="H738" s="45">
        <v>0.3</v>
      </c>
      <c r="I738" s="45">
        <v>4.4999999999999998E-2</v>
      </c>
      <c r="J738" s="45"/>
      <c r="K738" s="45"/>
      <c r="L738" s="45">
        <f t="shared" si="1010"/>
        <v>0.1045</v>
      </c>
      <c r="M738" s="54"/>
      <c r="N738" s="45">
        <v>25</v>
      </c>
      <c r="O738" s="45"/>
      <c r="P738" s="45"/>
      <c r="Q738" s="5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c r="AS738" s="45"/>
      <c r="AT738" s="45"/>
      <c r="AU738" s="45"/>
      <c r="AV738" s="45"/>
      <c r="AW738" s="45"/>
      <c r="AX738" s="45"/>
      <c r="AY738" s="45"/>
      <c r="AZ738" s="45"/>
      <c r="BA738" s="45"/>
      <c r="BB738" s="45"/>
      <c r="BC738" s="45"/>
      <c r="BD738" s="45"/>
      <c r="BE738" s="45"/>
      <c r="BF738" s="45"/>
      <c r="BG738" s="45"/>
      <c r="BH738" s="45"/>
      <c r="BI738" s="45"/>
      <c r="BJ738" s="45"/>
      <c r="BK738" s="78">
        <v>0</v>
      </c>
      <c r="BL738" s="45" t="s">
        <v>1593</v>
      </c>
      <c r="BM738" s="369" t="s">
        <v>1596</v>
      </c>
    </row>
    <row r="739" spans="1:65" ht="18" x14ac:dyDescent="0.55000000000000004">
      <c r="A739" s="45" t="str">
        <f>Database_Productkaarten[[#This Row],[Product]]&amp;", "&amp;Database_Productkaarten[[#This Row],[Levensfase]]</f>
        <v>Betontegel 300x300x45, A3</v>
      </c>
      <c r="B739" s="45" t="s">
        <v>1594</v>
      </c>
      <c r="C739" s="13" t="s">
        <v>464</v>
      </c>
      <c r="D739" s="45" t="s">
        <v>550</v>
      </c>
      <c r="E739" s="45" t="s">
        <v>539</v>
      </c>
      <c r="F739" s="45" t="s">
        <v>21</v>
      </c>
      <c r="G739" s="45">
        <v>0.3</v>
      </c>
      <c r="H739" s="45">
        <v>0.3</v>
      </c>
      <c r="I739" s="45">
        <v>4.4999999999999998E-2</v>
      </c>
      <c r="J739" s="45"/>
      <c r="K739" s="45"/>
      <c r="L739" s="45">
        <f t="shared" si="1010"/>
        <v>0.1045</v>
      </c>
      <c r="M739" s="54"/>
      <c r="N739" s="45">
        <v>25</v>
      </c>
      <c r="O739" s="45"/>
      <c r="P739" s="45"/>
      <c r="Q739" s="5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c r="AS739" s="45"/>
      <c r="AT739" s="45"/>
      <c r="AU739" s="45"/>
      <c r="AV739" s="45"/>
      <c r="AW739" s="45"/>
      <c r="AX739" s="45"/>
      <c r="AY739" s="45"/>
      <c r="AZ739" s="45"/>
      <c r="BA739" s="45"/>
      <c r="BB739" s="45"/>
      <c r="BC739" s="45"/>
      <c r="BD739" s="45"/>
      <c r="BE739" s="45"/>
      <c r="BF739" s="45"/>
      <c r="BG739" s="45"/>
      <c r="BH739" s="45"/>
      <c r="BI739" s="45"/>
      <c r="BJ739" s="45"/>
      <c r="BK739" s="78">
        <v>0</v>
      </c>
      <c r="BL739" s="45" t="s">
        <v>1593</v>
      </c>
      <c r="BM739" s="369" t="s">
        <v>1596</v>
      </c>
    </row>
    <row r="740" spans="1:65" ht="18" x14ac:dyDescent="0.55000000000000004">
      <c r="A740" s="45" t="str">
        <f>Database_Productkaarten[[#This Row],[Product]]&amp;", "&amp;Database_Productkaarten[[#This Row],[Levensfase]]</f>
        <v>Betontegel 300x300x45, A4</v>
      </c>
      <c r="B740" s="45" t="s">
        <v>1594</v>
      </c>
      <c r="C740" s="13" t="s">
        <v>464</v>
      </c>
      <c r="D740" s="45" t="s">
        <v>550</v>
      </c>
      <c r="E740" s="45" t="s">
        <v>539</v>
      </c>
      <c r="F740" s="45" t="s">
        <v>22</v>
      </c>
      <c r="G740" s="45">
        <v>0.3</v>
      </c>
      <c r="H740" s="45">
        <v>0.3</v>
      </c>
      <c r="I740" s="45">
        <v>4.4999999999999998E-2</v>
      </c>
      <c r="J740" s="45"/>
      <c r="K740" s="45"/>
      <c r="L740" s="45">
        <f t="shared" si="1010"/>
        <v>0.1045</v>
      </c>
      <c r="M740" s="54">
        <v>0.2359</v>
      </c>
      <c r="N740" s="45">
        <v>25</v>
      </c>
      <c r="O740" s="45"/>
      <c r="P740" s="45"/>
      <c r="Q740" s="55">
        <v>1.9802999999999999</v>
      </c>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c r="AS740" s="45"/>
      <c r="AT740" s="45"/>
      <c r="AU740" s="45"/>
      <c r="AV740" s="45"/>
      <c r="AW740" s="45"/>
      <c r="AX740" s="45"/>
      <c r="AY740" s="45"/>
      <c r="AZ740" s="45"/>
      <c r="BA740" s="45"/>
      <c r="BB740" s="45"/>
      <c r="BC740" s="45"/>
      <c r="BD740" s="45"/>
      <c r="BE740" s="45"/>
      <c r="BF740" s="45"/>
      <c r="BG740" s="45"/>
      <c r="BH740" s="45"/>
      <c r="BI740" s="45"/>
      <c r="BJ740" s="45"/>
      <c r="BK740" s="78">
        <v>0</v>
      </c>
      <c r="BL740" s="45" t="s">
        <v>1593</v>
      </c>
      <c r="BM740" s="369" t="s">
        <v>1596</v>
      </c>
    </row>
    <row r="741" spans="1:65" ht="18" x14ac:dyDescent="0.55000000000000004">
      <c r="A741" s="45" t="str">
        <f>Database_Productkaarten[[#This Row],[Product]]&amp;", "&amp;Database_Productkaarten[[#This Row],[Levensfase]]</f>
        <v>Betontegel 300x300x45, A5</v>
      </c>
      <c r="B741" s="45" t="s">
        <v>1594</v>
      </c>
      <c r="C741" s="13" t="s">
        <v>464</v>
      </c>
      <c r="D741" s="45" t="s">
        <v>550</v>
      </c>
      <c r="E741" s="45" t="s">
        <v>539</v>
      </c>
      <c r="F741" s="45" t="s">
        <v>23</v>
      </c>
      <c r="G741" s="45">
        <v>0.3</v>
      </c>
      <c r="H741" s="45">
        <v>0.3</v>
      </c>
      <c r="I741" s="45">
        <v>4.4999999999999998E-2</v>
      </c>
      <c r="J741" s="45"/>
      <c r="K741" s="45"/>
      <c r="L741" s="45">
        <f t="shared" si="1010"/>
        <v>0.1045</v>
      </c>
      <c r="M741" s="54">
        <f>0.035+0.0787</f>
        <v>0.11370000000000001</v>
      </c>
      <c r="N741" s="45">
        <v>25</v>
      </c>
      <c r="O741" s="45"/>
      <c r="P741" s="45"/>
      <c r="Q741" s="55">
        <f>0.4372+0.5911</f>
        <v>1.0283</v>
      </c>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c r="AS741" s="45"/>
      <c r="AT741" s="45"/>
      <c r="AU741" s="45"/>
      <c r="AV741" s="45"/>
      <c r="AW741" s="45"/>
      <c r="AX741" s="45"/>
      <c r="AY741" s="45"/>
      <c r="AZ741" s="45"/>
      <c r="BA741" s="45"/>
      <c r="BB741" s="45"/>
      <c r="BC741" s="45"/>
      <c r="BD741" s="45"/>
      <c r="BE741" s="45"/>
      <c r="BF741" s="45"/>
      <c r="BG741" s="45"/>
      <c r="BH741" s="45"/>
      <c r="BI741" s="45"/>
      <c r="BJ741" s="45"/>
      <c r="BK741" s="78">
        <v>0</v>
      </c>
      <c r="BL741" s="45" t="s">
        <v>1593</v>
      </c>
      <c r="BM741" s="369" t="s">
        <v>1596</v>
      </c>
    </row>
    <row r="742" spans="1:65" ht="18" x14ac:dyDescent="0.55000000000000004">
      <c r="A742" s="45" t="str">
        <f>Database_Productkaarten[[#This Row],[Product]]&amp;", "&amp;Database_Productkaarten[[#This Row],[Levensfase]]</f>
        <v>Betontegel 300x300x45, B1</v>
      </c>
      <c r="B742" s="45" t="s">
        <v>1594</v>
      </c>
      <c r="C742" s="13" t="s">
        <v>464</v>
      </c>
      <c r="D742" s="45" t="s">
        <v>550</v>
      </c>
      <c r="E742" s="45" t="s">
        <v>539</v>
      </c>
      <c r="F742" s="45" t="s">
        <v>24</v>
      </c>
      <c r="G742" s="45">
        <v>0.3</v>
      </c>
      <c r="H742" s="45">
        <v>0.3</v>
      </c>
      <c r="I742" s="45">
        <v>4.4999999999999998E-2</v>
      </c>
      <c r="J742" s="45"/>
      <c r="K742" s="45"/>
      <c r="L742" s="45">
        <f t="shared" si="1010"/>
        <v>0.1045</v>
      </c>
      <c r="M742" s="54"/>
      <c r="N742" s="45">
        <v>25</v>
      </c>
      <c r="O742" s="45"/>
      <c r="P742" s="45"/>
      <c r="Q742" s="5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c r="AS742" s="45"/>
      <c r="AT742" s="45"/>
      <c r="AU742" s="45"/>
      <c r="AV742" s="45"/>
      <c r="AW742" s="45"/>
      <c r="AX742" s="45"/>
      <c r="AY742" s="45"/>
      <c r="AZ742" s="45"/>
      <c r="BA742" s="45"/>
      <c r="BB742" s="45"/>
      <c r="BC742" s="45"/>
      <c r="BD742" s="45"/>
      <c r="BE742" s="45"/>
      <c r="BF742" s="45"/>
      <c r="BG742" s="45"/>
      <c r="BH742" s="45"/>
      <c r="BI742" s="45"/>
      <c r="BJ742" s="45"/>
      <c r="BK742" s="78">
        <v>0</v>
      </c>
      <c r="BL742" s="45" t="s">
        <v>1593</v>
      </c>
      <c r="BM742" s="369" t="s">
        <v>1596</v>
      </c>
    </row>
    <row r="743" spans="1:65" ht="18" x14ac:dyDescent="0.55000000000000004">
      <c r="A743" s="45" t="str">
        <f>Database_Productkaarten[[#This Row],[Product]]&amp;", "&amp;Database_Productkaarten[[#This Row],[Levensfase]]</f>
        <v>Betontegel 300x300x45, C1</v>
      </c>
      <c r="B743" s="45" t="s">
        <v>1594</v>
      </c>
      <c r="C743" s="13" t="s">
        <v>464</v>
      </c>
      <c r="D743" s="45" t="s">
        <v>550</v>
      </c>
      <c r="E743" s="45" t="s">
        <v>539</v>
      </c>
      <c r="F743" s="45" t="s">
        <v>25</v>
      </c>
      <c r="G743" s="45">
        <v>0.3</v>
      </c>
      <c r="H743" s="45">
        <v>0.3</v>
      </c>
      <c r="I743" s="45">
        <v>4.4999999999999998E-2</v>
      </c>
      <c r="J743" s="45"/>
      <c r="K743" s="45"/>
      <c r="L743" s="45">
        <f t="shared" si="1010"/>
        <v>0.1045</v>
      </c>
      <c r="M743" s="54">
        <v>7.8700000000000006E-2</v>
      </c>
      <c r="N743" s="45">
        <v>25</v>
      </c>
      <c r="O743" s="45"/>
      <c r="P743" s="45"/>
      <c r="Q743" s="55">
        <v>0.59109999999999996</v>
      </c>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c r="AS743" s="45"/>
      <c r="AT743" s="45"/>
      <c r="AU743" s="45"/>
      <c r="AV743" s="45"/>
      <c r="AW743" s="45"/>
      <c r="AX743" s="45"/>
      <c r="AY743" s="45"/>
      <c r="AZ743" s="45"/>
      <c r="BA743" s="45"/>
      <c r="BB743" s="45"/>
      <c r="BC743" s="45"/>
      <c r="BD743" s="45"/>
      <c r="BE743" s="45"/>
      <c r="BF743" s="45"/>
      <c r="BG743" s="45"/>
      <c r="BH743" s="45"/>
      <c r="BI743" s="45"/>
      <c r="BJ743" s="45"/>
      <c r="BK743" s="78">
        <v>0</v>
      </c>
      <c r="BL743" s="45" t="s">
        <v>1593</v>
      </c>
      <c r="BM743" s="369" t="s">
        <v>1596</v>
      </c>
    </row>
    <row r="744" spans="1:65" ht="18" x14ac:dyDescent="0.55000000000000004">
      <c r="A744" s="45" t="str">
        <f>Database_Productkaarten[[#This Row],[Product]]&amp;", "&amp;Database_Productkaarten[[#This Row],[Levensfase]]</f>
        <v>Betontegel 300x300x45, C2</v>
      </c>
      <c r="B744" s="45" t="s">
        <v>1594</v>
      </c>
      <c r="C744" s="13" t="s">
        <v>464</v>
      </c>
      <c r="D744" s="45" t="s">
        <v>550</v>
      </c>
      <c r="E744" s="45" t="s">
        <v>539</v>
      </c>
      <c r="F744" s="45" t="s">
        <v>26</v>
      </c>
      <c r="G744" s="45">
        <v>0.3</v>
      </c>
      <c r="H744" s="45">
        <v>0.3</v>
      </c>
      <c r="I744" s="45">
        <v>4.4999999999999998E-2</v>
      </c>
      <c r="J744" s="45"/>
      <c r="K744" s="45"/>
      <c r="L744" s="45">
        <f t="shared" si="1010"/>
        <v>0.1045</v>
      </c>
      <c r="M744" s="54">
        <v>7.9399999999999998E-2</v>
      </c>
      <c r="N744" s="45">
        <v>25</v>
      </c>
      <c r="O744" s="45"/>
      <c r="P744" s="45"/>
      <c r="Q744" s="55">
        <v>0.66669999999999996</v>
      </c>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c r="AS744" s="45"/>
      <c r="AT744" s="45"/>
      <c r="AU744" s="45"/>
      <c r="AV744" s="45"/>
      <c r="AW744" s="45"/>
      <c r="AX744" s="45"/>
      <c r="AY744" s="45"/>
      <c r="AZ744" s="45"/>
      <c r="BA744" s="45"/>
      <c r="BB744" s="45"/>
      <c r="BC744" s="45"/>
      <c r="BD744" s="45"/>
      <c r="BE744" s="45"/>
      <c r="BF744" s="45"/>
      <c r="BG744" s="45"/>
      <c r="BH744" s="45"/>
      <c r="BI744" s="45"/>
      <c r="BJ744" s="45"/>
      <c r="BK744" s="78">
        <v>0</v>
      </c>
      <c r="BL744" s="45" t="s">
        <v>1593</v>
      </c>
      <c r="BM744" s="369" t="s">
        <v>1596</v>
      </c>
    </row>
    <row r="745" spans="1:65" ht="18" x14ac:dyDescent="0.55000000000000004">
      <c r="A745" s="45" t="str">
        <f>Database_Productkaarten[[#This Row],[Product]]&amp;", "&amp;Database_Productkaarten[[#This Row],[Levensfase]]</f>
        <v>Betontegel 300x300x45, C3</v>
      </c>
      <c r="B745" s="45" t="s">
        <v>1594</v>
      </c>
      <c r="C745" s="13" t="s">
        <v>464</v>
      </c>
      <c r="D745" s="45" t="s">
        <v>550</v>
      </c>
      <c r="E745" s="45" t="s">
        <v>539</v>
      </c>
      <c r="F745" s="45" t="s">
        <v>27</v>
      </c>
      <c r="G745" s="45">
        <v>0.3</v>
      </c>
      <c r="H745" s="45">
        <v>0.3</v>
      </c>
      <c r="I745" s="45">
        <v>4.4999999999999998E-2</v>
      </c>
      <c r="J745" s="45"/>
      <c r="K745" s="45"/>
      <c r="L745" s="45">
        <f t="shared" si="1010"/>
        <v>0.1045</v>
      </c>
      <c r="M745" s="54">
        <v>2.8799999999999999E-2</v>
      </c>
      <c r="N745" s="45">
        <v>25</v>
      </c>
      <c r="O745" s="45"/>
      <c r="P745" s="45"/>
      <c r="Q745" s="55">
        <v>8.0999999999999996E-3</v>
      </c>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c r="AS745" s="45"/>
      <c r="AT745" s="45"/>
      <c r="AU745" s="45"/>
      <c r="AV745" s="45"/>
      <c r="AW745" s="45"/>
      <c r="AX745" s="45"/>
      <c r="AY745" s="45"/>
      <c r="AZ745" s="45"/>
      <c r="BA745" s="45"/>
      <c r="BB745" s="45"/>
      <c r="BC745" s="45"/>
      <c r="BD745" s="45"/>
      <c r="BE745" s="45"/>
      <c r="BF745" s="45"/>
      <c r="BG745" s="45"/>
      <c r="BH745" s="45"/>
      <c r="BI745" s="45"/>
      <c r="BJ745" s="45"/>
      <c r="BK745" s="78">
        <v>0</v>
      </c>
      <c r="BL745" s="45" t="s">
        <v>1593</v>
      </c>
      <c r="BM745" s="369" t="s">
        <v>1596</v>
      </c>
    </row>
    <row r="746" spans="1:65" ht="18" x14ac:dyDescent="0.55000000000000004">
      <c r="A746" s="45" t="str">
        <f>Database_Productkaarten[[#This Row],[Product]]&amp;", "&amp;Database_Productkaarten[[#This Row],[Levensfase]]</f>
        <v>Betontegel 300x300x45, C4</v>
      </c>
      <c r="B746" s="45" t="s">
        <v>1594</v>
      </c>
      <c r="C746" s="13" t="s">
        <v>464</v>
      </c>
      <c r="D746" s="45" t="s">
        <v>550</v>
      </c>
      <c r="E746" s="45" t="s">
        <v>539</v>
      </c>
      <c r="F746" s="45" t="s">
        <v>28</v>
      </c>
      <c r="G746" s="45">
        <v>0.3</v>
      </c>
      <c r="H746" s="45">
        <v>0.3</v>
      </c>
      <c r="I746" s="45">
        <v>4.4999999999999998E-2</v>
      </c>
      <c r="J746" s="45"/>
      <c r="K746" s="45"/>
      <c r="L746" s="45">
        <f t="shared" si="1010"/>
        <v>0.1045</v>
      </c>
      <c r="M746" s="54">
        <v>0.75139999999999996</v>
      </c>
      <c r="N746" s="45">
        <v>25</v>
      </c>
      <c r="O746" s="45"/>
      <c r="P746" s="45"/>
      <c r="Q746" s="55">
        <v>5.3E-3</v>
      </c>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c r="AS746" s="45"/>
      <c r="AT746" s="45"/>
      <c r="AU746" s="45"/>
      <c r="AV746" s="45"/>
      <c r="AW746" s="45"/>
      <c r="AX746" s="45"/>
      <c r="AY746" s="45"/>
      <c r="AZ746" s="45"/>
      <c r="BA746" s="45"/>
      <c r="BB746" s="45"/>
      <c r="BC746" s="45"/>
      <c r="BD746" s="45"/>
      <c r="BE746" s="45"/>
      <c r="BF746" s="45"/>
      <c r="BG746" s="45"/>
      <c r="BH746" s="45"/>
      <c r="BI746" s="45"/>
      <c r="BJ746" s="45"/>
      <c r="BK746" s="78">
        <v>0</v>
      </c>
      <c r="BL746" s="45" t="s">
        <v>1593</v>
      </c>
      <c r="BM746" s="369" t="s">
        <v>1596</v>
      </c>
    </row>
    <row r="747" spans="1:65" ht="18" x14ac:dyDescent="0.55000000000000004">
      <c r="A747" s="45" t="str">
        <f>Database_Productkaarten[[#This Row],[Product]]&amp;", "&amp;Database_Productkaarten[[#This Row],[Levensfase]]</f>
        <v>Betontegel 300x300x45, D1</v>
      </c>
      <c r="B747" s="45" t="s">
        <v>1594</v>
      </c>
      <c r="C747" s="13" t="s">
        <v>464</v>
      </c>
      <c r="D747" s="45" t="s">
        <v>550</v>
      </c>
      <c r="E747" s="45" t="s">
        <v>539</v>
      </c>
      <c r="F747" s="45" t="s">
        <v>51</v>
      </c>
      <c r="G747" s="45">
        <v>0.3</v>
      </c>
      <c r="H747" s="45">
        <v>0.3</v>
      </c>
      <c r="I747" s="45">
        <v>4.4999999999999998E-2</v>
      </c>
      <c r="J747" s="45"/>
      <c r="K747" s="45"/>
      <c r="L747" s="45">
        <f t="shared" si="1010"/>
        <v>0.1045</v>
      </c>
      <c r="M747" s="54">
        <v>-5.3699999999999998E-2</v>
      </c>
      <c r="N747" s="45">
        <v>25</v>
      </c>
      <c r="O747" s="45"/>
      <c r="P747" s="45"/>
      <c r="Q747" s="55">
        <v>-0.41980000000000001</v>
      </c>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c r="AS747" s="45"/>
      <c r="AT747" s="45"/>
      <c r="AU747" s="45"/>
      <c r="AV747" s="45"/>
      <c r="AW747" s="45"/>
      <c r="AX747" s="45"/>
      <c r="AY747" s="45"/>
      <c r="AZ747" s="45"/>
      <c r="BA747" s="45"/>
      <c r="BB747" s="45"/>
      <c r="BC747" s="45"/>
      <c r="BD747" s="45"/>
      <c r="BE747" s="45"/>
      <c r="BF747" s="45"/>
      <c r="BG747" s="45"/>
      <c r="BH747" s="45"/>
      <c r="BI747" s="45"/>
      <c r="BJ747" s="45"/>
      <c r="BK747" s="78">
        <v>0</v>
      </c>
      <c r="BL747" s="45" t="s">
        <v>1593</v>
      </c>
      <c r="BM747" s="369" t="s">
        <v>1596</v>
      </c>
    </row>
    <row r="748" spans="1:65" ht="18" x14ac:dyDescent="0.55000000000000004">
      <c r="A748" s="45" t="str">
        <f>Database_Productkaarten[[#This Row],[Product]]&amp;", "&amp;Database_Productkaarten[[#This Row],[Levensfase]]</f>
        <v>Betontegel 300x300x45, D2</v>
      </c>
      <c r="B748" s="45" t="s">
        <v>1594</v>
      </c>
      <c r="C748" s="13" t="s">
        <v>464</v>
      </c>
      <c r="D748" s="45" t="s">
        <v>550</v>
      </c>
      <c r="E748" s="45" t="s">
        <v>539</v>
      </c>
      <c r="F748" s="45" t="s">
        <v>52</v>
      </c>
      <c r="G748" s="45">
        <v>0.3</v>
      </c>
      <c r="H748" s="45">
        <v>0.3</v>
      </c>
      <c r="I748" s="45">
        <v>4.4999999999999998E-2</v>
      </c>
      <c r="J748" s="45"/>
      <c r="K748" s="45"/>
      <c r="L748" s="45">
        <f t="shared" si="1010"/>
        <v>0.1045</v>
      </c>
      <c r="M748" s="54"/>
      <c r="N748" s="45">
        <v>25</v>
      </c>
      <c r="O748" s="45"/>
      <c r="P748" s="45"/>
      <c r="Q748" s="5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c r="AS748" s="45"/>
      <c r="AT748" s="45"/>
      <c r="AU748" s="45"/>
      <c r="AV748" s="45"/>
      <c r="AW748" s="45"/>
      <c r="AX748" s="45"/>
      <c r="AY748" s="45"/>
      <c r="AZ748" s="45"/>
      <c r="BA748" s="45"/>
      <c r="BB748" s="45"/>
      <c r="BC748" s="45"/>
      <c r="BD748" s="45"/>
      <c r="BE748" s="45"/>
      <c r="BF748" s="45"/>
      <c r="BG748" s="45"/>
      <c r="BH748" s="45"/>
      <c r="BI748" s="45"/>
      <c r="BJ748" s="45"/>
      <c r="BK748" s="78">
        <v>0</v>
      </c>
      <c r="BL748" s="45" t="s">
        <v>1593</v>
      </c>
      <c r="BM748" s="369" t="s">
        <v>1596</v>
      </c>
    </row>
    <row r="749" spans="1:65" ht="18" x14ac:dyDescent="0.55000000000000004">
      <c r="A749" s="45" t="str">
        <f>Database_Productkaarten[[#This Row],[Product]]&amp;", "&amp;Database_Productkaarten[[#This Row],[Levensfase]]</f>
        <v>Betontegel 300x300x60, Totaal</v>
      </c>
      <c r="B749" s="45" t="s">
        <v>1595</v>
      </c>
      <c r="C749" s="13" t="s">
        <v>464</v>
      </c>
      <c r="D749" s="45" t="s">
        <v>550</v>
      </c>
      <c r="E749" s="45" t="s">
        <v>539</v>
      </c>
      <c r="F749" s="45" t="s">
        <v>16</v>
      </c>
      <c r="G749" s="45">
        <v>0.3</v>
      </c>
      <c r="H749" s="45">
        <v>0.3</v>
      </c>
      <c r="I749" s="45">
        <v>0.06</v>
      </c>
      <c r="J749" s="45"/>
      <c r="K749" s="45"/>
      <c r="L749" s="45">
        <f>(11*12.7)/1000</f>
        <v>0.13969999999999999</v>
      </c>
      <c r="M749" s="54"/>
      <c r="N749" s="45">
        <v>25</v>
      </c>
      <c r="O749" s="45"/>
      <c r="P749" s="45"/>
      <c r="Q749" s="5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c r="AS749" s="45"/>
      <c r="AT749" s="45"/>
      <c r="AU749" s="45"/>
      <c r="AV749" s="45"/>
      <c r="AW749" s="45"/>
      <c r="AX749" s="45"/>
      <c r="AY749" s="45"/>
      <c r="AZ749" s="45"/>
      <c r="BA749" s="45"/>
      <c r="BB749" s="45"/>
      <c r="BC749" s="45"/>
      <c r="BD749" s="45"/>
      <c r="BE749" s="45"/>
      <c r="BF749" s="45"/>
      <c r="BG749" s="45"/>
      <c r="BH749" s="45"/>
      <c r="BI749" s="45"/>
      <c r="BJ749" s="45"/>
      <c r="BK749" s="78">
        <v>0</v>
      </c>
      <c r="BL749" s="45" t="s">
        <v>1598</v>
      </c>
      <c r="BM749" s="369" t="s">
        <v>1597</v>
      </c>
    </row>
    <row r="750" spans="1:65" ht="18" x14ac:dyDescent="0.55000000000000004">
      <c r="A750" s="45" t="str">
        <f>Database_Productkaarten[[#This Row],[Product]]&amp;", "&amp;Database_Productkaarten[[#This Row],[Levensfase]]</f>
        <v>Betontegel 300x300x60, A1</v>
      </c>
      <c r="B750" s="45" t="s">
        <v>1595</v>
      </c>
      <c r="C750" s="13" t="s">
        <v>464</v>
      </c>
      <c r="D750" s="45" t="s">
        <v>550</v>
      </c>
      <c r="E750" s="45" t="s">
        <v>539</v>
      </c>
      <c r="F750" s="45" t="s">
        <v>19</v>
      </c>
      <c r="G750" s="45">
        <v>0.3</v>
      </c>
      <c r="H750" s="45">
        <v>0.3</v>
      </c>
      <c r="I750" s="45">
        <v>0.06</v>
      </c>
      <c r="J750" s="45"/>
      <c r="K750" s="45"/>
      <c r="L750" s="45">
        <f t="shared" ref="L750:L761" si="1011">(11*12.7)/1000</f>
        <v>0.13969999999999999</v>
      </c>
      <c r="M750" s="54">
        <v>1.2776000000000001</v>
      </c>
      <c r="N750" s="45">
        <v>25</v>
      </c>
      <c r="O750" s="45"/>
      <c r="P750" s="45"/>
      <c r="Q750" s="55">
        <v>17.667999999999999</v>
      </c>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c r="AS750" s="45"/>
      <c r="AT750" s="45"/>
      <c r="AU750" s="45"/>
      <c r="AV750" s="45"/>
      <c r="AW750" s="45"/>
      <c r="AX750" s="45"/>
      <c r="AY750" s="45"/>
      <c r="AZ750" s="45"/>
      <c r="BA750" s="45"/>
      <c r="BB750" s="45"/>
      <c r="BC750" s="45"/>
      <c r="BD750" s="45"/>
      <c r="BE750" s="45"/>
      <c r="BF750" s="45"/>
      <c r="BG750" s="45"/>
      <c r="BH750" s="45"/>
      <c r="BI750" s="45"/>
      <c r="BJ750" s="45"/>
      <c r="BK750" s="78">
        <v>0</v>
      </c>
      <c r="BL750" s="45" t="s">
        <v>1598</v>
      </c>
      <c r="BM750" s="369" t="s">
        <v>1597</v>
      </c>
    </row>
    <row r="751" spans="1:65" ht="18" x14ac:dyDescent="0.55000000000000004">
      <c r="A751" s="45" t="str">
        <f>Database_Productkaarten[[#This Row],[Product]]&amp;", "&amp;Database_Productkaarten[[#This Row],[Levensfase]]</f>
        <v>Betontegel 300x300x60, A2</v>
      </c>
      <c r="B751" s="45" t="s">
        <v>1595</v>
      </c>
      <c r="C751" s="13" t="s">
        <v>464</v>
      </c>
      <c r="D751" s="45" t="s">
        <v>550</v>
      </c>
      <c r="E751" s="45" t="s">
        <v>539</v>
      </c>
      <c r="F751" s="45" t="s">
        <v>20</v>
      </c>
      <c r="G751" s="45">
        <v>0.3</v>
      </c>
      <c r="H751" s="45">
        <v>0.3</v>
      </c>
      <c r="I751" s="45">
        <v>0.06</v>
      </c>
      <c r="J751" s="45"/>
      <c r="K751" s="45"/>
      <c r="L751" s="45">
        <f t="shared" si="1011"/>
        <v>0.13969999999999999</v>
      </c>
      <c r="M751" s="54"/>
      <c r="N751" s="45">
        <v>25</v>
      </c>
      <c r="O751" s="45"/>
      <c r="P751" s="45"/>
      <c r="Q751" s="5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c r="AS751" s="45"/>
      <c r="AT751" s="45"/>
      <c r="AU751" s="45"/>
      <c r="AV751" s="45"/>
      <c r="AW751" s="45"/>
      <c r="AX751" s="45"/>
      <c r="AY751" s="45"/>
      <c r="AZ751" s="45"/>
      <c r="BA751" s="45"/>
      <c r="BB751" s="45"/>
      <c r="BC751" s="45"/>
      <c r="BD751" s="45"/>
      <c r="BE751" s="45"/>
      <c r="BF751" s="45"/>
      <c r="BG751" s="45"/>
      <c r="BH751" s="45"/>
      <c r="BI751" s="45"/>
      <c r="BJ751" s="45"/>
      <c r="BK751" s="78">
        <v>0</v>
      </c>
      <c r="BL751" s="45" t="s">
        <v>1598</v>
      </c>
      <c r="BM751" s="369" t="s">
        <v>1597</v>
      </c>
    </row>
    <row r="752" spans="1:65" ht="18" x14ac:dyDescent="0.55000000000000004">
      <c r="A752" s="45" t="str">
        <f>Database_Productkaarten[[#This Row],[Product]]&amp;", "&amp;Database_Productkaarten[[#This Row],[Levensfase]]</f>
        <v>Betontegel 300x300x60, A3</v>
      </c>
      <c r="B752" s="45" t="s">
        <v>1595</v>
      </c>
      <c r="C752" s="13" t="s">
        <v>464</v>
      </c>
      <c r="D752" s="45" t="s">
        <v>550</v>
      </c>
      <c r="E752" s="45" t="s">
        <v>539</v>
      </c>
      <c r="F752" s="45" t="s">
        <v>21</v>
      </c>
      <c r="G752" s="45">
        <v>0.3</v>
      </c>
      <c r="H752" s="45">
        <v>0.3</v>
      </c>
      <c r="I752" s="45">
        <v>0.06</v>
      </c>
      <c r="J752" s="45"/>
      <c r="K752" s="45"/>
      <c r="L752" s="45">
        <f t="shared" si="1011"/>
        <v>0.13969999999999999</v>
      </c>
      <c r="M752" s="54"/>
      <c r="N752" s="45">
        <v>25</v>
      </c>
      <c r="O752" s="45"/>
      <c r="P752" s="45"/>
      <c r="Q752" s="5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c r="AS752" s="45"/>
      <c r="AT752" s="45"/>
      <c r="AU752" s="45"/>
      <c r="AV752" s="45"/>
      <c r="AW752" s="45"/>
      <c r="AX752" s="45"/>
      <c r="AY752" s="45"/>
      <c r="AZ752" s="45"/>
      <c r="BA752" s="45"/>
      <c r="BB752" s="45"/>
      <c r="BC752" s="45"/>
      <c r="BD752" s="45"/>
      <c r="BE752" s="45"/>
      <c r="BF752" s="45"/>
      <c r="BG752" s="45"/>
      <c r="BH752" s="45"/>
      <c r="BI752" s="45"/>
      <c r="BJ752" s="45"/>
      <c r="BK752" s="78">
        <v>0</v>
      </c>
      <c r="BL752" s="45" t="s">
        <v>1598</v>
      </c>
      <c r="BM752" s="369" t="s">
        <v>1597</v>
      </c>
    </row>
    <row r="753" spans="1:65" ht="18" x14ac:dyDescent="0.55000000000000004">
      <c r="A753" s="45" t="str">
        <f>Database_Productkaarten[[#This Row],[Product]]&amp;", "&amp;Database_Productkaarten[[#This Row],[Levensfase]]</f>
        <v>Betontegel 300x300x60, A4</v>
      </c>
      <c r="B753" s="45" t="s">
        <v>1595</v>
      </c>
      <c r="C753" s="13" t="s">
        <v>464</v>
      </c>
      <c r="D753" s="45" t="s">
        <v>550</v>
      </c>
      <c r="E753" s="45" t="s">
        <v>539</v>
      </c>
      <c r="F753" s="45" t="s">
        <v>22</v>
      </c>
      <c r="G753" s="45">
        <v>0.3</v>
      </c>
      <c r="H753" s="45">
        <v>0.3</v>
      </c>
      <c r="I753" s="45">
        <v>0.06</v>
      </c>
      <c r="J753" s="45"/>
      <c r="K753" s="45"/>
      <c r="L753" s="45">
        <f t="shared" si="1011"/>
        <v>0.13969999999999999</v>
      </c>
      <c r="M753" s="54">
        <v>0.31669999999999998</v>
      </c>
      <c r="N753" s="45">
        <v>25</v>
      </c>
      <c r="O753" s="45"/>
      <c r="P753" s="45"/>
      <c r="Q753" s="55">
        <v>2.6579999999999999</v>
      </c>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c r="AS753" s="45"/>
      <c r="AT753" s="45"/>
      <c r="AU753" s="45"/>
      <c r="AV753" s="45"/>
      <c r="AW753" s="45"/>
      <c r="AX753" s="45"/>
      <c r="AY753" s="45"/>
      <c r="AZ753" s="45"/>
      <c r="BA753" s="45"/>
      <c r="BB753" s="45"/>
      <c r="BC753" s="45"/>
      <c r="BD753" s="45"/>
      <c r="BE753" s="45"/>
      <c r="BF753" s="45"/>
      <c r="BG753" s="45"/>
      <c r="BH753" s="45"/>
      <c r="BI753" s="45"/>
      <c r="BJ753" s="45"/>
      <c r="BK753" s="78">
        <v>0</v>
      </c>
      <c r="BL753" s="45" t="s">
        <v>1598</v>
      </c>
      <c r="BM753" s="369" t="s">
        <v>1597</v>
      </c>
    </row>
    <row r="754" spans="1:65" ht="18" x14ac:dyDescent="0.55000000000000004">
      <c r="A754" s="45" t="str">
        <f>Database_Productkaarten[[#This Row],[Product]]&amp;", "&amp;Database_Productkaarten[[#This Row],[Levensfase]]</f>
        <v>Betontegel 300x300x60, A5</v>
      </c>
      <c r="B754" s="45" t="s">
        <v>1595</v>
      </c>
      <c r="C754" s="13" t="s">
        <v>464</v>
      </c>
      <c r="D754" s="45" t="s">
        <v>550</v>
      </c>
      <c r="E754" s="45" t="s">
        <v>539</v>
      </c>
      <c r="F754" s="45" t="s">
        <v>23</v>
      </c>
      <c r="G754" s="45">
        <v>0.3</v>
      </c>
      <c r="H754" s="45">
        <v>0.3</v>
      </c>
      <c r="I754" s="45">
        <v>0.06</v>
      </c>
      <c r="J754" s="45"/>
      <c r="K754" s="45"/>
      <c r="L754" s="45">
        <f t="shared" si="1011"/>
        <v>0.13969999999999999</v>
      </c>
      <c r="M754" s="54">
        <f>0.0466+0.0794</f>
        <v>0.126</v>
      </c>
      <c r="N754" s="45">
        <v>25</v>
      </c>
      <c r="O754" s="45"/>
      <c r="P754" s="45"/>
      <c r="Q754" s="55">
        <f>0.5808+0.6667</f>
        <v>1.2475000000000001</v>
      </c>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c r="AT754" s="45"/>
      <c r="AU754" s="45"/>
      <c r="AV754" s="45"/>
      <c r="AW754" s="45"/>
      <c r="AX754" s="45"/>
      <c r="AY754" s="45"/>
      <c r="AZ754" s="45"/>
      <c r="BA754" s="45"/>
      <c r="BB754" s="45"/>
      <c r="BC754" s="45"/>
      <c r="BD754" s="45"/>
      <c r="BE754" s="45"/>
      <c r="BF754" s="45"/>
      <c r="BG754" s="45"/>
      <c r="BH754" s="45"/>
      <c r="BI754" s="45"/>
      <c r="BJ754" s="45"/>
      <c r="BK754" s="78">
        <v>0</v>
      </c>
      <c r="BL754" s="45" t="s">
        <v>1598</v>
      </c>
      <c r="BM754" s="369" t="s">
        <v>1597</v>
      </c>
    </row>
    <row r="755" spans="1:65" ht="18" x14ac:dyDescent="0.55000000000000004">
      <c r="A755" s="45" t="str">
        <f>Database_Productkaarten[[#This Row],[Product]]&amp;", "&amp;Database_Productkaarten[[#This Row],[Levensfase]]</f>
        <v>Betontegel 300x300x60, B1</v>
      </c>
      <c r="B755" s="45" t="s">
        <v>1595</v>
      </c>
      <c r="C755" s="13" t="s">
        <v>464</v>
      </c>
      <c r="D755" s="45" t="s">
        <v>550</v>
      </c>
      <c r="E755" s="45" t="s">
        <v>539</v>
      </c>
      <c r="F755" s="45" t="s">
        <v>24</v>
      </c>
      <c r="G755" s="45">
        <v>0.3</v>
      </c>
      <c r="H755" s="45">
        <v>0.3</v>
      </c>
      <c r="I755" s="45">
        <v>0.06</v>
      </c>
      <c r="J755" s="45"/>
      <c r="K755" s="45"/>
      <c r="L755" s="45">
        <f t="shared" si="1011"/>
        <v>0.13969999999999999</v>
      </c>
      <c r="M755" s="54"/>
      <c r="N755" s="45">
        <v>25</v>
      </c>
      <c r="O755" s="45"/>
      <c r="P755" s="45"/>
      <c r="Q755" s="5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c r="AS755" s="45"/>
      <c r="AT755" s="45"/>
      <c r="AU755" s="45"/>
      <c r="AV755" s="45"/>
      <c r="AW755" s="45"/>
      <c r="AX755" s="45"/>
      <c r="AY755" s="45"/>
      <c r="AZ755" s="45"/>
      <c r="BA755" s="45"/>
      <c r="BB755" s="45"/>
      <c r="BC755" s="45"/>
      <c r="BD755" s="45"/>
      <c r="BE755" s="45"/>
      <c r="BF755" s="45"/>
      <c r="BG755" s="45"/>
      <c r="BH755" s="45"/>
      <c r="BI755" s="45"/>
      <c r="BJ755" s="45"/>
      <c r="BK755" s="78">
        <v>0</v>
      </c>
      <c r="BL755" s="45" t="s">
        <v>1598</v>
      </c>
      <c r="BM755" s="369" t="s">
        <v>1597</v>
      </c>
    </row>
    <row r="756" spans="1:65" ht="18" x14ac:dyDescent="0.55000000000000004">
      <c r="A756" s="45" t="str">
        <f>Database_Productkaarten[[#This Row],[Product]]&amp;", "&amp;Database_Productkaarten[[#This Row],[Levensfase]]</f>
        <v>Betontegel 300x300x60, C1</v>
      </c>
      <c r="B756" s="45" t="s">
        <v>1595</v>
      </c>
      <c r="C756" s="13" t="s">
        <v>464</v>
      </c>
      <c r="D756" s="45" t="s">
        <v>550</v>
      </c>
      <c r="E756" s="45" t="s">
        <v>539</v>
      </c>
      <c r="F756" s="45" t="s">
        <v>25</v>
      </c>
      <c r="G756" s="45">
        <v>0.3</v>
      </c>
      <c r="H756" s="45">
        <v>0.3</v>
      </c>
      <c r="I756" s="45">
        <v>0.06</v>
      </c>
      <c r="J756" s="45"/>
      <c r="K756" s="45"/>
      <c r="L756" s="45">
        <f t="shared" si="1011"/>
        <v>0.13969999999999999</v>
      </c>
      <c r="M756" s="54">
        <v>7.9399999999999998E-2</v>
      </c>
      <c r="N756" s="45">
        <v>25</v>
      </c>
      <c r="O756" s="45"/>
      <c r="P756" s="45"/>
      <c r="Q756" s="55">
        <v>0.66669999999999996</v>
      </c>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c r="AS756" s="45"/>
      <c r="AT756" s="45"/>
      <c r="AU756" s="45"/>
      <c r="AV756" s="45"/>
      <c r="AW756" s="45"/>
      <c r="AX756" s="45"/>
      <c r="AY756" s="45"/>
      <c r="AZ756" s="45"/>
      <c r="BA756" s="45"/>
      <c r="BB756" s="45"/>
      <c r="BC756" s="45"/>
      <c r="BD756" s="45"/>
      <c r="BE756" s="45"/>
      <c r="BF756" s="45"/>
      <c r="BG756" s="45"/>
      <c r="BH756" s="45"/>
      <c r="BI756" s="45"/>
      <c r="BJ756" s="45"/>
      <c r="BK756" s="78">
        <v>0</v>
      </c>
      <c r="BL756" s="45" t="s">
        <v>1598</v>
      </c>
      <c r="BM756" s="369" t="s">
        <v>1597</v>
      </c>
    </row>
    <row r="757" spans="1:65" ht="18" x14ac:dyDescent="0.55000000000000004">
      <c r="A757" s="45" t="str">
        <f>Database_Productkaarten[[#This Row],[Product]]&amp;", "&amp;Database_Productkaarten[[#This Row],[Levensfase]]</f>
        <v>Betontegel 300x300x60, C2</v>
      </c>
      <c r="B757" s="45" t="s">
        <v>1595</v>
      </c>
      <c r="C757" s="13" t="s">
        <v>464</v>
      </c>
      <c r="D757" s="45" t="s">
        <v>550</v>
      </c>
      <c r="E757" s="45" t="s">
        <v>539</v>
      </c>
      <c r="F757" s="45" t="s">
        <v>26</v>
      </c>
      <c r="G757" s="45">
        <v>0.3</v>
      </c>
      <c r="H757" s="45">
        <v>0.3</v>
      </c>
      <c r="I757" s="45">
        <v>0.06</v>
      </c>
      <c r="J757" s="45"/>
      <c r="K757" s="45"/>
      <c r="L757" s="45">
        <f t="shared" si="1011"/>
        <v>0.13969999999999999</v>
      </c>
      <c r="M757" s="54">
        <v>0.1066</v>
      </c>
      <c r="N757" s="45">
        <v>25</v>
      </c>
      <c r="O757" s="45"/>
      <c r="P757" s="45"/>
      <c r="Q757" s="55">
        <v>0.89480000000000004</v>
      </c>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c r="AS757" s="45"/>
      <c r="AT757" s="45"/>
      <c r="AU757" s="45"/>
      <c r="AV757" s="45"/>
      <c r="AW757" s="45"/>
      <c r="AX757" s="45"/>
      <c r="AY757" s="45"/>
      <c r="AZ757" s="45"/>
      <c r="BA757" s="45"/>
      <c r="BB757" s="45"/>
      <c r="BC757" s="45"/>
      <c r="BD757" s="45"/>
      <c r="BE757" s="45"/>
      <c r="BF757" s="45"/>
      <c r="BG757" s="45"/>
      <c r="BH757" s="45"/>
      <c r="BI757" s="45"/>
      <c r="BJ757" s="45"/>
      <c r="BK757" s="78">
        <v>0</v>
      </c>
      <c r="BL757" s="45" t="s">
        <v>1598</v>
      </c>
      <c r="BM757" s="369" t="s">
        <v>1597</v>
      </c>
    </row>
    <row r="758" spans="1:65" ht="18" x14ac:dyDescent="0.55000000000000004">
      <c r="A758" s="45" t="str">
        <f>Database_Productkaarten[[#This Row],[Product]]&amp;", "&amp;Database_Productkaarten[[#This Row],[Levensfase]]</f>
        <v>Betontegel 300x300x60, C3</v>
      </c>
      <c r="B758" s="45" t="s">
        <v>1595</v>
      </c>
      <c r="C758" s="13" t="s">
        <v>464</v>
      </c>
      <c r="D758" s="45" t="s">
        <v>550</v>
      </c>
      <c r="E758" s="45" t="s">
        <v>539</v>
      </c>
      <c r="F758" s="45" t="s">
        <v>27</v>
      </c>
      <c r="G758" s="45">
        <v>0.3</v>
      </c>
      <c r="H758" s="45">
        <v>0.3</v>
      </c>
      <c r="I758" s="45">
        <v>0.06</v>
      </c>
      <c r="J758" s="45"/>
      <c r="K758" s="45"/>
      <c r="L758" s="45">
        <f t="shared" si="1011"/>
        <v>0.13969999999999999</v>
      </c>
      <c r="M758" s="54">
        <v>3.8600000000000002E-2</v>
      </c>
      <c r="N758" s="45">
        <v>25</v>
      </c>
      <c r="O758" s="45"/>
      <c r="P758" s="45"/>
      <c r="Q758" s="55">
        <v>1.09E-2</v>
      </c>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c r="AT758" s="45"/>
      <c r="AU758" s="45"/>
      <c r="AV758" s="45"/>
      <c r="AW758" s="45"/>
      <c r="AX758" s="45"/>
      <c r="AY758" s="45"/>
      <c r="AZ758" s="45"/>
      <c r="BA758" s="45"/>
      <c r="BB758" s="45"/>
      <c r="BC758" s="45"/>
      <c r="BD758" s="45"/>
      <c r="BE758" s="45"/>
      <c r="BF758" s="45"/>
      <c r="BG758" s="45"/>
      <c r="BH758" s="45"/>
      <c r="BI758" s="45"/>
      <c r="BJ758" s="45"/>
      <c r="BK758" s="78">
        <v>0</v>
      </c>
      <c r="BL758" s="45" t="s">
        <v>1598</v>
      </c>
      <c r="BM758" s="369" t="s">
        <v>1597</v>
      </c>
    </row>
    <row r="759" spans="1:65" ht="18" x14ac:dyDescent="0.55000000000000004">
      <c r="A759" s="45" t="str">
        <f>Database_Productkaarten[[#This Row],[Product]]&amp;", "&amp;Database_Productkaarten[[#This Row],[Levensfase]]</f>
        <v>Betontegel 300x300x60, C4</v>
      </c>
      <c r="B759" s="45" t="s">
        <v>1595</v>
      </c>
      <c r="C759" s="13" t="s">
        <v>464</v>
      </c>
      <c r="D759" s="45" t="s">
        <v>550</v>
      </c>
      <c r="E759" s="45" t="s">
        <v>539</v>
      </c>
      <c r="F759" s="45" t="s">
        <v>28</v>
      </c>
      <c r="G759" s="45">
        <v>0.3</v>
      </c>
      <c r="H759" s="45">
        <v>0.3</v>
      </c>
      <c r="I759" s="45">
        <v>0.06</v>
      </c>
      <c r="J759" s="45"/>
      <c r="K759" s="45"/>
      <c r="L759" s="45">
        <f t="shared" si="1011"/>
        <v>0.13969999999999999</v>
      </c>
      <c r="M759" s="54">
        <v>1E-3</v>
      </c>
      <c r="N759" s="45">
        <v>25</v>
      </c>
      <c r="O759" s="45"/>
      <c r="P759" s="45"/>
      <c r="Q759" s="55">
        <v>7.1999999999999998E-3</v>
      </c>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c r="AS759" s="45"/>
      <c r="AT759" s="45"/>
      <c r="AU759" s="45"/>
      <c r="AV759" s="45"/>
      <c r="AW759" s="45"/>
      <c r="AX759" s="45"/>
      <c r="AY759" s="45"/>
      <c r="AZ759" s="45"/>
      <c r="BA759" s="45"/>
      <c r="BB759" s="45"/>
      <c r="BC759" s="45"/>
      <c r="BD759" s="45"/>
      <c r="BE759" s="45"/>
      <c r="BF759" s="45"/>
      <c r="BG759" s="45"/>
      <c r="BH759" s="45"/>
      <c r="BI759" s="45"/>
      <c r="BJ759" s="45"/>
      <c r="BK759" s="78">
        <v>0</v>
      </c>
      <c r="BL759" s="45" t="s">
        <v>1598</v>
      </c>
      <c r="BM759" s="369" t="s">
        <v>1597</v>
      </c>
    </row>
    <row r="760" spans="1:65" ht="18" x14ac:dyDescent="0.55000000000000004">
      <c r="A760" s="45" t="str">
        <f>Database_Productkaarten[[#This Row],[Product]]&amp;", "&amp;Database_Productkaarten[[#This Row],[Levensfase]]</f>
        <v>Betontegel 300x300x60, D1</v>
      </c>
      <c r="B760" s="45" t="s">
        <v>1595</v>
      </c>
      <c r="C760" s="13" t="s">
        <v>464</v>
      </c>
      <c r="D760" s="45" t="s">
        <v>550</v>
      </c>
      <c r="E760" s="45" t="s">
        <v>539</v>
      </c>
      <c r="F760" s="45" t="s">
        <v>51</v>
      </c>
      <c r="G760" s="45">
        <v>0.3</v>
      </c>
      <c r="H760" s="45">
        <v>0.3</v>
      </c>
      <c r="I760" s="45">
        <v>0.06</v>
      </c>
      <c r="J760" s="45"/>
      <c r="K760" s="45"/>
      <c r="L760" s="45">
        <f t="shared" si="1011"/>
        <v>0.13969999999999999</v>
      </c>
      <c r="M760" s="54">
        <v>-5.3699999999999998E-2</v>
      </c>
      <c r="N760" s="45">
        <v>25</v>
      </c>
      <c r="O760" s="45"/>
      <c r="P760" s="45"/>
      <c r="Q760" s="55">
        <v>-0.41980000000000001</v>
      </c>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c r="AS760" s="45"/>
      <c r="AT760" s="45"/>
      <c r="AU760" s="45"/>
      <c r="AV760" s="45"/>
      <c r="AW760" s="45"/>
      <c r="AX760" s="45"/>
      <c r="AY760" s="45"/>
      <c r="AZ760" s="45"/>
      <c r="BA760" s="45"/>
      <c r="BB760" s="45"/>
      <c r="BC760" s="45"/>
      <c r="BD760" s="45"/>
      <c r="BE760" s="45"/>
      <c r="BF760" s="45"/>
      <c r="BG760" s="45"/>
      <c r="BH760" s="45"/>
      <c r="BI760" s="45"/>
      <c r="BJ760" s="45"/>
      <c r="BK760" s="78">
        <v>0</v>
      </c>
      <c r="BL760" s="45" t="s">
        <v>1598</v>
      </c>
      <c r="BM760" s="369" t="s">
        <v>1597</v>
      </c>
    </row>
    <row r="761" spans="1:65" ht="18" x14ac:dyDescent="0.55000000000000004">
      <c r="A761" s="45" t="str">
        <f>Database_Productkaarten[[#This Row],[Product]]&amp;", "&amp;Database_Productkaarten[[#This Row],[Levensfase]]</f>
        <v>Betontegel 300x300x60, D2</v>
      </c>
      <c r="B761" s="45" t="s">
        <v>1595</v>
      </c>
      <c r="C761" s="13" t="s">
        <v>464</v>
      </c>
      <c r="D761" s="45" t="s">
        <v>550</v>
      </c>
      <c r="E761" s="45" t="s">
        <v>539</v>
      </c>
      <c r="F761" s="45" t="s">
        <v>52</v>
      </c>
      <c r="G761" s="45">
        <v>0.3</v>
      </c>
      <c r="H761" s="45">
        <v>0.3</v>
      </c>
      <c r="I761" s="45">
        <v>0.06</v>
      </c>
      <c r="J761" s="45"/>
      <c r="K761" s="45"/>
      <c r="L761" s="45">
        <f t="shared" si="1011"/>
        <v>0.13969999999999999</v>
      </c>
      <c r="M761" s="54"/>
      <c r="N761" s="45">
        <v>25</v>
      </c>
      <c r="O761" s="45"/>
      <c r="P761" s="45"/>
      <c r="Q761" s="5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c r="AS761" s="45"/>
      <c r="AT761" s="45"/>
      <c r="AU761" s="45"/>
      <c r="AV761" s="45"/>
      <c r="AW761" s="45"/>
      <c r="AX761" s="45"/>
      <c r="AY761" s="45"/>
      <c r="AZ761" s="45"/>
      <c r="BA761" s="45"/>
      <c r="BB761" s="45"/>
      <c r="BC761" s="45"/>
      <c r="BD761" s="45"/>
      <c r="BE761" s="45"/>
      <c r="BF761" s="45"/>
      <c r="BG761" s="45"/>
      <c r="BH761" s="45"/>
      <c r="BI761" s="45"/>
      <c r="BJ761" s="45"/>
      <c r="BK761" s="78">
        <v>0</v>
      </c>
      <c r="BL761" s="45" t="s">
        <v>1598</v>
      </c>
      <c r="BM761" s="369" t="s">
        <v>1597</v>
      </c>
    </row>
    <row r="762" spans="1:65" x14ac:dyDescent="0.35">
      <c r="A762" s="45" t="str">
        <f>Database_Productkaarten[[#This Row],[Product]]&amp;", "&amp;Database_Productkaarten[[#This Row],[Levensfase]]</f>
        <v>Dubbelklinker (rood) 210x210x80, Totaal</v>
      </c>
      <c r="B762" s="45" t="s">
        <v>1271</v>
      </c>
      <c r="C762" s="13" t="s">
        <v>464</v>
      </c>
      <c r="D762" s="45" t="s">
        <v>548</v>
      </c>
      <c r="E762" s="45" t="s">
        <v>539</v>
      </c>
      <c r="F762" s="45" t="s">
        <v>16</v>
      </c>
      <c r="G762" s="45">
        <v>1</v>
      </c>
      <c r="H762" s="45">
        <v>1</v>
      </c>
      <c r="I762" s="45">
        <v>0.08</v>
      </c>
      <c r="J762" s="45"/>
      <c r="K762" s="45"/>
      <c r="L762" s="45">
        <v>0.18</v>
      </c>
      <c r="M762" s="54"/>
      <c r="N762" s="45">
        <v>25</v>
      </c>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c r="BA762" s="55"/>
      <c r="BB762" s="55"/>
      <c r="BC762" s="55"/>
      <c r="BD762" s="55"/>
      <c r="BE762" s="55"/>
      <c r="BF762" s="55"/>
      <c r="BG762" s="55"/>
      <c r="BH762" s="55"/>
      <c r="BI762" s="55"/>
      <c r="BJ762" s="55"/>
      <c r="BK762" s="78">
        <v>0</v>
      </c>
      <c r="BL762" s="45" t="s">
        <v>623</v>
      </c>
      <c r="BM762" s="45" t="s">
        <v>622</v>
      </c>
    </row>
    <row r="763" spans="1:65" x14ac:dyDescent="0.35">
      <c r="A763" s="45" t="str">
        <f>Database_Productkaarten[[#This Row],[Product]]&amp;", "&amp;Database_Productkaarten[[#This Row],[Levensfase]]</f>
        <v>Dubbelklinker (rood) 210x210x80, A1</v>
      </c>
      <c r="B763" s="45" t="s">
        <v>1271</v>
      </c>
      <c r="C763" s="13" t="s">
        <v>464</v>
      </c>
      <c r="D763" s="45" t="s">
        <v>548</v>
      </c>
      <c r="E763" s="45" t="s">
        <v>539</v>
      </c>
      <c r="F763" s="45" t="s">
        <v>19</v>
      </c>
      <c r="G763" s="45">
        <v>1</v>
      </c>
      <c r="H763" s="45">
        <v>1</v>
      </c>
      <c r="I763" s="45">
        <v>0.08</v>
      </c>
      <c r="J763" s="45"/>
      <c r="K763" s="45"/>
      <c r="L763" s="45">
        <v>0.18</v>
      </c>
      <c r="M763" s="54">
        <v>1.8981379679999999</v>
      </c>
      <c r="N763" s="45">
        <v>25</v>
      </c>
      <c r="O763" s="55">
        <v>3.0168222799999999E-3</v>
      </c>
      <c r="P763" s="55">
        <v>7.9665922400000005E-2</v>
      </c>
      <c r="Q763" s="55">
        <v>24.99826208</v>
      </c>
      <c r="R763" s="55">
        <v>9.3892295200000006E-7</v>
      </c>
      <c r="S763" s="55">
        <v>5.7084852719999999E-3</v>
      </c>
      <c r="T763" s="55">
        <v>5.6734539200000003E-2</v>
      </c>
      <c r="U763" s="55">
        <v>1.1158001759999999E-2</v>
      </c>
      <c r="V763" s="55">
        <v>2.762438328</v>
      </c>
      <c r="W763" s="55">
        <v>0.103314584</v>
      </c>
      <c r="X763" s="55">
        <v>427.01884800000005</v>
      </c>
      <c r="Y763" s="55">
        <v>3.234678144E-2</v>
      </c>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D763" s="55"/>
      <c r="BE763" s="55"/>
      <c r="BF763" s="55"/>
      <c r="BG763" s="55"/>
      <c r="BH763" s="55"/>
      <c r="BI763" s="55"/>
      <c r="BJ763" s="55"/>
      <c r="BK763" s="78">
        <v>0</v>
      </c>
      <c r="BL763" s="45" t="s">
        <v>599</v>
      </c>
      <c r="BM763" s="45"/>
    </row>
    <row r="764" spans="1:65" x14ac:dyDescent="0.35">
      <c r="A764" s="45" t="str">
        <f>Database_Productkaarten[[#This Row],[Product]]&amp;", "&amp;Database_Productkaarten[[#This Row],[Levensfase]]</f>
        <v>Dubbelklinker (rood) 210x210x80, A2</v>
      </c>
      <c r="B764" s="45" t="s">
        <v>1271</v>
      </c>
      <c r="C764" s="13" t="s">
        <v>464</v>
      </c>
      <c r="D764" s="45" t="s">
        <v>548</v>
      </c>
      <c r="E764" s="45" t="s">
        <v>539</v>
      </c>
      <c r="F764" s="45" t="s">
        <v>20</v>
      </c>
      <c r="G764" s="45">
        <v>1</v>
      </c>
      <c r="H764" s="45">
        <v>1</v>
      </c>
      <c r="I764" s="45">
        <v>0.08</v>
      </c>
      <c r="J764" s="45"/>
      <c r="K764" s="45"/>
      <c r="L764" s="45">
        <v>0.18</v>
      </c>
      <c r="M764" s="54"/>
      <c r="N764" s="45">
        <v>25</v>
      </c>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c r="BA764" s="55"/>
      <c r="BB764" s="55"/>
      <c r="BC764" s="55"/>
      <c r="BD764" s="55"/>
      <c r="BE764" s="55"/>
      <c r="BF764" s="55"/>
      <c r="BG764" s="55"/>
      <c r="BH764" s="55"/>
      <c r="BI764" s="55"/>
      <c r="BJ764" s="55"/>
      <c r="BK764" s="78">
        <v>0</v>
      </c>
      <c r="BL764" s="45" t="s">
        <v>599</v>
      </c>
      <c r="BM764" s="45"/>
    </row>
    <row r="765" spans="1:65" x14ac:dyDescent="0.35">
      <c r="A765" s="45" t="str">
        <f>Database_Productkaarten[[#This Row],[Product]]&amp;", "&amp;Database_Productkaarten[[#This Row],[Levensfase]]</f>
        <v>Dubbelklinker (rood) 210x210x80, A3</v>
      </c>
      <c r="B765" s="45" t="s">
        <v>1271</v>
      </c>
      <c r="C765" s="13" t="s">
        <v>464</v>
      </c>
      <c r="D765" s="45" t="s">
        <v>548</v>
      </c>
      <c r="E765" s="45" t="s">
        <v>539</v>
      </c>
      <c r="F765" s="45" t="s">
        <v>21</v>
      </c>
      <c r="G765" s="45">
        <v>1</v>
      </c>
      <c r="H765" s="45">
        <v>1</v>
      </c>
      <c r="I765" s="45">
        <v>0.08</v>
      </c>
      <c r="J765" s="45"/>
      <c r="K765" s="45"/>
      <c r="L765" s="45">
        <v>0.18</v>
      </c>
      <c r="M765" s="54"/>
      <c r="N765" s="45">
        <v>25</v>
      </c>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c r="BA765" s="55"/>
      <c r="BB765" s="55"/>
      <c r="BC765" s="55"/>
      <c r="BD765" s="55"/>
      <c r="BE765" s="55"/>
      <c r="BF765" s="55"/>
      <c r="BG765" s="55"/>
      <c r="BH765" s="55"/>
      <c r="BI765" s="55"/>
      <c r="BJ765" s="55"/>
      <c r="BK765" s="78">
        <v>0</v>
      </c>
      <c r="BL765" s="45" t="s">
        <v>599</v>
      </c>
      <c r="BM765" s="45"/>
    </row>
    <row r="766" spans="1:65" x14ac:dyDescent="0.35">
      <c r="A766" s="45" t="str">
        <f>Database_Productkaarten[[#This Row],[Product]]&amp;", "&amp;Database_Productkaarten[[#This Row],[Levensfase]]</f>
        <v>Dubbelklinker (rood) 210x210x80, A4</v>
      </c>
      <c r="B766" s="45" t="s">
        <v>1271</v>
      </c>
      <c r="C766" s="13" t="s">
        <v>464</v>
      </c>
      <c r="D766" s="45" t="s">
        <v>548</v>
      </c>
      <c r="E766" s="45" t="s">
        <v>539</v>
      </c>
      <c r="F766" s="45" t="s">
        <v>22</v>
      </c>
      <c r="G766" s="45">
        <v>1</v>
      </c>
      <c r="H766" s="45">
        <v>1</v>
      </c>
      <c r="I766" s="45">
        <v>0.08</v>
      </c>
      <c r="J766" s="45"/>
      <c r="K766" s="45"/>
      <c r="L766" s="45">
        <v>0.18</v>
      </c>
      <c r="M766" s="54">
        <v>0.41909999999999997</v>
      </c>
      <c r="N766" s="45">
        <v>25</v>
      </c>
      <c r="O766" s="55">
        <v>1.0020000000000001E-5</v>
      </c>
      <c r="P766" s="55">
        <v>2.63E-2</v>
      </c>
      <c r="Q766" s="55">
        <v>3.5177999999999998</v>
      </c>
      <c r="R766" s="55">
        <v>6.5730000000000004E-7</v>
      </c>
      <c r="S766" s="55">
        <v>2.0999999999999999E-3</v>
      </c>
      <c r="T766" s="55">
        <v>1.52E-2</v>
      </c>
      <c r="U766" s="55">
        <v>3.0999999999999999E-3</v>
      </c>
      <c r="V766" s="55">
        <v>1.4413</v>
      </c>
      <c r="W766" s="55">
        <v>4.19E-2</v>
      </c>
      <c r="X766" s="55">
        <v>149.24760000000001</v>
      </c>
      <c r="Y766" s="55">
        <v>5.0000000000000001E-3</v>
      </c>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78">
        <v>0</v>
      </c>
      <c r="BL766" s="45" t="s">
        <v>599</v>
      </c>
      <c r="BM766" s="45"/>
    </row>
    <row r="767" spans="1:65" x14ac:dyDescent="0.35">
      <c r="A767" s="45" t="str">
        <f>Database_Productkaarten[[#This Row],[Product]]&amp;", "&amp;Database_Productkaarten[[#This Row],[Levensfase]]</f>
        <v>Dubbelklinker (rood) 210x210x80, A5</v>
      </c>
      <c r="B767" s="45" t="s">
        <v>1271</v>
      </c>
      <c r="C767" s="13" t="s">
        <v>464</v>
      </c>
      <c r="D767" s="45" t="s">
        <v>548</v>
      </c>
      <c r="E767" s="45" t="s">
        <v>539</v>
      </c>
      <c r="F767" s="45" t="s">
        <v>23</v>
      </c>
      <c r="G767" s="45">
        <v>1</v>
      </c>
      <c r="H767" s="45">
        <v>1</v>
      </c>
      <c r="I767" s="45">
        <v>0.08</v>
      </c>
      <c r="J767" s="45"/>
      <c r="K767" s="45"/>
      <c r="L767" s="45">
        <v>0.18</v>
      </c>
      <c r="M767" s="54">
        <v>6.2799999999999995E-2</v>
      </c>
      <c r="N767" s="45">
        <v>25</v>
      </c>
      <c r="O767" s="55">
        <v>8.5719999999999999E-5</v>
      </c>
      <c r="P767" s="55">
        <v>2.7000000000000001E-3</v>
      </c>
      <c r="Q767" s="55">
        <v>0.77900000000000003</v>
      </c>
      <c r="R767" s="55">
        <v>7.1400000000000004E-8</v>
      </c>
      <c r="S767" s="55">
        <v>2.185E-4</v>
      </c>
      <c r="T767" s="55">
        <v>1.9E-3</v>
      </c>
      <c r="U767" s="55">
        <v>4.5800000000000002E-4</v>
      </c>
      <c r="V767" s="55">
        <v>0.1045</v>
      </c>
      <c r="W767" s="55">
        <v>2.8E-3</v>
      </c>
      <c r="X767" s="55">
        <v>14.5816</v>
      </c>
      <c r="Y767" s="55">
        <v>8.8590000000000001E-4</v>
      </c>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c r="BA767" s="55"/>
      <c r="BB767" s="55"/>
      <c r="BC767" s="55"/>
      <c r="BD767" s="55"/>
      <c r="BE767" s="55"/>
      <c r="BF767" s="55"/>
      <c r="BG767" s="55"/>
      <c r="BH767" s="55"/>
      <c r="BI767" s="55"/>
      <c r="BJ767" s="55"/>
      <c r="BK767" s="78">
        <v>0</v>
      </c>
      <c r="BL767" s="45" t="s">
        <v>599</v>
      </c>
      <c r="BM767" s="45"/>
    </row>
    <row r="768" spans="1:65" x14ac:dyDescent="0.35">
      <c r="A768" s="45" t="str">
        <f>Database_Productkaarten[[#This Row],[Product]]&amp;", "&amp;Database_Productkaarten[[#This Row],[Levensfase]]</f>
        <v>Dubbelklinker (rood) 210x210x80, B1</v>
      </c>
      <c r="B768" s="45" t="s">
        <v>1271</v>
      </c>
      <c r="C768" s="13" t="s">
        <v>464</v>
      </c>
      <c r="D768" s="45" t="s">
        <v>548</v>
      </c>
      <c r="E768" s="45" t="s">
        <v>539</v>
      </c>
      <c r="F768" s="45" t="s">
        <v>24</v>
      </c>
      <c r="G768" s="45">
        <v>1</v>
      </c>
      <c r="H768" s="45">
        <v>1</v>
      </c>
      <c r="I768" s="45">
        <v>0.08</v>
      </c>
      <c r="J768" s="45"/>
      <c r="K768" s="45"/>
      <c r="L768" s="45">
        <v>0.18</v>
      </c>
      <c r="M768" s="54"/>
      <c r="N768" s="45">
        <v>25</v>
      </c>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c r="BA768" s="55"/>
      <c r="BB768" s="55"/>
      <c r="BC768" s="55"/>
      <c r="BD768" s="55"/>
      <c r="BE768" s="55"/>
      <c r="BF768" s="55"/>
      <c r="BG768" s="55"/>
      <c r="BH768" s="55"/>
      <c r="BI768" s="55"/>
      <c r="BJ768" s="55"/>
      <c r="BK768" s="78">
        <v>0</v>
      </c>
      <c r="BL768" s="45" t="s">
        <v>599</v>
      </c>
      <c r="BM768" s="45"/>
    </row>
    <row r="769" spans="1:65" x14ac:dyDescent="0.35">
      <c r="A769" s="45" t="str">
        <f>Database_Productkaarten[[#This Row],[Product]]&amp;", "&amp;Database_Productkaarten[[#This Row],[Levensfase]]</f>
        <v>Dubbelklinker (rood) 210x210x80, B3</v>
      </c>
      <c r="B769" s="45" t="s">
        <v>1271</v>
      </c>
      <c r="C769" s="13" t="s">
        <v>464</v>
      </c>
      <c r="D769" s="45" t="s">
        <v>548</v>
      </c>
      <c r="E769" s="45" t="s">
        <v>539</v>
      </c>
      <c r="F769" s="45" t="s">
        <v>602</v>
      </c>
      <c r="G769" s="45">
        <v>1</v>
      </c>
      <c r="H769" s="45">
        <v>1</v>
      </c>
      <c r="I769" s="45">
        <v>0.08</v>
      </c>
      <c r="J769" s="45"/>
      <c r="K769" s="45"/>
      <c r="L769" s="45">
        <v>0.18</v>
      </c>
      <c r="M769" s="54">
        <f>(M767+M771)+((SUM(M763:M768)+SUM(M770:M775))*0.1)</f>
        <v>0.37978379679999996</v>
      </c>
      <c r="N769" s="45">
        <v>25</v>
      </c>
      <c r="O769" s="55">
        <f t="shared" ref="O769" si="1012">(O767+O771)+((SUM(O763:O768)+SUM(O770:O775))*0.1)</f>
        <v>4.0885132960000002E-4</v>
      </c>
      <c r="P769" s="55">
        <f t="shared" ref="P769" si="1013">(P767+P771)+((SUM(P763:P768)+SUM(P770:P775))*0.1)</f>
        <v>2.313046517E-2</v>
      </c>
      <c r="Q769" s="55">
        <f t="shared" ref="Q769" si="1014">(Q767+Q771)+((SUM(Q763:Q768)+SUM(Q770:Q775))*0.1)</f>
        <v>5.016239208</v>
      </c>
      <c r="R769" s="55">
        <f t="shared" ref="R769" si="1015">(R767+R771)+((SUM(R763:R768)+SUM(R770:R775))*0.1)</f>
        <v>1.4404824554952E-3</v>
      </c>
      <c r="S769" s="55">
        <f t="shared" ref="S769" si="1016">(S767+S771)+((SUM(S763:S768)+SUM(S770:S775))*0.1)</f>
        <v>1.7638718272000001E-3</v>
      </c>
      <c r="T769" s="55">
        <f t="shared" ref="T769" si="1017">(T767+T771)+((SUM(T763:T768)+SUM(T770:T775))*0.1)</f>
        <v>1.4703531920000002E-2</v>
      </c>
      <c r="U769" s="55">
        <f t="shared" ref="U769" si="1018">(U767+U771)+((SUM(U763:U768)+SUM(U770:U775))*0.1)</f>
        <v>3.5730121760000001E-3</v>
      </c>
      <c r="V769" s="55">
        <f t="shared" ref="V769" si="1019">(V767+V771)+((SUM(V763:V768)+SUM(V770:V775))*0.1)</f>
        <v>1.0471838328</v>
      </c>
      <c r="W769" s="55">
        <f t="shared" ref="W769" si="1020">(W767+W771)+((SUM(W763:W768)+SUM(W770:W775))*0.1)</f>
        <v>3.3521444400000003E-2</v>
      </c>
      <c r="X769" s="55">
        <f t="shared" ref="X769" si="1021">(X767+X771)+((SUM(X763:X768)+SUM(X770:X775))*0.1)</f>
        <v>128.36658818200002</v>
      </c>
      <c r="Y769" s="55">
        <f t="shared" ref="Y769" si="1022">(Y767+Y771)+((SUM(Y763:Y768)+SUM(Y770:Y775))*0.1)</f>
        <v>6.5404671440000006E-3</v>
      </c>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c r="BA769" s="55"/>
      <c r="BB769" s="55"/>
      <c r="BC769" s="55"/>
      <c r="BD769" s="55"/>
      <c r="BE769" s="55"/>
      <c r="BF769" s="55"/>
      <c r="BG769" s="55"/>
      <c r="BH769" s="55"/>
      <c r="BI769" s="55"/>
      <c r="BJ769" s="55"/>
      <c r="BK769" s="78">
        <v>0</v>
      </c>
      <c r="BL769" s="45" t="s">
        <v>599</v>
      </c>
      <c r="BM769" s="45" t="s">
        <v>603</v>
      </c>
    </row>
    <row r="770" spans="1:65" x14ac:dyDescent="0.35">
      <c r="A770" s="45" t="str">
        <f>Database_Productkaarten[[#This Row],[Product]]&amp;", "&amp;Database_Productkaarten[[#This Row],[Levensfase]]</f>
        <v>Dubbelklinker (rood) 210x210x80, C1</v>
      </c>
      <c r="B770" s="45" t="s">
        <v>1271</v>
      </c>
      <c r="C770" s="13" t="s">
        <v>464</v>
      </c>
      <c r="D770" s="45" t="s">
        <v>548</v>
      </c>
      <c r="E770" s="45" t="s">
        <v>539</v>
      </c>
      <c r="F770" s="45" t="s">
        <v>25</v>
      </c>
      <c r="G770" s="45">
        <v>1</v>
      </c>
      <c r="H770" s="45">
        <v>1</v>
      </c>
      <c r="I770" s="45">
        <v>0.08</v>
      </c>
      <c r="J770" s="45"/>
      <c r="K770" s="45"/>
      <c r="L770" s="45">
        <v>0.18</v>
      </c>
      <c r="M770" s="54"/>
      <c r="N770" s="45">
        <v>25</v>
      </c>
      <c r="O770" s="55">
        <f>O767</f>
        <v>8.5719999999999999E-5</v>
      </c>
      <c r="P770" s="55">
        <f t="shared" ref="P770:Y770" si="1023">P767</f>
        <v>2.7000000000000001E-3</v>
      </c>
      <c r="Q770" s="55">
        <f t="shared" si="1023"/>
        <v>0.77900000000000003</v>
      </c>
      <c r="R770" s="55">
        <f t="shared" si="1023"/>
        <v>7.1400000000000004E-8</v>
      </c>
      <c r="S770" s="55">
        <f t="shared" si="1023"/>
        <v>2.185E-4</v>
      </c>
      <c r="T770" s="55">
        <f t="shared" si="1023"/>
        <v>1.9E-3</v>
      </c>
      <c r="U770" s="55">
        <f t="shared" si="1023"/>
        <v>4.5800000000000002E-4</v>
      </c>
      <c r="V770" s="55">
        <f t="shared" si="1023"/>
        <v>0.1045</v>
      </c>
      <c r="W770" s="55">
        <f t="shared" si="1023"/>
        <v>2.8E-3</v>
      </c>
      <c r="X770" s="55">
        <f t="shared" si="1023"/>
        <v>14.5816</v>
      </c>
      <c r="Y770" s="55">
        <f t="shared" si="1023"/>
        <v>8.8590000000000001E-4</v>
      </c>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D770" s="55"/>
      <c r="BE770" s="55"/>
      <c r="BF770" s="55"/>
      <c r="BG770" s="55"/>
      <c r="BH770" s="55"/>
      <c r="BI770" s="55"/>
      <c r="BJ770" s="55"/>
      <c r="BK770" s="78">
        <v>0</v>
      </c>
      <c r="BL770" s="45" t="s">
        <v>599</v>
      </c>
      <c r="BM770" s="45"/>
    </row>
    <row r="771" spans="1:65" x14ac:dyDescent="0.35">
      <c r="A771" s="45" t="str">
        <f>Database_Productkaarten[[#This Row],[Product]]&amp;", "&amp;Database_Productkaarten[[#This Row],[Levensfase]]</f>
        <v>Dubbelklinker (rood) 210x210x80, C2</v>
      </c>
      <c r="B771" s="45" t="s">
        <v>1271</v>
      </c>
      <c r="C771" s="13" t="s">
        <v>464</v>
      </c>
      <c r="D771" s="45" t="s">
        <v>548</v>
      </c>
      <c r="E771" s="45" t="s">
        <v>539</v>
      </c>
      <c r="F771" s="45" t="s">
        <v>26</v>
      </c>
      <c r="G771" s="45">
        <v>1</v>
      </c>
      <c r="H771" s="45">
        <v>1</v>
      </c>
      <c r="I771" s="45">
        <v>0.08</v>
      </c>
      <c r="J771" s="45"/>
      <c r="K771" s="45"/>
      <c r="L771" s="45">
        <v>0.18</v>
      </c>
      <c r="M771" s="54">
        <f>M767</f>
        <v>6.2799999999999995E-2</v>
      </c>
      <c r="N771" s="45">
        <v>25</v>
      </c>
      <c r="O771" s="55">
        <v>3.3739999999999998E-6</v>
      </c>
      <c r="P771" s="55">
        <v>8.8999999999999999E-3</v>
      </c>
      <c r="Q771" s="55">
        <v>1.1842999999999999</v>
      </c>
      <c r="R771" s="55">
        <v>2.213E-7</v>
      </c>
      <c r="S771" s="55">
        <v>7.0290000000000001E-4</v>
      </c>
      <c r="T771" s="55">
        <v>5.1000000000000004E-3</v>
      </c>
      <c r="U771" s="55">
        <v>1E-3</v>
      </c>
      <c r="V771" s="55">
        <v>0.48520000000000002</v>
      </c>
      <c r="W771" s="55">
        <v>1.41E-2</v>
      </c>
      <c r="X771" s="55">
        <v>50.246699999999997</v>
      </c>
      <c r="Y771" s="55">
        <v>1.6999999999999999E-3</v>
      </c>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c r="BA771" s="55"/>
      <c r="BB771" s="55"/>
      <c r="BC771" s="55"/>
      <c r="BD771" s="55"/>
      <c r="BE771" s="55"/>
      <c r="BF771" s="55"/>
      <c r="BG771" s="55"/>
      <c r="BH771" s="55"/>
      <c r="BI771" s="55"/>
      <c r="BJ771" s="55"/>
      <c r="BK771" s="78">
        <v>0</v>
      </c>
      <c r="BL771" s="45" t="s">
        <v>599</v>
      </c>
      <c r="BM771" s="45"/>
    </row>
    <row r="772" spans="1:65" x14ac:dyDescent="0.35">
      <c r="A772" s="45" t="str">
        <f>Database_Productkaarten[[#This Row],[Product]]&amp;", "&amp;Database_Productkaarten[[#This Row],[Levensfase]]</f>
        <v>Dubbelklinker (rood) 210x210x80, C3</v>
      </c>
      <c r="B772" s="45" t="s">
        <v>1271</v>
      </c>
      <c r="C772" s="13" t="s">
        <v>464</v>
      </c>
      <c r="D772" s="45" t="s">
        <v>548</v>
      </c>
      <c r="E772" s="45" t="s">
        <v>539</v>
      </c>
      <c r="F772" s="45" t="s">
        <v>27</v>
      </c>
      <c r="G772" s="45">
        <v>1</v>
      </c>
      <c r="H772" s="45">
        <v>1</v>
      </c>
      <c r="I772" s="45">
        <v>0.08</v>
      </c>
      <c r="J772" s="45"/>
      <c r="K772" s="45"/>
      <c r="L772" s="45">
        <v>0.18</v>
      </c>
      <c r="M772" s="54">
        <v>0.1411</v>
      </c>
      <c r="N772" s="45">
        <v>25</v>
      </c>
      <c r="O772" s="55">
        <v>7.3259999999999997E-9</v>
      </c>
      <c r="P772" s="55">
        <v>2.9300000000000001E-8</v>
      </c>
      <c r="Q772" s="55">
        <v>3.3E-4</v>
      </c>
      <c r="R772" s="55">
        <v>1.44E-2</v>
      </c>
      <c r="S772" s="55">
        <v>1.003E-6</v>
      </c>
      <c r="T772" s="55">
        <v>3.2929999999999998E-4</v>
      </c>
      <c r="U772" s="55">
        <v>5.7000000000000002E-3</v>
      </c>
      <c r="V772" s="55">
        <v>2.8999999999999998E-3</v>
      </c>
      <c r="W772" s="55">
        <v>5.8999999999999999E-3</v>
      </c>
      <c r="X772" s="55">
        <v>3.3819999999999998E-5</v>
      </c>
      <c r="Y772" s="55">
        <v>4.1679999999999999E-4</v>
      </c>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c r="BA772" s="55"/>
      <c r="BB772" s="55"/>
      <c r="BC772" s="55"/>
      <c r="BD772" s="55"/>
      <c r="BE772" s="55"/>
      <c r="BF772" s="55"/>
      <c r="BG772" s="55"/>
      <c r="BH772" s="55"/>
      <c r="BI772" s="55"/>
      <c r="BJ772" s="55"/>
      <c r="BK772" s="78">
        <v>0</v>
      </c>
      <c r="BL772" s="45" t="s">
        <v>599</v>
      </c>
      <c r="BM772" s="45"/>
    </row>
    <row r="773" spans="1:65" x14ac:dyDescent="0.35">
      <c r="A773" s="45" t="str">
        <f>Database_Productkaarten[[#This Row],[Product]]&amp;", "&amp;Database_Productkaarten[[#This Row],[Levensfase]]</f>
        <v>Dubbelklinker (rood) 210x210x80, C4</v>
      </c>
      <c r="B773" s="45" t="s">
        <v>1271</v>
      </c>
      <c r="C773" s="13" t="s">
        <v>464</v>
      </c>
      <c r="D773" s="45" t="s">
        <v>548</v>
      </c>
      <c r="E773" s="45" t="s">
        <v>539</v>
      </c>
      <c r="F773" s="45" t="s">
        <v>28</v>
      </c>
      <c r="G773" s="45">
        <v>1</v>
      </c>
      <c r="H773" s="45">
        <v>1</v>
      </c>
      <c r="I773" s="45">
        <v>0.08</v>
      </c>
      <c r="J773" s="45"/>
      <c r="K773" s="45"/>
      <c r="L773" s="45">
        <v>0.18</v>
      </c>
      <c r="M773" s="54">
        <v>5.11E-2</v>
      </c>
      <c r="N773" s="45">
        <v>25</v>
      </c>
      <c r="O773" s="55">
        <v>1.069E-8</v>
      </c>
      <c r="P773" s="55">
        <v>1.3870000000000001E-4</v>
      </c>
      <c r="Q773" s="55">
        <v>9.4999999999999998E-3</v>
      </c>
      <c r="R773" s="55">
        <v>3.4119999999999998E-9</v>
      </c>
      <c r="S773" s="55">
        <v>1.0329999999999999E-5</v>
      </c>
      <c r="T773" s="55">
        <v>7.148E-5</v>
      </c>
      <c r="U773" s="55">
        <v>1.3519999999999999E-5</v>
      </c>
      <c r="V773" s="55">
        <v>4.1000000000000003E-3</v>
      </c>
      <c r="W773" s="55">
        <v>9.9859999999999996E-5</v>
      </c>
      <c r="X773" s="55">
        <v>0.35010000000000002</v>
      </c>
      <c r="Y773" s="55">
        <v>1.029E-5</v>
      </c>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c r="BA773" s="55"/>
      <c r="BB773" s="55"/>
      <c r="BC773" s="55"/>
      <c r="BD773" s="55"/>
      <c r="BE773" s="55"/>
      <c r="BF773" s="55"/>
      <c r="BG773" s="55"/>
      <c r="BH773" s="55"/>
      <c r="BI773" s="55"/>
      <c r="BJ773" s="55"/>
      <c r="BK773" s="78">
        <v>0</v>
      </c>
      <c r="BL773" s="45" t="s">
        <v>599</v>
      </c>
      <c r="BM773" s="45"/>
    </row>
    <row r="774" spans="1:65" x14ac:dyDescent="0.35">
      <c r="A774" s="45" t="str">
        <f>Database_Productkaarten[[#This Row],[Product]]&amp;", "&amp;Database_Productkaarten[[#This Row],[Levensfase]]</f>
        <v>Dubbelklinker (rood) 210x210x80, D1</v>
      </c>
      <c r="B774" s="45" t="s">
        <v>1271</v>
      </c>
      <c r="C774" s="13" t="s">
        <v>464</v>
      </c>
      <c r="D774" s="45" t="s">
        <v>548</v>
      </c>
      <c r="E774" s="45" t="s">
        <v>539</v>
      </c>
      <c r="F774" s="45" t="s">
        <v>51</v>
      </c>
      <c r="G774" s="45">
        <v>1</v>
      </c>
      <c r="H774" s="45">
        <v>1</v>
      </c>
      <c r="I774" s="45">
        <v>0.08</v>
      </c>
      <c r="J774" s="45"/>
      <c r="K774" s="45"/>
      <c r="L774" s="45">
        <v>0.18</v>
      </c>
      <c r="M774" s="54">
        <v>1.2999999999999999E-3</v>
      </c>
      <c r="N774" s="45">
        <v>25</v>
      </c>
      <c r="O774" s="55">
        <v>-4.1010000000000002E-6</v>
      </c>
      <c r="P774" s="55">
        <v>-5.1000000000000004E-3</v>
      </c>
      <c r="Q774" s="55">
        <v>-0.73880000000000001</v>
      </c>
      <c r="R774" s="55">
        <v>-6.6180000000000001E-8</v>
      </c>
      <c r="S774" s="55">
        <v>-5.3499999999999999E-4</v>
      </c>
      <c r="T774" s="55">
        <v>-4.1999999999999997E-3</v>
      </c>
      <c r="U774" s="55">
        <v>-7.3740000000000003E-4</v>
      </c>
      <c r="V774" s="55">
        <v>-0.3301</v>
      </c>
      <c r="W774" s="55">
        <v>-4.7000000000000002E-3</v>
      </c>
      <c r="X774" s="55">
        <v>-20.643599999999999</v>
      </c>
      <c r="Y774" s="55">
        <v>-1.6999999999999999E-3</v>
      </c>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c r="BA774" s="55"/>
      <c r="BB774" s="55"/>
      <c r="BC774" s="55"/>
      <c r="BD774" s="55"/>
      <c r="BE774" s="55"/>
      <c r="BF774" s="55"/>
      <c r="BG774" s="55"/>
      <c r="BH774" s="55"/>
      <c r="BI774" s="55"/>
      <c r="BJ774" s="55"/>
      <c r="BK774" s="78">
        <v>0</v>
      </c>
      <c r="BL774" s="45" t="s">
        <v>599</v>
      </c>
      <c r="BM774" s="45"/>
    </row>
    <row r="775" spans="1:65" x14ac:dyDescent="0.35">
      <c r="A775" s="45" t="str">
        <f>Database_Productkaarten[[#This Row],[Product]]&amp;", "&amp;Database_Productkaarten[[#This Row],[Levensfase]]</f>
        <v>Dubbelklinker (rood) 210x210x80, D2</v>
      </c>
      <c r="B775" s="45" t="s">
        <v>1271</v>
      </c>
      <c r="C775" s="13" t="s">
        <v>464</v>
      </c>
      <c r="D775" s="45" t="s">
        <v>548</v>
      </c>
      <c r="E775" s="45" t="s">
        <v>539</v>
      </c>
      <c r="F775" s="45" t="s">
        <v>52</v>
      </c>
      <c r="G775" s="45">
        <v>1</v>
      </c>
      <c r="H775" s="45">
        <v>1</v>
      </c>
      <c r="I775" s="45">
        <v>0.08</v>
      </c>
      <c r="J775" s="45"/>
      <c r="K775" s="45"/>
      <c r="L775" s="45">
        <v>0.18</v>
      </c>
      <c r="M775" s="54">
        <v>-9.4500000000000001E-2</v>
      </c>
      <c r="N775" s="45">
        <v>25</v>
      </c>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c r="BA775" s="55"/>
      <c r="BB775" s="55"/>
      <c r="BC775" s="55"/>
      <c r="BD775" s="55"/>
      <c r="BE775" s="55"/>
      <c r="BF775" s="55"/>
      <c r="BG775" s="55"/>
      <c r="BH775" s="55"/>
      <c r="BI775" s="55"/>
      <c r="BJ775" s="55"/>
      <c r="BK775" s="78">
        <v>0</v>
      </c>
      <c r="BL775" s="45" t="s">
        <v>599</v>
      </c>
      <c r="BM775" s="45"/>
    </row>
    <row r="776" spans="1:65" x14ac:dyDescent="0.35">
      <c r="A776" s="45" t="str">
        <f>Database_Productkaarten[[#This Row],[Product]]&amp;", "&amp;Database_Productkaarten[[#This Row],[Levensfase]]</f>
        <v>Betonstraatsteen 210x105x80, Totaal</v>
      </c>
      <c r="B776" s="45" t="s">
        <v>600</v>
      </c>
      <c r="C776" s="13" t="s">
        <v>464</v>
      </c>
      <c r="D776" s="45" t="s">
        <v>548</v>
      </c>
      <c r="E776" s="45" t="s">
        <v>539</v>
      </c>
      <c r="F776" s="45" t="s">
        <v>16</v>
      </c>
      <c r="G776" s="45">
        <v>1</v>
      </c>
      <c r="H776" s="45">
        <v>1</v>
      </c>
      <c r="I776" s="45">
        <v>0.08</v>
      </c>
      <c r="J776" s="45"/>
      <c r="K776" s="45"/>
      <c r="L776" s="45">
        <v>0.18</v>
      </c>
      <c r="M776" s="54">
        <f>SUM(M777:M789)</f>
        <v>2.6923400000000002</v>
      </c>
      <c r="N776" s="45">
        <v>25</v>
      </c>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78">
        <v>0</v>
      </c>
      <c r="BL776" s="45" t="s">
        <v>599</v>
      </c>
      <c r="BM776" s="45"/>
    </row>
    <row r="777" spans="1:65" x14ac:dyDescent="0.35">
      <c r="A777" s="45" t="str">
        <f>Database_Productkaarten[[#This Row],[Product]]&amp;", "&amp;Database_Productkaarten[[#This Row],[Levensfase]]</f>
        <v>Betonstraatsteen 210x105x80, A1</v>
      </c>
      <c r="B777" s="45" t="s">
        <v>600</v>
      </c>
      <c r="C777" s="13" t="s">
        <v>464</v>
      </c>
      <c r="D777" s="45" t="s">
        <v>548</v>
      </c>
      <c r="E777" s="45" t="s">
        <v>539</v>
      </c>
      <c r="F777" s="45" t="s">
        <v>19</v>
      </c>
      <c r="G777" s="45">
        <v>1</v>
      </c>
      <c r="H777" s="45">
        <v>1</v>
      </c>
      <c r="I777" s="45">
        <v>0.08</v>
      </c>
      <c r="J777" s="45"/>
      <c r="K777" s="45"/>
      <c r="L777" s="45">
        <v>0.18</v>
      </c>
      <c r="M777" s="54">
        <v>1.6897</v>
      </c>
      <c r="N777" s="45">
        <v>25</v>
      </c>
      <c r="O777" s="55">
        <v>2.8E-3</v>
      </c>
      <c r="P777" s="55">
        <v>7.0400000000000004E-2</v>
      </c>
      <c r="Q777" s="55">
        <v>23.4283</v>
      </c>
      <c r="R777" s="55">
        <v>7.5890000000000005E-7</v>
      </c>
      <c r="S777" s="55">
        <v>5.0000000000000001E-3</v>
      </c>
      <c r="T777" s="55">
        <v>4.6100000000000002E-2</v>
      </c>
      <c r="U777" s="55">
        <v>9.7999999999999997E-3</v>
      </c>
      <c r="V777" s="55">
        <v>2.0750000000000002</v>
      </c>
      <c r="W777" s="55">
        <v>5.1400000000000001E-2</v>
      </c>
      <c r="X777" s="55">
        <v>340.59500000000003</v>
      </c>
      <c r="Y777" s="55">
        <v>2.9499999999999998E-2</v>
      </c>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c r="BA777" s="55"/>
      <c r="BB777" s="55"/>
      <c r="BC777" s="55"/>
      <c r="BD777" s="55"/>
      <c r="BE777" s="55"/>
      <c r="BF777" s="55"/>
      <c r="BG777" s="55"/>
      <c r="BH777" s="55"/>
      <c r="BI777" s="55"/>
      <c r="BJ777" s="55"/>
      <c r="BK777" s="78">
        <v>0</v>
      </c>
      <c r="BL777" s="45" t="s">
        <v>599</v>
      </c>
      <c r="BM777" s="45"/>
    </row>
    <row r="778" spans="1:65" x14ac:dyDescent="0.35">
      <c r="A778" s="45" t="str">
        <f>Database_Productkaarten[[#This Row],[Product]]&amp;", "&amp;Database_Productkaarten[[#This Row],[Levensfase]]</f>
        <v>Betonstraatsteen 210x105x80, A2</v>
      </c>
      <c r="B778" s="45" t="s">
        <v>600</v>
      </c>
      <c r="C778" s="13" t="s">
        <v>464</v>
      </c>
      <c r="D778" s="45" t="s">
        <v>548</v>
      </c>
      <c r="E778" s="45" t="s">
        <v>539</v>
      </c>
      <c r="F778" s="45" t="s">
        <v>20</v>
      </c>
      <c r="G778" s="45">
        <v>1</v>
      </c>
      <c r="H778" s="45">
        <v>1</v>
      </c>
      <c r="I778" s="45">
        <v>0.08</v>
      </c>
      <c r="J778" s="45"/>
      <c r="K778" s="45"/>
      <c r="L778" s="45">
        <v>0.18</v>
      </c>
      <c r="M778" s="54"/>
      <c r="N778" s="45">
        <v>25</v>
      </c>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c r="BA778" s="55"/>
      <c r="BB778" s="55"/>
      <c r="BC778" s="55"/>
      <c r="BD778" s="55"/>
      <c r="BE778" s="55"/>
      <c r="BF778" s="55"/>
      <c r="BG778" s="55"/>
      <c r="BH778" s="55"/>
      <c r="BI778" s="55"/>
      <c r="BJ778" s="55"/>
      <c r="BK778" s="78">
        <v>0</v>
      </c>
      <c r="BL778" s="45" t="s">
        <v>599</v>
      </c>
      <c r="BM778" s="45"/>
    </row>
    <row r="779" spans="1:65" x14ac:dyDescent="0.35">
      <c r="A779" s="45" t="str">
        <f>Database_Productkaarten[[#This Row],[Product]]&amp;", "&amp;Database_Productkaarten[[#This Row],[Levensfase]]</f>
        <v>Betonstraatsteen 210x105x80, A3</v>
      </c>
      <c r="B779" s="45" t="s">
        <v>600</v>
      </c>
      <c r="C779" s="13" t="s">
        <v>464</v>
      </c>
      <c r="D779" s="45" t="s">
        <v>548</v>
      </c>
      <c r="E779" s="45" t="s">
        <v>539</v>
      </c>
      <c r="F779" s="45" t="s">
        <v>21</v>
      </c>
      <c r="G779" s="45">
        <v>1</v>
      </c>
      <c r="H779" s="45">
        <v>1</v>
      </c>
      <c r="I779" s="45">
        <v>0.08</v>
      </c>
      <c r="J779" s="45"/>
      <c r="K779" s="45"/>
      <c r="L779" s="45">
        <v>0.18</v>
      </c>
      <c r="M779" s="54"/>
      <c r="N779" s="45">
        <v>25</v>
      </c>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c r="BA779" s="55"/>
      <c r="BB779" s="55"/>
      <c r="BC779" s="55"/>
      <c r="BD779" s="55"/>
      <c r="BE779" s="55"/>
      <c r="BF779" s="55"/>
      <c r="BG779" s="55"/>
      <c r="BH779" s="55"/>
      <c r="BI779" s="55"/>
      <c r="BJ779" s="55"/>
      <c r="BK779" s="78">
        <v>0</v>
      </c>
      <c r="BL779" s="45" t="s">
        <v>599</v>
      </c>
      <c r="BM779" s="45"/>
    </row>
    <row r="780" spans="1:65" x14ac:dyDescent="0.35">
      <c r="A780" s="45" t="str">
        <f>Database_Productkaarten[[#This Row],[Product]]&amp;", "&amp;Database_Productkaarten[[#This Row],[Levensfase]]</f>
        <v>Betonstraatsteen 210x105x80, A4</v>
      </c>
      <c r="B780" s="45" t="s">
        <v>600</v>
      </c>
      <c r="C780" s="13" t="s">
        <v>464</v>
      </c>
      <c r="D780" s="45" t="s">
        <v>548</v>
      </c>
      <c r="E780" s="45" t="s">
        <v>539</v>
      </c>
      <c r="F780" s="45" t="s">
        <v>22</v>
      </c>
      <c r="G780" s="45">
        <v>1</v>
      </c>
      <c r="H780" s="45">
        <v>1</v>
      </c>
      <c r="I780" s="45">
        <v>0.08</v>
      </c>
      <c r="J780" s="45"/>
      <c r="K780" s="45"/>
      <c r="L780" s="45">
        <v>0.18</v>
      </c>
      <c r="M780" s="54">
        <v>0.41909999999999997</v>
      </c>
      <c r="N780" s="45">
        <v>25</v>
      </c>
      <c r="O780" s="55">
        <v>1.0020000000000001E-5</v>
      </c>
      <c r="P780" s="55">
        <v>2.63E-2</v>
      </c>
      <c r="Q780" s="55">
        <v>3.5177999999999998</v>
      </c>
      <c r="R780" s="55">
        <v>6.5730000000000004E-7</v>
      </c>
      <c r="S780" s="55">
        <v>2.0999999999999999E-3</v>
      </c>
      <c r="T780" s="55">
        <v>1.52E-2</v>
      </c>
      <c r="U780" s="55">
        <v>3.0999999999999999E-3</v>
      </c>
      <c r="V780" s="55">
        <v>1.4413</v>
      </c>
      <c r="W780" s="55">
        <v>4.19E-2</v>
      </c>
      <c r="X780" s="55">
        <v>149.24760000000001</v>
      </c>
      <c r="Y780" s="55">
        <v>5.0000000000000001E-3</v>
      </c>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c r="BA780" s="55"/>
      <c r="BB780" s="55"/>
      <c r="BC780" s="55"/>
      <c r="BD780" s="55"/>
      <c r="BE780" s="55"/>
      <c r="BF780" s="55"/>
      <c r="BG780" s="55"/>
      <c r="BH780" s="55"/>
      <c r="BI780" s="55"/>
      <c r="BJ780" s="55"/>
      <c r="BK780" s="78">
        <v>0</v>
      </c>
      <c r="BL780" s="45" t="s">
        <v>599</v>
      </c>
      <c r="BM780" s="45"/>
    </row>
    <row r="781" spans="1:65" x14ac:dyDescent="0.35">
      <c r="A781" s="45" t="str">
        <f>Database_Productkaarten[[#This Row],[Product]]&amp;", "&amp;Database_Productkaarten[[#This Row],[Levensfase]]</f>
        <v>Betonstraatsteen 210x105x80, A5</v>
      </c>
      <c r="B781" s="45" t="s">
        <v>600</v>
      </c>
      <c r="C781" s="13" t="s">
        <v>464</v>
      </c>
      <c r="D781" s="45" t="s">
        <v>548</v>
      </c>
      <c r="E781" s="45" t="s">
        <v>539</v>
      </c>
      <c r="F781" s="45" t="s">
        <v>23</v>
      </c>
      <c r="G781" s="45">
        <v>1</v>
      </c>
      <c r="H781" s="45">
        <v>1</v>
      </c>
      <c r="I781" s="45">
        <v>0.08</v>
      </c>
      <c r="J781" s="45"/>
      <c r="K781" s="45"/>
      <c r="L781" s="45">
        <v>0.18</v>
      </c>
      <c r="M781" s="54">
        <v>6.2799999999999995E-2</v>
      </c>
      <c r="N781" s="45">
        <v>25</v>
      </c>
      <c r="O781" s="55">
        <v>8.5719999999999999E-5</v>
      </c>
      <c r="P781" s="55">
        <v>2.7000000000000001E-3</v>
      </c>
      <c r="Q781" s="55">
        <v>0.77900000000000003</v>
      </c>
      <c r="R781" s="55">
        <v>7.1400000000000004E-8</v>
      </c>
      <c r="S781" s="55">
        <v>2.185E-4</v>
      </c>
      <c r="T781" s="55">
        <v>1.9E-3</v>
      </c>
      <c r="U781" s="55">
        <v>4.5800000000000002E-4</v>
      </c>
      <c r="V781" s="55">
        <v>0.1045</v>
      </c>
      <c r="W781" s="55">
        <v>2.8E-3</v>
      </c>
      <c r="X781" s="55">
        <v>14.5816</v>
      </c>
      <c r="Y781" s="55">
        <v>8.8590000000000001E-4</v>
      </c>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c r="BA781" s="55"/>
      <c r="BB781" s="55"/>
      <c r="BC781" s="55"/>
      <c r="BD781" s="55"/>
      <c r="BE781" s="55"/>
      <c r="BF781" s="55"/>
      <c r="BG781" s="55"/>
      <c r="BH781" s="55"/>
      <c r="BI781" s="55"/>
      <c r="BJ781" s="55"/>
      <c r="BK781" s="78">
        <v>0</v>
      </c>
      <c r="BL781" s="45" t="s">
        <v>599</v>
      </c>
      <c r="BM781" s="45"/>
    </row>
    <row r="782" spans="1:65" x14ac:dyDescent="0.35">
      <c r="A782" s="45" t="str">
        <f>Database_Productkaarten[[#This Row],[Product]]&amp;", "&amp;Database_Productkaarten[[#This Row],[Levensfase]]</f>
        <v>Betonstraatsteen 210x105x80, B1</v>
      </c>
      <c r="B782" s="45" t="s">
        <v>600</v>
      </c>
      <c r="C782" s="13" t="s">
        <v>464</v>
      </c>
      <c r="D782" s="45" t="s">
        <v>548</v>
      </c>
      <c r="E782" s="45" t="s">
        <v>539</v>
      </c>
      <c r="F782" s="45" t="s">
        <v>24</v>
      </c>
      <c r="G782" s="45">
        <v>1</v>
      </c>
      <c r="H782" s="45">
        <v>1</v>
      </c>
      <c r="I782" s="45">
        <v>0.08</v>
      </c>
      <c r="J782" s="45"/>
      <c r="K782" s="45"/>
      <c r="L782" s="45">
        <v>0.18</v>
      </c>
      <c r="M782" s="54"/>
      <c r="N782" s="45">
        <v>25</v>
      </c>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c r="BA782" s="55"/>
      <c r="BB782" s="55"/>
      <c r="BC782" s="55"/>
      <c r="BD782" s="55"/>
      <c r="BE782" s="55"/>
      <c r="BF782" s="55"/>
      <c r="BG782" s="55"/>
      <c r="BH782" s="55"/>
      <c r="BI782" s="55"/>
      <c r="BJ782" s="55"/>
      <c r="BK782" s="78">
        <v>0</v>
      </c>
      <c r="BL782" s="45" t="s">
        <v>599</v>
      </c>
      <c r="BM782" s="45"/>
    </row>
    <row r="783" spans="1:65" x14ac:dyDescent="0.35">
      <c r="A783" s="45" t="str">
        <f>Database_Productkaarten[[#This Row],[Product]]&amp;", "&amp;Database_Productkaarten[[#This Row],[Levensfase]]</f>
        <v>Betonstraatsteen 210x105x80, B3</v>
      </c>
      <c r="B783" s="45" t="s">
        <v>600</v>
      </c>
      <c r="C783" s="13" t="s">
        <v>464</v>
      </c>
      <c r="D783" s="45" t="s">
        <v>548</v>
      </c>
      <c r="E783" s="45" t="s">
        <v>539</v>
      </c>
      <c r="F783" s="45" t="s">
        <v>602</v>
      </c>
      <c r="G783" s="45">
        <v>1</v>
      </c>
      <c r="H783" s="45">
        <v>1</v>
      </c>
      <c r="I783" s="45">
        <v>0.08</v>
      </c>
      <c r="J783" s="45"/>
      <c r="K783" s="45"/>
      <c r="L783" s="45">
        <v>0.18</v>
      </c>
      <c r="M783" s="54">
        <f>(M781+M785)+((SUM(M777:M782)+SUM(M784:M789))*0.1)</f>
        <v>0.35894000000000004</v>
      </c>
      <c r="N783" s="45">
        <v>25</v>
      </c>
      <c r="O783" s="55">
        <f t="shared" ref="O783:Y783" si="1024">(O781+O785)+((SUM(O777:O782)+SUM(O784:O789))*0.1)</f>
        <v>3.8716910160000004E-4</v>
      </c>
      <c r="P783" s="55">
        <f t="shared" si="1024"/>
        <v>2.220387293E-2</v>
      </c>
      <c r="Q783" s="55">
        <f t="shared" si="1024"/>
        <v>4.8592430000000002</v>
      </c>
      <c r="R783" s="55">
        <f t="shared" si="1024"/>
        <v>1.4404644532000003E-3</v>
      </c>
      <c r="S783" s="55">
        <f t="shared" si="1024"/>
        <v>1.6930233E-3</v>
      </c>
      <c r="T783" s="55">
        <f t="shared" si="1024"/>
        <v>1.3640078E-2</v>
      </c>
      <c r="U783" s="55">
        <f t="shared" si="1024"/>
        <v>3.4372120000000003E-3</v>
      </c>
      <c r="V783" s="55">
        <f t="shared" si="1024"/>
        <v>0.97843999999999998</v>
      </c>
      <c r="W783" s="55">
        <f t="shared" si="1024"/>
        <v>2.8329985999999998E-2</v>
      </c>
      <c r="X783" s="55">
        <f t="shared" si="1024"/>
        <v>119.72420338200001</v>
      </c>
      <c r="Y783" s="55">
        <f t="shared" si="1024"/>
        <v>6.2557889999999994E-3</v>
      </c>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c r="BA783" s="55"/>
      <c r="BB783" s="55"/>
      <c r="BC783" s="55"/>
      <c r="BD783" s="55"/>
      <c r="BE783" s="55"/>
      <c r="BF783" s="55"/>
      <c r="BG783" s="55"/>
      <c r="BH783" s="55"/>
      <c r="BI783" s="55"/>
      <c r="BJ783" s="55"/>
      <c r="BK783" s="78">
        <v>0</v>
      </c>
      <c r="BL783" s="45" t="s">
        <v>599</v>
      </c>
      <c r="BM783" s="45" t="s">
        <v>603</v>
      </c>
    </row>
    <row r="784" spans="1:65" x14ac:dyDescent="0.35">
      <c r="A784" s="45" t="str">
        <f>Database_Productkaarten[[#This Row],[Product]]&amp;", "&amp;Database_Productkaarten[[#This Row],[Levensfase]]</f>
        <v>Betonstraatsteen 210x105x80, C1</v>
      </c>
      <c r="B784" s="45" t="s">
        <v>600</v>
      </c>
      <c r="C784" s="13" t="s">
        <v>464</v>
      </c>
      <c r="D784" s="45" t="s">
        <v>548</v>
      </c>
      <c r="E784" s="45" t="s">
        <v>539</v>
      </c>
      <c r="F784" s="45" t="s">
        <v>25</v>
      </c>
      <c r="G784" s="45">
        <v>1</v>
      </c>
      <c r="H784" s="45">
        <v>1</v>
      </c>
      <c r="I784" s="45">
        <v>0.08</v>
      </c>
      <c r="J784" s="45"/>
      <c r="K784" s="45"/>
      <c r="L784" s="45">
        <v>0.18</v>
      </c>
      <c r="M784" s="54"/>
      <c r="N784" s="45">
        <v>25</v>
      </c>
      <c r="O784" s="55">
        <f>O781</f>
        <v>8.5719999999999999E-5</v>
      </c>
      <c r="P784" s="55">
        <f t="shared" ref="P784:Y784" si="1025">P781</f>
        <v>2.7000000000000001E-3</v>
      </c>
      <c r="Q784" s="55">
        <f t="shared" si="1025"/>
        <v>0.77900000000000003</v>
      </c>
      <c r="R784" s="55">
        <f t="shared" si="1025"/>
        <v>7.1400000000000004E-8</v>
      </c>
      <c r="S784" s="55">
        <f t="shared" si="1025"/>
        <v>2.185E-4</v>
      </c>
      <c r="T784" s="55">
        <f t="shared" si="1025"/>
        <v>1.9E-3</v>
      </c>
      <c r="U784" s="55">
        <f t="shared" si="1025"/>
        <v>4.5800000000000002E-4</v>
      </c>
      <c r="V784" s="55">
        <f t="shared" si="1025"/>
        <v>0.1045</v>
      </c>
      <c r="W784" s="55">
        <f t="shared" si="1025"/>
        <v>2.8E-3</v>
      </c>
      <c r="X784" s="55">
        <f t="shared" si="1025"/>
        <v>14.5816</v>
      </c>
      <c r="Y784" s="55">
        <f t="shared" si="1025"/>
        <v>8.8590000000000001E-4</v>
      </c>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c r="BA784" s="55"/>
      <c r="BB784" s="55"/>
      <c r="BC784" s="55"/>
      <c r="BD784" s="55"/>
      <c r="BE784" s="55"/>
      <c r="BF784" s="55"/>
      <c r="BG784" s="55"/>
      <c r="BH784" s="55"/>
      <c r="BI784" s="55"/>
      <c r="BJ784" s="55"/>
      <c r="BK784" s="78">
        <v>0</v>
      </c>
      <c r="BL784" s="45" t="s">
        <v>599</v>
      </c>
      <c r="BM784" s="45"/>
    </row>
    <row r="785" spans="1:65" x14ac:dyDescent="0.35">
      <c r="A785" s="45" t="str">
        <f>Database_Productkaarten[[#This Row],[Product]]&amp;", "&amp;Database_Productkaarten[[#This Row],[Levensfase]]</f>
        <v>Betonstraatsteen 210x105x80, C2</v>
      </c>
      <c r="B785" s="45" t="s">
        <v>600</v>
      </c>
      <c r="C785" s="13" t="s">
        <v>464</v>
      </c>
      <c r="D785" s="45" t="s">
        <v>548</v>
      </c>
      <c r="E785" s="45" t="s">
        <v>539</v>
      </c>
      <c r="F785" s="45" t="s">
        <v>26</v>
      </c>
      <c r="G785" s="45">
        <v>1</v>
      </c>
      <c r="H785" s="45">
        <v>1</v>
      </c>
      <c r="I785" s="45">
        <v>0.08</v>
      </c>
      <c r="J785" s="45"/>
      <c r="K785" s="45"/>
      <c r="L785" s="45">
        <v>0.18</v>
      </c>
      <c r="M785" s="54">
        <f>M781</f>
        <v>6.2799999999999995E-2</v>
      </c>
      <c r="N785" s="45">
        <v>25</v>
      </c>
      <c r="O785" s="55">
        <v>3.3739999999999998E-6</v>
      </c>
      <c r="P785" s="55">
        <v>8.8999999999999999E-3</v>
      </c>
      <c r="Q785" s="55">
        <v>1.1842999999999999</v>
      </c>
      <c r="R785" s="55">
        <v>2.213E-7</v>
      </c>
      <c r="S785" s="55">
        <v>7.0290000000000001E-4</v>
      </c>
      <c r="T785" s="55">
        <v>5.1000000000000004E-3</v>
      </c>
      <c r="U785" s="55">
        <v>1E-3</v>
      </c>
      <c r="V785" s="55">
        <v>0.48520000000000002</v>
      </c>
      <c r="W785" s="55">
        <v>1.41E-2</v>
      </c>
      <c r="X785" s="55">
        <v>50.246699999999997</v>
      </c>
      <c r="Y785" s="55">
        <v>1.6999999999999999E-3</v>
      </c>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c r="BA785" s="55"/>
      <c r="BB785" s="55"/>
      <c r="BC785" s="55"/>
      <c r="BD785" s="55"/>
      <c r="BE785" s="55"/>
      <c r="BF785" s="55"/>
      <c r="BG785" s="55"/>
      <c r="BH785" s="55"/>
      <c r="BI785" s="55"/>
      <c r="BJ785" s="55"/>
      <c r="BK785" s="78">
        <v>0</v>
      </c>
      <c r="BL785" s="45" t="s">
        <v>599</v>
      </c>
      <c r="BM785" s="45"/>
    </row>
    <row r="786" spans="1:65" x14ac:dyDescent="0.35">
      <c r="A786" s="45" t="str">
        <f>Database_Productkaarten[[#This Row],[Product]]&amp;", "&amp;Database_Productkaarten[[#This Row],[Levensfase]]</f>
        <v>Betonstraatsteen 210x105x80, C3</v>
      </c>
      <c r="B786" s="45" t="s">
        <v>600</v>
      </c>
      <c r="C786" s="13" t="s">
        <v>464</v>
      </c>
      <c r="D786" s="45" t="s">
        <v>548</v>
      </c>
      <c r="E786" s="45" t="s">
        <v>539</v>
      </c>
      <c r="F786" s="45" t="s">
        <v>27</v>
      </c>
      <c r="G786" s="45">
        <v>1</v>
      </c>
      <c r="H786" s="45">
        <v>1</v>
      </c>
      <c r="I786" s="45">
        <v>0.08</v>
      </c>
      <c r="J786" s="45"/>
      <c r="K786" s="45"/>
      <c r="L786" s="45">
        <v>0.18</v>
      </c>
      <c r="M786" s="54">
        <v>0.1411</v>
      </c>
      <c r="N786" s="45">
        <v>25</v>
      </c>
      <c r="O786" s="55">
        <v>7.3259999999999997E-9</v>
      </c>
      <c r="P786" s="55">
        <v>2.9300000000000001E-8</v>
      </c>
      <c r="Q786" s="55">
        <v>3.3E-4</v>
      </c>
      <c r="R786" s="55">
        <v>1.44E-2</v>
      </c>
      <c r="S786" s="55">
        <v>1.003E-6</v>
      </c>
      <c r="T786" s="55">
        <v>3.2929999999999998E-4</v>
      </c>
      <c r="U786" s="55">
        <v>5.7000000000000002E-3</v>
      </c>
      <c r="V786" s="55">
        <v>2.8999999999999998E-3</v>
      </c>
      <c r="W786" s="55">
        <v>5.8999999999999999E-3</v>
      </c>
      <c r="X786" s="55">
        <v>3.3819999999999998E-5</v>
      </c>
      <c r="Y786" s="55">
        <v>4.1679999999999999E-4</v>
      </c>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78">
        <v>0</v>
      </c>
      <c r="BL786" s="45" t="s">
        <v>599</v>
      </c>
      <c r="BM786" s="45"/>
    </row>
    <row r="787" spans="1:65" x14ac:dyDescent="0.35">
      <c r="A787" s="45" t="str">
        <f>Database_Productkaarten[[#This Row],[Product]]&amp;", "&amp;Database_Productkaarten[[#This Row],[Levensfase]]</f>
        <v>Betonstraatsteen 210x105x80, C4</v>
      </c>
      <c r="B787" s="45" t="s">
        <v>600</v>
      </c>
      <c r="C787" s="13" t="s">
        <v>464</v>
      </c>
      <c r="D787" s="45" t="s">
        <v>548</v>
      </c>
      <c r="E787" s="45" t="s">
        <v>539</v>
      </c>
      <c r="F787" s="45" t="s">
        <v>28</v>
      </c>
      <c r="G787" s="45">
        <v>1</v>
      </c>
      <c r="H787" s="45">
        <v>1</v>
      </c>
      <c r="I787" s="45">
        <v>0.08</v>
      </c>
      <c r="J787" s="45"/>
      <c r="K787" s="45"/>
      <c r="L787" s="45">
        <v>0.18</v>
      </c>
      <c r="M787" s="54">
        <v>5.11E-2</v>
      </c>
      <c r="N787" s="45">
        <v>25</v>
      </c>
      <c r="O787" s="55">
        <v>1.069E-8</v>
      </c>
      <c r="P787" s="55">
        <v>1.3870000000000001E-4</v>
      </c>
      <c r="Q787" s="55">
        <v>9.4999999999999998E-3</v>
      </c>
      <c r="R787" s="55">
        <v>3.4119999999999998E-9</v>
      </c>
      <c r="S787" s="55">
        <v>1.0329999999999999E-5</v>
      </c>
      <c r="T787" s="55">
        <v>7.148E-5</v>
      </c>
      <c r="U787" s="55">
        <v>1.3519999999999999E-5</v>
      </c>
      <c r="V787" s="55">
        <v>4.1000000000000003E-3</v>
      </c>
      <c r="W787" s="55">
        <v>9.9859999999999996E-5</v>
      </c>
      <c r="X787" s="55">
        <v>0.35010000000000002</v>
      </c>
      <c r="Y787" s="55">
        <v>1.029E-5</v>
      </c>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c r="BA787" s="55"/>
      <c r="BB787" s="55"/>
      <c r="BC787" s="55"/>
      <c r="BD787" s="55"/>
      <c r="BE787" s="55"/>
      <c r="BF787" s="55"/>
      <c r="BG787" s="55"/>
      <c r="BH787" s="55"/>
      <c r="BI787" s="55"/>
      <c r="BJ787" s="55"/>
      <c r="BK787" s="78">
        <v>0</v>
      </c>
      <c r="BL787" s="45" t="s">
        <v>599</v>
      </c>
      <c r="BM787" s="45"/>
    </row>
    <row r="788" spans="1:65" x14ac:dyDescent="0.35">
      <c r="A788" s="45" t="str">
        <f>Database_Productkaarten[[#This Row],[Product]]&amp;", "&amp;Database_Productkaarten[[#This Row],[Levensfase]]</f>
        <v>Betonstraatsteen 210x105x80, D1</v>
      </c>
      <c r="B788" s="45" t="s">
        <v>600</v>
      </c>
      <c r="C788" s="13" t="s">
        <v>464</v>
      </c>
      <c r="D788" s="45" t="s">
        <v>548</v>
      </c>
      <c r="E788" s="45" t="s">
        <v>539</v>
      </c>
      <c r="F788" s="45" t="s">
        <v>51</v>
      </c>
      <c r="G788" s="45">
        <v>1</v>
      </c>
      <c r="H788" s="45">
        <v>1</v>
      </c>
      <c r="I788" s="45">
        <v>0.08</v>
      </c>
      <c r="J788" s="45"/>
      <c r="K788" s="45"/>
      <c r="L788" s="45">
        <v>0.18</v>
      </c>
      <c r="M788" s="54">
        <v>1.2999999999999999E-3</v>
      </c>
      <c r="N788" s="45">
        <v>25</v>
      </c>
      <c r="O788" s="55">
        <v>-4.1010000000000002E-6</v>
      </c>
      <c r="P788" s="55">
        <v>-5.1000000000000004E-3</v>
      </c>
      <c r="Q788" s="55">
        <v>-0.73880000000000001</v>
      </c>
      <c r="R788" s="55">
        <v>-6.6180000000000001E-8</v>
      </c>
      <c r="S788" s="55">
        <v>-5.3499999999999999E-4</v>
      </c>
      <c r="T788" s="55">
        <v>-4.1999999999999997E-3</v>
      </c>
      <c r="U788" s="55">
        <v>-7.3740000000000003E-4</v>
      </c>
      <c r="V788" s="55">
        <v>-0.3301</v>
      </c>
      <c r="W788" s="55">
        <v>-4.7000000000000002E-3</v>
      </c>
      <c r="X788" s="55">
        <v>-20.643599999999999</v>
      </c>
      <c r="Y788" s="55">
        <v>-1.6999999999999999E-3</v>
      </c>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c r="BA788" s="55"/>
      <c r="BB788" s="55"/>
      <c r="BC788" s="55"/>
      <c r="BD788" s="55"/>
      <c r="BE788" s="55"/>
      <c r="BF788" s="55"/>
      <c r="BG788" s="55"/>
      <c r="BH788" s="55"/>
      <c r="BI788" s="55"/>
      <c r="BJ788" s="55"/>
      <c r="BK788" s="78">
        <v>0</v>
      </c>
      <c r="BL788" s="45" t="s">
        <v>599</v>
      </c>
      <c r="BM788" s="45"/>
    </row>
    <row r="789" spans="1:65" x14ac:dyDescent="0.35">
      <c r="A789" s="45" t="str">
        <f>Database_Productkaarten[[#This Row],[Product]]&amp;", "&amp;Database_Productkaarten[[#This Row],[Levensfase]]</f>
        <v>Betonstraatsteen 210x105x80, D2</v>
      </c>
      <c r="B789" s="45" t="s">
        <v>600</v>
      </c>
      <c r="C789" s="13" t="s">
        <v>464</v>
      </c>
      <c r="D789" s="45" t="s">
        <v>548</v>
      </c>
      <c r="E789" s="45" t="s">
        <v>539</v>
      </c>
      <c r="F789" s="45" t="s">
        <v>52</v>
      </c>
      <c r="G789" s="45">
        <v>1</v>
      </c>
      <c r="H789" s="45">
        <v>1</v>
      </c>
      <c r="I789" s="45">
        <v>0.08</v>
      </c>
      <c r="J789" s="45"/>
      <c r="K789" s="45"/>
      <c r="L789" s="45">
        <v>0.18</v>
      </c>
      <c r="M789" s="54">
        <v>-9.4500000000000001E-2</v>
      </c>
      <c r="N789" s="45">
        <v>25</v>
      </c>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c r="BA789" s="55"/>
      <c r="BB789" s="55"/>
      <c r="BC789" s="55"/>
      <c r="BD789" s="55"/>
      <c r="BE789" s="55"/>
      <c r="BF789" s="55"/>
      <c r="BG789" s="55"/>
      <c r="BH789" s="55"/>
      <c r="BI789" s="55"/>
      <c r="BJ789" s="55"/>
      <c r="BK789" s="78">
        <v>0</v>
      </c>
      <c r="BL789" s="45" t="s">
        <v>599</v>
      </c>
      <c r="BM789" s="45"/>
    </row>
    <row r="790" spans="1:65" x14ac:dyDescent="0.35">
      <c r="A790" s="45" t="str">
        <f>Database_Productkaarten[[#This Row],[Product]]&amp;", "&amp;Database_Productkaarten[[#This Row],[Levensfase]]</f>
        <v>Betonstraatsteen geopolymeer 210x105x80, Totaal</v>
      </c>
      <c r="B790" s="41" t="s">
        <v>1272</v>
      </c>
      <c r="C790" t="s">
        <v>464</v>
      </c>
      <c r="D790" s="41" t="s">
        <v>548</v>
      </c>
      <c r="E790" s="41" t="s">
        <v>539</v>
      </c>
      <c r="F790" s="41" t="s">
        <v>16</v>
      </c>
      <c r="G790" s="45">
        <v>1</v>
      </c>
      <c r="H790" s="45">
        <v>1</v>
      </c>
      <c r="I790" s="45">
        <v>0.08</v>
      </c>
      <c r="J790" s="45"/>
      <c r="K790" s="45"/>
      <c r="L790" s="41">
        <v>0.17599999999999999</v>
      </c>
      <c r="M790" s="54" t="e">
        <f>SUM(M791:M803)</f>
        <v>#REF!</v>
      </c>
      <c r="N790" s="41">
        <v>25</v>
      </c>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c r="BA790" s="55"/>
      <c r="BB790" s="55"/>
      <c r="BC790" s="55"/>
      <c r="BD790" s="55"/>
      <c r="BE790" s="55"/>
      <c r="BF790" s="55"/>
      <c r="BG790" s="55"/>
      <c r="BH790" s="55"/>
      <c r="BI790" s="55"/>
      <c r="BJ790" s="55"/>
      <c r="BK790" s="78">
        <v>0.24167</v>
      </c>
      <c r="BL790" s="41" t="s">
        <v>1275</v>
      </c>
      <c r="BM790" s="41" t="s">
        <v>1276</v>
      </c>
    </row>
    <row r="791" spans="1:65" x14ac:dyDescent="0.35">
      <c r="A791" s="45" t="str">
        <f>Database_Productkaarten[[#This Row],[Product]]&amp;", "&amp;Database_Productkaarten[[#This Row],[Levensfase]]</f>
        <v>Betonstraatsteen geopolymeer 210x105x80, A1</v>
      </c>
      <c r="B791" s="41" t="s">
        <v>1272</v>
      </c>
      <c r="C791" t="s">
        <v>464</v>
      </c>
      <c r="D791" s="41" t="s">
        <v>548</v>
      </c>
      <c r="E791" s="41" t="s">
        <v>539</v>
      </c>
      <c r="F791" s="41" t="s">
        <v>19</v>
      </c>
      <c r="G791" s="45">
        <v>1</v>
      </c>
      <c r="H791" s="45">
        <v>1</v>
      </c>
      <c r="I791" s="45">
        <v>0.08</v>
      </c>
      <c r="J791" s="45"/>
      <c r="K791" s="45"/>
      <c r="L791" s="41">
        <v>0.17599999999999999</v>
      </c>
      <c r="M791" s="54">
        <v>0.46</v>
      </c>
      <c r="N791" s="41">
        <v>25</v>
      </c>
      <c r="O791" s="55"/>
      <c r="P791" s="55"/>
      <c r="Q791" s="55">
        <v>4.8499999999999996</v>
      </c>
      <c r="R791" s="55"/>
      <c r="S791" s="55"/>
      <c r="T791" s="55"/>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c r="BA791" s="55"/>
      <c r="BB791" s="55"/>
      <c r="BC791" s="55"/>
      <c r="BD791" s="55"/>
      <c r="BE791" s="55"/>
      <c r="BF791" s="55"/>
      <c r="BG791" s="55"/>
      <c r="BH791" s="55"/>
      <c r="BI791" s="55"/>
      <c r="BJ791" s="55"/>
      <c r="BK791" s="78">
        <v>0.24167</v>
      </c>
      <c r="BL791" s="41" t="s">
        <v>1275</v>
      </c>
      <c r="BM791" s="41" t="s">
        <v>1276</v>
      </c>
    </row>
    <row r="792" spans="1:65" x14ac:dyDescent="0.35">
      <c r="A792" s="45" t="str">
        <f>Database_Productkaarten[[#This Row],[Product]]&amp;", "&amp;Database_Productkaarten[[#This Row],[Levensfase]]</f>
        <v>Betonstraatsteen geopolymeer 210x105x80, A2</v>
      </c>
      <c r="B792" s="41" t="s">
        <v>1272</v>
      </c>
      <c r="C792" t="s">
        <v>464</v>
      </c>
      <c r="D792" s="41" t="s">
        <v>548</v>
      </c>
      <c r="E792" s="41" t="s">
        <v>539</v>
      </c>
      <c r="F792" s="41" t="s">
        <v>20</v>
      </c>
      <c r="G792" s="45">
        <v>1</v>
      </c>
      <c r="H792" s="45">
        <v>1</v>
      </c>
      <c r="I792" s="45">
        <v>0.08</v>
      </c>
      <c r="J792" s="45"/>
      <c r="K792" s="45"/>
      <c r="L792" s="41">
        <v>0.17599999999999999</v>
      </c>
      <c r="M792" s="54">
        <v>0.15</v>
      </c>
      <c r="N792" s="41">
        <v>25</v>
      </c>
      <c r="O792" s="55"/>
      <c r="P792" s="55"/>
      <c r="Q792" s="55">
        <v>1.26</v>
      </c>
      <c r="R792" s="55"/>
      <c r="S792" s="55"/>
      <c r="T792" s="55"/>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c r="BA792" s="55"/>
      <c r="BB792" s="55"/>
      <c r="BC792" s="55"/>
      <c r="BD792" s="55"/>
      <c r="BE792" s="55"/>
      <c r="BF792" s="55"/>
      <c r="BG792" s="55"/>
      <c r="BH792" s="55"/>
      <c r="BI792" s="55"/>
      <c r="BJ792" s="55"/>
      <c r="BK792" s="78">
        <v>0.24167</v>
      </c>
      <c r="BL792" s="41" t="s">
        <v>1275</v>
      </c>
      <c r="BM792" s="41" t="s">
        <v>1276</v>
      </c>
    </row>
    <row r="793" spans="1:65" x14ac:dyDescent="0.35">
      <c r="A793" s="45" t="str">
        <f>Database_Productkaarten[[#This Row],[Product]]&amp;", "&amp;Database_Productkaarten[[#This Row],[Levensfase]]</f>
        <v>Betonstraatsteen geopolymeer 210x105x80, A3</v>
      </c>
      <c r="B793" s="41" t="s">
        <v>1272</v>
      </c>
      <c r="C793" t="s">
        <v>464</v>
      </c>
      <c r="D793" s="41" t="s">
        <v>548</v>
      </c>
      <c r="E793" s="41" t="s">
        <v>539</v>
      </c>
      <c r="F793" s="41" t="s">
        <v>21</v>
      </c>
      <c r="G793" s="45">
        <v>1</v>
      </c>
      <c r="H793" s="45">
        <v>1</v>
      </c>
      <c r="I793" s="45">
        <v>0.08</v>
      </c>
      <c r="J793" s="45"/>
      <c r="K793" s="45"/>
      <c r="L793" s="41">
        <v>0.17599999999999999</v>
      </c>
      <c r="M793" s="54">
        <v>0.11</v>
      </c>
      <c r="N793" s="41">
        <v>25</v>
      </c>
      <c r="O793" s="55"/>
      <c r="P793" s="55"/>
      <c r="Q793" s="55">
        <v>1.36</v>
      </c>
      <c r="R793" s="55"/>
      <c r="S793" s="55"/>
      <c r="T793" s="55"/>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c r="BA793" s="55"/>
      <c r="BB793" s="55"/>
      <c r="BC793" s="55"/>
      <c r="BD793" s="55"/>
      <c r="BE793" s="55"/>
      <c r="BF793" s="55"/>
      <c r="BG793" s="55"/>
      <c r="BH793" s="55"/>
      <c r="BI793" s="55"/>
      <c r="BJ793" s="55"/>
      <c r="BK793" s="78">
        <v>0.24167</v>
      </c>
      <c r="BL793" s="41" t="s">
        <v>1275</v>
      </c>
      <c r="BM793" s="41" t="s">
        <v>1276</v>
      </c>
    </row>
    <row r="794" spans="1:65" x14ac:dyDescent="0.35">
      <c r="A794" s="45" t="str">
        <f>Database_Productkaarten[[#This Row],[Product]]&amp;", "&amp;Database_Productkaarten[[#This Row],[Levensfase]]</f>
        <v>Betonstraatsteen geopolymeer 210x105x80, A4</v>
      </c>
      <c r="B794" s="41" t="s">
        <v>1272</v>
      </c>
      <c r="C794" t="s">
        <v>464</v>
      </c>
      <c r="D794" s="41" t="s">
        <v>548</v>
      </c>
      <c r="E794" s="41" t="s">
        <v>539</v>
      </c>
      <c r="F794" s="41" t="s">
        <v>22</v>
      </c>
      <c r="G794" s="45">
        <v>1</v>
      </c>
      <c r="H794" s="45">
        <v>1</v>
      </c>
      <c r="I794" s="45">
        <v>0.08</v>
      </c>
      <c r="J794" s="45"/>
      <c r="K794" s="45"/>
      <c r="L794" s="41">
        <v>0.17599999999999999</v>
      </c>
      <c r="M794" s="54" t="e">
        <v>#REF!</v>
      </c>
      <c r="N794" s="41">
        <v>25</v>
      </c>
      <c r="O794" s="55"/>
      <c r="P794" s="55"/>
      <c r="Q794" s="55" t="e">
        <v>#REF!</v>
      </c>
      <c r="R794" s="55"/>
      <c r="S794" s="55"/>
      <c r="T794" s="55"/>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c r="BA794" s="55"/>
      <c r="BB794" s="55"/>
      <c r="BC794" s="55"/>
      <c r="BD794" s="55"/>
      <c r="BE794" s="55"/>
      <c r="BF794" s="55"/>
      <c r="BG794" s="55"/>
      <c r="BH794" s="55"/>
      <c r="BI794" s="55"/>
      <c r="BJ794" s="55"/>
      <c r="BK794" s="78">
        <v>0.24167</v>
      </c>
      <c r="BL794" s="41" t="s">
        <v>1275</v>
      </c>
      <c r="BM794" s="41" t="s">
        <v>1276</v>
      </c>
    </row>
    <row r="795" spans="1:65" x14ac:dyDescent="0.35">
      <c r="A795" s="45" t="str">
        <f>Database_Productkaarten[[#This Row],[Product]]&amp;", "&amp;Database_Productkaarten[[#This Row],[Levensfase]]</f>
        <v>Betonstraatsteen geopolymeer 210x105x80, A5</v>
      </c>
      <c r="B795" s="41" t="s">
        <v>1272</v>
      </c>
      <c r="C795" t="s">
        <v>464</v>
      </c>
      <c r="D795" s="41" t="s">
        <v>548</v>
      </c>
      <c r="E795" s="41" t="s">
        <v>539</v>
      </c>
      <c r="F795" s="41" t="s">
        <v>23</v>
      </c>
      <c r="G795" s="45">
        <v>1</v>
      </c>
      <c r="H795" s="45">
        <v>1</v>
      </c>
      <c r="I795" s="45">
        <v>0.08</v>
      </c>
      <c r="J795" s="45"/>
      <c r="K795" s="45"/>
      <c r="L795" s="41">
        <v>0.17599999999999999</v>
      </c>
      <c r="M795" s="54">
        <f>M781</f>
        <v>6.2799999999999995E-2</v>
      </c>
      <c r="N795" s="41">
        <v>25</v>
      </c>
      <c r="O795" s="55"/>
      <c r="P795" s="55"/>
      <c r="Q795" s="55">
        <f>Q767</f>
        <v>0.77900000000000003</v>
      </c>
      <c r="R795" s="55"/>
      <c r="S795" s="55"/>
      <c r="T795" s="55"/>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c r="BA795" s="55"/>
      <c r="BB795" s="55"/>
      <c r="BC795" s="55"/>
      <c r="BD795" s="55"/>
      <c r="BE795" s="55"/>
      <c r="BF795" s="55"/>
      <c r="BG795" s="55"/>
      <c r="BH795" s="55"/>
      <c r="BI795" s="55"/>
      <c r="BJ795" s="55"/>
      <c r="BK795" s="78">
        <v>0.24167</v>
      </c>
      <c r="BL795" s="41" t="s">
        <v>1275</v>
      </c>
      <c r="BM795" s="41" t="s">
        <v>1276</v>
      </c>
    </row>
    <row r="796" spans="1:65" x14ac:dyDescent="0.35">
      <c r="A796" s="45" t="str">
        <f>Database_Productkaarten[[#This Row],[Product]]&amp;", "&amp;Database_Productkaarten[[#This Row],[Levensfase]]</f>
        <v>Betonstraatsteen geopolymeer 210x105x80, B1</v>
      </c>
      <c r="B796" s="41" t="s">
        <v>1272</v>
      </c>
      <c r="C796" t="s">
        <v>464</v>
      </c>
      <c r="D796" s="41" t="s">
        <v>548</v>
      </c>
      <c r="E796" s="41" t="s">
        <v>539</v>
      </c>
      <c r="F796" s="41" t="s">
        <v>24</v>
      </c>
      <c r="G796" s="45">
        <v>1</v>
      </c>
      <c r="H796" s="45">
        <v>1</v>
      </c>
      <c r="I796" s="45">
        <v>0.08</v>
      </c>
      <c r="J796" s="45"/>
      <c r="K796" s="45"/>
      <c r="L796" s="41">
        <v>0.17599999999999999</v>
      </c>
      <c r="M796" s="54"/>
      <c r="N796" s="41">
        <v>25</v>
      </c>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78">
        <v>0.24167</v>
      </c>
      <c r="BL796" s="41" t="s">
        <v>1275</v>
      </c>
      <c r="BM796" s="41" t="s">
        <v>1276</v>
      </c>
    </row>
    <row r="797" spans="1:65" x14ac:dyDescent="0.35">
      <c r="A797" s="45" t="str">
        <f>Database_Productkaarten[[#This Row],[Product]]&amp;", "&amp;Database_Productkaarten[[#This Row],[Levensfase]]</f>
        <v>Betonstraatsteen geopolymeer 210x105x80, B3</v>
      </c>
      <c r="B797" s="41" t="s">
        <v>1272</v>
      </c>
      <c r="C797" t="s">
        <v>464</v>
      </c>
      <c r="D797" s="41" t="s">
        <v>548</v>
      </c>
      <c r="E797" s="41" t="s">
        <v>539</v>
      </c>
      <c r="F797" s="41" t="s">
        <v>602</v>
      </c>
      <c r="G797" s="45">
        <v>1</v>
      </c>
      <c r="H797" s="45">
        <v>1</v>
      </c>
      <c r="I797" s="45">
        <v>0.08</v>
      </c>
      <c r="J797" s="45"/>
      <c r="K797" s="45"/>
      <c r="L797" s="41">
        <v>0.17599999999999999</v>
      </c>
      <c r="M797" s="54"/>
      <c r="N797" s="41">
        <v>25</v>
      </c>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c r="BA797" s="55"/>
      <c r="BB797" s="55"/>
      <c r="BC797" s="55"/>
      <c r="BD797" s="55"/>
      <c r="BE797" s="55"/>
      <c r="BF797" s="55"/>
      <c r="BG797" s="55"/>
      <c r="BH797" s="55"/>
      <c r="BI797" s="55"/>
      <c r="BJ797" s="55"/>
      <c r="BK797" s="78">
        <v>0.24167</v>
      </c>
      <c r="BL797" s="41" t="s">
        <v>1275</v>
      </c>
      <c r="BM797" s="41" t="s">
        <v>1276</v>
      </c>
    </row>
    <row r="798" spans="1:65" x14ac:dyDescent="0.35">
      <c r="A798" s="45" t="str">
        <f>Database_Productkaarten[[#This Row],[Product]]&amp;", "&amp;Database_Productkaarten[[#This Row],[Levensfase]]</f>
        <v>Betonstraatsteen geopolymeer 210x105x80, C1</v>
      </c>
      <c r="B798" s="41" t="s">
        <v>1272</v>
      </c>
      <c r="C798" t="s">
        <v>464</v>
      </c>
      <c r="D798" s="41" t="s">
        <v>548</v>
      </c>
      <c r="E798" s="41" t="s">
        <v>539</v>
      </c>
      <c r="F798" s="41" t="s">
        <v>25</v>
      </c>
      <c r="G798" s="45">
        <v>1</v>
      </c>
      <c r="H798" s="45">
        <v>1</v>
      </c>
      <c r="I798" s="45">
        <v>0.08</v>
      </c>
      <c r="J798" s="45"/>
      <c r="K798" s="45"/>
      <c r="L798" s="41">
        <v>0.17599999999999999</v>
      </c>
      <c r="M798" s="54">
        <f>M784</f>
        <v>0</v>
      </c>
      <c r="N798" s="41">
        <v>25</v>
      </c>
      <c r="O798" s="55"/>
      <c r="P798" s="55"/>
      <c r="Q798" s="55">
        <f>Q770</f>
        <v>0.77900000000000003</v>
      </c>
      <c r="R798" s="55"/>
      <c r="S798" s="55"/>
      <c r="T798" s="55"/>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c r="BA798" s="55"/>
      <c r="BB798" s="55"/>
      <c r="BC798" s="55"/>
      <c r="BD798" s="55"/>
      <c r="BE798" s="55"/>
      <c r="BF798" s="55"/>
      <c r="BG798" s="55"/>
      <c r="BH798" s="55"/>
      <c r="BI798" s="55"/>
      <c r="BJ798" s="55"/>
      <c r="BK798" s="78">
        <v>0.24167</v>
      </c>
      <c r="BL798" s="41" t="s">
        <v>1275</v>
      </c>
      <c r="BM798" s="41" t="s">
        <v>1276</v>
      </c>
    </row>
    <row r="799" spans="1:65" x14ac:dyDescent="0.35">
      <c r="A799" s="45" t="str">
        <f>Database_Productkaarten[[#This Row],[Product]]&amp;", "&amp;Database_Productkaarten[[#This Row],[Levensfase]]</f>
        <v>Betonstraatsteen geopolymeer 210x105x80, C2</v>
      </c>
      <c r="B799" s="41" t="s">
        <v>1272</v>
      </c>
      <c r="C799" t="s">
        <v>464</v>
      </c>
      <c r="D799" s="41" t="s">
        <v>548</v>
      </c>
      <c r="E799" s="41" t="s">
        <v>539</v>
      </c>
      <c r="F799" s="41" t="s">
        <v>26</v>
      </c>
      <c r="G799" s="45">
        <v>1</v>
      </c>
      <c r="H799" s="45">
        <v>1</v>
      </c>
      <c r="I799" s="45">
        <v>0.08</v>
      </c>
      <c r="J799" s="45"/>
      <c r="K799" s="45"/>
      <c r="L799" s="41">
        <v>0.17599999999999999</v>
      </c>
      <c r="M799" s="54" t="e">
        <v>#REF!</v>
      </c>
      <c r="N799" s="41">
        <v>25</v>
      </c>
      <c r="O799" s="55"/>
      <c r="P799" s="55"/>
      <c r="Q799" s="55" t="e">
        <v>#REF!</v>
      </c>
      <c r="R799" s="55"/>
      <c r="S799" s="55"/>
      <c r="T799" s="55"/>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c r="BA799" s="55"/>
      <c r="BB799" s="55"/>
      <c r="BC799" s="55"/>
      <c r="BD799" s="55"/>
      <c r="BE799" s="55"/>
      <c r="BF799" s="55"/>
      <c r="BG799" s="55"/>
      <c r="BH799" s="55"/>
      <c r="BI799" s="55"/>
      <c r="BJ799" s="55"/>
      <c r="BK799" s="78">
        <v>0.24167</v>
      </c>
      <c r="BL799" s="41" t="s">
        <v>1275</v>
      </c>
      <c r="BM799" s="41" t="s">
        <v>1276</v>
      </c>
    </row>
    <row r="800" spans="1:65" x14ac:dyDescent="0.35">
      <c r="A800" s="45" t="str">
        <f>Database_Productkaarten[[#This Row],[Product]]&amp;", "&amp;Database_Productkaarten[[#This Row],[Levensfase]]</f>
        <v>Betonstraatsteen geopolymeer 210x105x80, C3</v>
      </c>
      <c r="B800" s="41" t="s">
        <v>1272</v>
      </c>
      <c r="C800" t="s">
        <v>464</v>
      </c>
      <c r="D800" s="41" t="s">
        <v>548</v>
      </c>
      <c r="E800" s="41" t="s">
        <v>539</v>
      </c>
      <c r="F800" s="41" t="s">
        <v>27</v>
      </c>
      <c r="G800" s="45">
        <v>1</v>
      </c>
      <c r="H800" s="45">
        <v>1</v>
      </c>
      <c r="I800" s="45">
        <v>0.08</v>
      </c>
      <c r="J800" s="45"/>
      <c r="K800" s="45"/>
      <c r="L800" s="41">
        <v>0.17599999999999999</v>
      </c>
      <c r="M800" s="54">
        <v>0.02</v>
      </c>
      <c r="N800" s="41">
        <v>25</v>
      </c>
      <c r="O800" s="55"/>
      <c r="P800" s="55"/>
      <c r="Q800" s="55">
        <v>0.158</v>
      </c>
      <c r="R800" s="55"/>
      <c r="S800" s="55"/>
      <c r="T800" s="55"/>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c r="BA800" s="55"/>
      <c r="BB800" s="55"/>
      <c r="BC800" s="55"/>
      <c r="BD800" s="55"/>
      <c r="BE800" s="55"/>
      <c r="BF800" s="55"/>
      <c r="BG800" s="55"/>
      <c r="BH800" s="55"/>
      <c r="BI800" s="55"/>
      <c r="BJ800" s="55"/>
      <c r="BK800" s="78">
        <v>0.24167</v>
      </c>
      <c r="BL800" s="41" t="s">
        <v>1275</v>
      </c>
      <c r="BM800" s="41" t="s">
        <v>1276</v>
      </c>
    </row>
    <row r="801" spans="1:65" x14ac:dyDescent="0.35">
      <c r="A801" s="45" t="str">
        <f>Database_Productkaarten[[#This Row],[Product]]&amp;", "&amp;Database_Productkaarten[[#This Row],[Levensfase]]</f>
        <v>Betonstraatsteen geopolymeer 210x105x80, C4</v>
      </c>
      <c r="B801" s="41" t="s">
        <v>1272</v>
      </c>
      <c r="C801" t="s">
        <v>464</v>
      </c>
      <c r="D801" s="41" t="s">
        <v>548</v>
      </c>
      <c r="E801" s="41" t="s">
        <v>539</v>
      </c>
      <c r="F801" s="41" t="s">
        <v>28</v>
      </c>
      <c r="G801" s="45">
        <v>1</v>
      </c>
      <c r="H801" s="45">
        <v>1</v>
      </c>
      <c r="I801" s="45">
        <v>0.08</v>
      </c>
      <c r="J801" s="45"/>
      <c r="K801" s="45"/>
      <c r="L801" s="41">
        <v>0.17599999999999999</v>
      </c>
      <c r="M801" s="54">
        <v>0</v>
      </c>
      <c r="N801" s="41">
        <v>25</v>
      </c>
      <c r="O801" s="55"/>
      <c r="P801" s="55"/>
      <c r="Q801" s="55">
        <v>9.1000000000000004E-3</v>
      </c>
      <c r="R801" s="55"/>
      <c r="S801" s="55"/>
      <c r="T801" s="55"/>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c r="BA801" s="55"/>
      <c r="BB801" s="55"/>
      <c r="BC801" s="55"/>
      <c r="BD801" s="55"/>
      <c r="BE801" s="55"/>
      <c r="BF801" s="55"/>
      <c r="BG801" s="55"/>
      <c r="BH801" s="55"/>
      <c r="BI801" s="55"/>
      <c r="BJ801" s="55"/>
      <c r="BK801" s="78">
        <v>0.24167</v>
      </c>
      <c r="BL801" s="41" t="s">
        <v>1275</v>
      </c>
      <c r="BM801" s="41" t="s">
        <v>1276</v>
      </c>
    </row>
    <row r="802" spans="1:65" x14ac:dyDescent="0.35">
      <c r="A802" s="45" t="str">
        <f>Database_Productkaarten[[#This Row],[Product]]&amp;", "&amp;Database_Productkaarten[[#This Row],[Levensfase]]</f>
        <v>Betonstraatsteen geopolymeer 210x105x80, D1</v>
      </c>
      <c r="B802" s="41" t="s">
        <v>1272</v>
      </c>
      <c r="C802" t="s">
        <v>464</v>
      </c>
      <c r="D802" s="41" t="s">
        <v>548</v>
      </c>
      <c r="E802" s="41" t="s">
        <v>539</v>
      </c>
      <c r="F802" s="41" t="s">
        <v>51</v>
      </c>
      <c r="G802" s="45">
        <v>1</v>
      </c>
      <c r="H802" s="45">
        <v>1</v>
      </c>
      <c r="I802" s="45">
        <v>0.08</v>
      </c>
      <c r="J802" s="45"/>
      <c r="K802" s="45"/>
      <c r="L802" s="41">
        <v>0.17599999999999999</v>
      </c>
      <c r="M802" s="54">
        <v>-7.0000000000000007E-2</v>
      </c>
      <c r="N802" s="41">
        <v>25</v>
      </c>
      <c r="O802" s="55"/>
      <c r="P802" s="55"/>
      <c r="Q802" s="55">
        <v>-0.51900000000000002</v>
      </c>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78">
        <v>0.24167</v>
      </c>
      <c r="BL802" s="41" t="s">
        <v>1275</v>
      </c>
      <c r="BM802" s="41" t="s">
        <v>1276</v>
      </c>
    </row>
    <row r="803" spans="1:65" x14ac:dyDescent="0.35">
      <c r="A803" s="45" t="str">
        <f>Database_Productkaarten[[#This Row],[Product]]&amp;", "&amp;Database_Productkaarten[[#This Row],[Levensfase]]</f>
        <v>Betonstraatsteen geopolymeer 210x105x80, D2</v>
      </c>
      <c r="B803" s="41" t="s">
        <v>1272</v>
      </c>
      <c r="C803" t="s">
        <v>464</v>
      </c>
      <c r="D803" s="41" t="s">
        <v>548</v>
      </c>
      <c r="E803" s="41" t="s">
        <v>539</v>
      </c>
      <c r="F803" s="41" t="s">
        <v>52</v>
      </c>
      <c r="G803" s="45">
        <v>1</v>
      </c>
      <c r="H803" s="45">
        <v>1</v>
      </c>
      <c r="I803" s="45">
        <v>0.08</v>
      </c>
      <c r="J803" s="45"/>
      <c r="K803" s="45"/>
      <c r="L803" s="41">
        <v>0.17599999999999999</v>
      </c>
      <c r="M803" s="54"/>
      <c r="N803" s="41">
        <v>25</v>
      </c>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c r="BA803" s="55"/>
      <c r="BB803" s="55"/>
      <c r="BC803" s="55"/>
      <c r="BD803" s="55"/>
      <c r="BE803" s="55"/>
      <c r="BF803" s="55"/>
      <c r="BG803" s="55"/>
      <c r="BH803" s="55"/>
      <c r="BI803" s="55"/>
      <c r="BJ803" s="55"/>
      <c r="BK803" s="78">
        <v>0.24167</v>
      </c>
      <c r="BL803" s="41" t="s">
        <v>1275</v>
      </c>
      <c r="BM803" s="41" t="s">
        <v>1276</v>
      </c>
    </row>
    <row r="804" spans="1:65" x14ac:dyDescent="0.35">
      <c r="A804" s="45" t="str">
        <f>Database_Productkaarten[[#This Row],[Product]]&amp;", "&amp;Database_Productkaarten[[#This Row],[Levensfase]]</f>
        <v>Betonstraatsteen geopolymeer (rood) 210x105x80, Totaal</v>
      </c>
      <c r="B804" s="41" t="s">
        <v>1273</v>
      </c>
      <c r="C804" t="s">
        <v>464</v>
      </c>
      <c r="D804" s="41" t="s">
        <v>548</v>
      </c>
      <c r="E804" s="41" t="s">
        <v>539</v>
      </c>
      <c r="F804" s="41" t="s">
        <v>16</v>
      </c>
      <c r="G804" s="45">
        <v>1</v>
      </c>
      <c r="H804" s="45">
        <v>1</v>
      </c>
      <c r="I804" s="45">
        <v>0.08</v>
      </c>
      <c r="J804" s="45"/>
      <c r="K804" s="45"/>
      <c r="L804" s="41">
        <v>0.17599999999999999</v>
      </c>
      <c r="M804" s="54" t="e">
        <f>SUM(M805:M817)</f>
        <v>#REF!</v>
      </c>
      <c r="N804" s="41">
        <v>25</v>
      </c>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c r="BA804" s="55"/>
      <c r="BB804" s="55"/>
      <c r="BC804" s="55"/>
      <c r="BD804" s="55"/>
      <c r="BE804" s="55"/>
      <c r="BF804" s="55"/>
      <c r="BG804" s="55"/>
      <c r="BH804" s="55"/>
      <c r="BI804" s="55"/>
      <c r="BJ804" s="55"/>
      <c r="BK804" s="78">
        <v>0.24167</v>
      </c>
      <c r="BL804" s="41" t="s">
        <v>1275</v>
      </c>
      <c r="BM804" s="41" t="s">
        <v>1277</v>
      </c>
    </row>
    <row r="805" spans="1:65" x14ac:dyDescent="0.35">
      <c r="A805" s="45" t="str">
        <f>Database_Productkaarten[[#This Row],[Product]]&amp;", "&amp;Database_Productkaarten[[#This Row],[Levensfase]]</f>
        <v>Betonstraatsteen geopolymeer (rood) 210x105x80, A1</v>
      </c>
      <c r="B805" s="41" t="s">
        <v>1273</v>
      </c>
      <c r="C805" t="s">
        <v>464</v>
      </c>
      <c r="D805" s="41" t="s">
        <v>548</v>
      </c>
      <c r="E805" s="41" t="s">
        <v>539</v>
      </c>
      <c r="F805" s="41" t="s">
        <v>19</v>
      </c>
      <c r="G805" s="45">
        <v>1</v>
      </c>
      <c r="H805" s="45">
        <v>1</v>
      </c>
      <c r="I805" s="45">
        <v>0.08</v>
      </c>
      <c r="J805" s="45"/>
      <c r="K805" s="45"/>
      <c r="L805" s="41">
        <v>0.17599999999999999</v>
      </c>
      <c r="M805" s="54">
        <f>0.46+0.208437968</f>
        <v>0.66843796799999999</v>
      </c>
      <c r="N805" s="41">
        <v>25</v>
      </c>
      <c r="O805" s="55"/>
      <c r="P805" s="55"/>
      <c r="Q805" s="55">
        <f>4.85+1.56996208</f>
        <v>6.4199620799999995</v>
      </c>
      <c r="R805" s="55"/>
      <c r="S805" s="55"/>
      <c r="T805" s="55"/>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c r="BA805" s="55"/>
      <c r="BB805" s="55"/>
      <c r="BC805" s="55"/>
      <c r="BD805" s="55"/>
      <c r="BE805" s="55"/>
      <c r="BF805" s="55"/>
      <c r="BG805" s="55"/>
      <c r="BH805" s="55"/>
      <c r="BI805" s="55"/>
      <c r="BJ805" s="55"/>
      <c r="BK805" s="78">
        <v>0.24167</v>
      </c>
      <c r="BL805" s="41" t="s">
        <v>1275</v>
      </c>
      <c r="BM805" s="41" t="s">
        <v>1276</v>
      </c>
    </row>
    <row r="806" spans="1:65" x14ac:dyDescent="0.35">
      <c r="A806" s="45" t="str">
        <f>Database_Productkaarten[[#This Row],[Product]]&amp;", "&amp;Database_Productkaarten[[#This Row],[Levensfase]]</f>
        <v>Betonstraatsteen geopolymeer (rood) 210x105x80, A2</v>
      </c>
      <c r="B806" s="41" t="s">
        <v>1273</v>
      </c>
      <c r="C806" t="s">
        <v>464</v>
      </c>
      <c r="D806" s="41" t="s">
        <v>548</v>
      </c>
      <c r="E806" s="41" t="s">
        <v>539</v>
      </c>
      <c r="F806" s="41" t="s">
        <v>20</v>
      </c>
      <c r="G806" s="45">
        <v>1</v>
      </c>
      <c r="H806" s="45">
        <v>1</v>
      </c>
      <c r="I806" s="45">
        <v>0.08</v>
      </c>
      <c r="J806" s="45"/>
      <c r="K806" s="45"/>
      <c r="L806" s="41">
        <v>0.17599999999999999</v>
      </c>
      <c r="M806" s="54">
        <v>0.15</v>
      </c>
      <c r="N806" s="41">
        <v>25</v>
      </c>
      <c r="O806" s="55"/>
      <c r="P806" s="55"/>
      <c r="Q806" s="55">
        <v>1.26</v>
      </c>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78">
        <v>0.24167</v>
      </c>
      <c r="BL806" s="41" t="s">
        <v>1275</v>
      </c>
      <c r="BM806" s="41" t="s">
        <v>1276</v>
      </c>
    </row>
    <row r="807" spans="1:65" x14ac:dyDescent="0.35">
      <c r="A807" s="45" t="str">
        <f>Database_Productkaarten[[#This Row],[Product]]&amp;", "&amp;Database_Productkaarten[[#This Row],[Levensfase]]</f>
        <v>Betonstraatsteen geopolymeer (rood) 210x105x80, A3</v>
      </c>
      <c r="B807" s="41" t="s">
        <v>1273</v>
      </c>
      <c r="C807" t="s">
        <v>464</v>
      </c>
      <c r="D807" s="41" t="s">
        <v>548</v>
      </c>
      <c r="E807" s="41" t="s">
        <v>539</v>
      </c>
      <c r="F807" s="41" t="s">
        <v>21</v>
      </c>
      <c r="G807" s="45">
        <v>1</v>
      </c>
      <c r="H807" s="45">
        <v>1</v>
      </c>
      <c r="I807" s="45">
        <v>0.08</v>
      </c>
      <c r="J807" s="45"/>
      <c r="K807" s="45"/>
      <c r="L807" s="41">
        <v>0.17599999999999999</v>
      </c>
      <c r="M807" s="54">
        <v>0.11</v>
      </c>
      <c r="N807" s="41">
        <v>25</v>
      </c>
      <c r="O807" s="55"/>
      <c r="P807" s="55"/>
      <c r="Q807" s="55">
        <v>1.36</v>
      </c>
      <c r="R807" s="55"/>
      <c r="S807" s="55"/>
      <c r="T807" s="55"/>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c r="BA807" s="55"/>
      <c r="BB807" s="55"/>
      <c r="BC807" s="55"/>
      <c r="BD807" s="55"/>
      <c r="BE807" s="55"/>
      <c r="BF807" s="55"/>
      <c r="BG807" s="55"/>
      <c r="BH807" s="55"/>
      <c r="BI807" s="55"/>
      <c r="BJ807" s="55"/>
      <c r="BK807" s="78">
        <v>0.24167</v>
      </c>
      <c r="BL807" s="41" t="s">
        <v>1275</v>
      </c>
      <c r="BM807" s="41" t="s">
        <v>1276</v>
      </c>
    </row>
    <row r="808" spans="1:65" x14ac:dyDescent="0.35">
      <c r="A808" s="45" t="str">
        <f>Database_Productkaarten[[#This Row],[Product]]&amp;", "&amp;Database_Productkaarten[[#This Row],[Levensfase]]</f>
        <v>Betonstraatsteen geopolymeer (rood) 210x105x80, A4</v>
      </c>
      <c r="B808" s="41" t="s">
        <v>1273</v>
      </c>
      <c r="C808" t="s">
        <v>464</v>
      </c>
      <c r="D808" s="41" t="s">
        <v>548</v>
      </c>
      <c r="E808" s="41" t="s">
        <v>539</v>
      </c>
      <c r="F808" s="41" t="s">
        <v>22</v>
      </c>
      <c r="G808" s="45">
        <v>1</v>
      </c>
      <c r="H808" s="45">
        <v>1</v>
      </c>
      <c r="I808" s="45">
        <v>0.08</v>
      </c>
      <c r="J808" s="45"/>
      <c r="K808" s="45"/>
      <c r="L808" s="41">
        <v>0.17599999999999999</v>
      </c>
      <c r="M808" s="54" t="e">
        <v>#REF!</v>
      </c>
      <c r="N808" s="41">
        <v>25</v>
      </c>
      <c r="O808" s="55"/>
      <c r="P808" s="55"/>
      <c r="Q808" s="55" t="e">
        <v>#REF!</v>
      </c>
      <c r="R808" s="55"/>
      <c r="S808" s="55"/>
      <c r="T808" s="55"/>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c r="BA808" s="55"/>
      <c r="BB808" s="55"/>
      <c r="BC808" s="55"/>
      <c r="BD808" s="55"/>
      <c r="BE808" s="55"/>
      <c r="BF808" s="55"/>
      <c r="BG808" s="55"/>
      <c r="BH808" s="55"/>
      <c r="BI808" s="55"/>
      <c r="BJ808" s="55"/>
      <c r="BK808" s="78">
        <v>0.24167</v>
      </c>
      <c r="BL808" s="41" t="s">
        <v>1275</v>
      </c>
      <c r="BM808" s="41" t="s">
        <v>1276</v>
      </c>
    </row>
    <row r="809" spans="1:65" x14ac:dyDescent="0.35">
      <c r="A809" s="45" t="str">
        <f>Database_Productkaarten[[#This Row],[Product]]&amp;", "&amp;Database_Productkaarten[[#This Row],[Levensfase]]</f>
        <v>Betonstraatsteen geopolymeer (rood) 210x105x80, A5</v>
      </c>
      <c r="B809" s="41" t="s">
        <v>1273</v>
      </c>
      <c r="C809" t="s">
        <v>464</v>
      </c>
      <c r="D809" s="41" t="s">
        <v>548</v>
      </c>
      <c r="E809" s="41" t="s">
        <v>539</v>
      </c>
      <c r="F809" s="41" t="s">
        <v>23</v>
      </c>
      <c r="G809" s="45">
        <v>1</v>
      </c>
      <c r="H809" s="45">
        <v>1</v>
      </c>
      <c r="I809" s="45">
        <v>0.08</v>
      </c>
      <c r="J809" s="45"/>
      <c r="K809" s="45"/>
      <c r="L809" s="41">
        <v>0.17599999999999999</v>
      </c>
      <c r="M809" s="54">
        <f>M781</f>
        <v>6.2799999999999995E-2</v>
      </c>
      <c r="N809" s="41">
        <v>25</v>
      </c>
      <c r="O809" s="55"/>
      <c r="P809" s="55"/>
      <c r="Q809" s="55">
        <f>Q781</f>
        <v>0.77900000000000003</v>
      </c>
      <c r="R809" s="55"/>
      <c r="S809" s="55"/>
      <c r="T809" s="55"/>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c r="BA809" s="55"/>
      <c r="BB809" s="55"/>
      <c r="BC809" s="55"/>
      <c r="BD809" s="55"/>
      <c r="BE809" s="55"/>
      <c r="BF809" s="55"/>
      <c r="BG809" s="55"/>
      <c r="BH809" s="55"/>
      <c r="BI809" s="55"/>
      <c r="BJ809" s="55"/>
      <c r="BK809" s="78">
        <v>0.24167</v>
      </c>
      <c r="BL809" s="41" t="s">
        <v>1275</v>
      </c>
      <c r="BM809" s="41" t="s">
        <v>1276</v>
      </c>
    </row>
    <row r="810" spans="1:65" x14ac:dyDescent="0.35">
      <c r="A810" s="45" t="str">
        <f>Database_Productkaarten[[#This Row],[Product]]&amp;", "&amp;Database_Productkaarten[[#This Row],[Levensfase]]</f>
        <v>Betonstraatsteen geopolymeer (rood) 210x105x80, B1</v>
      </c>
      <c r="B810" s="41" t="s">
        <v>1273</v>
      </c>
      <c r="C810" t="s">
        <v>464</v>
      </c>
      <c r="D810" s="41" t="s">
        <v>548</v>
      </c>
      <c r="E810" s="41" t="s">
        <v>539</v>
      </c>
      <c r="F810" s="41" t="s">
        <v>24</v>
      </c>
      <c r="G810" s="45">
        <v>1</v>
      </c>
      <c r="H810" s="45">
        <v>1</v>
      </c>
      <c r="I810" s="45">
        <v>0.08</v>
      </c>
      <c r="J810" s="45"/>
      <c r="K810" s="45"/>
      <c r="L810" s="41">
        <v>0.17599999999999999</v>
      </c>
      <c r="M810" s="54"/>
      <c r="N810" s="41">
        <v>25</v>
      </c>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55"/>
      <c r="BD810" s="55"/>
      <c r="BE810" s="55"/>
      <c r="BF810" s="55"/>
      <c r="BG810" s="55"/>
      <c r="BH810" s="55"/>
      <c r="BI810" s="55"/>
      <c r="BJ810" s="55"/>
      <c r="BK810" s="78">
        <v>0.24167</v>
      </c>
      <c r="BL810" s="41" t="s">
        <v>1275</v>
      </c>
      <c r="BM810" s="41" t="s">
        <v>1276</v>
      </c>
    </row>
    <row r="811" spans="1:65" x14ac:dyDescent="0.35">
      <c r="A811" s="45" t="str">
        <f>Database_Productkaarten[[#This Row],[Product]]&amp;", "&amp;Database_Productkaarten[[#This Row],[Levensfase]]</f>
        <v>Betonstraatsteen geopolymeer (rood) 210x105x80, B3</v>
      </c>
      <c r="B811" s="41" t="s">
        <v>1273</v>
      </c>
      <c r="C811" t="s">
        <v>464</v>
      </c>
      <c r="D811" s="41" t="s">
        <v>548</v>
      </c>
      <c r="E811" s="41" t="s">
        <v>539</v>
      </c>
      <c r="F811" s="41" t="s">
        <v>602</v>
      </c>
      <c r="G811" s="45">
        <v>1</v>
      </c>
      <c r="H811" s="45">
        <v>1</v>
      </c>
      <c r="I811" s="45">
        <v>0.08</v>
      </c>
      <c r="J811" s="45"/>
      <c r="K811" s="45"/>
      <c r="L811" s="41">
        <v>0.17599999999999999</v>
      </c>
      <c r="M811" s="54"/>
      <c r="N811" s="41">
        <v>25</v>
      </c>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c r="BA811" s="55"/>
      <c r="BB811" s="55"/>
      <c r="BC811" s="55"/>
      <c r="BD811" s="55"/>
      <c r="BE811" s="55"/>
      <c r="BF811" s="55"/>
      <c r="BG811" s="55"/>
      <c r="BH811" s="55"/>
      <c r="BI811" s="55"/>
      <c r="BJ811" s="55"/>
      <c r="BK811" s="78">
        <v>0.24167</v>
      </c>
      <c r="BL811" s="41" t="s">
        <v>1275</v>
      </c>
      <c r="BM811" s="41" t="s">
        <v>1276</v>
      </c>
    </row>
    <row r="812" spans="1:65" x14ac:dyDescent="0.35">
      <c r="A812" s="45" t="str">
        <f>Database_Productkaarten[[#This Row],[Product]]&amp;", "&amp;Database_Productkaarten[[#This Row],[Levensfase]]</f>
        <v>Betonstraatsteen geopolymeer (rood) 210x105x80, C1</v>
      </c>
      <c r="B812" s="41" t="s">
        <v>1273</v>
      </c>
      <c r="C812" t="s">
        <v>464</v>
      </c>
      <c r="D812" s="41" t="s">
        <v>548</v>
      </c>
      <c r="E812" s="41" t="s">
        <v>539</v>
      </c>
      <c r="F812" s="41" t="s">
        <v>25</v>
      </c>
      <c r="G812" s="45">
        <v>1</v>
      </c>
      <c r="H812" s="45">
        <v>1</v>
      </c>
      <c r="I812" s="45">
        <v>0.08</v>
      </c>
      <c r="J812" s="45"/>
      <c r="K812" s="45"/>
      <c r="L812" s="41">
        <v>0.17599999999999999</v>
      </c>
      <c r="M812" s="54">
        <f>M784</f>
        <v>0</v>
      </c>
      <c r="N812" s="41">
        <v>25</v>
      </c>
      <c r="O812" s="55"/>
      <c r="P812" s="55"/>
      <c r="Q812" s="55">
        <f>Q784</f>
        <v>0.77900000000000003</v>
      </c>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c r="BA812" s="55"/>
      <c r="BB812" s="55"/>
      <c r="BC812" s="55"/>
      <c r="BD812" s="55"/>
      <c r="BE812" s="55"/>
      <c r="BF812" s="55"/>
      <c r="BG812" s="55"/>
      <c r="BH812" s="55"/>
      <c r="BI812" s="55"/>
      <c r="BJ812" s="55"/>
      <c r="BK812" s="78">
        <v>0.24167</v>
      </c>
      <c r="BL812" s="41" t="s">
        <v>1275</v>
      </c>
      <c r="BM812" s="41" t="s">
        <v>1276</v>
      </c>
    </row>
    <row r="813" spans="1:65" x14ac:dyDescent="0.35">
      <c r="A813" s="45" t="str">
        <f>Database_Productkaarten[[#This Row],[Product]]&amp;", "&amp;Database_Productkaarten[[#This Row],[Levensfase]]</f>
        <v>Betonstraatsteen geopolymeer (rood) 210x105x80, C2</v>
      </c>
      <c r="B813" s="41" t="s">
        <v>1273</v>
      </c>
      <c r="C813" t="s">
        <v>464</v>
      </c>
      <c r="D813" s="41" t="s">
        <v>548</v>
      </c>
      <c r="E813" s="41" t="s">
        <v>539</v>
      </c>
      <c r="F813" s="41" t="s">
        <v>26</v>
      </c>
      <c r="G813" s="45">
        <v>1</v>
      </c>
      <c r="H813" s="45">
        <v>1</v>
      </c>
      <c r="I813" s="45">
        <v>0.08</v>
      </c>
      <c r="J813" s="45"/>
      <c r="K813" s="45"/>
      <c r="L813" s="41">
        <v>0.17599999999999999</v>
      </c>
      <c r="M813" s="54" t="e">
        <v>#REF!</v>
      </c>
      <c r="N813" s="41">
        <v>25</v>
      </c>
      <c r="O813" s="55"/>
      <c r="P813" s="55"/>
      <c r="Q813" s="55" t="e">
        <v>#REF!</v>
      </c>
      <c r="R813" s="55"/>
      <c r="S813" s="55"/>
      <c r="T813" s="55"/>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c r="BA813" s="55"/>
      <c r="BB813" s="55"/>
      <c r="BC813" s="55"/>
      <c r="BD813" s="55"/>
      <c r="BE813" s="55"/>
      <c r="BF813" s="55"/>
      <c r="BG813" s="55"/>
      <c r="BH813" s="55"/>
      <c r="BI813" s="55"/>
      <c r="BJ813" s="55"/>
      <c r="BK813" s="78">
        <v>0.24167</v>
      </c>
      <c r="BL813" s="41" t="s">
        <v>1275</v>
      </c>
      <c r="BM813" s="41" t="s">
        <v>1276</v>
      </c>
    </row>
    <row r="814" spans="1:65" x14ac:dyDescent="0.35">
      <c r="A814" s="45" t="str">
        <f>Database_Productkaarten[[#This Row],[Product]]&amp;", "&amp;Database_Productkaarten[[#This Row],[Levensfase]]</f>
        <v>Betonstraatsteen geopolymeer (rood) 210x105x80, C3</v>
      </c>
      <c r="B814" s="41" t="s">
        <v>1273</v>
      </c>
      <c r="C814" t="s">
        <v>464</v>
      </c>
      <c r="D814" s="41" t="s">
        <v>548</v>
      </c>
      <c r="E814" s="41" t="s">
        <v>539</v>
      </c>
      <c r="F814" s="41" t="s">
        <v>27</v>
      </c>
      <c r="G814" s="45">
        <v>1</v>
      </c>
      <c r="H814" s="45">
        <v>1</v>
      </c>
      <c r="I814" s="45">
        <v>0.08</v>
      </c>
      <c r="J814" s="45"/>
      <c r="K814" s="45"/>
      <c r="L814" s="41">
        <v>0.17599999999999999</v>
      </c>
      <c r="M814" s="54">
        <v>0.02</v>
      </c>
      <c r="N814" s="41">
        <v>25</v>
      </c>
      <c r="O814" s="55"/>
      <c r="P814" s="55"/>
      <c r="Q814" s="55">
        <v>0.158</v>
      </c>
      <c r="R814" s="55"/>
      <c r="S814" s="55"/>
      <c r="T814" s="55"/>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c r="BA814" s="55"/>
      <c r="BB814" s="55"/>
      <c r="BC814" s="55"/>
      <c r="BD814" s="55"/>
      <c r="BE814" s="55"/>
      <c r="BF814" s="55"/>
      <c r="BG814" s="55"/>
      <c r="BH814" s="55"/>
      <c r="BI814" s="55"/>
      <c r="BJ814" s="55"/>
      <c r="BK814" s="78">
        <v>0.24167</v>
      </c>
      <c r="BL814" s="41" t="s">
        <v>1275</v>
      </c>
      <c r="BM814" s="41" t="s">
        <v>1276</v>
      </c>
    </row>
    <row r="815" spans="1:65" x14ac:dyDescent="0.35">
      <c r="A815" s="45" t="str">
        <f>Database_Productkaarten[[#This Row],[Product]]&amp;", "&amp;Database_Productkaarten[[#This Row],[Levensfase]]</f>
        <v>Betonstraatsteen geopolymeer (rood) 210x105x80, C4</v>
      </c>
      <c r="B815" s="41" t="s">
        <v>1273</v>
      </c>
      <c r="C815" t="s">
        <v>464</v>
      </c>
      <c r="D815" s="41" t="s">
        <v>548</v>
      </c>
      <c r="E815" s="41" t="s">
        <v>539</v>
      </c>
      <c r="F815" s="41" t="s">
        <v>28</v>
      </c>
      <c r="G815" s="45">
        <v>1</v>
      </c>
      <c r="H815" s="45">
        <v>1</v>
      </c>
      <c r="I815" s="45">
        <v>0.08</v>
      </c>
      <c r="J815" s="45"/>
      <c r="K815" s="45"/>
      <c r="L815" s="41">
        <v>0.17599999999999999</v>
      </c>
      <c r="M815" s="54">
        <v>0</v>
      </c>
      <c r="N815" s="41">
        <v>25</v>
      </c>
      <c r="O815" s="55"/>
      <c r="P815" s="55"/>
      <c r="Q815" s="55">
        <v>9.1000000000000004E-3</v>
      </c>
      <c r="R815" s="55"/>
      <c r="S815" s="55"/>
      <c r="T815" s="55"/>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c r="BA815" s="55"/>
      <c r="BB815" s="55"/>
      <c r="BC815" s="55"/>
      <c r="BD815" s="55"/>
      <c r="BE815" s="55"/>
      <c r="BF815" s="55"/>
      <c r="BG815" s="55"/>
      <c r="BH815" s="55"/>
      <c r="BI815" s="55"/>
      <c r="BJ815" s="55"/>
      <c r="BK815" s="78">
        <v>0.24167</v>
      </c>
      <c r="BL815" s="41" t="s">
        <v>1275</v>
      </c>
      <c r="BM815" s="41" t="s">
        <v>1276</v>
      </c>
    </row>
    <row r="816" spans="1:65" x14ac:dyDescent="0.35">
      <c r="A816" s="45" t="str">
        <f>Database_Productkaarten[[#This Row],[Product]]&amp;", "&amp;Database_Productkaarten[[#This Row],[Levensfase]]</f>
        <v>Betonstraatsteen geopolymeer (rood) 210x105x80, D1</v>
      </c>
      <c r="B816" s="41" t="s">
        <v>1273</v>
      </c>
      <c r="C816" t="s">
        <v>464</v>
      </c>
      <c r="D816" s="41" t="s">
        <v>548</v>
      </c>
      <c r="E816" s="41" t="s">
        <v>539</v>
      </c>
      <c r="F816" s="41" t="s">
        <v>51</v>
      </c>
      <c r="G816" s="45">
        <v>1</v>
      </c>
      <c r="H816" s="45">
        <v>1</v>
      </c>
      <c r="I816" s="45">
        <v>0.08</v>
      </c>
      <c r="J816" s="45"/>
      <c r="K816" s="45"/>
      <c r="L816" s="41">
        <v>0.17599999999999999</v>
      </c>
      <c r="M816" s="54">
        <v>-7.0000000000000007E-2</v>
      </c>
      <c r="N816" s="41">
        <v>25</v>
      </c>
      <c r="O816" s="55"/>
      <c r="P816" s="55"/>
      <c r="Q816" s="55">
        <v>-0.51900000000000002</v>
      </c>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78">
        <v>0.24167</v>
      </c>
      <c r="BL816" s="41" t="s">
        <v>1275</v>
      </c>
      <c r="BM816" s="41" t="s">
        <v>1276</v>
      </c>
    </row>
    <row r="817" spans="1:65" x14ac:dyDescent="0.35">
      <c r="A817" s="45" t="str">
        <f>Database_Productkaarten[[#This Row],[Product]]&amp;", "&amp;Database_Productkaarten[[#This Row],[Levensfase]]</f>
        <v>Betonstraatsteen geopolymeer (rood) 210x105x80, D2</v>
      </c>
      <c r="B817" s="41" t="s">
        <v>1273</v>
      </c>
      <c r="C817" t="s">
        <v>464</v>
      </c>
      <c r="D817" s="41" t="s">
        <v>548</v>
      </c>
      <c r="E817" s="41" t="s">
        <v>539</v>
      </c>
      <c r="F817" s="41" t="s">
        <v>52</v>
      </c>
      <c r="G817" s="45">
        <v>1</v>
      </c>
      <c r="H817" s="45">
        <v>1</v>
      </c>
      <c r="I817" s="45">
        <v>0.08</v>
      </c>
      <c r="J817" s="45"/>
      <c r="K817" s="45"/>
      <c r="L817" s="41">
        <v>0.17599999999999999</v>
      </c>
      <c r="M817" s="54"/>
      <c r="N817" s="41">
        <v>25</v>
      </c>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78">
        <v>0.24167</v>
      </c>
      <c r="BL817" s="41" t="s">
        <v>1275</v>
      </c>
      <c r="BM817" s="41" t="s">
        <v>1276</v>
      </c>
    </row>
    <row r="818" spans="1:65" x14ac:dyDescent="0.35">
      <c r="A818" s="45" t="str">
        <f>Database_Productkaarten[[#This Row],[Product]]&amp;", "&amp;Database_Productkaarten[[#This Row],[Levensfase]]</f>
        <v>Gebakken klinker keiformaat, Totaal</v>
      </c>
      <c r="B818" t="s">
        <v>549</v>
      </c>
      <c r="C818" t="s">
        <v>464</v>
      </c>
      <c r="D818" t="s">
        <v>1274</v>
      </c>
      <c r="E818" s="41" t="s">
        <v>539</v>
      </c>
      <c r="F818" s="41" t="s">
        <v>16</v>
      </c>
      <c r="G818" s="45">
        <v>1</v>
      </c>
      <c r="H818" s="45">
        <v>1</v>
      </c>
      <c r="I818" s="45">
        <v>0.08</v>
      </c>
      <c r="J818" s="45"/>
      <c r="K818" s="45"/>
      <c r="L818" s="41">
        <v>0.13100000000000001</v>
      </c>
      <c r="M818" s="54">
        <f>SUM(M819:M831)</f>
        <v>0.87145399999999995</v>
      </c>
      <c r="N818" s="41">
        <v>25</v>
      </c>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c r="BA818" s="55"/>
      <c r="BB818" s="55"/>
      <c r="BC818" s="55"/>
      <c r="BD818" s="55"/>
      <c r="BE818" s="55"/>
      <c r="BF818" s="55"/>
      <c r="BG818" s="55"/>
      <c r="BH818" s="55"/>
      <c r="BI818" s="55"/>
      <c r="BJ818" s="55"/>
      <c r="BK818" s="78"/>
      <c r="BL818" s="45" t="s">
        <v>1610</v>
      </c>
      <c r="BM818" s="45"/>
    </row>
    <row r="819" spans="1:65" x14ac:dyDescent="0.35">
      <c r="A819" s="45" t="str">
        <f>Database_Productkaarten[[#This Row],[Product]]&amp;", "&amp;Database_Productkaarten[[#This Row],[Levensfase]]</f>
        <v>Gebakken klinker keiformaat, A1</v>
      </c>
      <c r="B819" t="s">
        <v>549</v>
      </c>
      <c r="C819" t="s">
        <v>464</v>
      </c>
      <c r="D819" t="s">
        <v>1274</v>
      </c>
      <c r="E819" s="41" t="s">
        <v>539</v>
      </c>
      <c r="F819" s="41" t="s">
        <v>19</v>
      </c>
      <c r="G819" s="45">
        <v>1</v>
      </c>
      <c r="H819" s="45">
        <v>1</v>
      </c>
      <c r="I819" s="45">
        <v>0.08</v>
      </c>
      <c r="J819" s="45"/>
      <c r="K819" s="45"/>
      <c r="L819" s="41">
        <v>0.13100000000000001</v>
      </c>
      <c r="M819" s="54">
        <v>2.3418000000000001</v>
      </c>
      <c r="N819" s="41">
        <v>25</v>
      </c>
      <c r="O819" s="55"/>
      <c r="P819" s="55"/>
      <c r="Q819" s="55">
        <v>22.933</v>
      </c>
      <c r="R819" s="55"/>
      <c r="S819" s="55"/>
      <c r="T819" s="55"/>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c r="BA819" s="55"/>
      <c r="BB819" s="55"/>
      <c r="BC819" s="55"/>
      <c r="BD819" s="55"/>
      <c r="BE819" s="55"/>
      <c r="BF819" s="55"/>
      <c r="BG819" s="55"/>
      <c r="BH819" s="55"/>
      <c r="BI819" s="55"/>
      <c r="BJ819" s="55"/>
      <c r="BK819" s="78"/>
      <c r="BL819" s="45" t="s">
        <v>1610</v>
      </c>
      <c r="BM819" s="45"/>
    </row>
    <row r="820" spans="1:65" x14ac:dyDescent="0.35">
      <c r="A820" s="45" t="str">
        <f>Database_Productkaarten[[#This Row],[Product]]&amp;", "&amp;Database_Productkaarten[[#This Row],[Levensfase]]</f>
        <v>Gebakken klinker keiformaat, A2</v>
      </c>
      <c r="B820" t="s">
        <v>549</v>
      </c>
      <c r="C820" t="s">
        <v>464</v>
      </c>
      <c r="D820" t="s">
        <v>1274</v>
      </c>
      <c r="E820" s="41" t="s">
        <v>539</v>
      </c>
      <c r="F820" s="41" t="s">
        <v>20</v>
      </c>
      <c r="G820" s="45">
        <v>1</v>
      </c>
      <c r="H820" s="45">
        <v>1</v>
      </c>
      <c r="I820" s="45">
        <v>0.08</v>
      </c>
      <c r="J820" s="45"/>
      <c r="K820" s="45"/>
      <c r="L820" s="41">
        <v>0.13100000000000001</v>
      </c>
      <c r="M820" s="54"/>
      <c r="N820" s="41">
        <v>25</v>
      </c>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c r="BA820" s="55"/>
      <c r="BB820" s="55"/>
      <c r="BC820" s="55"/>
      <c r="BD820" s="55"/>
      <c r="BE820" s="55"/>
      <c r="BF820" s="55"/>
      <c r="BG820" s="55"/>
      <c r="BH820" s="55"/>
      <c r="BI820" s="55"/>
      <c r="BJ820" s="55"/>
      <c r="BK820" s="78"/>
      <c r="BL820" s="45" t="s">
        <v>1610</v>
      </c>
      <c r="BM820" s="45"/>
    </row>
    <row r="821" spans="1:65" x14ac:dyDescent="0.35">
      <c r="A821" s="45" t="str">
        <f>Database_Productkaarten[[#This Row],[Product]]&amp;", "&amp;Database_Productkaarten[[#This Row],[Levensfase]]</f>
        <v>Gebakken klinker keiformaat, A3</v>
      </c>
      <c r="B821" t="s">
        <v>549</v>
      </c>
      <c r="C821" t="s">
        <v>464</v>
      </c>
      <c r="D821" t="s">
        <v>1274</v>
      </c>
      <c r="E821" s="41" t="s">
        <v>539</v>
      </c>
      <c r="F821" s="41" t="s">
        <v>21</v>
      </c>
      <c r="G821" s="45">
        <v>1</v>
      </c>
      <c r="H821" s="45">
        <v>1</v>
      </c>
      <c r="I821" s="45">
        <v>0.08</v>
      </c>
      <c r="J821" s="45"/>
      <c r="K821" s="45"/>
      <c r="L821" s="41">
        <v>0.13100000000000001</v>
      </c>
      <c r="M821" s="54"/>
      <c r="N821" s="41">
        <v>25</v>
      </c>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c r="BA821" s="55"/>
      <c r="BB821" s="55"/>
      <c r="BC821" s="55"/>
      <c r="BD821" s="55"/>
      <c r="BE821" s="55"/>
      <c r="BF821" s="55"/>
      <c r="BG821" s="55"/>
      <c r="BH821" s="55"/>
      <c r="BI821" s="55"/>
      <c r="BJ821" s="55"/>
      <c r="BK821" s="78"/>
      <c r="BL821" s="45" t="s">
        <v>1610</v>
      </c>
      <c r="BM821" s="45"/>
    </row>
    <row r="822" spans="1:65" x14ac:dyDescent="0.35">
      <c r="A822" s="45" t="str">
        <f>Database_Productkaarten[[#This Row],[Product]]&amp;", "&amp;Database_Productkaarten[[#This Row],[Levensfase]]</f>
        <v>Gebakken klinker keiformaat, A4</v>
      </c>
      <c r="B822" t="s">
        <v>549</v>
      </c>
      <c r="C822" t="s">
        <v>464</v>
      </c>
      <c r="D822" t="s">
        <v>1274</v>
      </c>
      <c r="E822" s="41" t="s">
        <v>539</v>
      </c>
      <c r="F822" s="41" t="s">
        <v>22</v>
      </c>
      <c r="G822" s="45">
        <v>1</v>
      </c>
      <c r="H822" s="45">
        <v>1</v>
      </c>
      <c r="I822" s="45">
        <v>0.08</v>
      </c>
      <c r="J822" s="45"/>
      <c r="K822" s="45"/>
      <c r="L822" s="41">
        <v>0.13100000000000001</v>
      </c>
      <c r="M822" s="54">
        <v>3.44E-2</v>
      </c>
      <c r="N822" s="41">
        <v>25</v>
      </c>
      <c r="O822" s="55"/>
      <c r="P822" s="55"/>
      <c r="Q822" s="55">
        <v>0.30630000000000002</v>
      </c>
      <c r="R822" s="55"/>
      <c r="S822" s="55"/>
      <c r="T822" s="55"/>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c r="BA822" s="55"/>
      <c r="BB822" s="55"/>
      <c r="BC822" s="55"/>
      <c r="BD822" s="55"/>
      <c r="BE822" s="55"/>
      <c r="BF822" s="55"/>
      <c r="BG822" s="55"/>
      <c r="BH822" s="55"/>
      <c r="BI822" s="55"/>
      <c r="BJ822" s="55"/>
      <c r="BK822" s="78"/>
      <c r="BL822" s="45" t="s">
        <v>1610</v>
      </c>
      <c r="BM822" s="45"/>
    </row>
    <row r="823" spans="1:65" x14ac:dyDescent="0.35">
      <c r="A823" s="45" t="str">
        <f>Database_Productkaarten[[#This Row],[Product]]&amp;", "&amp;Database_Productkaarten[[#This Row],[Levensfase]]</f>
        <v>Gebakken klinker keiformaat, A5</v>
      </c>
      <c r="B823" t="s">
        <v>549</v>
      </c>
      <c r="C823" t="s">
        <v>464</v>
      </c>
      <c r="D823" t="s">
        <v>1274</v>
      </c>
      <c r="E823" s="41" t="s">
        <v>539</v>
      </c>
      <c r="F823" s="41" t="s">
        <v>23</v>
      </c>
      <c r="G823" s="45">
        <v>1</v>
      </c>
      <c r="H823" s="45">
        <v>1</v>
      </c>
      <c r="I823" s="45">
        <v>0.08</v>
      </c>
      <c r="J823" s="45"/>
      <c r="K823" s="45"/>
      <c r="L823" s="41">
        <v>0.13100000000000001</v>
      </c>
      <c r="M823" s="54">
        <v>0.59819999999999995</v>
      </c>
      <c r="N823" s="41">
        <v>25</v>
      </c>
      <c r="O823" s="55"/>
      <c r="P823" s="55"/>
      <c r="Q823" s="55">
        <v>6.3749000000000002</v>
      </c>
      <c r="R823" s="55"/>
      <c r="S823" s="55"/>
      <c r="T823" s="55"/>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c r="BA823" s="55"/>
      <c r="BB823" s="55"/>
      <c r="BC823" s="55"/>
      <c r="BD823" s="55"/>
      <c r="BE823" s="55"/>
      <c r="BF823" s="55"/>
      <c r="BG823" s="55"/>
      <c r="BH823" s="55"/>
      <c r="BI823" s="55"/>
      <c r="BJ823" s="55"/>
      <c r="BK823" s="78"/>
      <c r="BL823" s="45" t="s">
        <v>1610</v>
      </c>
      <c r="BM823" s="45"/>
    </row>
    <row r="824" spans="1:65" x14ac:dyDescent="0.35">
      <c r="A824" s="45" t="str">
        <f>Database_Productkaarten[[#This Row],[Product]]&amp;", "&amp;Database_Productkaarten[[#This Row],[Levensfase]]</f>
        <v>Gebakken klinker keiformaat, B1</v>
      </c>
      <c r="B824" t="s">
        <v>549</v>
      </c>
      <c r="C824" t="s">
        <v>464</v>
      </c>
      <c r="D824" t="s">
        <v>1274</v>
      </c>
      <c r="E824" s="41" t="s">
        <v>539</v>
      </c>
      <c r="F824" s="41" t="s">
        <v>24</v>
      </c>
      <c r="G824" s="45">
        <v>1</v>
      </c>
      <c r="H824" s="45">
        <v>1</v>
      </c>
      <c r="I824" s="45">
        <v>0.08</v>
      </c>
      <c r="J824" s="45"/>
      <c r="K824" s="45"/>
      <c r="L824" s="41">
        <v>0.13100000000000001</v>
      </c>
      <c r="M824" s="54"/>
      <c r="N824" s="41">
        <v>25</v>
      </c>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c r="BA824" s="55"/>
      <c r="BB824" s="55"/>
      <c r="BC824" s="55"/>
      <c r="BD824" s="55"/>
      <c r="BE824" s="55"/>
      <c r="BF824" s="55"/>
      <c r="BG824" s="55"/>
      <c r="BH824" s="55"/>
      <c r="BI824" s="55"/>
      <c r="BJ824" s="55"/>
      <c r="BK824" s="78"/>
      <c r="BL824" s="45" t="s">
        <v>1610</v>
      </c>
      <c r="BM824" s="45"/>
    </row>
    <row r="825" spans="1:65" x14ac:dyDescent="0.35">
      <c r="A825" s="45" t="str">
        <f>Database_Productkaarten[[#This Row],[Product]]&amp;", "&amp;Database_Productkaarten[[#This Row],[Levensfase]]</f>
        <v>Gebakken klinker keiformaat, B3</v>
      </c>
      <c r="B825" t="s">
        <v>549</v>
      </c>
      <c r="C825" t="s">
        <v>464</v>
      </c>
      <c r="D825" t="s">
        <v>1274</v>
      </c>
      <c r="E825" s="41" t="s">
        <v>539</v>
      </c>
      <c r="F825" s="41" t="s">
        <v>602</v>
      </c>
      <c r="G825" s="45">
        <v>1</v>
      </c>
      <c r="H825" s="45">
        <v>1</v>
      </c>
      <c r="I825" s="45">
        <v>0.08</v>
      </c>
      <c r="J825" s="45"/>
      <c r="K825" s="45"/>
      <c r="L825" s="41">
        <v>0.13100000000000001</v>
      </c>
      <c r="M825" s="54"/>
      <c r="N825" s="41">
        <v>25</v>
      </c>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c r="BA825" s="55"/>
      <c r="BB825" s="55"/>
      <c r="BC825" s="55"/>
      <c r="BD825" s="55"/>
      <c r="BE825" s="55"/>
      <c r="BF825" s="55"/>
      <c r="BG825" s="55"/>
      <c r="BH825" s="55"/>
      <c r="BI825" s="55"/>
      <c r="BJ825" s="55"/>
      <c r="BK825" s="78"/>
      <c r="BL825" s="45" t="s">
        <v>1610</v>
      </c>
      <c r="BM825" s="45"/>
    </row>
    <row r="826" spans="1:65" x14ac:dyDescent="0.35">
      <c r="A826" s="45" t="str">
        <f>Database_Productkaarten[[#This Row],[Product]]&amp;", "&amp;Database_Productkaarten[[#This Row],[Levensfase]]</f>
        <v>Gebakken klinker keiformaat, C1</v>
      </c>
      <c r="B826" t="s">
        <v>549</v>
      </c>
      <c r="C826" t="s">
        <v>464</v>
      </c>
      <c r="D826" t="s">
        <v>1274</v>
      </c>
      <c r="E826" s="41" t="s">
        <v>539</v>
      </c>
      <c r="F826" s="41" t="s">
        <v>25</v>
      </c>
      <c r="G826" s="45">
        <v>1</v>
      </c>
      <c r="H826" s="45">
        <v>1</v>
      </c>
      <c r="I826" s="45">
        <v>0.08</v>
      </c>
      <c r="J826" s="45"/>
      <c r="K826" s="45"/>
      <c r="L826" s="41">
        <v>0.13100000000000001</v>
      </c>
      <c r="M826" s="54">
        <v>4.9700000000000001E-2</v>
      </c>
      <c r="N826" s="41">
        <v>25</v>
      </c>
      <c r="O826" s="55"/>
      <c r="P826" s="55"/>
      <c r="Q826" s="55">
        <v>0.53649999999999998</v>
      </c>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78"/>
      <c r="BL826" s="45" t="s">
        <v>1610</v>
      </c>
      <c r="BM826" s="45"/>
    </row>
    <row r="827" spans="1:65" x14ac:dyDescent="0.35">
      <c r="A827" s="45" t="str">
        <f>Database_Productkaarten[[#This Row],[Product]]&amp;", "&amp;Database_Productkaarten[[#This Row],[Levensfase]]</f>
        <v>Gebakken klinker keiformaat, C2</v>
      </c>
      <c r="B827" t="s">
        <v>549</v>
      </c>
      <c r="C827" t="s">
        <v>464</v>
      </c>
      <c r="D827" t="s">
        <v>1274</v>
      </c>
      <c r="E827" s="41" t="s">
        <v>539</v>
      </c>
      <c r="F827" s="41" t="s">
        <v>26</v>
      </c>
      <c r="G827" s="45">
        <v>1</v>
      </c>
      <c r="H827" s="45">
        <v>1</v>
      </c>
      <c r="I827" s="45">
        <v>0.08</v>
      </c>
      <c r="J827" s="45"/>
      <c r="K827" s="45"/>
      <c r="L827" s="41">
        <v>0.13100000000000001</v>
      </c>
      <c r="M827" s="54">
        <v>3.4700000000000002E-2</v>
      </c>
      <c r="N827" s="41">
        <v>25</v>
      </c>
      <c r="O827" s="55"/>
      <c r="P827" s="55"/>
      <c r="Q827" s="55">
        <v>0.30930000000000002</v>
      </c>
      <c r="R827" s="55"/>
      <c r="S827" s="55"/>
      <c r="T827" s="55"/>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78"/>
      <c r="BL827" s="45" t="s">
        <v>1610</v>
      </c>
      <c r="BM827" s="45"/>
    </row>
    <row r="828" spans="1:65" x14ac:dyDescent="0.35">
      <c r="A828" s="45" t="str">
        <f>Database_Productkaarten[[#This Row],[Product]]&amp;", "&amp;Database_Productkaarten[[#This Row],[Levensfase]]</f>
        <v>Gebakken klinker keiformaat, C3</v>
      </c>
      <c r="B828" t="s">
        <v>549</v>
      </c>
      <c r="C828" t="s">
        <v>464</v>
      </c>
      <c r="D828" t="s">
        <v>1274</v>
      </c>
      <c r="E828" s="41" t="s">
        <v>539</v>
      </c>
      <c r="F828" s="41" t="s">
        <v>27</v>
      </c>
      <c r="G828" s="45">
        <v>1</v>
      </c>
      <c r="H828" s="45">
        <v>1</v>
      </c>
      <c r="I828" s="45">
        <v>0.08</v>
      </c>
      <c r="J828" s="45"/>
      <c r="K828" s="45"/>
      <c r="L828" s="41">
        <v>0.13100000000000001</v>
      </c>
      <c r="M828" s="54">
        <v>2.06E-2</v>
      </c>
      <c r="N828" s="41">
        <v>25</v>
      </c>
      <c r="O828" s="55"/>
      <c r="P828" s="55"/>
      <c r="Q828" s="55">
        <v>5.7999999999999996E-3</v>
      </c>
      <c r="R828" s="55"/>
      <c r="S828" s="55"/>
      <c r="T828" s="55"/>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c r="BA828" s="55"/>
      <c r="BB828" s="55"/>
      <c r="BC828" s="55"/>
      <c r="BD828" s="55"/>
      <c r="BE828" s="55"/>
      <c r="BF828" s="55"/>
      <c r="BG828" s="55"/>
      <c r="BH828" s="55"/>
      <c r="BI828" s="55"/>
      <c r="BJ828" s="55"/>
      <c r="BK828" s="78"/>
      <c r="BL828" s="45" t="s">
        <v>1610</v>
      </c>
      <c r="BM828" s="45"/>
    </row>
    <row r="829" spans="1:65" x14ac:dyDescent="0.35">
      <c r="A829" s="45" t="str">
        <f>Database_Productkaarten[[#This Row],[Product]]&amp;", "&amp;Database_Productkaarten[[#This Row],[Levensfase]]</f>
        <v>Gebakken klinker keiformaat, C4</v>
      </c>
      <c r="B829" t="s">
        <v>549</v>
      </c>
      <c r="C829" t="s">
        <v>464</v>
      </c>
      <c r="D829" t="s">
        <v>1274</v>
      </c>
      <c r="E829" s="41" t="s">
        <v>539</v>
      </c>
      <c r="F829" s="41" t="s">
        <v>28</v>
      </c>
      <c r="G829" s="45">
        <v>1</v>
      </c>
      <c r="H829" s="45">
        <v>1</v>
      </c>
      <c r="I829" s="45">
        <v>0.08</v>
      </c>
      <c r="J829" s="45"/>
      <c r="K829" s="45"/>
      <c r="L829" s="41">
        <v>0.13100000000000001</v>
      </c>
      <c r="M829" s="54">
        <v>5.3999999999999998E-5</v>
      </c>
      <c r="N829" s="41">
        <v>25</v>
      </c>
      <c r="O829" s="55"/>
      <c r="P829" s="55"/>
      <c r="Q829" s="55">
        <v>3.8E-3</v>
      </c>
      <c r="R829" s="55"/>
      <c r="S829" s="55"/>
      <c r="T829" s="55"/>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c r="BA829" s="55"/>
      <c r="BB829" s="55"/>
      <c r="BC829" s="55"/>
      <c r="BD829" s="55"/>
      <c r="BE829" s="55"/>
      <c r="BF829" s="55"/>
      <c r="BG829" s="55"/>
      <c r="BH829" s="55"/>
      <c r="BI829" s="55"/>
      <c r="BJ829" s="55"/>
      <c r="BK829" s="78"/>
      <c r="BL829" s="45" t="s">
        <v>1610</v>
      </c>
      <c r="BM829" s="45"/>
    </row>
    <row r="830" spans="1:65" x14ac:dyDescent="0.35">
      <c r="A830" s="45" t="str">
        <f>Database_Productkaarten[[#This Row],[Product]]&amp;", "&amp;Database_Productkaarten[[#This Row],[Levensfase]]</f>
        <v>Gebakken klinker keiformaat, D1</v>
      </c>
      <c r="B830" t="s">
        <v>549</v>
      </c>
      <c r="C830" t="s">
        <v>464</v>
      </c>
      <c r="D830" t="s">
        <v>1274</v>
      </c>
      <c r="E830" s="41" t="s">
        <v>539</v>
      </c>
      <c r="F830" s="41" t="s">
        <v>51</v>
      </c>
      <c r="G830" s="45">
        <v>1</v>
      </c>
      <c r="H830" s="45">
        <v>1</v>
      </c>
      <c r="I830" s="45">
        <v>0.08</v>
      </c>
      <c r="J830" s="45"/>
      <c r="K830" s="45"/>
      <c r="L830" s="41">
        <v>0.13100000000000001</v>
      </c>
      <c r="M830" s="54">
        <v>-2.2080000000000002</v>
      </c>
      <c r="N830" s="41">
        <v>25</v>
      </c>
      <c r="O830" s="55"/>
      <c r="P830" s="55"/>
      <c r="Q830" s="55">
        <v>-21.615100000000002</v>
      </c>
      <c r="R830" s="55"/>
      <c r="S830" s="55"/>
      <c r="T830" s="55"/>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c r="BA830" s="55"/>
      <c r="BB830" s="55"/>
      <c r="BC830" s="55"/>
      <c r="BD830" s="55"/>
      <c r="BE830" s="55"/>
      <c r="BF830" s="55"/>
      <c r="BG830" s="55"/>
      <c r="BH830" s="55"/>
      <c r="BI830" s="55"/>
      <c r="BJ830" s="55"/>
      <c r="BK830" s="78"/>
      <c r="BL830" s="45" t="s">
        <v>1610</v>
      </c>
      <c r="BM830" s="45"/>
    </row>
    <row r="831" spans="1:65" x14ac:dyDescent="0.35">
      <c r="A831" s="45" t="str">
        <f>Database_Productkaarten[[#This Row],[Product]]&amp;", "&amp;Database_Productkaarten[[#This Row],[Levensfase]]</f>
        <v>Gebakken klinker keiformaat, D2</v>
      </c>
      <c r="B831" t="s">
        <v>549</v>
      </c>
      <c r="C831" t="s">
        <v>464</v>
      </c>
      <c r="D831" t="s">
        <v>1274</v>
      </c>
      <c r="E831" s="41" t="s">
        <v>539</v>
      </c>
      <c r="F831" s="41" t="s">
        <v>52</v>
      </c>
      <c r="G831" s="45">
        <v>1</v>
      </c>
      <c r="H831" s="45">
        <v>1</v>
      </c>
      <c r="I831" s="45">
        <v>0.08</v>
      </c>
      <c r="J831" s="45"/>
      <c r="K831" s="45"/>
      <c r="L831" s="41">
        <v>0.13100000000000001</v>
      </c>
      <c r="M831" s="54"/>
      <c r="N831" s="41">
        <v>25</v>
      </c>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c r="BA831" s="55"/>
      <c r="BB831" s="55"/>
      <c r="BC831" s="55"/>
      <c r="BD831" s="55"/>
      <c r="BE831" s="55"/>
      <c r="BF831" s="55"/>
      <c r="BG831" s="55"/>
      <c r="BH831" s="55"/>
      <c r="BI831" s="55"/>
      <c r="BJ831" s="55"/>
      <c r="BK831" s="78"/>
      <c r="BL831" s="45" t="s">
        <v>1610</v>
      </c>
      <c r="BM831" s="45"/>
    </row>
    <row r="832" spans="1:65" x14ac:dyDescent="0.35">
      <c r="A832" s="45" t="str">
        <f>Database_Productkaarten[[#This Row],[Product]]&amp;", "&amp;Database_Productkaarten[[#This Row],[Levensfase]]</f>
        <v>Rood gestort beton, A1</v>
      </c>
      <c r="B832" s="13" t="s">
        <v>543</v>
      </c>
      <c r="C832" s="13" t="s">
        <v>445</v>
      </c>
      <c r="D832" s="45" t="s">
        <v>605</v>
      </c>
      <c r="E832" s="45" t="s">
        <v>540</v>
      </c>
      <c r="F832" s="45" t="s">
        <v>19</v>
      </c>
      <c r="G832" s="45">
        <v>1</v>
      </c>
      <c r="H832" s="45">
        <v>1</v>
      </c>
      <c r="I832" s="45">
        <v>1</v>
      </c>
      <c r="J832" s="45"/>
      <c r="K832" s="45"/>
      <c r="L832" s="45">
        <v>2.375</v>
      </c>
      <c r="M832" s="54">
        <v>13.66054746</v>
      </c>
      <c r="N832" s="45">
        <v>100</v>
      </c>
      <c r="O832" s="55">
        <v>4.5802784999999998E-4</v>
      </c>
      <c r="P832" s="55">
        <v>0.38058240300000001</v>
      </c>
      <c r="Q832" s="55">
        <v>155.96245260000001</v>
      </c>
      <c r="R832" s="55">
        <v>6.15502869E-6</v>
      </c>
      <c r="S832" s="55">
        <v>5.3585606589999994E-2</v>
      </c>
      <c r="T832" s="55">
        <v>0.63729317399999996</v>
      </c>
      <c r="U832" s="55">
        <v>9.3597502200000002E-2</v>
      </c>
      <c r="V832" s="55">
        <v>22.559297909999998</v>
      </c>
      <c r="W832" s="55">
        <v>0.44189323000000003</v>
      </c>
      <c r="X832" s="55">
        <v>2638.02981</v>
      </c>
      <c r="Y832" s="55">
        <v>0.24955847679999998</v>
      </c>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v>109.6313493</v>
      </c>
      <c r="AV832" s="55"/>
      <c r="AW832" s="55"/>
      <c r="AX832" s="55">
        <v>1522.7511079999999</v>
      </c>
      <c r="AY832" s="55"/>
      <c r="AZ832" s="55"/>
      <c r="BA832" s="55"/>
      <c r="BB832" s="55">
        <v>22.542461144000001</v>
      </c>
      <c r="BC832" s="55">
        <v>20.100047210347</v>
      </c>
      <c r="BD832" s="55">
        <v>11.071486259999999</v>
      </c>
      <c r="BE832" s="55">
        <v>6.1909697999999996E-5</v>
      </c>
      <c r="BF832" s="55"/>
      <c r="BG832" s="55"/>
      <c r="BH832" s="55"/>
      <c r="BI832" s="55"/>
      <c r="BJ832" s="55"/>
      <c r="BK832" s="78">
        <v>0.24210000000000001</v>
      </c>
      <c r="BL832" s="218" t="s">
        <v>696</v>
      </c>
      <c r="BM832" s="45" t="s">
        <v>621</v>
      </c>
    </row>
    <row r="833" spans="1:65" x14ac:dyDescent="0.35">
      <c r="A833" s="45" t="str">
        <f>Database_Productkaarten[[#This Row],[Product]]&amp;", "&amp;Database_Productkaarten[[#This Row],[Levensfase]]</f>
        <v>Rood gestort beton, A2</v>
      </c>
      <c r="B833" s="13" t="s">
        <v>543</v>
      </c>
      <c r="C833" s="13" t="s">
        <v>445</v>
      </c>
      <c r="D833" s="45" t="s">
        <v>605</v>
      </c>
      <c r="E833" s="45" t="s">
        <v>540</v>
      </c>
      <c r="F833" s="45" t="s">
        <v>20</v>
      </c>
      <c r="G833" s="45">
        <v>1</v>
      </c>
      <c r="H833" s="45">
        <v>1</v>
      </c>
      <c r="I833" s="45">
        <v>1</v>
      </c>
      <c r="J833" s="45"/>
      <c r="K833" s="45"/>
      <c r="L833" s="45">
        <v>2.375</v>
      </c>
      <c r="M833" s="54"/>
      <c r="N833" s="4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c r="BA833" s="55"/>
      <c r="BB833" s="55"/>
      <c r="BC833" s="55"/>
      <c r="BD833" s="55"/>
      <c r="BE833" s="55"/>
      <c r="BF833" s="55"/>
      <c r="BG833" s="55"/>
      <c r="BH833" s="55"/>
      <c r="BI833" s="55"/>
      <c r="BJ833" s="55"/>
      <c r="BK833" s="78">
        <v>0.24210000000000001</v>
      </c>
      <c r="BL833" s="218"/>
      <c r="BM833" s="45"/>
    </row>
    <row r="834" spans="1:65" x14ac:dyDescent="0.35">
      <c r="A834" s="45" t="str">
        <f>Database_Productkaarten[[#This Row],[Product]]&amp;", "&amp;Database_Productkaarten[[#This Row],[Levensfase]]</f>
        <v>Rood gestort beton, A3</v>
      </c>
      <c r="B834" s="13" t="s">
        <v>543</v>
      </c>
      <c r="C834" s="13" t="s">
        <v>445</v>
      </c>
      <c r="D834" s="45" t="s">
        <v>605</v>
      </c>
      <c r="E834" s="45" t="s">
        <v>540</v>
      </c>
      <c r="F834" s="45" t="s">
        <v>21</v>
      </c>
      <c r="G834" s="45">
        <v>1</v>
      </c>
      <c r="H834" s="45">
        <v>1</v>
      </c>
      <c r="I834" s="45">
        <v>1</v>
      </c>
      <c r="J834" s="45"/>
      <c r="K834" s="45"/>
      <c r="L834" s="45">
        <v>2.375</v>
      </c>
      <c r="M834" s="54"/>
      <c r="N834" s="4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c r="BA834" s="55"/>
      <c r="BB834" s="55"/>
      <c r="BC834" s="55"/>
      <c r="BD834" s="55"/>
      <c r="BE834" s="55"/>
      <c r="BF834" s="55"/>
      <c r="BG834" s="55"/>
      <c r="BH834" s="55"/>
      <c r="BI834" s="55"/>
      <c r="BJ834" s="55"/>
      <c r="BK834" s="78">
        <v>0.24210000000000001</v>
      </c>
      <c r="BL834" s="218"/>
      <c r="BM834" s="45"/>
    </row>
    <row r="835" spans="1:65" x14ac:dyDescent="0.35">
      <c r="A835" s="45" t="str">
        <f>Database_Productkaarten[[#This Row],[Product]]&amp;", "&amp;Database_Productkaarten[[#This Row],[Levensfase]]</f>
        <v>Rood gestort beton, A4</v>
      </c>
      <c r="B835" s="13" t="s">
        <v>543</v>
      </c>
      <c r="C835" s="13" t="s">
        <v>445</v>
      </c>
      <c r="D835" s="45" t="s">
        <v>605</v>
      </c>
      <c r="E835" s="45" t="s">
        <v>540</v>
      </c>
      <c r="F835" s="45" t="s">
        <v>22</v>
      </c>
      <c r="G835" s="45">
        <v>1</v>
      </c>
      <c r="H835" s="45">
        <v>1</v>
      </c>
      <c r="I835" s="45">
        <v>1</v>
      </c>
      <c r="J835" s="45"/>
      <c r="K835" s="45"/>
      <c r="L835" s="45">
        <v>2.375</v>
      </c>
      <c r="M835" s="54">
        <f>(G1051*50)*Database_Productkaarten[[#This Row],[Soortelijk Gewicht '[ton / m3']]]</f>
        <v>1.1256768424322523</v>
      </c>
      <c r="N835" s="45">
        <v>100</v>
      </c>
      <c r="O835" s="55">
        <f>(J1051*50)*Database_Productkaarten[[#This Row],[Soortelijk Gewicht '[ton / m3']]]</f>
        <v>1.9257035562499999E-5</v>
      </c>
      <c r="P835" s="55">
        <f>(K1051*50)*Database_Productkaarten[[#This Row],[Soortelijk Gewicht '[ton / m3']]]</f>
        <v>7.5930608437499991E-2</v>
      </c>
      <c r="Q835" s="55">
        <f>(L1051*50)*Database_Productkaarten[[#This Row],[Soortelijk Gewicht '[ton / m3']]]</f>
        <v>10.032924943749999</v>
      </c>
      <c r="R835" s="55">
        <f>(M1051*50)*Database_Productkaarten[[#This Row],[Soortelijk Gewicht '[ton / m3']]]</f>
        <v>1.9946443437499998E-6</v>
      </c>
      <c r="S835" s="55">
        <f>(N1051*50)*Database_Productkaarten[[#This Row],[Soortelijk Gewicht '[ton / m3']]]</f>
        <v>6.3320681312500002E-3</v>
      </c>
      <c r="T835" s="55">
        <f>(O1051*50)*Database_Productkaarten[[#This Row],[Soortelijk Gewicht '[ton / m3']]]</f>
        <v>3.6591033624999998E-2</v>
      </c>
      <c r="U835" s="55">
        <f>(P1051*50)*Database_Productkaarten[[#This Row],[Soortelijk Gewicht '[ton / m3']]]</f>
        <v>7.4524601312499997E-3</v>
      </c>
      <c r="V835" s="55">
        <f>(Q1051*50)*Database_Productkaarten[[#This Row],[Soortelijk Gewicht '[ton / m3']]]</f>
        <v>3.53326054375</v>
      </c>
      <c r="W835" s="55">
        <f>(R1051*50)*Database_Productkaarten[[#This Row],[Soortelijk Gewicht '[ton / m3']]]</f>
        <v>0.22785633624999999</v>
      </c>
      <c r="X835" s="55">
        <f>(S1051*50)*Database_Productkaarten[[#This Row],[Soortelijk Gewicht '[ton / m3']]]</f>
        <v>596.32831187500005</v>
      </c>
      <c r="Y835" s="55">
        <f>(T1051*50)*Database_Productkaarten[[#This Row],[Soortelijk Gewicht '[ton / m3']]]</f>
        <v>2.0939921375E-2</v>
      </c>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f>(AP1051*50)*Database_Productkaarten[[#This Row],[Soortelijk Gewicht '[ton / m3']]]</f>
        <v>2.7127821187500003</v>
      </c>
      <c r="AV835" s="55"/>
      <c r="AW835" s="55"/>
      <c r="AX835" s="55">
        <f>(AS1051*50)*Database_Productkaarten[[#This Row],[Soortelijk Gewicht '[ton / m3']]]</f>
        <v>173.45489500000002</v>
      </c>
      <c r="AY835" s="55"/>
      <c r="AZ835" s="55"/>
      <c r="BA835" s="55"/>
      <c r="BB835" s="55">
        <f>(AW1051*50)*Database_Productkaarten[[#This Row],[Soortelijk Gewicht '[ton / m3']]]</f>
        <v>3.5212658437499995E-2</v>
      </c>
      <c r="BC835" s="55">
        <f>(AX1051*50)*Database_Productkaarten[[#This Row],[Soortelijk Gewicht '[ton / m3']]]</f>
        <v>1.22878569375E-3</v>
      </c>
      <c r="BD835" s="55">
        <f>(AY1051*50)*Database_Productkaarten[[#This Row],[Soortelijk Gewicht '[ton / m3']]]</f>
        <v>14.323300812499999</v>
      </c>
      <c r="BE835" s="55">
        <f>(AZ1051*50)*Database_Productkaarten[[#This Row],[Soortelijk Gewicht '[ton / m3']]]</f>
        <v>0</v>
      </c>
      <c r="BF835" s="55"/>
      <c r="BG835" s="55"/>
      <c r="BH835" s="55"/>
      <c r="BI835" s="55"/>
      <c r="BJ835" s="55"/>
      <c r="BK835" s="78">
        <v>0.24210000000000001</v>
      </c>
      <c r="BL835" s="41" t="s">
        <v>67</v>
      </c>
      <c r="BM835" s="45"/>
    </row>
    <row r="836" spans="1:65" x14ac:dyDescent="0.35">
      <c r="A836" s="45" t="str">
        <f>Database_Productkaarten[[#This Row],[Product]]&amp;", "&amp;Database_Productkaarten[[#This Row],[Levensfase]]</f>
        <v>Rood gestort beton, A5</v>
      </c>
      <c r="B836" s="13" t="s">
        <v>543</v>
      </c>
      <c r="C836" s="13" t="s">
        <v>445</v>
      </c>
      <c r="D836" s="45" t="s">
        <v>605</v>
      </c>
      <c r="E836" s="45" t="s">
        <v>540</v>
      </c>
      <c r="F836" s="45" t="s">
        <v>23</v>
      </c>
      <c r="G836" s="45">
        <v>1</v>
      </c>
      <c r="H836" s="45">
        <v>1</v>
      </c>
      <c r="I836" s="45">
        <v>1</v>
      </c>
      <c r="J836" s="45"/>
      <c r="K836" s="45"/>
      <c r="L836" s="45">
        <v>2.375</v>
      </c>
      <c r="M836" s="54">
        <v>0.92175682699999995</v>
      </c>
      <c r="N836" s="45">
        <v>100</v>
      </c>
      <c r="O836" s="55">
        <v>1.1597245466666666E-5</v>
      </c>
      <c r="P836" s="55">
        <v>4.4902557333333329E-2</v>
      </c>
      <c r="Q836" s="55">
        <v>6.8973543733333331</v>
      </c>
      <c r="R836" s="55">
        <v>1.178842906E-6</v>
      </c>
      <c r="S836" s="55">
        <v>8.233297933333333E-3</v>
      </c>
      <c r="T836" s="55">
        <v>5.0719912866666668E-2</v>
      </c>
      <c r="U836" s="55">
        <v>1.1681637983333333E-2</v>
      </c>
      <c r="V836" s="55">
        <v>2.5671880266666669</v>
      </c>
      <c r="W836" s="55">
        <v>5.4245184333333335E-2</v>
      </c>
      <c r="X836" s="55">
        <v>122.30680366666667</v>
      </c>
      <c r="Y836" s="55">
        <v>1.2057304666666668E-2</v>
      </c>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v>1.4822165333333333</v>
      </c>
      <c r="AV836" s="55"/>
      <c r="AW836" s="55"/>
      <c r="AX836" s="55">
        <v>100.45834913333333</v>
      </c>
      <c r="AY836" s="55"/>
      <c r="AZ836" s="55"/>
      <c r="BA836" s="55"/>
      <c r="BB836" s="55">
        <v>4.9647361700000002E-3</v>
      </c>
      <c r="BC836" s="55">
        <v>2.6203727999999998E-4</v>
      </c>
      <c r="BD836" s="55">
        <v>0.118445863</v>
      </c>
      <c r="BE836" s="55">
        <v>6.5680086933333332E-4</v>
      </c>
      <c r="BF836" s="55"/>
      <c r="BG836" s="55"/>
      <c r="BH836" s="55"/>
      <c r="BI836" s="55"/>
      <c r="BJ836" s="55"/>
      <c r="BK836" s="78">
        <v>0.24210000000000001</v>
      </c>
      <c r="BL836" s="218" t="s">
        <v>697</v>
      </c>
      <c r="BM836" s="45" t="s">
        <v>699</v>
      </c>
    </row>
    <row r="837" spans="1:65" x14ac:dyDescent="0.35">
      <c r="A837" s="45" t="str">
        <f>Database_Productkaarten[[#This Row],[Product]]&amp;", "&amp;Database_Productkaarten[[#This Row],[Levensfase]]</f>
        <v>Rood gestort beton, B1</v>
      </c>
      <c r="B837" s="13" t="s">
        <v>543</v>
      </c>
      <c r="C837" s="13" t="s">
        <v>445</v>
      </c>
      <c r="D837" s="45" t="s">
        <v>605</v>
      </c>
      <c r="E837" s="45" t="s">
        <v>540</v>
      </c>
      <c r="F837" s="45" t="s">
        <v>24</v>
      </c>
      <c r="G837" s="45">
        <v>1</v>
      </c>
      <c r="H837" s="45">
        <v>1</v>
      </c>
      <c r="I837" s="45">
        <v>1</v>
      </c>
      <c r="J837" s="45"/>
      <c r="K837" s="45"/>
      <c r="L837" s="45">
        <v>2.375</v>
      </c>
      <c r="M837" s="54"/>
      <c r="N837" s="45">
        <v>100</v>
      </c>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c r="BA837" s="55"/>
      <c r="BB837" s="55"/>
      <c r="BC837" s="55"/>
      <c r="BD837" s="55"/>
      <c r="BE837" s="55"/>
      <c r="BF837" s="55"/>
      <c r="BG837" s="55"/>
      <c r="BH837" s="55"/>
      <c r="BI837" s="55"/>
      <c r="BJ837" s="55"/>
      <c r="BK837" s="78">
        <v>0.24210000000000001</v>
      </c>
      <c r="BL837" s="45"/>
      <c r="BM837" s="45"/>
    </row>
    <row r="838" spans="1:65" x14ac:dyDescent="0.35">
      <c r="A838" s="45" t="str">
        <f>Database_Productkaarten[[#This Row],[Product]]&amp;", "&amp;Database_Productkaarten[[#This Row],[Levensfase]]</f>
        <v>Rood gestort beton, B3</v>
      </c>
      <c r="B838" s="13" t="s">
        <v>543</v>
      </c>
      <c r="C838" s="13" t="s">
        <v>445</v>
      </c>
      <c r="D838" s="45" t="s">
        <v>605</v>
      </c>
      <c r="E838" s="45" t="s">
        <v>540</v>
      </c>
      <c r="F838" s="45" t="s">
        <v>602</v>
      </c>
      <c r="G838" s="45">
        <v>1</v>
      </c>
      <c r="H838" s="45">
        <v>1</v>
      </c>
      <c r="I838" s="45">
        <v>1</v>
      </c>
      <c r="J838" s="45"/>
      <c r="K838" s="45"/>
      <c r="L838" s="45">
        <v>2.375</v>
      </c>
      <c r="M838" s="54"/>
      <c r="N838" s="45">
        <v>100</v>
      </c>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c r="BA838" s="55"/>
      <c r="BB838" s="55"/>
      <c r="BC838" s="55"/>
      <c r="BD838" s="55"/>
      <c r="BE838" s="55"/>
      <c r="BF838" s="55"/>
      <c r="BG838" s="55"/>
      <c r="BH838" s="55"/>
      <c r="BI838" s="55"/>
      <c r="BJ838" s="55"/>
      <c r="BK838" s="78">
        <v>0.24210000000000001</v>
      </c>
      <c r="BL838" s="45"/>
      <c r="BM838" s="45"/>
    </row>
    <row r="839" spans="1:65" x14ac:dyDescent="0.35">
      <c r="A839" s="45" t="str">
        <f>Database_Productkaarten[[#This Row],[Product]]&amp;", "&amp;Database_Productkaarten[[#This Row],[Levensfase]]</f>
        <v>Rood gestort beton, C1</v>
      </c>
      <c r="B839" s="13" t="s">
        <v>543</v>
      </c>
      <c r="C839" s="13" t="s">
        <v>445</v>
      </c>
      <c r="D839" s="45" t="s">
        <v>605</v>
      </c>
      <c r="E839" s="45" t="s">
        <v>540</v>
      </c>
      <c r="F839" s="45" t="s">
        <v>25</v>
      </c>
      <c r="G839" s="45">
        <v>1</v>
      </c>
      <c r="H839" s="45">
        <v>1</v>
      </c>
      <c r="I839" s="45">
        <v>1</v>
      </c>
      <c r="J839" s="45"/>
      <c r="K839" s="45"/>
      <c r="L839" s="45">
        <v>2.375</v>
      </c>
      <c r="M839" s="54"/>
      <c r="N839" s="45">
        <v>100</v>
      </c>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c r="BA839" s="55"/>
      <c r="BB839" s="55"/>
      <c r="BC839" s="55"/>
      <c r="BD839" s="55"/>
      <c r="BE839" s="55"/>
      <c r="BF839" s="55"/>
      <c r="BG839" s="55"/>
      <c r="BH839" s="55"/>
      <c r="BI839" s="55"/>
      <c r="BJ839" s="55"/>
      <c r="BK839" s="78">
        <v>0.24210000000000001</v>
      </c>
      <c r="BL839" s="45"/>
      <c r="BM839" s="45"/>
    </row>
    <row r="840" spans="1:65" x14ac:dyDescent="0.35">
      <c r="A840" s="45" t="str">
        <f>Database_Productkaarten[[#This Row],[Product]]&amp;", "&amp;Database_Productkaarten[[#This Row],[Levensfase]]</f>
        <v>Rood gestort beton, C2</v>
      </c>
      <c r="B840" s="13" t="s">
        <v>543</v>
      </c>
      <c r="C840" s="13" t="s">
        <v>445</v>
      </c>
      <c r="D840" s="45" t="s">
        <v>605</v>
      </c>
      <c r="E840" s="45" t="s">
        <v>540</v>
      </c>
      <c r="F840" s="45" t="s">
        <v>26</v>
      </c>
      <c r="G840" s="45">
        <v>1</v>
      </c>
      <c r="H840" s="45">
        <v>1</v>
      </c>
      <c r="I840" s="45">
        <v>1</v>
      </c>
      <c r="J840" s="45"/>
      <c r="K840" s="45"/>
      <c r="L840" s="45">
        <v>2.375</v>
      </c>
      <c r="M840" s="54">
        <f>M835</f>
        <v>1.1256768424322523</v>
      </c>
      <c r="N840" s="45">
        <v>100</v>
      </c>
      <c r="O840" s="55">
        <f>O835</f>
        <v>1.9257035562499999E-5</v>
      </c>
      <c r="P840" s="55">
        <f t="shared" ref="P840:BE840" si="1026">P835</f>
        <v>7.5930608437499991E-2</v>
      </c>
      <c r="Q840" s="55">
        <f t="shared" si="1026"/>
        <v>10.032924943749999</v>
      </c>
      <c r="R840" s="55">
        <f t="shared" si="1026"/>
        <v>1.9946443437499998E-6</v>
      </c>
      <c r="S840" s="55">
        <f t="shared" si="1026"/>
        <v>6.3320681312500002E-3</v>
      </c>
      <c r="T840" s="55">
        <f t="shared" si="1026"/>
        <v>3.6591033624999998E-2</v>
      </c>
      <c r="U840" s="55">
        <f t="shared" si="1026"/>
        <v>7.4524601312499997E-3</v>
      </c>
      <c r="V840" s="55">
        <f t="shared" si="1026"/>
        <v>3.53326054375</v>
      </c>
      <c r="W840" s="55">
        <f t="shared" si="1026"/>
        <v>0.22785633624999999</v>
      </c>
      <c r="X840" s="55">
        <f t="shared" si="1026"/>
        <v>596.32831187500005</v>
      </c>
      <c r="Y840" s="55">
        <f t="shared" si="1026"/>
        <v>2.0939921375E-2</v>
      </c>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f t="shared" si="1026"/>
        <v>2.7127821187500003</v>
      </c>
      <c r="AV840" s="55"/>
      <c r="AW840" s="55"/>
      <c r="AX840" s="55">
        <f t="shared" si="1026"/>
        <v>173.45489500000002</v>
      </c>
      <c r="AY840" s="55"/>
      <c r="AZ840" s="55"/>
      <c r="BA840" s="55"/>
      <c r="BB840" s="55">
        <f t="shared" si="1026"/>
        <v>3.5212658437499995E-2</v>
      </c>
      <c r="BC840" s="55">
        <f t="shared" si="1026"/>
        <v>1.22878569375E-3</v>
      </c>
      <c r="BD840" s="55">
        <f t="shared" si="1026"/>
        <v>14.323300812499999</v>
      </c>
      <c r="BE840" s="55">
        <f t="shared" si="1026"/>
        <v>0</v>
      </c>
      <c r="BF840" s="55"/>
      <c r="BG840" s="55"/>
      <c r="BH840" s="55"/>
      <c r="BI840" s="55"/>
      <c r="BJ840" s="55"/>
      <c r="BK840" s="78">
        <v>0.24210000000000001</v>
      </c>
      <c r="BL840" s="41" t="s">
        <v>67</v>
      </c>
      <c r="BM840" s="45"/>
    </row>
    <row r="841" spans="1:65" x14ac:dyDescent="0.35">
      <c r="A841" s="45" t="str">
        <f>Database_Productkaarten[[#This Row],[Product]]&amp;", "&amp;Database_Productkaarten[[#This Row],[Levensfase]]</f>
        <v>Rood gestort beton, C3</v>
      </c>
      <c r="B841" s="13" t="s">
        <v>543</v>
      </c>
      <c r="C841" s="13" t="s">
        <v>445</v>
      </c>
      <c r="D841" s="45" t="s">
        <v>605</v>
      </c>
      <c r="E841" s="45" t="s">
        <v>540</v>
      </c>
      <c r="F841" s="45" t="s">
        <v>27</v>
      </c>
      <c r="G841" s="45">
        <v>1</v>
      </c>
      <c r="H841" s="45">
        <v>1</v>
      </c>
      <c r="I841" s="45">
        <v>1</v>
      </c>
      <c r="J841" s="45"/>
      <c r="K841" s="45"/>
      <c r="L841" s="45">
        <v>2.375</v>
      </c>
      <c r="M841" s="54">
        <v>0.39196812710879997</v>
      </c>
      <c r="N841" s="45">
        <v>100</v>
      </c>
      <c r="O841" s="55">
        <v>1.0831057931231999E-5</v>
      </c>
      <c r="P841" s="55">
        <v>2.68517999376E-2</v>
      </c>
      <c r="Q841" s="55">
        <v>3.7958420237759998</v>
      </c>
      <c r="R841" s="55">
        <v>4.1550173089919997E-7</v>
      </c>
      <c r="S841" s="55">
        <v>2.1671278003583998E-3</v>
      </c>
      <c r="T841" s="55">
        <v>1.7545280513903999E-2</v>
      </c>
      <c r="U841" s="55">
        <v>3.9094315682399999E-3</v>
      </c>
      <c r="V841" s="55">
        <v>0.90194770005119995</v>
      </c>
      <c r="W841" s="55">
        <v>1.555487285616E-2</v>
      </c>
      <c r="X841" s="55">
        <v>58.587495484320002</v>
      </c>
      <c r="Y841" s="55">
        <v>1.1076481765008001E-2</v>
      </c>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v>2.9348322901919999</v>
      </c>
      <c r="AV841" s="55"/>
      <c r="AW841" s="55"/>
      <c r="AX841" s="55">
        <v>54.988678673279999</v>
      </c>
      <c r="AY841" s="55"/>
      <c r="AZ841" s="55"/>
      <c r="BA841" s="55"/>
      <c r="BB841" s="55">
        <v>1.7228594245103999E-2</v>
      </c>
      <c r="BC841" s="55">
        <v>8.9806370274719997E-5</v>
      </c>
      <c r="BD841" s="55">
        <v>7.1872770039839997</v>
      </c>
      <c r="BE841" s="55">
        <v>2.3158761763103998E-4</v>
      </c>
      <c r="BF841" s="55"/>
      <c r="BG841" s="55"/>
      <c r="BH841" s="55"/>
      <c r="BI841" s="55"/>
      <c r="BJ841" s="55"/>
      <c r="BK841" s="78">
        <v>0.24210000000000001</v>
      </c>
      <c r="BL841" s="45"/>
      <c r="BM841" s="219">
        <v>0.99</v>
      </c>
    </row>
    <row r="842" spans="1:65" x14ac:dyDescent="0.35">
      <c r="A842" s="45" t="str">
        <f>Database_Productkaarten[[#This Row],[Product]]&amp;", "&amp;Database_Productkaarten[[#This Row],[Levensfase]]</f>
        <v>Rood gestort beton, C4</v>
      </c>
      <c r="B842" s="13" t="s">
        <v>543</v>
      </c>
      <c r="C842" s="13" t="s">
        <v>445</v>
      </c>
      <c r="D842" s="45" t="s">
        <v>605</v>
      </c>
      <c r="E842" s="45" t="s">
        <v>540</v>
      </c>
      <c r="F842" s="45" t="s">
        <v>28</v>
      </c>
      <c r="G842" s="45">
        <v>1</v>
      </c>
      <c r="H842" s="45">
        <v>1</v>
      </c>
      <c r="I842" s="45">
        <v>1</v>
      </c>
      <c r="J842" s="45"/>
      <c r="K842" s="45"/>
      <c r="L842" s="45">
        <v>2.375</v>
      </c>
      <c r="M842" s="54">
        <v>1.7394002051200001E-2</v>
      </c>
      <c r="N842" s="45">
        <v>100</v>
      </c>
      <c r="O842" s="55">
        <v>1.1488742744000001E-6</v>
      </c>
      <c r="P842" s="55">
        <v>1.6781552689600001E-3</v>
      </c>
      <c r="Q842" s="55">
        <v>0.12321024083200001</v>
      </c>
      <c r="R842" s="55">
        <v>4.1036700304000001E-8</v>
      </c>
      <c r="S842" s="55">
        <v>1.3124318604799999E-4</v>
      </c>
      <c r="T842" s="55">
        <v>9.0103547008E-4</v>
      </c>
      <c r="U842" s="55">
        <v>1.73808438016E-4</v>
      </c>
      <c r="V842" s="55">
        <v>5.5690003984000001E-2</v>
      </c>
      <c r="W842" s="55">
        <v>1.32165257648E-3</v>
      </c>
      <c r="X842" s="55">
        <v>4.7252372384000001</v>
      </c>
      <c r="Y842" s="55">
        <v>1.39871609168E-4</v>
      </c>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v>2.8376706704000002E-2</v>
      </c>
      <c r="AV842" s="55"/>
      <c r="AW842" s="55"/>
      <c r="AX842" s="55">
        <v>3.7280086079999997</v>
      </c>
      <c r="AY842" s="55"/>
      <c r="AZ842" s="55"/>
      <c r="BA842" s="55"/>
      <c r="BB842" s="55">
        <v>3.7483996752E-3</v>
      </c>
      <c r="BC842" s="55">
        <v>5.2445496800000002E-6</v>
      </c>
      <c r="BD842" s="55">
        <v>23.832719740799998</v>
      </c>
      <c r="BE842" s="55">
        <v>2.3048635491199997E-5</v>
      </c>
      <c r="BF842" s="55"/>
      <c r="BG842" s="55"/>
      <c r="BH842" s="55"/>
      <c r="BI842" s="55"/>
      <c r="BJ842" s="55"/>
      <c r="BK842" s="78">
        <v>0.24210000000000001</v>
      </c>
      <c r="BL842" s="45" t="s">
        <v>609</v>
      </c>
      <c r="BM842" s="219">
        <v>0.01</v>
      </c>
    </row>
    <row r="843" spans="1:65" x14ac:dyDescent="0.35">
      <c r="A843" s="45" t="str">
        <f>Database_Productkaarten[[#This Row],[Product]]&amp;", "&amp;Database_Productkaarten[[#This Row],[Levensfase]]</f>
        <v>Rood gestort beton, D1</v>
      </c>
      <c r="B843" s="13" t="s">
        <v>543</v>
      </c>
      <c r="C843" s="13" t="s">
        <v>445</v>
      </c>
      <c r="D843" s="45" t="s">
        <v>605</v>
      </c>
      <c r="E843" s="45" t="s">
        <v>540</v>
      </c>
      <c r="F843" s="45" t="s">
        <v>51</v>
      </c>
      <c r="G843" s="45">
        <v>1</v>
      </c>
      <c r="H843" s="45">
        <v>1</v>
      </c>
      <c r="I843" s="45">
        <v>1</v>
      </c>
      <c r="J843" s="45"/>
      <c r="K843" s="45"/>
      <c r="L843" s="45">
        <v>2.375</v>
      </c>
      <c r="M843" s="54">
        <v>-1.2443514994943998</v>
      </c>
      <c r="N843" s="45">
        <v>100</v>
      </c>
      <c r="O843" s="55">
        <v>-4.93543796328E-4</v>
      </c>
      <c r="P843" s="55">
        <v>-6.5339750393279994E-2</v>
      </c>
      <c r="Q843" s="55">
        <v>-9.6722337682080006</v>
      </c>
      <c r="R843" s="55">
        <v>-8.4351887104319996E-7</v>
      </c>
      <c r="S843" s="55">
        <v>-7.150523176367999E-3</v>
      </c>
      <c r="T843" s="55">
        <v>-5.49542368584E-2</v>
      </c>
      <c r="U843" s="55">
        <v>-8.9551090648799982E-3</v>
      </c>
      <c r="V843" s="55">
        <v>-4.4792671825439996</v>
      </c>
      <c r="W843" s="55">
        <v>-6.9464930087519999E-2</v>
      </c>
      <c r="X843" s="55">
        <v>-288.51336930240001</v>
      </c>
      <c r="Y843" s="55">
        <v>-2.3298214412879999E-2</v>
      </c>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v>-8.5603774972319986</v>
      </c>
      <c r="AV843" s="55"/>
      <c r="AW843" s="55"/>
      <c r="AX843" s="55">
        <v>-131.13845041968</v>
      </c>
      <c r="AY843" s="55"/>
      <c r="AZ843" s="55"/>
      <c r="BA843" s="55"/>
      <c r="BB843" s="55">
        <v>-3.3285197230559995</v>
      </c>
      <c r="BC843" s="55">
        <v>-2.4976315314720001E-4</v>
      </c>
      <c r="BD843" s="55">
        <v>-1.3393201368095999</v>
      </c>
      <c r="BE843" s="55">
        <v>-5.4067437420479995E-4</v>
      </c>
      <c r="BF843" s="55"/>
      <c r="BG843" s="55"/>
      <c r="BH843" s="55"/>
      <c r="BI843" s="55"/>
      <c r="BJ843" s="55"/>
      <c r="BK843" s="78">
        <v>0.24210000000000001</v>
      </c>
      <c r="BL843" s="41" t="s">
        <v>608</v>
      </c>
      <c r="BM843" s="219">
        <v>0.99</v>
      </c>
    </row>
    <row r="844" spans="1:65" x14ac:dyDescent="0.35">
      <c r="A844" s="45" t="str">
        <f>Database_Productkaarten[[#This Row],[Product]]&amp;", "&amp;Database_Productkaarten[[#This Row],[Levensfase]]</f>
        <v>Rood gestort beton, D2</v>
      </c>
      <c r="B844" s="13" t="s">
        <v>543</v>
      </c>
      <c r="C844" s="13" t="s">
        <v>445</v>
      </c>
      <c r="D844" s="45" t="s">
        <v>605</v>
      </c>
      <c r="E844" s="45" t="s">
        <v>540</v>
      </c>
      <c r="F844" s="45" t="s">
        <v>52</v>
      </c>
      <c r="G844" s="45">
        <v>1</v>
      </c>
      <c r="H844" s="45">
        <v>1</v>
      </c>
      <c r="I844" s="45">
        <v>1</v>
      </c>
      <c r="J844" s="45"/>
      <c r="K844" s="45"/>
      <c r="L844" s="45">
        <v>2.375</v>
      </c>
      <c r="M844" s="54"/>
      <c r="N844" s="45">
        <v>100</v>
      </c>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c r="BA844" s="55"/>
      <c r="BB844" s="55"/>
      <c r="BC844" s="55"/>
      <c r="BD844" s="55"/>
      <c r="BE844" s="55"/>
      <c r="BF844" s="55"/>
      <c r="BG844" s="55"/>
      <c r="BH844" s="55"/>
      <c r="BI844" s="55"/>
      <c r="BJ844" s="55"/>
      <c r="BK844" s="78">
        <v>0.24210000000000001</v>
      </c>
      <c r="BL844" s="45"/>
      <c r="BM844" s="45"/>
    </row>
    <row r="845" spans="1:65" x14ac:dyDescent="0.35">
      <c r="A845" s="45" t="str">
        <f>Database_Productkaarten[[#This Row],[Product]]&amp;", "&amp;Database_Productkaarten[[#This Row],[Levensfase]]</f>
        <v>Prefab beton platen 140mm, Totaal</v>
      </c>
      <c r="B845" s="13" t="s">
        <v>607</v>
      </c>
      <c r="C845" s="13" t="s">
        <v>445</v>
      </c>
      <c r="D845" s="45" t="s">
        <v>606</v>
      </c>
      <c r="E845" s="45" t="s">
        <v>539</v>
      </c>
      <c r="F845" s="45" t="s">
        <v>16</v>
      </c>
      <c r="G845" s="45">
        <v>1</v>
      </c>
      <c r="H845" s="45">
        <v>1</v>
      </c>
      <c r="I845" s="45">
        <v>0.14000000000000001</v>
      </c>
      <c r="J845" s="45"/>
      <c r="K845" s="45"/>
      <c r="L845" s="45" t="e">
        <f>#REF!*0.14</f>
        <v>#REF!</v>
      </c>
      <c r="M845" s="54">
        <f>SUM(M846:M858)</f>
        <v>3.6057964910782911</v>
      </c>
      <c r="N845" s="45">
        <v>100</v>
      </c>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c r="BA845" s="55"/>
      <c r="BB845" s="55"/>
      <c r="BC845" s="55"/>
      <c r="BD845" s="55"/>
      <c r="BE845" s="55"/>
      <c r="BF845" s="55"/>
      <c r="BG845" s="55"/>
      <c r="BH845" s="55"/>
      <c r="BI845" s="55"/>
      <c r="BJ845" s="55"/>
      <c r="BK845" s="78">
        <v>0.24210000000000001</v>
      </c>
      <c r="BL845" s="233"/>
      <c r="BM845" s="45" t="s">
        <v>715</v>
      </c>
    </row>
    <row r="846" spans="1:65" x14ac:dyDescent="0.35">
      <c r="A846" s="45" t="str">
        <f>Database_Productkaarten[[#This Row],[Product]]&amp;", "&amp;Database_Productkaarten[[#This Row],[Levensfase]]</f>
        <v>Prefab beton platen 140mm, A1</v>
      </c>
      <c r="B846" s="13" t="s">
        <v>607</v>
      </c>
      <c r="C846" s="13" t="s">
        <v>445</v>
      </c>
      <c r="D846" s="45" t="s">
        <v>606</v>
      </c>
      <c r="E846" s="45" t="s">
        <v>539</v>
      </c>
      <c r="F846" s="45" t="s">
        <v>19</v>
      </c>
      <c r="G846" s="45">
        <v>1</v>
      </c>
      <c r="H846" s="45">
        <v>1</v>
      </c>
      <c r="I846" s="45">
        <v>0.14000000000000001</v>
      </c>
      <c r="J846" s="45"/>
      <c r="K846" s="45"/>
      <c r="L846" s="45">
        <f>L832*0.14</f>
        <v>0.33250000000000002</v>
      </c>
      <c r="M846" s="54">
        <v>2.5816400000000002</v>
      </c>
      <c r="N846" s="45">
        <v>100</v>
      </c>
      <c r="O846" s="55">
        <v>6.3971000000000001E-5</v>
      </c>
      <c r="P846" s="55">
        <v>8.7809129999999999E-2</v>
      </c>
      <c r="Q846" s="55">
        <v>27.166094699999999</v>
      </c>
      <c r="R846" s="55">
        <v>1.1892E-6</v>
      </c>
      <c r="S846" s="55">
        <v>1.282136E-2</v>
      </c>
      <c r="T846" s="55">
        <v>0.10960634</v>
      </c>
      <c r="U846" s="55">
        <v>1.60281E-2</v>
      </c>
      <c r="V846" s="55">
        <v>5.8871301599999999</v>
      </c>
      <c r="W846" s="55">
        <v>0.14366340999999999</v>
      </c>
      <c r="X846" s="55">
        <v>555.59762599999999</v>
      </c>
      <c r="Y846" s="55">
        <v>0.25124521999999999</v>
      </c>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v>20.090483261432301</v>
      </c>
      <c r="AV846" s="55"/>
      <c r="AW846" s="55"/>
      <c r="AX846" s="55">
        <v>284.01501964767039</v>
      </c>
      <c r="AY846" s="55"/>
      <c r="AZ846" s="55"/>
      <c r="BA846" s="55"/>
      <c r="BB846" s="55">
        <v>3.3574388272650557</v>
      </c>
      <c r="BC846" s="55">
        <v>2.9475755629887836</v>
      </c>
      <c r="BD846" s="55">
        <v>2.7093037649233818</v>
      </c>
      <c r="BE846" s="55">
        <v>1.7098199999999997E-4</v>
      </c>
      <c r="BF846" s="55"/>
      <c r="BG846" s="55"/>
      <c r="BH846" s="55"/>
      <c r="BI846" s="55"/>
      <c r="BJ846" s="55"/>
      <c r="BK846" s="78">
        <v>0.24210000000000001</v>
      </c>
      <c r="BL846" s="218" t="s">
        <v>721</v>
      </c>
      <c r="BM846" s="45" t="s">
        <v>716</v>
      </c>
    </row>
    <row r="847" spans="1:65" x14ac:dyDescent="0.35">
      <c r="A847" s="45" t="str">
        <f>Database_Productkaarten[[#This Row],[Product]]&amp;", "&amp;Database_Productkaarten[[#This Row],[Levensfase]]</f>
        <v>Prefab beton platen 140mm, A2</v>
      </c>
      <c r="B847" s="13" t="s">
        <v>607</v>
      </c>
      <c r="C847" s="13" t="s">
        <v>445</v>
      </c>
      <c r="D847" s="45" t="s">
        <v>606</v>
      </c>
      <c r="E847" s="45" t="s">
        <v>539</v>
      </c>
      <c r="F847" s="45" t="s">
        <v>20</v>
      </c>
      <c r="G847" s="45">
        <v>1</v>
      </c>
      <c r="H847" s="45">
        <v>1</v>
      </c>
      <c r="I847" s="45">
        <v>0.14000000000000001</v>
      </c>
      <c r="J847" s="45"/>
      <c r="K847" s="45"/>
      <c r="L847" s="45">
        <f t="shared" ref="L847:L858" si="1027">L833*0.14</f>
        <v>0.33250000000000002</v>
      </c>
      <c r="M847" s="54">
        <f>(50*0.34403)*G1051</f>
        <v>0.1630596227797759</v>
      </c>
      <c r="N847" s="45">
        <v>100</v>
      </c>
      <c r="O847" s="55">
        <f>(50*0.34403)*J1051</f>
        <v>2.7894728187649999E-6</v>
      </c>
      <c r="P847" s="55">
        <f t="shared" ref="P847:Y847" si="1028">(50*0.34403)*K1051</f>
        <v>1.0998908303474999E-2</v>
      </c>
      <c r="Q847" s="55">
        <f t="shared" si="1028"/>
        <v>1.4533167024834999</v>
      </c>
      <c r="R847" s="55">
        <f t="shared" si="1028"/>
        <v>2.8893368150749999E-7</v>
      </c>
      <c r="S847" s="55">
        <f t="shared" si="1028"/>
        <v>9.1723006281849997E-4</v>
      </c>
      <c r="T847" s="55">
        <f t="shared" si="1028"/>
        <v>5.3003845465300001E-3</v>
      </c>
      <c r="U847" s="55">
        <f t="shared" si="1028"/>
        <v>1.0795241511384998E-3</v>
      </c>
      <c r="V847" s="55">
        <f t="shared" si="1028"/>
        <v>0.51180952625950005</v>
      </c>
      <c r="W847" s="55">
        <f t="shared" si="1028"/>
        <v>3.3006069625299998E-2</v>
      </c>
      <c r="X847" s="55">
        <f t="shared" si="1028"/>
        <v>86.380980688150004</v>
      </c>
      <c r="Y847" s="55">
        <f t="shared" si="1028"/>
        <v>3.0332468002700003E-3</v>
      </c>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f>(50*0.34403)*AP1051</f>
        <v>0.39295933992150001</v>
      </c>
      <c r="AV847" s="55"/>
      <c r="AW847" s="55"/>
      <c r="AX847" s="55">
        <f>(50*0.34403)*AS1051</f>
        <v>25.125763169199999</v>
      </c>
      <c r="AY847" s="55"/>
      <c r="AZ847" s="55"/>
      <c r="BA847" s="55"/>
      <c r="BB847" s="55">
        <f>(50*0.34403)*AW1051</f>
        <v>5.1007203714749996E-3</v>
      </c>
      <c r="BC847" s="55">
        <f>(50*0.34403)*AX1051</f>
        <v>1.7799542830349997E-4</v>
      </c>
      <c r="BD847" s="55">
        <f>(50*0.34403)*AY1051</f>
        <v>2.0747979699050001</v>
      </c>
      <c r="BE847" s="55">
        <f>(50*0.34403)*AZ1051</f>
        <v>0</v>
      </c>
      <c r="BF847" s="55"/>
      <c r="BG847" s="55"/>
      <c r="BH847" s="55"/>
      <c r="BI847" s="55"/>
      <c r="BJ847" s="55"/>
      <c r="BK847" s="78">
        <v>0.24210000000000001</v>
      </c>
      <c r="BL847" s="41" t="s">
        <v>67</v>
      </c>
      <c r="BM847" s="45" t="s">
        <v>717</v>
      </c>
    </row>
    <row r="848" spans="1:65" x14ac:dyDescent="0.35">
      <c r="A848" s="45" t="str">
        <f>Database_Productkaarten[[#This Row],[Product]]&amp;", "&amp;Database_Productkaarten[[#This Row],[Levensfase]]</f>
        <v>Prefab beton platen 140mm, A3</v>
      </c>
      <c r="B848" s="13" t="s">
        <v>607</v>
      </c>
      <c r="C848" s="13" t="s">
        <v>445</v>
      </c>
      <c r="D848" s="45" t="s">
        <v>606</v>
      </c>
      <c r="E848" s="45" t="s">
        <v>539</v>
      </c>
      <c r="F848" s="45" t="s">
        <v>21</v>
      </c>
      <c r="G848" s="45">
        <v>1</v>
      </c>
      <c r="H848" s="45">
        <v>1</v>
      </c>
      <c r="I848" s="45">
        <v>0.14000000000000001</v>
      </c>
      <c r="J848" s="45"/>
      <c r="K848" s="45"/>
      <c r="L848" s="45">
        <f t="shared" si="1027"/>
        <v>0.33250000000000002</v>
      </c>
      <c r="M848" s="54">
        <v>9.359513492999999E-2</v>
      </c>
      <c r="N848" s="45">
        <v>100</v>
      </c>
      <c r="O848" s="55">
        <v>4.9939432629999997E-6</v>
      </c>
      <c r="P848" s="55">
        <v>7.8867418969999995E-3</v>
      </c>
      <c r="Q848" s="55">
        <v>0.98791422397000017</v>
      </c>
      <c r="R848" s="55">
        <v>1.45090164311E-7</v>
      </c>
      <c r="S848" s="55">
        <v>4.831040785E-4</v>
      </c>
      <c r="T848" s="55">
        <v>3.4442833300000002E-3</v>
      </c>
      <c r="U848" s="55">
        <v>6.9277410128999999E-4</v>
      </c>
      <c r="V848" s="55">
        <v>0.22387749101999999</v>
      </c>
      <c r="W848" s="55">
        <v>3.7051990081999999E-3</v>
      </c>
      <c r="X848" s="55">
        <v>12.605822728</v>
      </c>
      <c r="Y848" s="55">
        <v>7.2228903296000001E-3</v>
      </c>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v>0.10480067658</v>
      </c>
      <c r="AV848" s="55"/>
      <c r="AW848" s="55"/>
      <c r="AX848" s="55">
        <v>16.6060455121</v>
      </c>
      <c r="AY848" s="55"/>
      <c r="AZ848" s="55"/>
      <c r="BA848" s="55"/>
      <c r="BB848" s="55">
        <v>8.0120517999999986E-4</v>
      </c>
      <c r="BC848" s="55">
        <v>2.7886502698000001E-5</v>
      </c>
      <c r="BD848" s="55">
        <v>3.5219487019999995E-2</v>
      </c>
      <c r="BE848" s="55">
        <v>4.0654648345000002E-5</v>
      </c>
      <c r="BF848" s="55"/>
      <c r="BG848" s="55"/>
      <c r="BH848" s="55"/>
      <c r="BI848" s="55"/>
      <c r="BJ848" s="55"/>
      <c r="BK848" s="78">
        <v>0.24210000000000001</v>
      </c>
      <c r="BL848" s="233" t="s">
        <v>719</v>
      </c>
      <c r="BM848" s="45" t="s">
        <v>720</v>
      </c>
    </row>
    <row r="849" spans="1:65" x14ac:dyDescent="0.35">
      <c r="A849" s="45" t="str">
        <f>Database_Productkaarten[[#This Row],[Product]]&amp;", "&amp;Database_Productkaarten[[#This Row],[Levensfase]]</f>
        <v>Prefab beton platen 140mm, A4</v>
      </c>
      <c r="B849" s="13" t="s">
        <v>607</v>
      </c>
      <c r="C849" s="13" t="s">
        <v>445</v>
      </c>
      <c r="D849" s="45" t="s">
        <v>606</v>
      </c>
      <c r="E849" s="45" t="s">
        <v>539</v>
      </c>
      <c r="F849" s="45" t="s">
        <v>22</v>
      </c>
      <c r="G849" s="45">
        <v>1</v>
      </c>
      <c r="H849" s="45">
        <v>1</v>
      </c>
      <c r="I849" s="45">
        <v>0.14000000000000001</v>
      </c>
      <c r="J849" s="45"/>
      <c r="K849" s="45"/>
      <c r="L849" s="45">
        <f t="shared" si="1027"/>
        <v>0.33250000000000002</v>
      </c>
      <c r="M849" s="54">
        <f>(50*0.34403)*G1051</f>
        <v>0.1630596227797759</v>
      </c>
      <c r="N849" s="45">
        <v>100</v>
      </c>
      <c r="O849" s="55">
        <f t="shared" ref="O849:Y849" si="1029">(50*0.34403)*J1051</f>
        <v>2.7894728187649999E-6</v>
      </c>
      <c r="P849" s="55">
        <f t="shared" si="1029"/>
        <v>1.0998908303474999E-2</v>
      </c>
      <c r="Q849" s="55">
        <f t="shared" si="1029"/>
        <v>1.4533167024834999</v>
      </c>
      <c r="R849" s="55">
        <f t="shared" si="1029"/>
        <v>2.8893368150749999E-7</v>
      </c>
      <c r="S849" s="55">
        <f t="shared" si="1029"/>
        <v>9.1723006281849997E-4</v>
      </c>
      <c r="T849" s="55">
        <f t="shared" si="1029"/>
        <v>5.3003845465300001E-3</v>
      </c>
      <c r="U849" s="55">
        <f t="shared" si="1029"/>
        <v>1.0795241511384998E-3</v>
      </c>
      <c r="V849" s="55">
        <f t="shared" si="1029"/>
        <v>0.51180952625950005</v>
      </c>
      <c r="W849" s="55">
        <f t="shared" si="1029"/>
        <v>3.3006069625299998E-2</v>
      </c>
      <c r="X849" s="55">
        <f t="shared" si="1029"/>
        <v>86.380980688150004</v>
      </c>
      <c r="Y849" s="55">
        <f t="shared" si="1029"/>
        <v>3.0332468002700003E-3</v>
      </c>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f>(50*0.34403)*AP1051</f>
        <v>0.39295933992150001</v>
      </c>
      <c r="AV849" s="55"/>
      <c r="AW849" s="55"/>
      <c r="AX849" s="55">
        <f>(50*0.34403)*AS1051</f>
        <v>25.125763169199999</v>
      </c>
      <c r="AY849" s="55"/>
      <c r="AZ849" s="55"/>
      <c r="BA849" s="55"/>
      <c r="BB849" s="55">
        <f>(50*0.34403)*AW1051</f>
        <v>5.1007203714749996E-3</v>
      </c>
      <c r="BC849" s="55">
        <f>(50*0.34403)*AX1051</f>
        <v>1.7799542830349997E-4</v>
      </c>
      <c r="BD849" s="55">
        <f>(50*0.34403)*AY1051</f>
        <v>2.0747979699050001</v>
      </c>
      <c r="BE849" s="55">
        <f>(50*0.3325)*AZ1051</f>
        <v>0</v>
      </c>
      <c r="BF849" s="55"/>
      <c r="BG849" s="55"/>
      <c r="BH849" s="55"/>
      <c r="BI849" s="55"/>
      <c r="BJ849" s="55"/>
      <c r="BK849" s="78">
        <v>0.24210000000000001</v>
      </c>
      <c r="BL849" s="41" t="s">
        <v>67</v>
      </c>
      <c r="BM849" s="45" t="s">
        <v>717</v>
      </c>
    </row>
    <row r="850" spans="1:65" x14ac:dyDescent="0.35">
      <c r="A850" s="45" t="str">
        <f>Database_Productkaarten[[#This Row],[Product]]&amp;", "&amp;Database_Productkaarten[[#This Row],[Levensfase]]</f>
        <v>Prefab beton platen 140mm, A5</v>
      </c>
      <c r="B850" s="13" t="s">
        <v>607</v>
      </c>
      <c r="C850" s="13" t="s">
        <v>445</v>
      </c>
      <c r="D850" s="45" t="s">
        <v>606</v>
      </c>
      <c r="E850" s="45" t="s">
        <v>539</v>
      </c>
      <c r="F850" s="45" t="s">
        <v>23</v>
      </c>
      <c r="G850" s="45">
        <v>1</v>
      </c>
      <c r="H850" s="45">
        <v>1</v>
      </c>
      <c r="I850" s="45">
        <v>0.14000000000000001</v>
      </c>
      <c r="J850" s="45"/>
      <c r="K850" s="45"/>
      <c r="L850" s="45">
        <f t="shared" si="1027"/>
        <v>0.33250000000000002</v>
      </c>
      <c r="M850" s="54">
        <f>G1164/12.5</f>
        <v>0.3360367427513915</v>
      </c>
      <c r="N850" s="45">
        <v>100</v>
      </c>
      <c r="O850" s="55">
        <f>J1164/12.5</f>
        <v>1.697584E-6</v>
      </c>
      <c r="P850" s="55">
        <f t="shared" ref="P850:Y850" si="1030">K1164/12.5</f>
        <v>2.4778093169600002E-2</v>
      </c>
      <c r="Q850" s="55">
        <f t="shared" si="1030"/>
        <v>3.6265243425599998</v>
      </c>
      <c r="R850" s="55">
        <f t="shared" si="1030"/>
        <v>6.3158559999999987E-7</v>
      </c>
      <c r="S850" s="55">
        <f t="shared" si="1030"/>
        <v>1.1940088864000001E-3</v>
      </c>
      <c r="T850" s="55">
        <f t="shared" si="1030"/>
        <v>3.3897336784629588E-3</v>
      </c>
      <c r="U850" s="55">
        <f t="shared" si="1030"/>
        <v>9.2641295999999988E-3</v>
      </c>
      <c r="V850" s="55">
        <f t="shared" si="1030"/>
        <v>2.4455315791199999</v>
      </c>
      <c r="W850" s="55">
        <f t="shared" si="1030"/>
        <v>2.8626406524351995E-8</v>
      </c>
      <c r="X850" s="55">
        <f t="shared" si="1030"/>
        <v>1.3980620568953166</v>
      </c>
      <c r="Y850" s="55">
        <f t="shared" si="1030"/>
        <v>1.0984531895202369E-2</v>
      </c>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f>AP1164/12.5</f>
        <v>2.4158866049655998E-7</v>
      </c>
      <c r="AV850" s="55"/>
      <c r="AW850" s="55"/>
      <c r="AX850" s="55">
        <f>AS1164/12.5</f>
        <v>6.2629689604880717E-2</v>
      </c>
      <c r="AY850" s="55"/>
      <c r="AZ850" s="55"/>
      <c r="BA850" s="55"/>
      <c r="BB850" s="55">
        <f>AW1164/12.5</f>
        <v>4.5908051460004797E-5</v>
      </c>
      <c r="BC850" s="55">
        <f>AX1164/12.5</f>
        <v>8.8552943033093107E-4</v>
      </c>
      <c r="BD850" s="55">
        <f>AY1164/12.5</f>
        <v>2.5189637239040983E-9</v>
      </c>
      <c r="BE850" s="55">
        <f>AZ1164/12.5</f>
        <v>0</v>
      </c>
      <c r="BF850" s="55"/>
      <c r="BG850" s="55"/>
      <c r="BH850" s="55"/>
      <c r="BI850" s="55"/>
      <c r="BJ850" s="55"/>
      <c r="BK850" s="78">
        <v>0.24210000000000001</v>
      </c>
      <c r="BL850" s="233" t="s">
        <v>698</v>
      </c>
      <c r="BM850" s="45" t="s">
        <v>610</v>
      </c>
    </row>
    <row r="851" spans="1:65" x14ac:dyDescent="0.35">
      <c r="A851" s="45" t="str">
        <f>Database_Productkaarten[[#This Row],[Product]]&amp;", "&amp;Database_Productkaarten[[#This Row],[Levensfase]]</f>
        <v>Prefab beton platen 140mm, B1</v>
      </c>
      <c r="B851" s="13" t="s">
        <v>607</v>
      </c>
      <c r="C851" s="13" t="s">
        <v>445</v>
      </c>
      <c r="D851" s="45" t="s">
        <v>606</v>
      </c>
      <c r="E851" s="45" t="s">
        <v>539</v>
      </c>
      <c r="F851" s="45" t="s">
        <v>24</v>
      </c>
      <c r="G851" s="45">
        <v>1</v>
      </c>
      <c r="H851" s="45">
        <v>1</v>
      </c>
      <c r="I851" s="45">
        <v>0.14000000000000001</v>
      </c>
      <c r="J851" s="45"/>
      <c r="K851" s="45"/>
      <c r="L851" s="45">
        <f t="shared" si="1027"/>
        <v>0.33250000000000002</v>
      </c>
      <c r="M851" s="54"/>
      <c r="N851" s="45">
        <v>100</v>
      </c>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c r="BA851" s="55"/>
      <c r="BB851" s="55"/>
      <c r="BC851" s="55"/>
      <c r="BD851" s="55"/>
      <c r="BE851" s="55"/>
      <c r="BF851" s="55"/>
      <c r="BG851" s="55"/>
      <c r="BH851" s="55"/>
      <c r="BI851" s="55"/>
      <c r="BJ851" s="55"/>
      <c r="BK851" s="78">
        <v>0.24210000000000001</v>
      </c>
      <c r="BL851" s="233"/>
      <c r="BM851" s="45"/>
    </row>
    <row r="852" spans="1:65" x14ac:dyDescent="0.35">
      <c r="A852" s="45" t="str">
        <f>Database_Productkaarten[[#This Row],[Product]]&amp;", "&amp;Database_Productkaarten[[#This Row],[Levensfase]]</f>
        <v>Prefab beton platen 140mm, B3</v>
      </c>
      <c r="B852" s="13" t="s">
        <v>607</v>
      </c>
      <c r="C852" s="13" t="s">
        <v>445</v>
      </c>
      <c r="D852" s="45" t="s">
        <v>606</v>
      </c>
      <c r="E852" s="45" t="s">
        <v>539</v>
      </c>
      <c r="F852" s="45" t="s">
        <v>602</v>
      </c>
      <c r="G852" s="45">
        <v>1</v>
      </c>
      <c r="H852" s="45">
        <v>1</v>
      </c>
      <c r="I852" s="45">
        <v>0.14000000000000001</v>
      </c>
      <c r="J852" s="45"/>
      <c r="K852" s="45"/>
      <c r="L852" s="45">
        <f t="shared" si="1027"/>
        <v>0.33250000000000002</v>
      </c>
      <c r="M852" s="54"/>
      <c r="N852" s="45">
        <v>100</v>
      </c>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c r="BA852" s="55"/>
      <c r="BB852" s="55"/>
      <c r="BC852" s="55"/>
      <c r="BD852" s="55"/>
      <c r="BE852" s="55"/>
      <c r="BF852" s="55"/>
      <c r="BG852" s="55"/>
      <c r="BH852" s="55"/>
      <c r="BI852" s="55"/>
      <c r="BJ852" s="55"/>
      <c r="BK852" s="78">
        <v>0.24210000000000001</v>
      </c>
      <c r="BL852" s="233"/>
      <c r="BM852" s="45"/>
    </row>
    <row r="853" spans="1:65" x14ac:dyDescent="0.35">
      <c r="A853" s="45" t="str">
        <f>Database_Productkaarten[[#This Row],[Product]]&amp;", "&amp;Database_Productkaarten[[#This Row],[Levensfase]]</f>
        <v>Prefab beton platen 140mm, C1</v>
      </c>
      <c r="B853" s="13" t="s">
        <v>607</v>
      </c>
      <c r="C853" s="13" t="s">
        <v>445</v>
      </c>
      <c r="D853" s="45" t="s">
        <v>606</v>
      </c>
      <c r="E853" s="45" t="s">
        <v>539</v>
      </c>
      <c r="F853" s="45" t="s">
        <v>25</v>
      </c>
      <c r="G853" s="45">
        <v>1</v>
      </c>
      <c r="H853" s="45">
        <v>1</v>
      </c>
      <c r="I853" s="45">
        <v>0.14000000000000001</v>
      </c>
      <c r="J853" s="45"/>
      <c r="K853" s="45"/>
      <c r="L853" s="45">
        <f t="shared" si="1027"/>
        <v>0.33250000000000002</v>
      </c>
      <c r="M853" s="54">
        <v>0.3360367427513915</v>
      </c>
      <c r="N853" s="45">
        <v>100</v>
      </c>
      <c r="O853" s="55">
        <v>1.697584E-6</v>
      </c>
      <c r="P853" s="55">
        <v>2.4778093169600002E-2</v>
      </c>
      <c r="Q853" s="55">
        <v>3.6265243425599998</v>
      </c>
      <c r="R853" s="55">
        <v>6.3158559999999987E-7</v>
      </c>
      <c r="S853" s="55">
        <v>1.1940088864000001E-3</v>
      </c>
      <c r="T853" s="55">
        <v>3.3897336784629588E-3</v>
      </c>
      <c r="U853" s="55">
        <v>9.2641295999999988E-3</v>
      </c>
      <c r="V853" s="55">
        <v>2.4455315791199999</v>
      </c>
      <c r="W853" s="55">
        <v>2.8626406524351995E-8</v>
      </c>
      <c r="X853" s="55">
        <v>1.3980620568953166</v>
      </c>
      <c r="Y853" s="55">
        <v>1.0984531895202369E-2</v>
      </c>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v>2.4158866049655998E-7</v>
      </c>
      <c r="AV853" s="55"/>
      <c r="AW853" s="55"/>
      <c r="AX853" s="55">
        <v>6.2629689604880717E-2</v>
      </c>
      <c r="AY853" s="55"/>
      <c r="AZ853" s="55"/>
      <c r="BA853" s="55"/>
      <c r="BB853" s="55">
        <v>4.5908051460004797E-5</v>
      </c>
      <c r="BC853" s="55">
        <v>8.8552943033093107E-4</v>
      </c>
      <c r="BD853" s="55">
        <v>2.5189637239040983E-9</v>
      </c>
      <c r="BE853" s="55">
        <v>0</v>
      </c>
      <c r="BF853" s="55"/>
      <c r="BG853" s="55"/>
      <c r="BH853" s="55"/>
      <c r="BI853" s="55"/>
      <c r="BJ853" s="55"/>
      <c r="BK853" s="78">
        <v>0.24210000000000001</v>
      </c>
      <c r="BL853" s="233" t="s">
        <v>698</v>
      </c>
      <c r="BM853" s="45" t="s">
        <v>610</v>
      </c>
    </row>
    <row r="854" spans="1:65" x14ac:dyDescent="0.35">
      <c r="A854" s="45" t="str">
        <f>Database_Productkaarten[[#This Row],[Product]]&amp;", "&amp;Database_Productkaarten[[#This Row],[Levensfase]]</f>
        <v>Prefab beton platen 140mm, C2</v>
      </c>
      <c r="B854" s="13" t="s">
        <v>607</v>
      </c>
      <c r="C854" s="13" t="s">
        <v>445</v>
      </c>
      <c r="D854" s="45" t="s">
        <v>606</v>
      </c>
      <c r="E854" s="45" t="s">
        <v>539</v>
      </c>
      <c r="F854" s="45" t="s">
        <v>26</v>
      </c>
      <c r="G854" s="45">
        <v>1</v>
      </c>
      <c r="H854" s="45">
        <v>1</v>
      </c>
      <c r="I854" s="45">
        <v>0.14000000000000001</v>
      </c>
      <c r="J854" s="45"/>
      <c r="K854" s="45"/>
      <c r="L854" s="45">
        <f t="shared" si="1027"/>
        <v>0.33250000000000002</v>
      </c>
      <c r="M854" s="54">
        <f>(50*0.34403)*G1051</f>
        <v>0.1630596227797759</v>
      </c>
      <c r="N854" s="45">
        <v>100</v>
      </c>
      <c r="O854" s="55">
        <f t="shared" ref="O854:Y854" si="1031">(50*0.34403)*J1051</f>
        <v>2.7894728187649999E-6</v>
      </c>
      <c r="P854" s="55">
        <f t="shared" si="1031"/>
        <v>1.0998908303474999E-2</v>
      </c>
      <c r="Q854" s="55">
        <f t="shared" si="1031"/>
        <v>1.4533167024834999</v>
      </c>
      <c r="R854" s="55">
        <f t="shared" si="1031"/>
        <v>2.8893368150749999E-7</v>
      </c>
      <c r="S854" s="55">
        <f t="shared" si="1031"/>
        <v>9.1723006281849997E-4</v>
      </c>
      <c r="T854" s="55">
        <f t="shared" si="1031"/>
        <v>5.3003845465300001E-3</v>
      </c>
      <c r="U854" s="55">
        <f t="shared" si="1031"/>
        <v>1.0795241511384998E-3</v>
      </c>
      <c r="V854" s="55">
        <f t="shared" si="1031"/>
        <v>0.51180952625950005</v>
      </c>
      <c r="W854" s="55">
        <f t="shared" si="1031"/>
        <v>3.3006069625299998E-2</v>
      </c>
      <c r="X854" s="55">
        <f t="shared" si="1031"/>
        <v>86.380980688150004</v>
      </c>
      <c r="Y854" s="55">
        <f t="shared" si="1031"/>
        <v>3.0332468002700003E-3</v>
      </c>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f>(50*0.34403)*AP1051</f>
        <v>0.39295933992150001</v>
      </c>
      <c r="AV854" s="55"/>
      <c r="AW854" s="55"/>
      <c r="AX854" s="55">
        <f>(50*0.34403)*AS1051</f>
        <v>25.125763169199999</v>
      </c>
      <c r="AY854" s="55"/>
      <c r="AZ854" s="55"/>
      <c r="BA854" s="55"/>
      <c r="BB854" s="55">
        <f>(50*0.34403)*AW1051</f>
        <v>5.1007203714749996E-3</v>
      </c>
      <c r="BC854" s="55">
        <f>(50*0.34403)*AX1051</f>
        <v>1.7799542830349997E-4</v>
      </c>
      <c r="BD854" s="55">
        <f>(50*0.34403)*AY1051</f>
        <v>2.0747979699050001</v>
      </c>
      <c r="BE854" s="55">
        <v>0</v>
      </c>
      <c r="BF854" s="55"/>
      <c r="BG854" s="55"/>
      <c r="BH854" s="55"/>
      <c r="BI854" s="55"/>
      <c r="BJ854" s="55"/>
      <c r="BK854" s="78">
        <v>0.24210000000000001</v>
      </c>
      <c r="BL854" s="41" t="s">
        <v>67</v>
      </c>
      <c r="BM854" s="45" t="s">
        <v>717</v>
      </c>
    </row>
    <row r="855" spans="1:65" x14ac:dyDescent="0.35">
      <c r="A855" s="45" t="str">
        <f>Database_Productkaarten[[#This Row],[Product]]&amp;", "&amp;Database_Productkaarten[[#This Row],[Levensfase]]</f>
        <v>Prefab beton platen 140mm, C3</v>
      </c>
      <c r="B855" s="13" t="s">
        <v>607</v>
      </c>
      <c r="C855" s="13" t="s">
        <v>445</v>
      </c>
      <c r="D855" s="45" t="s">
        <v>606</v>
      </c>
      <c r="E855" s="45" t="s">
        <v>539</v>
      </c>
      <c r="F855" s="45" t="s">
        <v>27</v>
      </c>
      <c r="G855" s="45">
        <v>1</v>
      </c>
      <c r="H855" s="45">
        <v>1</v>
      </c>
      <c r="I855" s="45">
        <v>0.14000000000000001</v>
      </c>
      <c r="J855" s="45"/>
      <c r="K855" s="45"/>
      <c r="L855" s="45">
        <f t="shared" si="1027"/>
        <v>0.33250000000000002</v>
      </c>
      <c r="M855" s="54">
        <v>5.7562554929435836E-2</v>
      </c>
      <c r="N855" s="45">
        <v>100</v>
      </c>
      <c r="O855" s="55">
        <v>3.5069175701999998E-7</v>
      </c>
      <c r="P855" s="55">
        <v>3.9410004611999993E-3</v>
      </c>
      <c r="Q855" s="55">
        <v>0.54959029224</v>
      </c>
      <c r="R855" s="55">
        <v>6.3845534577E-8</v>
      </c>
      <c r="S855" s="55">
        <v>3.1480178399999998E-4</v>
      </c>
      <c r="T855" s="55">
        <v>2.7389356137000002E-3</v>
      </c>
      <c r="U855" s="55">
        <v>6.1891942331999993E-4</v>
      </c>
      <c r="V855" s="55">
        <v>0.125976406215</v>
      </c>
      <c r="W855" s="55">
        <v>2.1563414393400001E-3</v>
      </c>
      <c r="X855" s="55">
        <v>7.9669681046999994</v>
      </c>
      <c r="Y855" s="55">
        <v>1.59373868742E-3</v>
      </c>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v>0.44273824055999994</v>
      </c>
      <c r="AV855" s="55"/>
      <c r="AW855" s="55"/>
      <c r="AX855" s="55">
        <v>8.2616546067000005</v>
      </c>
      <c r="AY855" s="55"/>
      <c r="AZ855" s="55"/>
      <c r="BA855" s="55"/>
      <c r="BB855" s="55">
        <v>3.6330051746999996E-3</v>
      </c>
      <c r="BC855" s="55">
        <v>1.2632016408E-5</v>
      </c>
      <c r="BD855" s="55">
        <v>1.0345185863099999</v>
      </c>
      <c r="BE855" s="55">
        <v>3.7260395435999997E-5</v>
      </c>
      <c r="BF855" s="55"/>
      <c r="BG855" s="55"/>
      <c r="BH855" s="55"/>
      <c r="BI855" s="55"/>
      <c r="BJ855" s="55"/>
      <c r="BK855" s="78">
        <v>0.24210000000000001</v>
      </c>
      <c r="BL855" t="s">
        <v>756</v>
      </c>
      <c r="BM855" s="45"/>
    </row>
    <row r="856" spans="1:65" x14ac:dyDescent="0.35">
      <c r="A856" s="45" t="str">
        <f>Database_Productkaarten[[#This Row],[Product]]&amp;", "&amp;Database_Productkaarten[[#This Row],[Levensfase]]</f>
        <v>Prefab beton platen 140mm, C4</v>
      </c>
      <c r="B856" s="13" t="s">
        <v>607</v>
      </c>
      <c r="C856" s="13" t="s">
        <v>445</v>
      </c>
      <c r="D856" s="45" t="s">
        <v>606</v>
      </c>
      <c r="E856" s="45" t="s">
        <v>539</v>
      </c>
      <c r="F856" s="45" t="s">
        <v>28</v>
      </c>
      <c r="G856" s="45">
        <v>1</v>
      </c>
      <c r="H856" s="45">
        <v>1</v>
      </c>
      <c r="I856" s="45">
        <v>0.14000000000000001</v>
      </c>
      <c r="J856" s="45"/>
      <c r="K856" s="45"/>
      <c r="L856" s="45">
        <f t="shared" si="1027"/>
        <v>0.33250000000000002</v>
      </c>
      <c r="M856" s="54">
        <v>2.6799210490938605E-3</v>
      </c>
      <c r="N856" s="45">
        <v>100</v>
      </c>
      <c r="O856" s="55">
        <v>2.14373550934E-8</v>
      </c>
      <c r="P856" s="55">
        <v>2.7835212024700001E-4</v>
      </c>
      <c r="Q856" s="55">
        <v>1.9044108943300001E-2</v>
      </c>
      <c r="R856" s="55">
        <v>6.8670316944999997E-9</v>
      </c>
      <c r="S856" s="55">
        <v>2.0732455346649998E-5</v>
      </c>
      <c r="T856" s="55">
        <v>1.4357543755400001E-4</v>
      </c>
      <c r="U856" s="55">
        <v>2.7153736552300002E-5</v>
      </c>
      <c r="V856" s="55">
        <v>8.2808776819499989E-3</v>
      </c>
      <c r="W856" s="55">
        <v>2.0055951055049999E-4</v>
      </c>
      <c r="X856" s="55">
        <v>0.70283248186500002</v>
      </c>
      <c r="Y856" s="55">
        <v>2.06751167196E-5</v>
      </c>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v>4.7875822841499998E-3</v>
      </c>
      <c r="AV856" s="55"/>
      <c r="AW856" s="55"/>
      <c r="AX856" s="55">
        <v>0.62166196646500005</v>
      </c>
      <c r="AY856" s="55"/>
      <c r="AZ856" s="55"/>
      <c r="BA856" s="55"/>
      <c r="BB856" s="55">
        <v>6.1062353872999998E-4</v>
      </c>
      <c r="BC856" s="55">
        <v>3.9149196833999999E-7</v>
      </c>
      <c r="BD856" s="55">
        <v>3.6042788892599997</v>
      </c>
      <c r="BE856" s="55">
        <v>3.8707324781500006E-6</v>
      </c>
      <c r="BF856" s="55"/>
      <c r="BG856" s="55"/>
      <c r="BH856" s="55"/>
      <c r="BI856" s="55"/>
      <c r="BJ856" s="55"/>
      <c r="BK856" s="78">
        <v>0.24210000000000001</v>
      </c>
      <c r="BL856" s="250" t="s">
        <v>1238</v>
      </c>
      <c r="BM856" s="45"/>
    </row>
    <row r="857" spans="1:65" x14ac:dyDescent="0.35">
      <c r="A857" s="45" t="str">
        <f>Database_Productkaarten[[#This Row],[Product]]&amp;", "&amp;Database_Productkaarten[[#This Row],[Levensfase]]</f>
        <v>Prefab beton platen 140mm, D1</v>
      </c>
      <c r="B857" s="13" t="s">
        <v>607</v>
      </c>
      <c r="C857" s="13" t="s">
        <v>445</v>
      </c>
      <c r="D857" s="45" t="s">
        <v>606</v>
      </c>
      <c r="E857" s="45" t="s">
        <v>539</v>
      </c>
      <c r="F857" s="45" t="s">
        <v>51</v>
      </c>
      <c r="G857" s="45">
        <v>1</v>
      </c>
      <c r="H857" s="45">
        <v>1</v>
      </c>
      <c r="I857" s="45">
        <v>0.14000000000000001</v>
      </c>
      <c r="J857" s="45"/>
      <c r="K857" s="45"/>
      <c r="L857" s="45">
        <f t="shared" si="1027"/>
        <v>0.33250000000000002</v>
      </c>
      <c r="M857" s="54">
        <v>-0.29093347367234923</v>
      </c>
      <c r="N857" s="45">
        <v>100</v>
      </c>
      <c r="O857" s="55">
        <v>-7.2515965496126092E-6</v>
      </c>
      <c r="P857" s="55">
        <v>-1.4980022934659797E-2</v>
      </c>
      <c r="Q857" s="55">
        <v>-2.2788905462017</v>
      </c>
      <c r="R857" s="55">
        <v>-1.6636710234328297E-7</v>
      </c>
      <c r="S857" s="55">
        <v>-3.0543932549957995E-3</v>
      </c>
      <c r="T857" s="55">
        <v>-1.1345001298359898E-2</v>
      </c>
      <c r="U857" s="55">
        <v>-1.73783886672832E-3</v>
      </c>
      <c r="V857" s="55">
        <v>-1.1882468050398698</v>
      </c>
      <c r="W857" s="55">
        <v>-1.8455646232940007E-3</v>
      </c>
      <c r="X857" s="55">
        <v>-31.717290963716003</v>
      </c>
      <c r="Y857" s="55">
        <v>4.5210976140739989E-2</v>
      </c>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v>-1.1085425261898401</v>
      </c>
      <c r="AV857" s="55"/>
      <c r="AW857" s="55"/>
      <c r="AX857" s="55">
        <v>-26.545234446551998</v>
      </c>
      <c r="AY857" s="55"/>
      <c r="AZ857" s="55"/>
      <c r="BA857" s="55"/>
      <c r="BB857" s="55">
        <v>-0.47841820139457508</v>
      </c>
      <c r="BC857" s="55">
        <v>-1.4452190195707199E-4</v>
      </c>
      <c r="BD857" s="55">
        <v>-0.23637829366053095</v>
      </c>
      <c r="BE857" s="55">
        <v>-8.4116139929315889E-5</v>
      </c>
      <c r="BF857" s="55"/>
      <c r="BG857" s="55"/>
      <c r="BH857" s="55"/>
      <c r="BI857" s="55"/>
      <c r="BJ857" s="55"/>
      <c r="BK857" s="78">
        <v>0.24210000000000001</v>
      </c>
      <c r="BL857" s="251" t="s">
        <v>1239</v>
      </c>
      <c r="BM857" s="45" t="s">
        <v>1240</v>
      </c>
    </row>
    <row r="858" spans="1:65" x14ac:dyDescent="0.35">
      <c r="A858" s="45" t="str">
        <f>Database_Productkaarten[[#This Row],[Product]]&amp;", "&amp;Database_Productkaarten[[#This Row],[Levensfase]]</f>
        <v>Prefab beton platen 140mm, D2</v>
      </c>
      <c r="B858" s="13" t="s">
        <v>607</v>
      </c>
      <c r="C858" s="13" t="s">
        <v>445</v>
      </c>
      <c r="D858" s="45" t="s">
        <v>606</v>
      </c>
      <c r="E858" s="45" t="s">
        <v>539</v>
      </c>
      <c r="F858" s="45" t="s">
        <v>52</v>
      </c>
      <c r="G858" s="45">
        <v>1</v>
      </c>
      <c r="H858" s="45">
        <v>1</v>
      </c>
      <c r="I858" s="45">
        <v>0.14000000000000001</v>
      </c>
      <c r="J858" s="45"/>
      <c r="K858" s="45"/>
      <c r="L858" s="45">
        <f t="shared" si="1027"/>
        <v>0.33250000000000002</v>
      </c>
      <c r="M858" s="54"/>
      <c r="N858" s="45">
        <v>100</v>
      </c>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c r="BA858" s="55"/>
      <c r="BB858" s="55"/>
      <c r="BC858" s="55"/>
      <c r="BD858" s="55"/>
      <c r="BE858" s="55"/>
      <c r="BF858" s="55"/>
      <c r="BG858" s="55"/>
      <c r="BH858" s="55"/>
      <c r="BI858" s="55"/>
      <c r="BJ858" s="55"/>
      <c r="BK858" s="78">
        <v>0.24210000000000001</v>
      </c>
      <c r="BL858" s="233" t="s">
        <v>624</v>
      </c>
      <c r="BM858" s="45"/>
    </row>
    <row r="859" spans="1:65" x14ac:dyDescent="0.35">
      <c r="A859" s="41" t="str">
        <f>Database_Productkaarten[[#This Row],[Product]]&amp;", "&amp;Database_Productkaarten[[#This Row],[Levensfase]]</f>
        <v>Menggranulaat 0/31,5, Totaal</v>
      </c>
      <c r="B859" s="41" t="s">
        <v>133</v>
      </c>
      <c r="C859" s="41" t="s">
        <v>136</v>
      </c>
      <c r="D859" s="41" t="s">
        <v>476</v>
      </c>
      <c r="E859" s="41" t="s">
        <v>91</v>
      </c>
      <c r="F859" s="41" t="s">
        <v>16</v>
      </c>
      <c r="L859" s="41">
        <v>1.8</v>
      </c>
      <c r="M859" s="54">
        <f>SUM(M860:M871)</f>
        <v>1.033775894044797</v>
      </c>
      <c r="N859" s="41">
        <v>100</v>
      </c>
      <c r="O859" s="55">
        <f t="shared" ref="O859:BE859" si="1032">SUM(O860:O871)</f>
        <v>1.660941025925926E-5</v>
      </c>
      <c r="P859" s="55">
        <f t="shared" si="1032"/>
        <v>6.967723471518518E-2</v>
      </c>
      <c r="Q859" s="55">
        <f t="shared" si="1032"/>
        <v>9.2882521274444443</v>
      </c>
      <c r="R859" s="55">
        <f t="shared" si="1032"/>
        <v>1.8259008703703702E-6</v>
      </c>
      <c r="S859" s="55">
        <f t="shared" si="1032"/>
        <v>5.6086588459259255E-3</v>
      </c>
      <c r="T859" s="55">
        <f t="shared" si="1032"/>
        <v>3.159816257371828E-2</v>
      </c>
      <c r="U859" s="55">
        <f t="shared" si="1032"/>
        <v>8.4202303444444442E-3</v>
      </c>
      <c r="V859" s="55">
        <f t="shared" si="1032"/>
        <v>3.5414725729444445</v>
      </c>
      <c r="W859" s="55">
        <f t="shared" si="1032"/>
        <v>0.19187902662648298</v>
      </c>
      <c r="X859" s="55">
        <f t="shared" si="1032"/>
        <v>502.49483547613323</v>
      </c>
      <c r="Y859" s="55">
        <f t="shared" si="1032"/>
        <v>2.0176333716482031E-2</v>
      </c>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f t="shared" si="1032"/>
        <v>2.2844481559233012</v>
      </c>
      <c r="AV859" s="55"/>
      <c r="AW859" s="55"/>
      <c r="AX859" s="55">
        <f t="shared" si="1032"/>
        <v>146.08177761333448</v>
      </c>
      <c r="AY859" s="55"/>
      <c r="AZ859" s="55"/>
      <c r="BA859" s="55"/>
      <c r="BB859" s="55">
        <f t="shared" si="1032"/>
        <v>2.9663391863763888E-2</v>
      </c>
      <c r="BC859" s="55">
        <f t="shared" si="1032"/>
        <v>1.2397505644284562E-3</v>
      </c>
      <c r="BD859" s="55">
        <f t="shared" si="1032"/>
        <v>12.061727000583092</v>
      </c>
      <c r="BE859" s="55">
        <f t="shared" si="1032"/>
        <v>0</v>
      </c>
      <c r="BF859" s="55"/>
      <c r="BG859" s="55"/>
      <c r="BH859" s="55"/>
      <c r="BI859" s="55"/>
      <c r="BJ859" s="55"/>
      <c r="BK859" s="78">
        <v>1</v>
      </c>
      <c r="BM859" s="45"/>
    </row>
    <row r="860" spans="1:65" x14ac:dyDescent="0.35">
      <c r="A860" s="41" t="str">
        <f>Database_Productkaarten[[#This Row],[Product]]&amp;", "&amp;Database_Productkaarten[[#This Row],[Levensfase]]</f>
        <v>Menggranulaat 0/31,5, A1</v>
      </c>
      <c r="B860" s="41" t="s">
        <v>133</v>
      </c>
      <c r="C860" s="41" t="s">
        <v>136</v>
      </c>
      <c r="D860" s="41" t="s">
        <v>476</v>
      </c>
      <c r="E860" s="41" t="s">
        <v>91</v>
      </c>
      <c r="F860" s="41" t="s">
        <v>19</v>
      </c>
      <c r="L860" s="41">
        <v>1.8</v>
      </c>
      <c r="M860" s="54">
        <v>0</v>
      </c>
      <c r="N860" s="41">
        <v>100</v>
      </c>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5"/>
      <c r="BI860" s="55"/>
      <c r="BJ860" s="55"/>
      <c r="BK860" s="78">
        <v>1</v>
      </c>
      <c r="BM860" s="45"/>
    </row>
    <row r="861" spans="1:65" x14ac:dyDescent="0.35">
      <c r="A861" s="41" t="str">
        <f>Database_Productkaarten[[#This Row],[Product]]&amp;", "&amp;Database_Productkaarten[[#This Row],[Levensfase]]</f>
        <v>Menggranulaat 0/31,5, A2</v>
      </c>
      <c r="B861" s="41" t="s">
        <v>133</v>
      </c>
      <c r="C861" s="41" t="s">
        <v>136</v>
      </c>
      <c r="D861" s="41" t="s">
        <v>476</v>
      </c>
      <c r="E861" s="41" t="s">
        <v>91</v>
      </c>
      <c r="F861" s="41" t="s">
        <v>20</v>
      </c>
      <c r="L861" s="41">
        <v>1.8</v>
      </c>
      <c r="M861" s="54">
        <v>0</v>
      </c>
      <c r="N861" s="41">
        <v>100</v>
      </c>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c r="BA861" s="55"/>
      <c r="BB861" s="55"/>
      <c r="BC861" s="55"/>
      <c r="BD861" s="55"/>
      <c r="BE861" s="55"/>
      <c r="BF861" s="55"/>
      <c r="BG861" s="55"/>
      <c r="BH861" s="55"/>
      <c r="BI861" s="55"/>
      <c r="BJ861" s="55"/>
      <c r="BK861" s="78">
        <v>1</v>
      </c>
      <c r="BM861" s="45"/>
    </row>
    <row r="862" spans="1:65" x14ac:dyDescent="0.35">
      <c r="A862" s="41" t="str">
        <f>Database_Productkaarten[[#This Row],[Product]]&amp;", "&amp;Database_Productkaarten[[#This Row],[Levensfase]]</f>
        <v>Menggranulaat 0/31,5, A3</v>
      </c>
      <c r="B862" s="41" t="s">
        <v>133</v>
      </c>
      <c r="C862" s="41" t="s">
        <v>136</v>
      </c>
      <c r="D862" s="41" t="s">
        <v>476</v>
      </c>
      <c r="E862" s="41" t="s">
        <v>91</v>
      </c>
      <c r="F862" s="41" t="s">
        <v>21</v>
      </c>
      <c r="L862" s="41">
        <v>1.8</v>
      </c>
      <c r="M862" s="54">
        <v>0</v>
      </c>
      <c r="N862" s="41">
        <v>100</v>
      </c>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c r="BA862" s="55"/>
      <c r="BB862" s="55"/>
      <c r="BC862" s="55"/>
      <c r="BD862" s="55"/>
      <c r="BE862" s="55"/>
      <c r="BF862" s="55"/>
      <c r="BG862" s="55"/>
      <c r="BH862" s="55"/>
      <c r="BI862" s="55"/>
      <c r="BJ862" s="55"/>
      <c r="BK862" s="78">
        <v>1</v>
      </c>
      <c r="BM862" s="45"/>
    </row>
    <row r="863" spans="1:65" x14ac:dyDescent="0.35">
      <c r="A863" s="41" t="str">
        <f>Database_Productkaarten[[#This Row],[Product]]&amp;", "&amp;Database_Productkaarten[[#This Row],[Levensfase]]</f>
        <v>Menggranulaat 0/31,5, A4</v>
      </c>
      <c r="B863" s="41" t="s">
        <v>133</v>
      </c>
      <c r="C863" s="41" t="s">
        <v>136</v>
      </c>
      <c r="D863" s="41" t="s">
        <v>476</v>
      </c>
      <c r="E863" s="41" t="s">
        <v>91</v>
      </c>
      <c r="F863" s="41" t="s">
        <v>22</v>
      </c>
      <c r="L863" s="41">
        <v>1.8</v>
      </c>
      <c r="M863" s="54">
        <f>G$1051*50</f>
        <v>0.47396919681357996</v>
      </c>
      <c r="N863" s="41">
        <v>100</v>
      </c>
      <c r="O863" s="55">
        <f t="shared" ref="O863:Y863" si="1033">J$1051*50</f>
        <v>8.1082254999999995E-6</v>
      </c>
      <c r="P863" s="55">
        <f t="shared" si="1033"/>
        <v>3.1970782499999996E-2</v>
      </c>
      <c r="Q863" s="55">
        <f t="shared" si="1033"/>
        <v>4.2243894499999994</v>
      </c>
      <c r="R863" s="55">
        <f t="shared" si="1033"/>
        <v>8.3985024999999995E-7</v>
      </c>
      <c r="S863" s="55">
        <f t="shared" si="1033"/>
        <v>2.6661339499999999E-3</v>
      </c>
      <c r="T863" s="55">
        <f t="shared" si="1033"/>
        <v>1.5406751E-2</v>
      </c>
      <c r="U863" s="55">
        <f t="shared" si="1033"/>
        <v>3.13787795E-3</v>
      </c>
      <c r="V863" s="55">
        <f t="shared" si="1033"/>
        <v>1.4876886499999999</v>
      </c>
      <c r="W863" s="55">
        <f t="shared" si="1033"/>
        <v>9.5939509999999992E-2</v>
      </c>
      <c r="X863" s="55">
        <f t="shared" si="1033"/>
        <v>251.08560500000002</v>
      </c>
      <c r="Y863" s="55">
        <f t="shared" si="1033"/>
        <v>8.8168090000000001E-3</v>
      </c>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f>AP$1051*50</f>
        <v>1.14222405</v>
      </c>
      <c r="AV863" s="55"/>
      <c r="AW863" s="55"/>
      <c r="AX863" s="55">
        <f>AS$1051*50</f>
        <v>73.033640000000005</v>
      </c>
      <c r="AY863" s="55"/>
      <c r="AZ863" s="55"/>
      <c r="BA863" s="55"/>
      <c r="BB863" s="55">
        <f>AW$1051*50</f>
        <v>1.4826382499999999E-2</v>
      </c>
      <c r="BC863" s="55">
        <f>AX$1051*50</f>
        <v>5.1738344999999999E-4</v>
      </c>
      <c r="BD863" s="55">
        <f>AY$1051*50</f>
        <v>6.0308634999999997</v>
      </c>
      <c r="BE863" s="55">
        <f>AZ$1051*50</f>
        <v>0</v>
      </c>
      <c r="BF863" s="55"/>
      <c r="BG863" s="55"/>
      <c r="BH863" s="55"/>
      <c r="BI863" s="55"/>
      <c r="BJ863" s="55"/>
      <c r="BK863" s="78">
        <v>1</v>
      </c>
      <c r="BM863" s="45"/>
    </row>
    <row r="864" spans="1:65" x14ac:dyDescent="0.35">
      <c r="A864" s="41" t="str">
        <f>Database_Productkaarten[[#This Row],[Product]]&amp;", "&amp;Database_Productkaarten[[#This Row],[Levensfase]]</f>
        <v>Menggranulaat 0/31,5, A5</v>
      </c>
      <c r="B864" s="41" t="s">
        <v>133</v>
      </c>
      <c r="C864" s="41" t="s">
        <v>136</v>
      </c>
      <c r="D864" s="41" t="s">
        <v>476</v>
      </c>
      <c r="E864" s="41" t="s">
        <v>91</v>
      </c>
      <c r="F864" s="41" t="s">
        <v>23</v>
      </c>
      <c r="L864" s="41">
        <v>1.8</v>
      </c>
      <c r="M864" s="54">
        <f>((1/Database_Productkaarten[[#This Row],[Soortelijk Gewicht '[ton / m3']]])/$H$1164)*(G$1164)</f>
        <v>3.88931415221518E-2</v>
      </c>
      <c r="N864" s="41">
        <v>100</v>
      </c>
      <c r="O864" s="55">
        <f>((1/Database_Productkaarten[[#This Row],[Soortelijk Gewicht '[ton / m3']]])/$H$1164)*(J$1164)</f>
        <v>1.9647962962962966E-7</v>
      </c>
      <c r="P864" s="55">
        <f>((1/Database_Productkaarten[[#This Row],[Soortelijk Gewicht '[ton / m3']]])/$H$1164)*(K$1164)</f>
        <v>2.8678348575925934E-3</v>
      </c>
      <c r="Q864" s="55">
        <f>((1/Database_Productkaarten[[#This Row],[Soortelijk Gewicht '[ton / m3']]])/$H$1164)*(L$1164)</f>
        <v>0.41973661372222226</v>
      </c>
      <c r="R864" s="55">
        <f>((1/Database_Productkaarten[[#This Row],[Soortelijk Gewicht '[ton / m3']]])/$H$1164)*(M$1164)</f>
        <v>7.3100185185185181E-8</v>
      </c>
      <c r="S864" s="55">
        <f>((1/Database_Productkaarten[[#This Row],[Soortelijk Gewicht '[ton / m3']]])/$H$1164)*(N$1164)</f>
        <v>1.3819547296296298E-4</v>
      </c>
      <c r="T864" s="55">
        <f>((1/Database_Productkaarten[[#This Row],[Soortelijk Gewicht '[ton / m3']]])/$H$1164)*(O$1164)</f>
        <v>3.923302868591388E-4</v>
      </c>
      <c r="U864" s="55">
        <f>((1/Database_Productkaarten[[#This Row],[Soortelijk Gewicht '[ton / m3']]])/$H$1164)*(P$1164)</f>
        <v>1.0722372222222224E-3</v>
      </c>
      <c r="V864" s="55">
        <f>((1/Database_Productkaarten[[#This Row],[Soortelijk Gewicht '[ton / m3']]])/$H$1164)*(Q$1164)</f>
        <v>0.28304763647222225</v>
      </c>
      <c r="W864" s="55">
        <f>((1/Database_Productkaarten[[#This Row],[Soortelijk Gewicht '[ton / m3']]])/$H$1164)*(R$1164)</f>
        <v>3.3132414958740741E-9</v>
      </c>
      <c r="X864" s="55">
        <f>((1/Database_Productkaarten[[#This Row],[Soortelijk Gewicht '[ton / m3']]])/$H$1164)*(S$1164)</f>
        <v>0.16181273806658758</v>
      </c>
      <c r="Y864" s="55">
        <f>((1/Database_Productkaarten[[#This Row],[Soortelijk Gewicht '[ton / m3']]])/$H$1164)*(T$1164)</f>
        <v>1.2713578582410152E-3</v>
      </c>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f>((1/Database_Productkaarten[[#This Row],[Soortelijk Gewicht '[ton / m3']]])/$H$1164)*(AP$1164)</f>
        <v>2.7961650520435185E-8</v>
      </c>
      <c r="AV864" s="55"/>
      <c r="AW864" s="55"/>
      <c r="AX864" s="55">
        <f>((1/Database_Productkaarten[[#This Row],[Soortelijk Gewicht '[ton / m3']]])/$H$1164)*(AS$1164)</f>
        <v>7.2488066672315651E-3</v>
      </c>
      <c r="AY864" s="55"/>
      <c r="AZ864" s="55"/>
      <c r="BA864" s="55"/>
      <c r="BB864" s="55">
        <f>((1/Database_Productkaarten[[#This Row],[Soortelijk Gewicht '[ton / m3']]])/$H$1164)*(AW$1164)</f>
        <v>5.3134318819450005E-6</v>
      </c>
      <c r="BC864" s="55">
        <f>((1/Database_Productkaarten[[#This Row],[Soortelijk Gewicht '[ton / m3']]])/$H$1164)*(AX$1164)</f>
        <v>1.0249183221422815E-4</v>
      </c>
      <c r="BD864" s="55">
        <f>((1/Database_Productkaarten[[#This Row],[Soortelijk Gewicht '[ton / m3']]])/$H$1164)*(AY$1164)</f>
        <v>2.915467273037151E-10</v>
      </c>
      <c r="BE864" s="55">
        <f>((1/Database_Productkaarten[[#This Row],[Soortelijk Gewicht '[ton / m3']]])/$H$1164)*(AZ$1164)</f>
        <v>0</v>
      </c>
      <c r="BF864" s="55"/>
      <c r="BG864" s="55"/>
      <c r="BH864" s="55"/>
      <c r="BI864" s="55"/>
      <c r="BJ864" s="55"/>
      <c r="BK864" s="78">
        <v>1</v>
      </c>
      <c r="BM864" s="45"/>
    </row>
    <row r="865" spans="1:65" x14ac:dyDescent="0.35">
      <c r="A865" s="41" t="str">
        <f>Database_Productkaarten[[#This Row],[Product]]&amp;", "&amp;Database_Productkaarten[[#This Row],[Levensfase]]</f>
        <v>Menggranulaat 0/31,5, B1</v>
      </c>
      <c r="B865" s="41" t="s">
        <v>133</v>
      </c>
      <c r="C865" s="41" t="s">
        <v>136</v>
      </c>
      <c r="D865" s="41" t="s">
        <v>476</v>
      </c>
      <c r="E865" s="41" t="s">
        <v>91</v>
      </c>
      <c r="F865" s="41" t="s">
        <v>24</v>
      </c>
      <c r="L865" s="41">
        <v>1.8</v>
      </c>
      <c r="M865" s="54">
        <v>0</v>
      </c>
      <c r="N865" s="41">
        <v>100</v>
      </c>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c r="BA865" s="55"/>
      <c r="BB865" s="55"/>
      <c r="BC865" s="55"/>
      <c r="BD865" s="55"/>
      <c r="BE865" s="55"/>
      <c r="BF865" s="55"/>
      <c r="BG865" s="55"/>
      <c r="BH865" s="55"/>
      <c r="BI865" s="55"/>
      <c r="BJ865" s="55"/>
      <c r="BK865" s="78">
        <v>1</v>
      </c>
      <c r="BM865" s="45"/>
    </row>
    <row r="866" spans="1:65" x14ac:dyDescent="0.35">
      <c r="A866" s="41" t="str">
        <f>Database_Productkaarten[[#This Row],[Product]]&amp;", "&amp;Database_Productkaarten[[#This Row],[Levensfase]]</f>
        <v>Menggranulaat 0/31,5, C1</v>
      </c>
      <c r="B866" s="41" t="s">
        <v>133</v>
      </c>
      <c r="C866" s="41" t="s">
        <v>136</v>
      </c>
      <c r="D866" s="41" t="s">
        <v>476</v>
      </c>
      <c r="E866" s="41" t="s">
        <v>91</v>
      </c>
      <c r="F866" s="41" t="s">
        <v>25</v>
      </c>
      <c r="L866" s="41">
        <v>1.8</v>
      </c>
      <c r="M866" s="54">
        <f>((1/Database_Productkaarten[[#This Row],[Soortelijk Gewicht '[ton / m3']]])/$H$1164)*(G$1164)</f>
        <v>3.88931415221518E-2</v>
      </c>
      <c r="N866" s="41">
        <v>100</v>
      </c>
      <c r="O866" s="55">
        <f>((1/Database_Productkaarten[[#This Row],[Soortelijk Gewicht '[ton / m3']]])/$H$1164)*(J$1164)</f>
        <v>1.9647962962962966E-7</v>
      </c>
      <c r="P866" s="55">
        <f>((1/Database_Productkaarten[[#This Row],[Soortelijk Gewicht '[ton / m3']]])/$H$1164)*(K$1164)</f>
        <v>2.8678348575925934E-3</v>
      </c>
      <c r="Q866" s="55">
        <f>((1/Database_Productkaarten[[#This Row],[Soortelijk Gewicht '[ton / m3']]])/$H$1164)*(L$1164)</f>
        <v>0.41973661372222226</v>
      </c>
      <c r="R866" s="55">
        <f>((1/Database_Productkaarten[[#This Row],[Soortelijk Gewicht '[ton / m3']]])/$H$1164)*(M$1164)</f>
        <v>7.3100185185185181E-8</v>
      </c>
      <c r="S866" s="55">
        <f>((1/Database_Productkaarten[[#This Row],[Soortelijk Gewicht '[ton / m3']]])/$H$1164)*(N$1164)</f>
        <v>1.3819547296296298E-4</v>
      </c>
      <c r="T866" s="55">
        <f>((1/Database_Productkaarten[[#This Row],[Soortelijk Gewicht '[ton / m3']]])/$H$1164)*(O$1164)</f>
        <v>3.923302868591388E-4</v>
      </c>
      <c r="U866" s="55">
        <f>((1/Database_Productkaarten[[#This Row],[Soortelijk Gewicht '[ton / m3']]])/$H$1164)*(P$1164)</f>
        <v>1.0722372222222224E-3</v>
      </c>
      <c r="V866" s="55">
        <f>((1/Database_Productkaarten[[#This Row],[Soortelijk Gewicht '[ton / m3']]])/$H$1164)*(Q$1164)</f>
        <v>0.28304763647222225</v>
      </c>
      <c r="W866" s="55">
        <f>((1/Database_Productkaarten[[#This Row],[Soortelijk Gewicht '[ton / m3']]])/$H$1164)*(R$1164)</f>
        <v>3.3132414958740741E-9</v>
      </c>
      <c r="X866" s="55">
        <f>((1/Database_Productkaarten[[#This Row],[Soortelijk Gewicht '[ton / m3']]])/$H$1164)*(S$1164)</f>
        <v>0.16181273806658758</v>
      </c>
      <c r="Y866" s="55">
        <f>((1/Database_Productkaarten[[#This Row],[Soortelijk Gewicht '[ton / m3']]])/$H$1164)*(T$1164)</f>
        <v>1.2713578582410152E-3</v>
      </c>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f>((1/Database_Productkaarten[[#This Row],[Soortelijk Gewicht '[ton / m3']]])/$H$1164)*(AP$1164)</f>
        <v>2.7961650520435185E-8</v>
      </c>
      <c r="AV866" s="55"/>
      <c r="AW866" s="55"/>
      <c r="AX866" s="55">
        <f>((1/Database_Productkaarten[[#This Row],[Soortelijk Gewicht '[ton / m3']]])/$H$1164)*(AS$1164)</f>
        <v>7.2488066672315651E-3</v>
      </c>
      <c r="AY866" s="55"/>
      <c r="AZ866" s="55"/>
      <c r="BA866" s="55"/>
      <c r="BB866" s="55">
        <f>((1/Database_Productkaarten[[#This Row],[Soortelijk Gewicht '[ton / m3']]])/$H$1164)*(AW$1164)</f>
        <v>5.3134318819450005E-6</v>
      </c>
      <c r="BC866" s="55">
        <f>((1/Database_Productkaarten[[#This Row],[Soortelijk Gewicht '[ton / m3']]])/$H$1164)*(AX$1164)</f>
        <v>1.0249183221422815E-4</v>
      </c>
      <c r="BD866" s="55">
        <f>((1/Database_Productkaarten[[#This Row],[Soortelijk Gewicht '[ton / m3']]])/$H$1164)*(AY$1164)</f>
        <v>2.915467273037151E-10</v>
      </c>
      <c r="BE866" s="55">
        <f>((1/Database_Productkaarten[[#This Row],[Soortelijk Gewicht '[ton / m3']]])/$H$1164)*(AZ$1164)</f>
        <v>0</v>
      </c>
      <c r="BF866" s="55"/>
      <c r="BG866" s="55"/>
      <c r="BH866" s="55"/>
      <c r="BI866" s="55"/>
      <c r="BJ866" s="55"/>
      <c r="BK866" s="78">
        <v>1</v>
      </c>
      <c r="BM866" s="45"/>
    </row>
    <row r="867" spans="1:65" x14ac:dyDescent="0.35">
      <c r="A867" s="41" t="str">
        <f>Database_Productkaarten[[#This Row],[Product]]&amp;", "&amp;Database_Productkaarten[[#This Row],[Levensfase]]</f>
        <v>Menggranulaat 0/31,5, C2</v>
      </c>
      <c r="B867" s="41" t="s">
        <v>133</v>
      </c>
      <c r="C867" s="41" t="s">
        <v>136</v>
      </c>
      <c r="D867" s="41" t="s">
        <v>476</v>
      </c>
      <c r="E867" s="41" t="s">
        <v>91</v>
      </c>
      <c r="F867" s="41" t="s">
        <v>26</v>
      </c>
      <c r="L867" s="41">
        <v>1.8</v>
      </c>
      <c r="M867" s="54">
        <f>G$1051*50</f>
        <v>0.47396919681357996</v>
      </c>
      <c r="N867" s="41">
        <v>100</v>
      </c>
      <c r="O867" s="55">
        <f t="shared" ref="O867:Y867" si="1034">J$1051*50</f>
        <v>8.1082254999999995E-6</v>
      </c>
      <c r="P867" s="55">
        <f t="shared" si="1034"/>
        <v>3.1970782499999996E-2</v>
      </c>
      <c r="Q867" s="55">
        <f t="shared" si="1034"/>
        <v>4.2243894499999994</v>
      </c>
      <c r="R867" s="55">
        <f t="shared" si="1034"/>
        <v>8.3985024999999995E-7</v>
      </c>
      <c r="S867" s="55">
        <f t="shared" si="1034"/>
        <v>2.6661339499999999E-3</v>
      </c>
      <c r="T867" s="55">
        <f t="shared" si="1034"/>
        <v>1.5406751E-2</v>
      </c>
      <c r="U867" s="55">
        <f t="shared" si="1034"/>
        <v>3.13787795E-3</v>
      </c>
      <c r="V867" s="55">
        <f t="shared" si="1034"/>
        <v>1.4876886499999999</v>
      </c>
      <c r="W867" s="55">
        <f t="shared" si="1034"/>
        <v>9.5939509999999992E-2</v>
      </c>
      <c r="X867" s="55">
        <f t="shared" si="1034"/>
        <v>251.08560500000002</v>
      </c>
      <c r="Y867" s="55">
        <f t="shared" si="1034"/>
        <v>8.8168090000000001E-3</v>
      </c>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f>AP$1051*50</f>
        <v>1.14222405</v>
      </c>
      <c r="AV867" s="55"/>
      <c r="AW867" s="55"/>
      <c r="AX867" s="55">
        <f>AS$1051*50</f>
        <v>73.033640000000005</v>
      </c>
      <c r="AY867" s="55"/>
      <c r="AZ867" s="55"/>
      <c r="BA867" s="55"/>
      <c r="BB867" s="55">
        <f>AW$1051*50</f>
        <v>1.4826382499999999E-2</v>
      </c>
      <c r="BC867" s="55">
        <f>AX$1051*50</f>
        <v>5.1738344999999999E-4</v>
      </c>
      <c r="BD867" s="55">
        <f>AY$1051*50</f>
        <v>6.0308634999999997</v>
      </c>
      <c r="BE867" s="55">
        <f>AZ$1051*50</f>
        <v>0</v>
      </c>
      <c r="BF867" s="55"/>
      <c r="BG867" s="55"/>
      <c r="BH867" s="55"/>
      <c r="BI867" s="55"/>
      <c r="BJ867" s="55"/>
      <c r="BK867" s="78">
        <v>1</v>
      </c>
      <c r="BM867" s="45"/>
    </row>
    <row r="868" spans="1:65" x14ac:dyDescent="0.35">
      <c r="A868" s="41" t="str">
        <f>Database_Productkaarten[[#This Row],[Product]]&amp;", "&amp;Database_Productkaarten[[#This Row],[Levensfase]]</f>
        <v>Menggranulaat 0/31,5, C3</v>
      </c>
      <c r="B868" s="41" t="s">
        <v>133</v>
      </c>
      <c r="C868" s="41" t="s">
        <v>136</v>
      </c>
      <c r="D868" s="41" t="s">
        <v>476</v>
      </c>
      <c r="E868" s="41" t="s">
        <v>91</v>
      </c>
      <c r="F868" s="41" t="s">
        <v>27</v>
      </c>
      <c r="L868" s="41">
        <v>1.8</v>
      </c>
      <c r="M868" s="54">
        <v>0</v>
      </c>
      <c r="N868" s="41">
        <v>100</v>
      </c>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c r="BA868" s="55"/>
      <c r="BB868" s="55"/>
      <c r="BC868" s="55"/>
      <c r="BD868" s="55"/>
      <c r="BE868" s="55"/>
      <c r="BF868" s="55"/>
      <c r="BG868" s="55"/>
      <c r="BH868" s="55"/>
      <c r="BI868" s="55"/>
      <c r="BJ868" s="55"/>
      <c r="BK868" s="78">
        <v>1</v>
      </c>
      <c r="BM868" s="45"/>
    </row>
    <row r="869" spans="1:65" x14ac:dyDescent="0.35">
      <c r="A869" s="41" t="str">
        <f>Database_Productkaarten[[#This Row],[Product]]&amp;", "&amp;Database_Productkaarten[[#This Row],[Levensfase]]</f>
        <v>Menggranulaat 0/31,5, C4</v>
      </c>
      <c r="B869" s="41" t="s">
        <v>133</v>
      </c>
      <c r="C869" s="41" t="s">
        <v>136</v>
      </c>
      <c r="D869" s="41" t="s">
        <v>476</v>
      </c>
      <c r="E869" s="41" t="s">
        <v>91</v>
      </c>
      <c r="F869" s="41" t="s">
        <v>28</v>
      </c>
      <c r="L869" s="41">
        <v>1.8</v>
      </c>
      <c r="M869" s="54">
        <f>(0.0028984382544*5)/Database_Productkaarten[[#This Row],[Soortelijk Gewicht '[ton / m3']]]</f>
        <v>8.0512173733333341E-3</v>
      </c>
      <c r="N869" s="41">
        <v>100</v>
      </c>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c r="BA869" s="55"/>
      <c r="BB869" s="55"/>
      <c r="BC869" s="55"/>
      <c r="BD869" s="55"/>
      <c r="BE869" s="55"/>
      <c r="BF869" s="55"/>
      <c r="BG869" s="55"/>
      <c r="BH869" s="55"/>
      <c r="BI869" s="55"/>
      <c r="BJ869" s="55"/>
      <c r="BK869" s="78">
        <v>1</v>
      </c>
      <c r="BM869" s="45"/>
    </row>
    <row r="870" spans="1:65" x14ac:dyDescent="0.35">
      <c r="A870" s="41" t="str">
        <f>Database_Productkaarten[[#This Row],[Product]]&amp;", "&amp;Database_Productkaarten[[#This Row],[Levensfase]]</f>
        <v>Menggranulaat 0/31,5, D1</v>
      </c>
      <c r="B870" s="41" t="s">
        <v>133</v>
      </c>
      <c r="C870" s="41" t="s">
        <v>136</v>
      </c>
      <c r="D870" s="41" t="s">
        <v>476</v>
      </c>
      <c r="E870" s="41" t="s">
        <v>91</v>
      </c>
      <c r="F870" s="41" t="s">
        <v>51</v>
      </c>
      <c r="L870" s="41">
        <v>1.8</v>
      </c>
      <c r="M870" s="54">
        <v>0</v>
      </c>
      <c r="N870" s="41">
        <v>100</v>
      </c>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c r="BA870" s="55"/>
      <c r="BB870" s="55"/>
      <c r="BC870" s="55"/>
      <c r="BD870" s="55"/>
      <c r="BE870" s="55"/>
      <c r="BF870" s="55"/>
      <c r="BG870" s="55"/>
      <c r="BH870" s="55"/>
      <c r="BI870" s="55"/>
      <c r="BJ870" s="55"/>
      <c r="BK870" s="78">
        <v>1</v>
      </c>
      <c r="BM870" s="45"/>
    </row>
    <row r="871" spans="1:65" x14ac:dyDescent="0.35">
      <c r="A871" s="41" t="str">
        <f>Database_Productkaarten[[#This Row],[Product]]&amp;", "&amp;Database_Productkaarten[[#This Row],[Levensfase]]</f>
        <v>Menggranulaat 0/31,5, D2</v>
      </c>
      <c r="B871" s="41" t="s">
        <v>133</v>
      </c>
      <c r="C871" s="41" t="s">
        <v>136</v>
      </c>
      <c r="D871" s="41" t="s">
        <v>476</v>
      </c>
      <c r="E871" s="41" t="s">
        <v>91</v>
      </c>
      <c r="F871" s="41" t="s">
        <v>52</v>
      </c>
      <c r="L871" s="41">
        <v>1.8</v>
      </c>
      <c r="M871" s="54">
        <v>0</v>
      </c>
      <c r="N871" s="41">
        <v>100</v>
      </c>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c r="BA871" s="55"/>
      <c r="BB871" s="55"/>
      <c r="BC871" s="55"/>
      <c r="BD871" s="55"/>
      <c r="BE871" s="55"/>
      <c r="BF871" s="55"/>
      <c r="BG871" s="55"/>
      <c r="BH871" s="55"/>
      <c r="BI871" s="55"/>
      <c r="BJ871" s="55"/>
      <c r="BK871" s="78">
        <v>1</v>
      </c>
      <c r="BM871" s="45"/>
    </row>
    <row r="872" spans="1:65" x14ac:dyDescent="0.35">
      <c r="A872" s="41" t="str">
        <f>Database_Productkaarten[[#This Row],[Product]]&amp;", "&amp;Database_Productkaarten[[#This Row],[Levensfase]]</f>
        <v>Betongranulaat, Totaal</v>
      </c>
      <c r="B872" s="41" t="s">
        <v>134</v>
      </c>
      <c r="C872" s="41" t="s">
        <v>136</v>
      </c>
      <c r="D872" s="41" t="s">
        <v>134</v>
      </c>
      <c r="E872" s="41" t="s">
        <v>91</v>
      </c>
      <c r="F872" s="41" t="s">
        <v>16</v>
      </c>
      <c r="L872" s="41">
        <v>2.1</v>
      </c>
      <c r="M872" s="54">
        <f>SUM(M873:M884)</f>
        <v>1.0223981431470393</v>
      </c>
      <c r="N872" s="41">
        <v>100</v>
      </c>
      <c r="O872" s="55">
        <f t="shared" ref="O872" si="1035">SUM(O873:O884)</f>
        <v>1.655327322222222E-5</v>
      </c>
      <c r="P872" s="55">
        <f t="shared" ref="P872" si="1036">SUM(P873:P884)</f>
        <v>6.8857853327301585E-2</v>
      </c>
      <c r="Q872" s="55">
        <f t="shared" ref="Q872" si="1037">SUM(Q873:Q884)</f>
        <v>9.1683273806666659</v>
      </c>
      <c r="R872" s="55">
        <f t="shared" ref="R872" si="1038">SUM(R873:R884)</f>
        <v>1.8050151031746031E-6</v>
      </c>
      <c r="S872" s="55">
        <f t="shared" ref="S872" si="1039">SUM(S873:S884)</f>
        <v>5.5691744250793646E-3</v>
      </c>
      <c r="T872" s="55">
        <f t="shared" ref="T872" si="1040">SUM(T873:T884)</f>
        <v>3.1486068206044236E-2</v>
      </c>
      <c r="U872" s="55">
        <f t="shared" ref="U872" si="1041">SUM(U873:U884)</f>
        <v>8.113876852380953E-3</v>
      </c>
      <c r="V872" s="55">
        <f t="shared" ref="V872" si="1042">SUM(V873:V884)</f>
        <v>3.4606018196666666</v>
      </c>
      <c r="W872" s="55">
        <f t="shared" ref="W872" si="1043">SUM(W873:W884)</f>
        <v>0.19187902567984255</v>
      </c>
      <c r="X872" s="55">
        <f t="shared" ref="X872" si="1044">SUM(X873:X884)</f>
        <v>502.44860326525702</v>
      </c>
      <c r="Y872" s="55">
        <f t="shared" ref="Y872" si="1045">SUM(Y873:Y884)</f>
        <v>1.9813088614127453E-2</v>
      </c>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f t="shared" ref="AU872" si="1046">SUM(AU873:AU884)</f>
        <v>2.284448147934258</v>
      </c>
      <c r="AV872" s="55"/>
      <c r="AW872" s="55"/>
      <c r="AX872" s="55">
        <f t="shared" ref="AX872" si="1047">SUM(AX873:AX884)</f>
        <v>146.07970652571527</v>
      </c>
      <c r="AY872" s="55"/>
      <c r="AZ872" s="55"/>
      <c r="BA872" s="55"/>
      <c r="BB872" s="55">
        <f t="shared" ref="BB872" si="1048">SUM(BB873:BB884)</f>
        <v>2.9661873740369046E-2</v>
      </c>
      <c r="BC872" s="55">
        <f t="shared" ref="BC872" si="1049">SUM(BC873:BC884)</f>
        <v>1.2104671837958197E-3</v>
      </c>
      <c r="BD872" s="55">
        <f t="shared" ref="BD872" si="1050">SUM(BD873:BD884)</f>
        <v>12.061727000499793</v>
      </c>
      <c r="BE872" s="55">
        <f t="shared" ref="BE872" si="1051">SUM(BE873:BE884)</f>
        <v>0</v>
      </c>
      <c r="BF872" s="55"/>
      <c r="BG872" s="55"/>
      <c r="BH872" s="55"/>
      <c r="BI872" s="55"/>
      <c r="BJ872" s="55"/>
      <c r="BK872" s="78">
        <v>1</v>
      </c>
      <c r="BM872" s="45"/>
    </row>
    <row r="873" spans="1:65" x14ac:dyDescent="0.35">
      <c r="A873" s="41" t="str">
        <f>Database_Productkaarten[[#This Row],[Product]]&amp;", "&amp;Database_Productkaarten[[#This Row],[Levensfase]]</f>
        <v>Betongranulaat, A1</v>
      </c>
      <c r="B873" s="41" t="s">
        <v>134</v>
      </c>
      <c r="C873" s="41" t="s">
        <v>136</v>
      </c>
      <c r="D873" s="41" t="s">
        <v>134</v>
      </c>
      <c r="E873" s="41" t="s">
        <v>91</v>
      </c>
      <c r="F873" s="41" t="s">
        <v>19</v>
      </c>
      <c r="L873" s="41">
        <v>2.1</v>
      </c>
      <c r="M873" s="54">
        <v>0</v>
      </c>
      <c r="N873" s="41">
        <v>100</v>
      </c>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c r="BA873" s="55"/>
      <c r="BB873" s="55"/>
      <c r="BC873" s="55"/>
      <c r="BD873" s="55"/>
      <c r="BE873" s="55"/>
      <c r="BF873" s="55"/>
      <c r="BG873" s="55"/>
      <c r="BH873" s="55"/>
      <c r="BI873" s="55"/>
      <c r="BJ873" s="55"/>
      <c r="BK873" s="78">
        <v>1</v>
      </c>
      <c r="BM873" s="45"/>
    </row>
    <row r="874" spans="1:65" x14ac:dyDescent="0.35">
      <c r="A874" s="41" t="str">
        <f>Database_Productkaarten[[#This Row],[Product]]&amp;", "&amp;Database_Productkaarten[[#This Row],[Levensfase]]</f>
        <v>Betongranulaat, A2</v>
      </c>
      <c r="B874" s="41" t="s">
        <v>134</v>
      </c>
      <c r="C874" s="41" t="s">
        <v>136</v>
      </c>
      <c r="D874" s="41" t="s">
        <v>134</v>
      </c>
      <c r="E874" s="41" t="s">
        <v>91</v>
      </c>
      <c r="F874" s="41" t="s">
        <v>20</v>
      </c>
      <c r="L874" s="41">
        <v>2.1</v>
      </c>
      <c r="M874" s="54">
        <v>0</v>
      </c>
      <c r="N874" s="41">
        <v>100</v>
      </c>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c r="BA874" s="55"/>
      <c r="BB874" s="55"/>
      <c r="BC874" s="55"/>
      <c r="BD874" s="55"/>
      <c r="BE874" s="55"/>
      <c r="BF874" s="55"/>
      <c r="BG874" s="55"/>
      <c r="BH874" s="55"/>
      <c r="BI874" s="55"/>
      <c r="BJ874" s="55"/>
      <c r="BK874" s="78">
        <v>1</v>
      </c>
      <c r="BM874" s="45"/>
    </row>
    <row r="875" spans="1:65" x14ac:dyDescent="0.35">
      <c r="A875" s="41" t="str">
        <f>Database_Productkaarten[[#This Row],[Product]]&amp;", "&amp;Database_Productkaarten[[#This Row],[Levensfase]]</f>
        <v>Betongranulaat, A3</v>
      </c>
      <c r="B875" s="41" t="s">
        <v>134</v>
      </c>
      <c r="C875" s="41" t="s">
        <v>136</v>
      </c>
      <c r="D875" s="41" t="s">
        <v>134</v>
      </c>
      <c r="E875" s="41" t="s">
        <v>91</v>
      </c>
      <c r="F875" s="41" t="s">
        <v>21</v>
      </c>
      <c r="L875" s="41">
        <v>2.1</v>
      </c>
      <c r="M875" s="54">
        <v>0</v>
      </c>
      <c r="N875" s="41">
        <v>100</v>
      </c>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c r="BA875" s="55"/>
      <c r="BB875" s="55"/>
      <c r="BC875" s="55"/>
      <c r="BD875" s="55"/>
      <c r="BE875" s="55"/>
      <c r="BF875" s="55"/>
      <c r="BG875" s="55"/>
      <c r="BH875" s="55"/>
      <c r="BI875" s="55"/>
      <c r="BJ875" s="55"/>
      <c r="BK875" s="78">
        <v>1</v>
      </c>
      <c r="BM875" s="45"/>
    </row>
    <row r="876" spans="1:65" x14ac:dyDescent="0.35">
      <c r="A876" s="41" t="str">
        <f>Database_Productkaarten[[#This Row],[Product]]&amp;", "&amp;Database_Productkaarten[[#This Row],[Levensfase]]</f>
        <v>Betongranulaat, A4</v>
      </c>
      <c r="B876" s="41" t="s">
        <v>134</v>
      </c>
      <c r="C876" s="41" t="s">
        <v>136</v>
      </c>
      <c r="D876" s="41" t="s">
        <v>134</v>
      </c>
      <c r="E876" s="41" t="s">
        <v>91</v>
      </c>
      <c r="F876" s="41" t="s">
        <v>22</v>
      </c>
      <c r="L876" s="41">
        <v>2.1</v>
      </c>
      <c r="M876" s="54">
        <f>G$1051*50</f>
        <v>0.47396919681357996</v>
      </c>
      <c r="N876" s="41">
        <v>100</v>
      </c>
      <c r="O876" s="55">
        <f t="shared" ref="O876:Y876" si="1052">J$1051*50</f>
        <v>8.1082254999999995E-6</v>
      </c>
      <c r="P876" s="55">
        <f t="shared" si="1052"/>
        <v>3.1970782499999996E-2</v>
      </c>
      <c r="Q876" s="55">
        <f t="shared" si="1052"/>
        <v>4.2243894499999994</v>
      </c>
      <c r="R876" s="55">
        <f t="shared" si="1052"/>
        <v>8.3985024999999995E-7</v>
      </c>
      <c r="S876" s="55">
        <f t="shared" si="1052"/>
        <v>2.6661339499999999E-3</v>
      </c>
      <c r="T876" s="55">
        <f t="shared" si="1052"/>
        <v>1.5406751E-2</v>
      </c>
      <c r="U876" s="55">
        <f t="shared" si="1052"/>
        <v>3.13787795E-3</v>
      </c>
      <c r="V876" s="55">
        <f t="shared" si="1052"/>
        <v>1.4876886499999999</v>
      </c>
      <c r="W876" s="55">
        <f t="shared" si="1052"/>
        <v>9.5939509999999992E-2</v>
      </c>
      <c r="X876" s="55">
        <f t="shared" si="1052"/>
        <v>251.08560500000002</v>
      </c>
      <c r="Y876" s="55">
        <f t="shared" si="1052"/>
        <v>8.8168090000000001E-3</v>
      </c>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f>AP$1051*50</f>
        <v>1.14222405</v>
      </c>
      <c r="AV876" s="55"/>
      <c r="AW876" s="55"/>
      <c r="AX876" s="55">
        <f>AS$1051*50</f>
        <v>73.033640000000005</v>
      </c>
      <c r="AY876" s="55"/>
      <c r="AZ876" s="55"/>
      <c r="BA876" s="55"/>
      <c r="BB876" s="55">
        <f>AW$1051*50</f>
        <v>1.4826382499999999E-2</v>
      </c>
      <c r="BC876" s="55">
        <f>AX$1051*50</f>
        <v>5.1738344999999999E-4</v>
      </c>
      <c r="BD876" s="55">
        <f>AY$1051*50</f>
        <v>6.0308634999999997</v>
      </c>
      <c r="BE876" s="55">
        <f>AZ$1051*50</f>
        <v>0</v>
      </c>
      <c r="BF876" s="55"/>
      <c r="BG876" s="55"/>
      <c r="BH876" s="55"/>
      <c r="BI876" s="55"/>
      <c r="BJ876" s="55"/>
      <c r="BK876" s="78">
        <v>1</v>
      </c>
      <c r="BM876" s="45"/>
    </row>
    <row r="877" spans="1:65" x14ac:dyDescent="0.35">
      <c r="A877" s="41" t="str">
        <f>Database_Productkaarten[[#This Row],[Product]]&amp;", "&amp;Database_Productkaarten[[#This Row],[Levensfase]]</f>
        <v>Betongranulaat, A5</v>
      </c>
      <c r="B877" s="41" t="s">
        <v>134</v>
      </c>
      <c r="C877" s="41" t="s">
        <v>136</v>
      </c>
      <c r="D877" s="41" t="s">
        <v>134</v>
      </c>
      <c r="E877" s="41" t="s">
        <v>91</v>
      </c>
      <c r="F877" s="41" t="s">
        <v>23</v>
      </c>
      <c r="L877" s="41">
        <v>2.1</v>
      </c>
      <c r="M877" s="54">
        <f>((1/Database_Productkaarten[[#This Row],[Soortelijk Gewicht '[ton / m3']]])/$H$1164)*(G$1164)</f>
        <v>3.3336978447558674E-2</v>
      </c>
      <c r="N877" s="41">
        <v>100</v>
      </c>
      <c r="O877" s="55">
        <f>((1/Database_Productkaarten[[#This Row],[Soortelijk Gewicht '[ton / m3']]])/$H$1164)*(J$1164)</f>
        <v>1.684111111111111E-7</v>
      </c>
      <c r="P877" s="55">
        <f>((1/Database_Productkaarten[[#This Row],[Soortelijk Gewicht '[ton / m3']]])/$H$1164)*(K$1164)</f>
        <v>2.4581441636507937E-3</v>
      </c>
      <c r="Q877" s="55">
        <f>((1/Database_Productkaarten[[#This Row],[Soortelijk Gewicht '[ton / m3']]])/$H$1164)*(L$1164)</f>
        <v>0.35977424033333333</v>
      </c>
      <c r="R877" s="55">
        <f>((1/Database_Productkaarten[[#This Row],[Soortelijk Gewicht '[ton / m3']]])/$H$1164)*(M$1164)</f>
        <v>6.265730158730158E-8</v>
      </c>
      <c r="S877" s="55">
        <f>((1/Database_Productkaarten[[#This Row],[Soortelijk Gewicht '[ton / m3']]])/$H$1164)*(N$1164)</f>
        <v>1.1845326253968254E-4</v>
      </c>
      <c r="T877" s="55">
        <f>((1/Database_Productkaarten[[#This Row],[Soortelijk Gewicht '[ton / m3']]])/$H$1164)*(O$1164)</f>
        <v>3.3628310302211893E-4</v>
      </c>
      <c r="U877" s="55">
        <f>((1/Database_Productkaarten[[#This Row],[Soortelijk Gewicht '[ton / m3']]])/$H$1164)*(P$1164)</f>
        <v>9.1906047619047613E-4</v>
      </c>
      <c r="V877" s="55">
        <f>((1/Database_Productkaarten[[#This Row],[Soortelijk Gewicht '[ton / m3']]])/$H$1164)*(Q$1164)</f>
        <v>0.24261225983333332</v>
      </c>
      <c r="W877" s="55">
        <f>((1/Database_Productkaarten[[#This Row],[Soortelijk Gewicht '[ton / m3']]])/$H$1164)*(R$1164)</f>
        <v>2.8399212821777773E-9</v>
      </c>
      <c r="X877" s="55">
        <f>((1/Database_Productkaarten[[#This Row],[Soortelijk Gewicht '[ton / m3']]])/$H$1164)*(S$1164)</f>
        <v>0.13869663262850362</v>
      </c>
      <c r="Y877" s="55">
        <f>((1/Database_Productkaarten[[#This Row],[Soortelijk Gewicht '[ton / m3']]])/$H$1164)*(T$1164)</f>
        <v>1.0897353070637272E-3</v>
      </c>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f>((1/Database_Productkaarten[[#This Row],[Soortelijk Gewicht '[ton / m3']]])/$H$1164)*(AP$1164)</f>
        <v>2.3967129017515867E-8</v>
      </c>
      <c r="AV877" s="55"/>
      <c r="AW877" s="55"/>
      <c r="AX877" s="55">
        <f>((1/Database_Productkaarten[[#This Row],[Soortelijk Gewicht '[ton / m3']]])/$H$1164)*(AS$1164)</f>
        <v>6.2132628576270542E-3</v>
      </c>
      <c r="AY877" s="55"/>
      <c r="AZ877" s="55"/>
      <c r="BA877" s="55"/>
      <c r="BB877" s="55">
        <f>((1/Database_Productkaarten[[#This Row],[Soortelijk Gewicht '[ton / m3']]])/$H$1164)*(AW$1164)</f>
        <v>4.5543701845242857E-6</v>
      </c>
      <c r="BC877" s="55">
        <f>((1/Database_Productkaarten[[#This Row],[Soortelijk Gewicht '[ton / m3']]])/$H$1164)*(AX$1164)</f>
        <v>8.7850141897909825E-5</v>
      </c>
      <c r="BD877" s="55">
        <f>((1/Database_Productkaarten[[#This Row],[Soortelijk Gewicht '[ton / m3']]])/$H$1164)*(AY$1164)</f>
        <v>2.4989719483175576E-10</v>
      </c>
      <c r="BE877" s="55">
        <f>((1/Database_Productkaarten[[#This Row],[Soortelijk Gewicht '[ton / m3']]])/$H$1164)*(AZ$1164)</f>
        <v>0</v>
      </c>
      <c r="BF877" s="55"/>
      <c r="BG877" s="55"/>
      <c r="BH877" s="55"/>
      <c r="BI877" s="55"/>
      <c r="BJ877" s="55"/>
      <c r="BK877" s="78">
        <v>1</v>
      </c>
      <c r="BM877" s="45"/>
    </row>
    <row r="878" spans="1:65" x14ac:dyDescent="0.35">
      <c r="A878" s="41" t="str">
        <f>Database_Productkaarten[[#This Row],[Product]]&amp;", "&amp;Database_Productkaarten[[#This Row],[Levensfase]]</f>
        <v>Betongranulaat, B1</v>
      </c>
      <c r="B878" s="41" t="s">
        <v>134</v>
      </c>
      <c r="C878" s="41" t="s">
        <v>136</v>
      </c>
      <c r="D878" s="41" t="s">
        <v>134</v>
      </c>
      <c r="E878" s="41" t="s">
        <v>91</v>
      </c>
      <c r="F878" s="41" t="s">
        <v>24</v>
      </c>
      <c r="L878" s="41">
        <v>2.1</v>
      </c>
      <c r="M878" s="54">
        <v>0</v>
      </c>
      <c r="N878" s="41">
        <v>100</v>
      </c>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c r="BA878" s="55"/>
      <c r="BB878" s="55"/>
      <c r="BC878" s="55"/>
      <c r="BD878" s="55"/>
      <c r="BE878" s="55"/>
      <c r="BF878" s="55"/>
      <c r="BG878" s="55"/>
      <c r="BH878" s="55"/>
      <c r="BI878" s="55"/>
      <c r="BJ878" s="55"/>
      <c r="BK878" s="78">
        <v>1</v>
      </c>
      <c r="BM878" s="45"/>
    </row>
    <row r="879" spans="1:65" x14ac:dyDescent="0.35">
      <c r="A879" s="41" t="str">
        <f>Database_Productkaarten[[#This Row],[Product]]&amp;", "&amp;Database_Productkaarten[[#This Row],[Levensfase]]</f>
        <v>Betongranulaat, C1</v>
      </c>
      <c r="B879" s="41" t="s">
        <v>134</v>
      </c>
      <c r="C879" s="41" t="s">
        <v>136</v>
      </c>
      <c r="D879" s="41" t="s">
        <v>134</v>
      </c>
      <c r="E879" s="41" t="s">
        <v>91</v>
      </c>
      <c r="F879" s="41" t="s">
        <v>25</v>
      </c>
      <c r="L879" s="41">
        <v>2.1</v>
      </c>
      <c r="M879" s="54">
        <f>((1/Database_Productkaarten[[#This Row],[Soortelijk Gewicht '[ton / m3']]])/$H$1164)*(G$1164)</f>
        <v>3.3336978447558674E-2</v>
      </c>
      <c r="N879" s="41">
        <v>100</v>
      </c>
      <c r="O879" s="55">
        <f>((1/Database_Productkaarten[[#This Row],[Soortelijk Gewicht '[ton / m3']]])/$H$1164)*(J$1164)</f>
        <v>1.684111111111111E-7</v>
      </c>
      <c r="P879" s="55">
        <f>((1/Database_Productkaarten[[#This Row],[Soortelijk Gewicht '[ton / m3']]])/$H$1164)*(K$1164)</f>
        <v>2.4581441636507937E-3</v>
      </c>
      <c r="Q879" s="55">
        <f>((1/Database_Productkaarten[[#This Row],[Soortelijk Gewicht '[ton / m3']]])/$H$1164)*(L$1164)</f>
        <v>0.35977424033333333</v>
      </c>
      <c r="R879" s="55">
        <f>((1/Database_Productkaarten[[#This Row],[Soortelijk Gewicht '[ton / m3']]])/$H$1164)*(M$1164)</f>
        <v>6.265730158730158E-8</v>
      </c>
      <c r="S879" s="55">
        <f>((1/Database_Productkaarten[[#This Row],[Soortelijk Gewicht '[ton / m3']]])/$H$1164)*(N$1164)</f>
        <v>1.1845326253968254E-4</v>
      </c>
      <c r="T879" s="55">
        <f>((1/Database_Productkaarten[[#This Row],[Soortelijk Gewicht '[ton / m3']]])/$H$1164)*(O$1164)</f>
        <v>3.3628310302211893E-4</v>
      </c>
      <c r="U879" s="55">
        <f>((1/Database_Productkaarten[[#This Row],[Soortelijk Gewicht '[ton / m3']]])/$H$1164)*(P$1164)</f>
        <v>9.1906047619047613E-4</v>
      </c>
      <c r="V879" s="55">
        <f>((1/Database_Productkaarten[[#This Row],[Soortelijk Gewicht '[ton / m3']]])/$H$1164)*(Q$1164)</f>
        <v>0.24261225983333332</v>
      </c>
      <c r="W879" s="55">
        <f>((1/Database_Productkaarten[[#This Row],[Soortelijk Gewicht '[ton / m3']]])/$H$1164)*(R$1164)</f>
        <v>2.8399212821777773E-9</v>
      </c>
      <c r="X879" s="55">
        <f>((1/Database_Productkaarten[[#This Row],[Soortelijk Gewicht '[ton / m3']]])/$H$1164)*(S$1164)</f>
        <v>0.13869663262850362</v>
      </c>
      <c r="Y879" s="55">
        <f>((1/Database_Productkaarten[[#This Row],[Soortelijk Gewicht '[ton / m3']]])/$H$1164)*(T$1164)</f>
        <v>1.0897353070637272E-3</v>
      </c>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f>((1/Database_Productkaarten[[#This Row],[Soortelijk Gewicht '[ton / m3']]])/$H$1164)*(AP$1164)</f>
        <v>2.3967129017515867E-8</v>
      </c>
      <c r="AV879" s="55"/>
      <c r="AW879" s="55"/>
      <c r="AX879" s="55">
        <f>((1/Database_Productkaarten[[#This Row],[Soortelijk Gewicht '[ton / m3']]])/$H$1164)*(AS$1164)</f>
        <v>6.2132628576270542E-3</v>
      </c>
      <c r="AY879" s="55"/>
      <c r="AZ879" s="55"/>
      <c r="BA879" s="55"/>
      <c r="BB879" s="55">
        <f>((1/Database_Productkaarten[[#This Row],[Soortelijk Gewicht '[ton / m3']]])/$H$1164)*(AW$1164)</f>
        <v>4.5543701845242857E-6</v>
      </c>
      <c r="BC879" s="55">
        <f>((1/Database_Productkaarten[[#This Row],[Soortelijk Gewicht '[ton / m3']]])/$H$1164)*(AX$1164)</f>
        <v>8.7850141897909825E-5</v>
      </c>
      <c r="BD879" s="55">
        <f>((1/Database_Productkaarten[[#This Row],[Soortelijk Gewicht '[ton / m3']]])/$H$1164)*(AY$1164)</f>
        <v>2.4989719483175576E-10</v>
      </c>
      <c r="BE879" s="55">
        <f>((1/Database_Productkaarten[[#This Row],[Soortelijk Gewicht '[ton / m3']]])/$H$1164)*(AZ$1164)</f>
        <v>0</v>
      </c>
      <c r="BF879" s="55"/>
      <c r="BG879" s="55"/>
      <c r="BH879" s="55"/>
      <c r="BI879" s="55"/>
      <c r="BJ879" s="55"/>
      <c r="BK879" s="78">
        <v>1</v>
      </c>
      <c r="BM879" s="45"/>
    </row>
    <row r="880" spans="1:65" x14ac:dyDescent="0.35">
      <c r="A880" s="41" t="str">
        <f>Database_Productkaarten[[#This Row],[Product]]&amp;", "&amp;Database_Productkaarten[[#This Row],[Levensfase]]</f>
        <v>Betongranulaat, C2</v>
      </c>
      <c r="B880" s="41" t="s">
        <v>134</v>
      </c>
      <c r="C880" s="41" t="s">
        <v>136</v>
      </c>
      <c r="D880" s="41" t="s">
        <v>134</v>
      </c>
      <c r="E880" s="41" t="s">
        <v>91</v>
      </c>
      <c r="F880" s="41" t="s">
        <v>26</v>
      </c>
      <c r="L880" s="41">
        <v>2.1</v>
      </c>
      <c r="M880" s="54">
        <f>G$1051*50</f>
        <v>0.47396919681357996</v>
      </c>
      <c r="N880" s="41">
        <v>100</v>
      </c>
      <c r="O880" s="55">
        <f t="shared" ref="O880:Y880" si="1053">J$1051*50</f>
        <v>8.1082254999999995E-6</v>
      </c>
      <c r="P880" s="55">
        <f t="shared" si="1053"/>
        <v>3.1970782499999996E-2</v>
      </c>
      <c r="Q880" s="55">
        <f t="shared" si="1053"/>
        <v>4.2243894499999994</v>
      </c>
      <c r="R880" s="55">
        <f t="shared" si="1053"/>
        <v>8.3985024999999995E-7</v>
      </c>
      <c r="S880" s="55">
        <f t="shared" si="1053"/>
        <v>2.6661339499999999E-3</v>
      </c>
      <c r="T880" s="55">
        <f t="shared" si="1053"/>
        <v>1.5406751E-2</v>
      </c>
      <c r="U880" s="55">
        <f t="shared" si="1053"/>
        <v>3.13787795E-3</v>
      </c>
      <c r="V880" s="55">
        <f t="shared" si="1053"/>
        <v>1.4876886499999999</v>
      </c>
      <c r="W880" s="55">
        <f t="shared" si="1053"/>
        <v>9.5939509999999992E-2</v>
      </c>
      <c r="X880" s="55">
        <f t="shared" si="1053"/>
        <v>251.08560500000002</v>
      </c>
      <c r="Y880" s="55">
        <f t="shared" si="1053"/>
        <v>8.8168090000000001E-3</v>
      </c>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f>AP$1051*50</f>
        <v>1.14222405</v>
      </c>
      <c r="AV880" s="55"/>
      <c r="AW880" s="55"/>
      <c r="AX880" s="55">
        <f>AS$1051*50</f>
        <v>73.033640000000005</v>
      </c>
      <c r="AY880" s="55"/>
      <c r="AZ880" s="55"/>
      <c r="BA880" s="55"/>
      <c r="BB880" s="55">
        <f>AW$1051*50</f>
        <v>1.4826382499999999E-2</v>
      </c>
      <c r="BC880" s="55">
        <f>AX$1051*50</f>
        <v>5.1738344999999999E-4</v>
      </c>
      <c r="BD880" s="55">
        <f>AY$1051*50</f>
        <v>6.0308634999999997</v>
      </c>
      <c r="BE880" s="55">
        <f>AZ$1051*50</f>
        <v>0</v>
      </c>
      <c r="BF880" s="55"/>
      <c r="BG880" s="55"/>
      <c r="BH880" s="55"/>
      <c r="BI880" s="55"/>
      <c r="BJ880" s="55"/>
      <c r="BK880" s="78">
        <v>1</v>
      </c>
      <c r="BM880" s="45"/>
    </row>
    <row r="881" spans="1:65" x14ac:dyDescent="0.35">
      <c r="A881" s="41" t="str">
        <f>Database_Productkaarten[[#This Row],[Product]]&amp;", "&amp;Database_Productkaarten[[#This Row],[Levensfase]]</f>
        <v>Betongranulaat, C3</v>
      </c>
      <c r="B881" s="41" t="s">
        <v>134</v>
      </c>
      <c r="C881" s="41" t="s">
        <v>136</v>
      </c>
      <c r="D881" s="41" t="s">
        <v>134</v>
      </c>
      <c r="E881" s="41" t="s">
        <v>91</v>
      </c>
      <c r="F881" s="41" t="s">
        <v>27</v>
      </c>
      <c r="L881" s="41">
        <v>2.1</v>
      </c>
      <c r="M881" s="54">
        <v>0</v>
      </c>
      <c r="N881" s="41">
        <v>100</v>
      </c>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c r="BA881" s="55"/>
      <c r="BB881" s="55"/>
      <c r="BC881" s="55"/>
      <c r="BD881" s="55"/>
      <c r="BE881" s="55"/>
      <c r="BF881" s="55"/>
      <c r="BG881" s="55"/>
      <c r="BH881" s="55"/>
      <c r="BI881" s="55"/>
      <c r="BJ881" s="55"/>
      <c r="BK881" s="78">
        <v>1</v>
      </c>
      <c r="BM881" s="45"/>
    </row>
    <row r="882" spans="1:65" x14ac:dyDescent="0.35">
      <c r="A882" s="41" t="str">
        <f>Database_Productkaarten[[#This Row],[Product]]&amp;", "&amp;Database_Productkaarten[[#This Row],[Levensfase]]</f>
        <v>Betongranulaat, C4</v>
      </c>
      <c r="B882" s="41" t="s">
        <v>134</v>
      </c>
      <c r="C882" s="41" t="s">
        <v>136</v>
      </c>
      <c r="D882" s="41" t="s">
        <v>134</v>
      </c>
      <c r="E882" s="41" t="s">
        <v>91</v>
      </c>
      <c r="F882" s="41" t="s">
        <v>28</v>
      </c>
      <c r="L882" s="41">
        <v>2.1</v>
      </c>
      <c r="M882" s="54">
        <f>(0.0032700329024*5)/Database_Productkaarten[[#This Row],[Soortelijk Gewicht '[ton / m3']]]</f>
        <v>7.7857926247619051E-3</v>
      </c>
      <c r="N882" s="41">
        <v>100</v>
      </c>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c r="BA882" s="55"/>
      <c r="BB882" s="55"/>
      <c r="BC882" s="55"/>
      <c r="BD882" s="55"/>
      <c r="BE882" s="55"/>
      <c r="BF882" s="55"/>
      <c r="BG882" s="55"/>
      <c r="BH882" s="55"/>
      <c r="BI882" s="55"/>
      <c r="BJ882" s="55"/>
      <c r="BK882" s="78">
        <v>1</v>
      </c>
      <c r="BM882" s="45"/>
    </row>
    <row r="883" spans="1:65" x14ac:dyDescent="0.35">
      <c r="A883" s="41" t="str">
        <f>Database_Productkaarten[[#This Row],[Product]]&amp;", "&amp;Database_Productkaarten[[#This Row],[Levensfase]]</f>
        <v>Betongranulaat, D1</v>
      </c>
      <c r="B883" s="41" t="s">
        <v>134</v>
      </c>
      <c r="C883" s="41" t="s">
        <v>136</v>
      </c>
      <c r="D883" s="41" t="s">
        <v>134</v>
      </c>
      <c r="E883" s="41" t="s">
        <v>91</v>
      </c>
      <c r="F883" s="41" t="s">
        <v>51</v>
      </c>
      <c r="L883" s="41">
        <v>2.1</v>
      </c>
      <c r="M883" s="54">
        <v>0</v>
      </c>
      <c r="N883" s="41">
        <v>100</v>
      </c>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c r="BA883" s="55"/>
      <c r="BB883" s="55"/>
      <c r="BC883" s="55"/>
      <c r="BD883" s="55"/>
      <c r="BE883" s="55"/>
      <c r="BF883" s="55"/>
      <c r="BG883" s="55"/>
      <c r="BH883" s="55"/>
      <c r="BI883" s="55"/>
      <c r="BJ883" s="55"/>
      <c r="BK883" s="78">
        <v>1</v>
      </c>
      <c r="BM883" s="45"/>
    </row>
    <row r="884" spans="1:65" x14ac:dyDescent="0.35">
      <c r="A884" s="41" t="str">
        <f>Database_Productkaarten[[#This Row],[Product]]&amp;", "&amp;Database_Productkaarten[[#This Row],[Levensfase]]</f>
        <v>Betongranulaat, D2</v>
      </c>
      <c r="B884" s="41" t="s">
        <v>134</v>
      </c>
      <c r="C884" s="41" t="s">
        <v>136</v>
      </c>
      <c r="D884" s="41" t="s">
        <v>134</v>
      </c>
      <c r="E884" s="41" t="s">
        <v>91</v>
      </c>
      <c r="F884" s="41" t="s">
        <v>52</v>
      </c>
      <c r="L884" s="41">
        <v>2.1</v>
      </c>
      <c r="M884" s="54">
        <v>0</v>
      </c>
      <c r="N884" s="41">
        <v>100</v>
      </c>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c r="BA884" s="55"/>
      <c r="BB884" s="55"/>
      <c r="BC884" s="55"/>
      <c r="BD884" s="55"/>
      <c r="BE884" s="55"/>
      <c r="BF884" s="55"/>
      <c r="BG884" s="55"/>
      <c r="BH884" s="55"/>
      <c r="BI884" s="55"/>
      <c r="BJ884" s="55"/>
      <c r="BK884" s="78">
        <v>1</v>
      </c>
      <c r="BM884" s="45"/>
    </row>
    <row r="885" spans="1:65" x14ac:dyDescent="0.35">
      <c r="A885" s="41" t="str">
        <f>Database_Productkaarten[[#This Row],[Product]]&amp;", "&amp;Database_Productkaarten[[#This Row],[Levensfase]]</f>
        <v>Hydraulisch Menggranulaat, Totaal</v>
      </c>
      <c r="B885" s="41" t="s">
        <v>135</v>
      </c>
      <c r="C885" s="41" t="s">
        <v>136</v>
      </c>
      <c r="D885" s="41" t="s">
        <v>135</v>
      </c>
      <c r="E885" s="41" t="s">
        <v>91</v>
      </c>
      <c r="F885" s="41" t="s">
        <v>16</v>
      </c>
      <c r="L885" s="41">
        <v>1.8</v>
      </c>
      <c r="M885" s="54">
        <f>SUM(M886:M897)</f>
        <v>1.033775894044797</v>
      </c>
      <c r="N885" s="41">
        <v>100</v>
      </c>
      <c r="O885" s="55">
        <f t="shared" ref="O885" si="1054">SUM(O886:O897)</f>
        <v>1.660941025925926E-5</v>
      </c>
      <c r="P885" s="55">
        <f t="shared" ref="P885" si="1055">SUM(P886:P897)</f>
        <v>6.967723471518518E-2</v>
      </c>
      <c r="Q885" s="55">
        <f t="shared" ref="Q885" si="1056">SUM(Q886:Q897)</f>
        <v>9.2882521274444443</v>
      </c>
      <c r="R885" s="55">
        <f t="shared" ref="R885" si="1057">SUM(R886:R897)</f>
        <v>1.8259008703703702E-6</v>
      </c>
      <c r="S885" s="55">
        <f t="shared" ref="S885" si="1058">SUM(S886:S897)</f>
        <v>5.6086588459259255E-3</v>
      </c>
      <c r="T885" s="55">
        <f t="shared" ref="T885" si="1059">SUM(T886:T897)</f>
        <v>3.159816257371828E-2</v>
      </c>
      <c r="U885" s="55">
        <f t="shared" ref="U885" si="1060">SUM(U886:U897)</f>
        <v>8.4202303444444442E-3</v>
      </c>
      <c r="V885" s="55">
        <f t="shared" ref="V885" si="1061">SUM(V886:V897)</f>
        <v>3.5414725729444445</v>
      </c>
      <c r="W885" s="55">
        <f t="shared" ref="W885" si="1062">SUM(W886:W897)</f>
        <v>0.19187902662648298</v>
      </c>
      <c r="X885" s="55">
        <f t="shared" ref="X885" si="1063">SUM(X886:X897)</f>
        <v>502.49483547613323</v>
      </c>
      <c r="Y885" s="55">
        <f t="shared" ref="Y885" si="1064">SUM(Y886:Y897)</f>
        <v>2.0176333716482031E-2</v>
      </c>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f t="shared" ref="AU885" si="1065">SUM(AU886:AU897)</f>
        <v>2.2844481559233012</v>
      </c>
      <c r="AV885" s="55"/>
      <c r="AW885" s="55"/>
      <c r="AX885" s="55">
        <f t="shared" ref="AX885" si="1066">SUM(AX886:AX897)</f>
        <v>146.08177761333448</v>
      </c>
      <c r="AY885" s="55"/>
      <c r="AZ885" s="55"/>
      <c r="BA885" s="55"/>
      <c r="BB885" s="55">
        <f t="shared" ref="BB885" si="1067">SUM(BB886:BB897)</f>
        <v>2.9663391863763888E-2</v>
      </c>
      <c r="BC885" s="55">
        <f t="shared" ref="BC885" si="1068">SUM(BC886:BC897)</f>
        <v>1.2397505644284562E-3</v>
      </c>
      <c r="BD885" s="55">
        <f t="shared" ref="BD885" si="1069">SUM(BD886:BD897)</f>
        <v>12.061727000583092</v>
      </c>
      <c r="BE885" s="55">
        <f t="shared" ref="BE885" si="1070">SUM(BE886:BE897)</f>
        <v>0</v>
      </c>
      <c r="BF885" s="55"/>
      <c r="BG885" s="55"/>
      <c r="BH885" s="55"/>
      <c r="BI885" s="55"/>
      <c r="BJ885" s="55"/>
      <c r="BK885" s="78">
        <v>1</v>
      </c>
      <c r="BM885" s="45"/>
    </row>
    <row r="886" spans="1:65" x14ac:dyDescent="0.35">
      <c r="A886" s="41" t="str">
        <f>Database_Productkaarten[[#This Row],[Product]]&amp;", "&amp;Database_Productkaarten[[#This Row],[Levensfase]]</f>
        <v>Hydraulisch Menggranulaat, A1</v>
      </c>
      <c r="B886" s="41" t="s">
        <v>135</v>
      </c>
      <c r="C886" s="41" t="s">
        <v>136</v>
      </c>
      <c r="D886" s="41" t="s">
        <v>135</v>
      </c>
      <c r="E886" s="41" t="s">
        <v>91</v>
      </c>
      <c r="F886" s="41" t="s">
        <v>19</v>
      </c>
      <c r="L886" s="41">
        <v>1.8</v>
      </c>
      <c r="M886" s="54">
        <v>0</v>
      </c>
      <c r="N886" s="41">
        <v>100</v>
      </c>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78">
        <v>1</v>
      </c>
      <c r="BM886" s="45"/>
    </row>
    <row r="887" spans="1:65" x14ac:dyDescent="0.35">
      <c r="A887" s="41" t="str">
        <f>Database_Productkaarten[[#This Row],[Product]]&amp;", "&amp;Database_Productkaarten[[#This Row],[Levensfase]]</f>
        <v>Hydraulisch Menggranulaat, A2</v>
      </c>
      <c r="B887" s="41" t="s">
        <v>135</v>
      </c>
      <c r="C887" s="41" t="s">
        <v>136</v>
      </c>
      <c r="D887" s="41" t="s">
        <v>135</v>
      </c>
      <c r="E887" s="41" t="s">
        <v>91</v>
      </c>
      <c r="F887" s="41" t="s">
        <v>20</v>
      </c>
      <c r="L887" s="41">
        <v>1.8</v>
      </c>
      <c r="M887" s="54">
        <v>0</v>
      </c>
      <c r="N887" s="41">
        <v>100</v>
      </c>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c r="BA887" s="55"/>
      <c r="BB887" s="55"/>
      <c r="BC887" s="55"/>
      <c r="BD887" s="55"/>
      <c r="BE887" s="55"/>
      <c r="BF887" s="55"/>
      <c r="BG887" s="55"/>
      <c r="BH887" s="55"/>
      <c r="BI887" s="55"/>
      <c r="BJ887" s="55"/>
      <c r="BK887" s="78">
        <v>1</v>
      </c>
      <c r="BM887" s="45"/>
    </row>
    <row r="888" spans="1:65" x14ac:dyDescent="0.35">
      <c r="A888" s="41" t="str">
        <f>Database_Productkaarten[[#This Row],[Product]]&amp;", "&amp;Database_Productkaarten[[#This Row],[Levensfase]]</f>
        <v>Hydraulisch Menggranulaat, A3</v>
      </c>
      <c r="B888" s="41" t="s">
        <v>135</v>
      </c>
      <c r="C888" s="41" t="s">
        <v>136</v>
      </c>
      <c r="D888" s="41" t="s">
        <v>135</v>
      </c>
      <c r="E888" s="41" t="s">
        <v>91</v>
      </c>
      <c r="F888" s="41" t="s">
        <v>21</v>
      </c>
      <c r="L888" s="41">
        <v>1.8</v>
      </c>
      <c r="M888" s="54">
        <v>0</v>
      </c>
      <c r="N888" s="41">
        <v>100</v>
      </c>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c r="BA888" s="55"/>
      <c r="BB888" s="55"/>
      <c r="BC888" s="55"/>
      <c r="BD888" s="55"/>
      <c r="BE888" s="55"/>
      <c r="BF888" s="55"/>
      <c r="BG888" s="55"/>
      <c r="BH888" s="55"/>
      <c r="BI888" s="55"/>
      <c r="BJ888" s="55"/>
      <c r="BK888" s="78">
        <v>1</v>
      </c>
      <c r="BM888" s="45"/>
    </row>
    <row r="889" spans="1:65" x14ac:dyDescent="0.35">
      <c r="A889" s="41" t="str">
        <f>Database_Productkaarten[[#This Row],[Product]]&amp;", "&amp;Database_Productkaarten[[#This Row],[Levensfase]]</f>
        <v>Hydraulisch Menggranulaat, A4</v>
      </c>
      <c r="B889" s="41" t="s">
        <v>135</v>
      </c>
      <c r="C889" s="41" t="s">
        <v>136</v>
      </c>
      <c r="D889" s="41" t="s">
        <v>135</v>
      </c>
      <c r="E889" s="41" t="s">
        <v>91</v>
      </c>
      <c r="F889" s="41" t="s">
        <v>22</v>
      </c>
      <c r="L889" s="41">
        <v>1.8</v>
      </c>
      <c r="M889" s="54">
        <f>G$1051*50</f>
        <v>0.47396919681357996</v>
      </c>
      <c r="N889" s="41">
        <v>100</v>
      </c>
      <c r="O889" s="55">
        <f t="shared" ref="O889:Y889" si="1071">J$1051*50</f>
        <v>8.1082254999999995E-6</v>
      </c>
      <c r="P889" s="55">
        <f t="shared" si="1071"/>
        <v>3.1970782499999996E-2</v>
      </c>
      <c r="Q889" s="55">
        <f t="shared" si="1071"/>
        <v>4.2243894499999994</v>
      </c>
      <c r="R889" s="55">
        <f t="shared" si="1071"/>
        <v>8.3985024999999995E-7</v>
      </c>
      <c r="S889" s="55">
        <f t="shared" si="1071"/>
        <v>2.6661339499999999E-3</v>
      </c>
      <c r="T889" s="55">
        <f t="shared" si="1071"/>
        <v>1.5406751E-2</v>
      </c>
      <c r="U889" s="55">
        <f t="shared" si="1071"/>
        <v>3.13787795E-3</v>
      </c>
      <c r="V889" s="55">
        <f t="shared" si="1071"/>
        <v>1.4876886499999999</v>
      </c>
      <c r="W889" s="55">
        <f t="shared" si="1071"/>
        <v>9.5939509999999992E-2</v>
      </c>
      <c r="X889" s="55">
        <f t="shared" si="1071"/>
        <v>251.08560500000002</v>
      </c>
      <c r="Y889" s="55">
        <f t="shared" si="1071"/>
        <v>8.8168090000000001E-3</v>
      </c>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f>AP$1051*50</f>
        <v>1.14222405</v>
      </c>
      <c r="AV889" s="55"/>
      <c r="AW889" s="55"/>
      <c r="AX889" s="55">
        <f>AS$1051*50</f>
        <v>73.033640000000005</v>
      </c>
      <c r="AY889" s="55"/>
      <c r="AZ889" s="55"/>
      <c r="BA889" s="55"/>
      <c r="BB889" s="55">
        <f>AW$1051*50</f>
        <v>1.4826382499999999E-2</v>
      </c>
      <c r="BC889" s="55">
        <f>AX$1051*50</f>
        <v>5.1738344999999999E-4</v>
      </c>
      <c r="BD889" s="55">
        <f>AY$1051*50</f>
        <v>6.0308634999999997</v>
      </c>
      <c r="BE889" s="55">
        <f>AZ$1051*50</f>
        <v>0</v>
      </c>
      <c r="BF889" s="55"/>
      <c r="BG889" s="55"/>
      <c r="BH889" s="55"/>
      <c r="BI889" s="55"/>
      <c r="BJ889" s="55"/>
      <c r="BK889" s="78">
        <v>1</v>
      </c>
      <c r="BM889" s="45"/>
    </row>
    <row r="890" spans="1:65" x14ac:dyDescent="0.35">
      <c r="A890" s="41" t="str">
        <f>Database_Productkaarten[[#This Row],[Product]]&amp;", "&amp;Database_Productkaarten[[#This Row],[Levensfase]]</f>
        <v>Hydraulisch Menggranulaat, A5</v>
      </c>
      <c r="B890" s="41" t="s">
        <v>135</v>
      </c>
      <c r="C890" s="41" t="s">
        <v>136</v>
      </c>
      <c r="D890" s="41" t="s">
        <v>135</v>
      </c>
      <c r="E890" s="41" t="s">
        <v>91</v>
      </c>
      <c r="F890" s="41" t="s">
        <v>23</v>
      </c>
      <c r="L890" s="41">
        <v>1.8</v>
      </c>
      <c r="M890" s="54">
        <f>((1/Database_Productkaarten[[#This Row],[Soortelijk Gewicht '[ton / m3']]])/$H$1164)*(G$1164)</f>
        <v>3.88931415221518E-2</v>
      </c>
      <c r="N890" s="41">
        <v>100</v>
      </c>
      <c r="O890" s="55">
        <f>((1/Database_Productkaarten[[#This Row],[Soortelijk Gewicht '[ton / m3']]])/$H$1164)*(J$1164)</f>
        <v>1.9647962962962966E-7</v>
      </c>
      <c r="P890" s="55">
        <f>((1/Database_Productkaarten[[#This Row],[Soortelijk Gewicht '[ton / m3']]])/$H$1164)*(K$1164)</f>
        <v>2.8678348575925934E-3</v>
      </c>
      <c r="Q890" s="55">
        <f>((1/Database_Productkaarten[[#This Row],[Soortelijk Gewicht '[ton / m3']]])/$H$1164)*(L$1164)</f>
        <v>0.41973661372222226</v>
      </c>
      <c r="R890" s="55">
        <f>((1/Database_Productkaarten[[#This Row],[Soortelijk Gewicht '[ton / m3']]])/$H$1164)*(M$1164)</f>
        <v>7.3100185185185181E-8</v>
      </c>
      <c r="S890" s="55">
        <f>((1/Database_Productkaarten[[#This Row],[Soortelijk Gewicht '[ton / m3']]])/$H$1164)*(N$1164)</f>
        <v>1.3819547296296298E-4</v>
      </c>
      <c r="T890" s="55">
        <f>((1/Database_Productkaarten[[#This Row],[Soortelijk Gewicht '[ton / m3']]])/$H$1164)*(O$1164)</f>
        <v>3.923302868591388E-4</v>
      </c>
      <c r="U890" s="55">
        <f>((1/Database_Productkaarten[[#This Row],[Soortelijk Gewicht '[ton / m3']]])/$H$1164)*(P$1164)</f>
        <v>1.0722372222222224E-3</v>
      </c>
      <c r="V890" s="55">
        <f>((1/Database_Productkaarten[[#This Row],[Soortelijk Gewicht '[ton / m3']]])/$H$1164)*(Q$1164)</f>
        <v>0.28304763647222225</v>
      </c>
      <c r="W890" s="55">
        <f>((1/Database_Productkaarten[[#This Row],[Soortelijk Gewicht '[ton / m3']]])/$H$1164)*(R$1164)</f>
        <v>3.3132414958740741E-9</v>
      </c>
      <c r="X890" s="55">
        <f>((1/Database_Productkaarten[[#This Row],[Soortelijk Gewicht '[ton / m3']]])/$H$1164)*(S$1164)</f>
        <v>0.16181273806658758</v>
      </c>
      <c r="Y890" s="55">
        <f>((1/Database_Productkaarten[[#This Row],[Soortelijk Gewicht '[ton / m3']]])/$H$1164)*(T$1164)</f>
        <v>1.2713578582410152E-3</v>
      </c>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f>((1/Database_Productkaarten[[#This Row],[Soortelijk Gewicht '[ton / m3']]])/$H$1164)*(AP$1164)</f>
        <v>2.7961650520435185E-8</v>
      </c>
      <c r="AV890" s="55"/>
      <c r="AW890" s="55"/>
      <c r="AX890" s="55">
        <f>((1/Database_Productkaarten[[#This Row],[Soortelijk Gewicht '[ton / m3']]])/$H$1164)*(AS$1164)</f>
        <v>7.2488066672315651E-3</v>
      </c>
      <c r="AY890" s="55"/>
      <c r="AZ890" s="55"/>
      <c r="BA890" s="55"/>
      <c r="BB890" s="55">
        <f>((1/Database_Productkaarten[[#This Row],[Soortelijk Gewicht '[ton / m3']]])/$H$1164)*(AW$1164)</f>
        <v>5.3134318819450005E-6</v>
      </c>
      <c r="BC890" s="55">
        <f>((1/Database_Productkaarten[[#This Row],[Soortelijk Gewicht '[ton / m3']]])/$H$1164)*(AX$1164)</f>
        <v>1.0249183221422815E-4</v>
      </c>
      <c r="BD890" s="55">
        <f>((1/Database_Productkaarten[[#This Row],[Soortelijk Gewicht '[ton / m3']]])/$H$1164)*(AY$1164)</f>
        <v>2.915467273037151E-10</v>
      </c>
      <c r="BE890" s="55">
        <f>((1/Database_Productkaarten[[#This Row],[Soortelijk Gewicht '[ton / m3']]])/$H$1164)*(AZ$1164)</f>
        <v>0</v>
      </c>
      <c r="BF890" s="55"/>
      <c r="BG890" s="55"/>
      <c r="BH890" s="55"/>
      <c r="BI890" s="55"/>
      <c r="BJ890" s="55"/>
      <c r="BK890" s="78">
        <v>1</v>
      </c>
      <c r="BM890" s="45"/>
    </row>
    <row r="891" spans="1:65" x14ac:dyDescent="0.35">
      <c r="A891" s="41" t="str">
        <f>Database_Productkaarten[[#This Row],[Product]]&amp;", "&amp;Database_Productkaarten[[#This Row],[Levensfase]]</f>
        <v>Hydraulisch Menggranulaat, B1</v>
      </c>
      <c r="B891" s="41" t="s">
        <v>135</v>
      </c>
      <c r="C891" s="41" t="s">
        <v>136</v>
      </c>
      <c r="D891" s="41" t="s">
        <v>135</v>
      </c>
      <c r="E891" s="41" t="s">
        <v>91</v>
      </c>
      <c r="F891" s="41" t="s">
        <v>24</v>
      </c>
      <c r="L891" s="41">
        <v>1.8</v>
      </c>
      <c r="M891" s="54">
        <v>0</v>
      </c>
      <c r="N891" s="41">
        <v>100</v>
      </c>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c r="BA891" s="55"/>
      <c r="BB891" s="55"/>
      <c r="BC891" s="55"/>
      <c r="BD891" s="55"/>
      <c r="BE891" s="55"/>
      <c r="BF891" s="55"/>
      <c r="BG891" s="55"/>
      <c r="BH891" s="55"/>
      <c r="BI891" s="55"/>
      <c r="BJ891" s="55"/>
      <c r="BK891" s="78">
        <v>1</v>
      </c>
      <c r="BM891" s="45"/>
    </row>
    <row r="892" spans="1:65" x14ac:dyDescent="0.35">
      <c r="A892" s="41" t="str">
        <f>Database_Productkaarten[[#This Row],[Product]]&amp;", "&amp;Database_Productkaarten[[#This Row],[Levensfase]]</f>
        <v>Hydraulisch Menggranulaat, C1</v>
      </c>
      <c r="B892" s="41" t="s">
        <v>135</v>
      </c>
      <c r="C892" s="41" t="s">
        <v>136</v>
      </c>
      <c r="D892" s="41" t="s">
        <v>135</v>
      </c>
      <c r="E892" s="41" t="s">
        <v>91</v>
      </c>
      <c r="F892" s="41" t="s">
        <v>25</v>
      </c>
      <c r="L892" s="41">
        <v>1.8</v>
      </c>
      <c r="M892" s="54">
        <f>((1/Database_Productkaarten[[#This Row],[Soortelijk Gewicht '[ton / m3']]])/$H$1164)*(G$1164)</f>
        <v>3.88931415221518E-2</v>
      </c>
      <c r="N892" s="41">
        <v>100</v>
      </c>
      <c r="O892" s="55">
        <f>((1/Database_Productkaarten[[#This Row],[Soortelijk Gewicht '[ton / m3']]])/$H$1164)*(J$1164)</f>
        <v>1.9647962962962966E-7</v>
      </c>
      <c r="P892" s="55">
        <f>((1/Database_Productkaarten[[#This Row],[Soortelijk Gewicht '[ton / m3']]])/$H$1164)*(K$1164)</f>
        <v>2.8678348575925934E-3</v>
      </c>
      <c r="Q892" s="55">
        <f>((1/Database_Productkaarten[[#This Row],[Soortelijk Gewicht '[ton / m3']]])/$H$1164)*(L$1164)</f>
        <v>0.41973661372222226</v>
      </c>
      <c r="R892" s="55">
        <f>((1/Database_Productkaarten[[#This Row],[Soortelijk Gewicht '[ton / m3']]])/$H$1164)*(M$1164)</f>
        <v>7.3100185185185181E-8</v>
      </c>
      <c r="S892" s="55">
        <f>((1/Database_Productkaarten[[#This Row],[Soortelijk Gewicht '[ton / m3']]])/$H$1164)*(N$1164)</f>
        <v>1.3819547296296298E-4</v>
      </c>
      <c r="T892" s="55">
        <f>((1/Database_Productkaarten[[#This Row],[Soortelijk Gewicht '[ton / m3']]])/$H$1164)*(O$1164)</f>
        <v>3.923302868591388E-4</v>
      </c>
      <c r="U892" s="55">
        <f>((1/Database_Productkaarten[[#This Row],[Soortelijk Gewicht '[ton / m3']]])/$H$1164)*(P$1164)</f>
        <v>1.0722372222222224E-3</v>
      </c>
      <c r="V892" s="55">
        <f>((1/Database_Productkaarten[[#This Row],[Soortelijk Gewicht '[ton / m3']]])/$H$1164)*(Q$1164)</f>
        <v>0.28304763647222225</v>
      </c>
      <c r="W892" s="55">
        <f>((1/Database_Productkaarten[[#This Row],[Soortelijk Gewicht '[ton / m3']]])/$H$1164)*(R$1164)</f>
        <v>3.3132414958740741E-9</v>
      </c>
      <c r="X892" s="55">
        <f>((1/Database_Productkaarten[[#This Row],[Soortelijk Gewicht '[ton / m3']]])/$H$1164)*(S$1164)</f>
        <v>0.16181273806658758</v>
      </c>
      <c r="Y892" s="55">
        <f>((1/Database_Productkaarten[[#This Row],[Soortelijk Gewicht '[ton / m3']]])/$H$1164)*(T$1164)</f>
        <v>1.2713578582410152E-3</v>
      </c>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f>((1/Database_Productkaarten[[#This Row],[Soortelijk Gewicht '[ton / m3']]])/$H$1164)*(AP$1164)</f>
        <v>2.7961650520435185E-8</v>
      </c>
      <c r="AV892" s="55"/>
      <c r="AW892" s="55"/>
      <c r="AX892" s="55">
        <f>((1/Database_Productkaarten[[#This Row],[Soortelijk Gewicht '[ton / m3']]])/$H$1164)*(AS$1164)</f>
        <v>7.2488066672315651E-3</v>
      </c>
      <c r="AY892" s="55"/>
      <c r="AZ892" s="55"/>
      <c r="BA892" s="55"/>
      <c r="BB892" s="55">
        <f>((1/Database_Productkaarten[[#This Row],[Soortelijk Gewicht '[ton / m3']]])/$H$1164)*(AW$1164)</f>
        <v>5.3134318819450005E-6</v>
      </c>
      <c r="BC892" s="55">
        <f>((1/Database_Productkaarten[[#This Row],[Soortelijk Gewicht '[ton / m3']]])/$H$1164)*(AX$1164)</f>
        <v>1.0249183221422815E-4</v>
      </c>
      <c r="BD892" s="55">
        <f>((1/Database_Productkaarten[[#This Row],[Soortelijk Gewicht '[ton / m3']]])/$H$1164)*(AY$1164)</f>
        <v>2.915467273037151E-10</v>
      </c>
      <c r="BE892" s="55">
        <f>((1/Database_Productkaarten[[#This Row],[Soortelijk Gewicht '[ton / m3']]])/$H$1164)*(AZ$1164)</f>
        <v>0</v>
      </c>
      <c r="BF892" s="55"/>
      <c r="BG892" s="55"/>
      <c r="BH892" s="55"/>
      <c r="BI892" s="55"/>
      <c r="BJ892" s="55"/>
      <c r="BK892" s="78">
        <v>1</v>
      </c>
      <c r="BM892" s="45"/>
    </row>
    <row r="893" spans="1:65" x14ac:dyDescent="0.35">
      <c r="A893" s="41" t="str">
        <f>Database_Productkaarten[[#This Row],[Product]]&amp;", "&amp;Database_Productkaarten[[#This Row],[Levensfase]]</f>
        <v>Hydraulisch Menggranulaat, C2</v>
      </c>
      <c r="B893" s="41" t="s">
        <v>135</v>
      </c>
      <c r="C893" s="41" t="s">
        <v>136</v>
      </c>
      <c r="D893" s="41" t="s">
        <v>135</v>
      </c>
      <c r="E893" s="41" t="s">
        <v>91</v>
      </c>
      <c r="F893" s="41" t="s">
        <v>26</v>
      </c>
      <c r="L893" s="41">
        <v>1.8</v>
      </c>
      <c r="M893" s="54">
        <f>G$1051*50</f>
        <v>0.47396919681357996</v>
      </c>
      <c r="N893" s="41">
        <v>100</v>
      </c>
      <c r="O893" s="55">
        <f t="shared" ref="O893:Y893" si="1072">J$1051*50</f>
        <v>8.1082254999999995E-6</v>
      </c>
      <c r="P893" s="55">
        <f t="shared" si="1072"/>
        <v>3.1970782499999996E-2</v>
      </c>
      <c r="Q893" s="55">
        <f t="shared" si="1072"/>
        <v>4.2243894499999994</v>
      </c>
      <c r="R893" s="55">
        <f t="shared" si="1072"/>
        <v>8.3985024999999995E-7</v>
      </c>
      <c r="S893" s="55">
        <f t="shared" si="1072"/>
        <v>2.6661339499999999E-3</v>
      </c>
      <c r="T893" s="55">
        <f t="shared" si="1072"/>
        <v>1.5406751E-2</v>
      </c>
      <c r="U893" s="55">
        <f t="shared" si="1072"/>
        <v>3.13787795E-3</v>
      </c>
      <c r="V893" s="55">
        <f t="shared" si="1072"/>
        <v>1.4876886499999999</v>
      </c>
      <c r="W893" s="55">
        <f t="shared" si="1072"/>
        <v>9.5939509999999992E-2</v>
      </c>
      <c r="X893" s="55">
        <f t="shared" si="1072"/>
        <v>251.08560500000002</v>
      </c>
      <c r="Y893" s="55">
        <f t="shared" si="1072"/>
        <v>8.8168090000000001E-3</v>
      </c>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f>AP$1051*50</f>
        <v>1.14222405</v>
      </c>
      <c r="AV893" s="55"/>
      <c r="AW893" s="55"/>
      <c r="AX893" s="55">
        <f>AS$1051*50</f>
        <v>73.033640000000005</v>
      </c>
      <c r="AY893" s="55"/>
      <c r="AZ893" s="55"/>
      <c r="BA893" s="55"/>
      <c r="BB893" s="55">
        <f>AW$1051*50</f>
        <v>1.4826382499999999E-2</v>
      </c>
      <c r="BC893" s="55">
        <f>AX$1051*50</f>
        <v>5.1738344999999999E-4</v>
      </c>
      <c r="BD893" s="55">
        <f>AY$1051*50</f>
        <v>6.0308634999999997</v>
      </c>
      <c r="BE893" s="55">
        <f>AZ$1051*50</f>
        <v>0</v>
      </c>
      <c r="BF893" s="55"/>
      <c r="BG893" s="55"/>
      <c r="BH893" s="55"/>
      <c r="BI893" s="55"/>
      <c r="BJ893" s="55"/>
      <c r="BK893" s="78">
        <v>1</v>
      </c>
      <c r="BM893" s="45"/>
    </row>
    <row r="894" spans="1:65" x14ac:dyDescent="0.35">
      <c r="A894" s="41" t="str">
        <f>Database_Productkaarten[[#This Row],[Product]]&amp;", "&amp;Database_Productkaarten[[#This Row],[Levensfase]]</f>
        <v>Hydraulisch Menggranulaat, C3</v>
      </c>
      <c r="B894" s="41" t="s">
        <v>135</v>
      </c>
      <c r="C894" s="41" t="s">
        <v>136</v>
      </c>
      <c r="D894" s="41" t="s">
        <v>135</v>
      </c>
      <c r="E894" s="41" t="s">
        <v>91</v>
      </c>
      <c r="F894" s="41" t="s">
        <v>27</v>
      </c>
      <c r="L894" s="41">
        <v>1.8</v>
      </c>
      <c r="M894" s="54">
        <v>0</v>
      </c>
      <c r="N894" s="41">
        <v>100</v>
      </c>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c r="BA894" s="55"/>
      <c r="BB894" s="55"/>
      <c r="BC894" s="55"/>
      <c r="BD894" s="55"/>
      <c r="BE894" s="55"/>
      <c r="BF894" s="55"/>
      <c r="BG894" s="55"/>
      <c r="BH894" s="55"/>
      <c r="BI894" s="55"/>
      <c r="BJ894" s="55"/>
      <c r="BK894" s="78">
        <v>1</v>
      </c>
      <c r="BM894" s="45"/>
    </row>
    <row r="895" spans="1:65" x14ac:dyDescent="0.35">
      <c r="A895" s="41" t="str">
        <f>Database_Productkaarten[[#This Row],[Product]]&amp;", "&amp;Database_Productkaarten[[#This Row],[Levensfase]]</f>
        <v>Hydraulisch Menggranulaat, C4</v>
      </c>
      <c r="B895" s="41" t="s">
        <v>135</v>
      </c>
      <c r="C895" s="41" t="s">
        <v>136</v>
      </c>
      <c r="D895" s="41" t="s">
        <v>135</v>
      </c>
      <c r="E895" s="41" t="s">
        <v>91</v>
      </c>
      <c r="F895" s="41" t="s">
        <v>28</v>
      </c>
      <c r="L895" s="41">
        <v>1.8</v>
      </c>
      <c r="M895" s="54">
        <f>(0.0028984382544*5)/Database_Productkaarten[[#This Row],[Soortelijk Gewicht '[ton / m3']]]</f>
        <v>8.0512173733333341E-3</v>
      </c>
      <c r="N895" s="41">
        <v>100</v>
      </c>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c r="BA895" s="55"/>
      <c r="BB895" s="55"/>
      <c r="BC895" s="55"/>
      <c r="BD895" s="55"/>
      <c r="BE895" s="55"/>
      <c r="BF895" s="55"/>
      <c r="BG895" s="55"/>
      <c r="BH895" s="55"/>
      <c r="BI895" s="55"/>
      <c r="BJ895" s="55"/>
      <c r="BK895" s="78">
        <v>1</v>
      </c>
      <c r="BM895" s="45"/>
    </row>
    <row r="896" spans="1:65" x14ac:dyDescent="0.35">
      <c r="A896" s="41" t="str">
        <f>Database_Productkaarten[[#This Row],[Product]]&amp;", "&amp;Database_Productkaarten[[#This Row],[Levensfase]]</f>
        <v>Hydraulisch Menggranulaat, D1</v>
      </c>
      <c r="B896" s="41" t="s">
        <v>135</v>
      </c>
      <c r="C896" s="41" t="s">
        <v>136</v>
      </c>
      <c r="D896" s="41" t="s">
        <v>135</v>
      </c>
      <c r="E896" s="41" t="s">
        <v>91</v>
      </c>
      <c r="F896" s="41" t="s">
        <v>51</v>
      </c>
      <c r="L896" s="41">
        <v>1.8</v>
      </c>
      <c r="M896" s="54">
        <v>0</v>
      </c>
      <c r="N896" s="41">
        <v>100</v>
      </c>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78">
        <v>1</v>
      </c>
      <c r="BM896" s="45"/>
    </row>
    <row r="897" spans="1:65" x14ac:dyDescent="0.35">
      <c r="A897" s="41" t="str">
        <f>Database_Productkaarten[[#This Row],[Product]]&amp;", "&amp;Database_Productkaarten[[#This Row],[Levensfase]]</f>
        <v>Hydraulisch Menggranulaat, D2</v>
      </c>
      <c r="B897" s="41" t="s">
        <v>135</v>
      </c>
      <c r="C897" s="41" t="s">
        <v>136</v>
      </c>
      <c r="D897" s="41" t="s">
        <v>135</v>
      </c>
      <c r="E897" s="41" t="s">
        <v>91</v>
      </c>
      <c r="F897" s="41" t="s">
        <v>52</v>
      </c>
      <c r="L897" s="41">
        <v>1.8</v>
      </c>
      <c r="M897" s="54">
        <v>0</v>
      </c>
      <c r="N897" s="41">
        <v>100</v>
      </c>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c r="BA897" s="55"/>
      <c r="BB897" s="55"/>
      <c r="BC897" s="55"/>
      <c r="BD897" s="55"/>
      <c r="BE897" s="55"/>
      <c r="BF897" s="55"/>
      <c r="BG897" s="55"/>
      <c r="BH897" s="55"/>
      <c r="BI897" s="55"/>
      <c r="BJ897" s="55"/>
      <c r="BK897" s="78">
        <v>1</v>
      </c>
      <c r="BM897" s="45"/>
    </row>
    <row r="898" spans="1:65" x14ac:dyDescent="0.35">
      <c r="A898" s="45" t="str">
        <f>Database_Productkaarten[[#This Row],[Product]]&amp;", "&amp;Database_Productkaarten[[#This Row],[Levensfase]]</f>
        <v>PP Drainbuis 125 mm, Totaal</v>
      </c>
      <c r="B898" s="45" t="s">
        <v>1600</v>
      </c>
      <c r="C898" s="45" t="s">
        <v>465</v>
      </c>
      <c r="D898" s="45" t="s">
        <v>1599</v>
      </c>
      <c r="E898" s="45" t="s">
        <v>538</v>
      </c>
      <c r="F898" s="41" t="s">
        <v>16</v>
      </c>
      <c r="G898" s="45">
        <v>1</v>
      </c>
      <c r="H898" s="45"/>
      <c r="I898" s="45"/>
      <c r="J898" s="45">
        <v>0.125</v>
      </c>
      <c r="K898" s="45"/>
      <c r="L898" s="45"/>
      <c r="M898" s="54"/>
      <c r="N898" s="45">
        <v>15</v>
      </c>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c r="AT898" s="45"/>
      <c r="AU898" s="45"/>
      <c r="AV898" s="45"/>
      <c r="AW898" s="45"/>
      <c r="AX898" s="45"/>
      <c r="AY898" s="45"/>
      <c r="AZ898" s="45"/>
      <c r="BA898" s="45"/>
      <c r="BB898" s="45"/>
      <c r="BC898" s="45"/>
      <c r="BD898" s="45"/>
      <c r="BE898" s="45"/>
      <c r="BF898" s="45"/>
      <c r="BG898" s="45"/>
      <c r="BH898" s="45"/>
      <c r="BI898" s="45"/>
      <c r="BJ898" s="45"/>
      <c r="BK898" s="78">
        <v>0</v>
      </c>
      <c r="BL898" s="45" t="s">
        <v>1603</v>
      </c>
      <c r="BM898" s="45"/>
    </row>
    <row r="899" spans="1:65" x14ac:dyDescent="0.35">
      <c r="A899" s="45" t="str">
        <f>Database_Productkaarten[[#This Row],[Product]]&amp;", "&amp;Database_Productkaarten[[#This Row],[Levensfase]]</f>
        <v>PP Drainbuis 125 mm, A1</v>
      </c>
      <c r="B899" s="45" t="s">
        <v>1600</v>
      </c>
      <c r="C899" s="45" t="s">
        <v>465</v>
      </c>
      <c r="D899" s="45" t="s">
        <v>1599</v>
      </c>
      <c r="E899" s="45" t="s">
        <v>538</v>
      </c>
      <c r="F899" s="41" t="s">
        <v>19</v>
      </c>
      <c r="G899" s="45">
        <v>1</v>
      </c>
      <c r="H899" s="45"/>
      <c r="I899" s="45"/>
      <c r="J899" s="45">
        <v>0.125</v>
      </c>
      <c r="K899" s="45"/>
      <c r="L899" s="45"/>
      <c r="M899" s="54">
        <v>0.1232</v>
      </c>
      <c r="N899" s="45">
        <v>15</v>
      </c>
      <c r="O899" s="45"/>
      <c r="P899" s="45"/>
      <c r="Q899" s="45">
        <v>1.4925999999999999</v>
      </c>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c r="AS899" s="45"/>
      <c r="AT899" s="45"/>
      <c r="AU899" s="45"/>
      <c r="AV899" s="45"/>
      <c r="AW899" s="45"/>
      <c r="AX899" s="45"/>
      <c r="AY899" s="45"/>
      <c r="AZ899" s="45"/>
      <c r="BA899" s="45"/>
      <c r="BB899" s="45"/>
      <c r="BC899" s="45"/>
      <c r="BD899" s="45"/>
      <c r="BE899" s="45"/>
      <c r="BF899" s="45"/>
      <c r="BG899" s="45"/>
      <c r="BH899" s="45"/>
      <c r="BI899" s="45"/>
      <c r="BJ899" s="45"/>
      <c r="BK899" s="78">
        <v>0</v>
      </c>
      <c r="BL899" s="45" t="s">
        <v>1603</v>
      </c>
      <c r="BM899" s="45"/>
    </row>
    <row r="900" spans="1:65" x14ac:dyDescent="0.35">
      <c r="A900" s="45" t="str">
        <f>Database_Productkaarten[[#This Row],[Product]]&amp;", "&amp;Database_Productkaarten[[#This Row],[Levensfase]]</f>
        <v>PP Drainbuis 125 mm, A2</v>
      </c>
      <c r="B900" s="45" t="s">
        <v>1600</v>
      </c>
      <c r="C900" s="45" t="s">
        <v>465</v>
      </c>
      <c r="D900" s="45" t="s">
        <v>1599</v>
      </c>
      <c r="E900" s="45" t="s">
        <v>538</v>
      </c>
      <c r="F900" s="41" t="s">
        <v>20</v>
      </c>
      <c r="G900" s="45">
        <v>1</v>
      </c>
      <c r="H900" s="45"/>
      <c r="I900" s="45"/>
      <c r="J900" s="45">
        <v>0.125</v>
      </c>
      <c r="K900" s="45"/>
      <c r="L900" s="45"/>
      <c r="M900" s="54"/>
      <c r="N900" s="45">
        <v>15</v>
      </c>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c r="AS900" s="45"/>
      <c r="AT900" s="45"/>
      <c r="AU900" s="45"/>
      <c r="AV900" s="45"/>
      <c r="AW900" s="45"/>
      <c r="AX900" s="45"/>
      <c r="AY900" s="45"/>
      <c r="AZ900" s="45"/>
      <c r="BA900" s="45"/>
      <c r="BB900" s="45"/>
      <c r="BC900" s="45"/>
      <c r="BD900" s="45"/>
      <c r="BE900" s="45"/>
      <c r="BF900" s="45"/>
      <c r="BG900" s="45"/>
      <c r="BH900" s="45"/>
      <c r="BI900" s="45"/>
      <c r="BJ900" s="45"/>
      <c r="BK900" s="78">
        <v>0</v>
      </c>
      <c r="BL900" s="45" t="s">
        <v>1603</v>
      </c>
      <c r="BM900" s="45"/>
    </row>
    <row r="901" spans="1:65" x14ac:dyDescent="0.35">
      <c r="A901" s="45" t="str">
        <f>Database_Productkaarten[[#This Row],[Product]]&amp;", "&amp;Database_Productkaarten[[#This Row],[Levensfase]]</f>
        <v>PP Drainbuis 125 mm, A3</v>
      </c>
      <c r="B901" s="45" t="s">
        <v>1600</v>
      </c>
      <c r="C901" s="45" t="s">
        <v>465</v>
      </c>
      <c r="D901" s="45" t="s">
        <v>1599</v>
      </c>
      <c r="E901" s="45" t="s">
        <v>538</v>
      </c>
      <c r="F901" s="41" t="s">
        <v>21</v>
      </c>
      <c r="G901" s="45">
        <v>1</v>
      </c>
      <c r="H901" s="45"/>
      <c r="I901" s="45"/>
      <c r="J901" s="45">
        <v>0.125</v>
      </c>
      <c r="K901" s="45"/>
      <c r="L901" s="45"/>
      <c r="M901" s="54"/>
      <c r="N901" s="45">
        <v>15</v>
      </c>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c r="AS901" s="45"/>
      <c r="AT901" s="45"/>
      <c r="AU901" s="45"/>
      <c r="AV901" s="45"/>
      <c r="AW901" s="45"/>
      <c r="AX901" s="45"/>
      <c r="AY901" s="45"/>
      <c r="AZ901" s="45"/>
      <c r="BA901" s="45"/>
      <c r="BB901" s="45"/>
      <c r="BC901" s="45"/>
      <c r="BD901" s="45"/>
      <c r="BE901" s="45"/>
      <c r="BF901" s="45"/>
      <c r="BG901" s="45"/>
      <c r="BH901" s="45"/>
      <c r="BI901" s="45"/>
      <c r="BJ901" s="45"/>
      <c r="BK901" s="78">
        <v>0</v>
      </c>
      <c r="BL901" s="45" t="s">
        <v>1603</v>
      </c>
      <c r="BM901" s="45"/>
    </row>
    <row r="902" spans="1:65" x14ac:dyDescent="0.35">
      <c r="A902" s="45" t="str">
        <f>Database_Productkaarten[[#This Row],[Product]]&amp;", "&amp;Database_Productkaarten[[#This Row],[Levensfase]]</f>
        <v>PP Drainbuis 125 mm, A4</v>
      </c>
      <c r="B902" s="45" t="s">
        <v>1600</v>
      </c>
      <c r="C902" s="45" t="s">
        <v>465</v>
      </c>
      <c r="D902" s="45" t="s">
        <v>1599</v>
      </c>
      <c r="E902" s="45" t="s">
        <v>538</v>
      </c>
      <c r="F902" s="41" t="s">
        <v>22</v>
      </c>
      <c r="G902" s="45">
        <v>1</v>
      </c>
      <c r="H902" s="45"/>
      <c r="I902" s="45"/>
      <c r="J902" s="45">
        <v>0.125</v>
      </c>
      <c r="K902" s="45"/>
      <c r="L902" s="45"/>
      <c r="M902" s="54">
        <v>9.3849999999999999E-4</v>
      </c>
      <c r="N902" s="45">
        <v>15</v>
      </c>
      <c r="O902" s="45"/>
      <c r="P902" s="45"/>
      <c r="Q902" s="45">
        <v>8.3999999999999995E-3</v>
      </c>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c r="AS902" s="45"/>
      <c r="AT902" s="45"/>
      <c r="AU902" s="45"/>
      <c r="AV902" s="45"/>
      <c r="AW902" s="45"/>
      <c r="AX902" s="45"/>
      <c r="AY902" s="45"/>
      <c r="AZ902" s="45"/>
      <c r="BA902" s="45"/>
      <c r="BB902" s="45"/>
      <c r="BC902" s="45"/>
      <c r="BD902" s="45"/>
      <c r="BE902" s="45"/>
      <c r="BF902" s="45"/>
      <c r="BG902" s="45"/>
      <c r="BH902" s="45"/>
      <c r="BI902" s="45"/>
      <c r="BJ902" s="45"/>
      <c r="BK902" s="78">
        <v>0</v>
      </c>
      <c r="BL902" s="45" t="s">
        <v>1603</v>
      </c>
      <c r="BM902" s="45"/>
    </row>
    <row r="903" spans="1:65" x14ac:dyDescent="0.35">
      <c r="A903" s="45" t="str">
        <f>Database_Productkaarten[[#This Row],[Product]]&amp;", "&amp;Database_Productkaarten[[#This Row],[Levensfase]]</f>
        <v>PP Drainbuis 125 mm, A5</v>
      </c>
      <c r="B903" s="45" t="s">
        <v>1600</v>
      </c>
      <c r="C903" s="45" t="s">
        <v>465</v>
      </c>
      <c r="D903" s="45" t="s">
        <v>1599</v>
      </c>
      <c r="E903" s="45" t="s">
        <v>538</v>
      </c>
      <c r="F903" s="41" t="s">
        <v>23</v>
      </c>
      <c r="G903" s="45">
        <v>1</v>
      </c>
      <c r="H903" s="45"/>
      <c r="I903" s="45"/>
      <c r="J903" s="45">
        <v>0.125</v>
      </c>
      <c r="K903" s="45"/>
      <c r="L903" s="45"/>
      <c r="M903" s="54">
        <f>0.0043+4.3152*0.02</f>
        <v>9.0604000000000004E-2</v>
      </c>
      <c r="N903" s="45">
        <v>15</v>
      </c>
      <c r="O903" s="45"/>
      <c r="P903" s="45"/>
      <c r="Q903" s="45">
        <f>0.0558+46.5697*0.02</f>
        <v>0.9871939999999999</v>
      </c>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c r="AS903" s="45"/>
      <c r="AT903" s="45"/>
      <c r="AU903" s="45"/>
      <c r="AV903" s="45"/>
      <c r="AW903" s="45"/>
      <c r="AX903" s="45"/>
      <c r="AY903" s="45"/>
      <c r="AZ903" s="45"/>
      <c r="BA903" s="45"/>
      <c r="BB903" s="45"/>
      <c r="BC903" s="45"/>
      <c r="BD903" s="45"/>
      <c r="BE903" s="45"/>
      <c r="BF903" s="45"/>
      <c r="BG903" s="45"/>
      <c r="BH903" s="45"/>
      <c r="BI903" s="45"/>
      <c r="BJ903" s="45"/>
      <c r="BK903" s="78">
        <v>0</v>
      </c>
      <c r="BL903" s="45" t="s">
        <v>1603</v>
      </c>
      <c r="BM903" s="45"/>
    </row>
    <row r="904" spans="1:65" x14ac:dyDescent="0.35">
      <c r="A904" s="45" t="str">
        <f>Database_Productkaarten[[#This Row],[Product]]&amp;", "&amp;Database_Productkaarten[[#This Row],[Levensfase]]</f>
        <v>PP Drainbuis 125 mm, B1</v>
      </c>
      <c r="B904" s="45" t="s">
        <v>1600</v>
      </c>
      <c r="C904" s="45" t="s">
        <v>465</v>
      </c>
      <c r="D904" s="45" t="s">
        <v>1599</v>
      </c>
      <c r="E904" s="45" t="s">
        <v>538</v>
      </c>
      <c r="F904" s="41" t="s">
        <v>24</v>
      </c>
      <c r="G904" s="45">
        <v>1</v>
      </c>
      <c r="H904" s="45"/>
      <c r="I904" s="45"/>
      <c r="J904" s="45">
        <v>0.125</v>
      </c>
      <c r="K904" s="45"/>
      <c r="L904" s="45"/>
      <c r="M904" s="54"/>
      <c r="N904" s="45">
        <v>15</v>
      </c>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c r="AS904" s="45"/>
      <c r="AT904" s="45"/>
      <c r="AU904" s="45"/>
      <c r="AV904" s="45"/>
      <c r="AW904" s="45"/>
      <c r="AX904" s="45"/>
      <c r="AY904" s="45"/>
      <c r="AZ904" s="45"/>
      <c r="BA904" s="45"/>
      <c r="BB904" s="45"/>
      <c r="BC904" s="45"/>
      <c r="BD904" s="45"/>
      <c r="BE904" s="45"/>
      <c r="BF904" s="45"/>
      <c r="BG904" s="45"/>
      <c r="BH904" s="45"/>
      <c r="BI904" s="45"/>
      <c r="BJ904" s="45"/>
      <c r="BK904" s="78">
        <v>0</v>
      </c>
      <c r="BL904" s="45" t="s">
        <v>1603</v>
      </c>
      <c r="BM904" s="45"/>
    </row>
    <row r="905" spans="1:65" x14ac:dyDescent="0.35">
      <c r="A905" s="45" t="str">
        <f>Database_Productkaarten[[#This Row],[Product]]&amp;", "&amp;Database_Productkaarten[[#This Row],[Levensfase]]</f>
        <v>PP Drainbuis 125 mm, C1</v>
      </c>
      <c r="B905" s="45" t="s">
        <v>1600</v>
      </c>
      <c r="C905" s="45" t="s">
        <v>465</v>
      </c>
      <c r="D905" s="45" t="s">
        <v>1599</v>
      </c>
      <c r="E905" s="45" t="s">
        <v>538</v>
      </c>
      <c r="F905" s="41" t="s">
        <v>25</v>
      </c>
      <c r="G905" s="45">
        <v>1</v>
      </c>
      <c r="H905" s="45"/>
      <c r="I905" s="45"/>
      <c r="J905" s="45">
        <v>0.125</v>
      </c>
      <c r="K905" s="45"/>
      <c r="L905" s="45"/>
      <c r="M905" s="54">
        <f>4.3152*0.004</f>
        <v>1.72608E-2</v>
      </c>
      <c r="N905" s="45">
        <v>15</v>
      </c>
      <c r="O905" s="45"/>
      <c r="P905" s="45"/>
      <c r="Q905" s="45">
        <f>46.5697*0.004</f>
        <v>0.18627879999999999</v>
      </c>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c r="AS905" s="45"/>
      <c r="AT905" s="45"/>
      <c r="AU905" s="45"/>
      <c r="AV905" s="45"/>
      <c r="AW905" s="45"/>
      <c r="AX905" s="45"/>
      <c r="AY905" s="45"/>
      <c r="AZ905" s="45"/>
      <c r="BA905" s="45"/>
      <c r="BB905" s="45"/>
      <c r="BC905" s="45"/>
      <c r="BD905" s="45"/>
      <c r="BE905" s="45"/>
      <c r="BF905" s="45"/>
      <c r="BG905" s="45"/>
      <c r="BH905" s="45"/>
      <c r="BI905" s="45"/>
      <c r="BJ905" s="45"/>
      <c r="BK905" s="78">
        <v>0</v>
      </c>
      <c r="BL905" s="45" t="s">
        <v>1603</v>
      </c>
      <c r="BM905" s="45"/>
    </row>
    <row r="906" spans="1:65" x14ac:dyDescent="0.35">
      <c r="A906" s="45" t="str">
        <f>Database_Productkaarten[[#This Row],[Product]]&amp;", "&amp;Database_Productkaarten[[#This Row],[Levensfase]]</f>
        <v>PP Drainbuis 125 mm, C2</v>
      </c>
      <c r="B906" s="45" t="s">
        <v>1600</v>
      </c>
      <c r="C906" s="45" t="s">
        <v>465</v>
      </c>
      <c r="D906" s="45" t="s">
        <v>1599</v>
      </c>
      <c r="E906" s="45" t="s">
        <v>538</v>
      </c>
      <c r="F906" s="41" t="s">
        <v>26</v>
      </c>
      <c r="G906" s="45">
        <v>1</v>
      </c>
      <c r="H906" s="45"/>
      <c r="I906" s="45"/>
      <c r="J906" s="45">
        <v>0.125</v>
      </c>
      <c r="K906" s="45"/>
      <c r="L906" s="45"/>
      <c r="M906" s="54">
        <v>3.629E-5</v>
      </c>
      <c r="N906" s="45">
        <v>15</v>
      </c>
      <c r="O906" s="45"/>
      <c r="P906" s="45"/>
      <c r="Q906" s="55">
        <v>3.234E-4</v>
      </c>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c r="AS906" s="45"/>
      <c r="AT906" s="45"/>
      <c r="AU906" s="45"/>
      <c r="AV906" s="45"/>
      <c r="AW906" s="45"/>
      <c r="AX906" s="45"/>
      <c r="AY906" s="45"/>
      <c r="AZ906" s="45"/>
      <c r="BA906" s="45"/>
      <c r="BB906" s="45"/>
      <c r="BC906" s="45"/>
      <c r="BD906" s="45"/>
      <c r="BE906" s="45"/>
      <c r="BF906" s="45"/>
      <c r="BG906" s="45"/>
      <c r="BH906" s="45"/>
      <c r="BI906" s="45"/>
      <c r="BJ906" s="45"/>
      <c r="BK906" s="78">
        <v>0</v>
      </c>
      <c r="BL906" s="45" t="s">
        <v>1603</v>
      </c>
      <c r="BM906" s="45"/>
    </row>
    <row r="907" spans="1:65" x14ac:dyDescent="0.35">
      <c r="A907" s="45" t="str">
        <f>Database_Productkaarten[[#This Row],[Product]]&amp;", "&amp;Database_Productkaarten[[#This Row],[Levensfase]]</f>
        <v>PP Drainbuis 125 mm, C3</v>
      </c>
      <c r="B907" s="45" t="s">
        <v>1600</v>
      </c>
      <c r="C907" s="45" t="s">
        <v>465</v>
      </c>
      <c r="D907" s="45" t="s">
        <v>1599</v>
      </c>
      <c r="E907" s="45" t="s">
        <v>538</v>
      </c>
      <c r="F907" s="41" t="s">
        <v>27</v>
      </c>
      <c r="G907" s="45">
        <v>1</v>
      </c>
      <c r="H907" s="45"/>
      <c r="I907" s="45"/>
      <c r="J907" s="45">
        <v>0.125</v>
      </c>
      <c r="K907" s="45"/>
      <c r="L907" s="45"/>
      <c r="M907" s="54">
        <v>1.9699999999999999E-2</v>
      </c>
      <c r="N907" s="45">
        <v>15</v>
      </c>
      <c r="O907" s="45"/>
      <c r="P907" s="45"/>
      <c r="Q907" s="45">
        <v>0.35460000000000003</v>
      </c>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c r="AS907" s="45"/>
      <c r="AT907" s="45"/>
      <c r="AU907" s="45"/>
      <c r="AV907" s="45"/>
      <c r="AW907" s="45"/>
      <c r="AX907" s="45"/>
      <c r="AY907" s="45"/>
      <c r="AZ907" s="45"/>
      <c r="BA907" s="45"/>
      <c r="BB907" s="45"/>
      <c r="BC907" s="45"/>
      <c r="BD907" s="45"/>
      <c r="BE907" s="45"/>
      <c r="BF907" s="45"/>
      <c r="BG907" s="45"/>
      <c r="BH907" s="45"/>
      <c r="BI907" s="45"/>
      <c r="BJ907" s="45"/>
      <c r="BK907" s="78">
        <v>0</v>
      </c>
      <c r="BL907" s="45" t="s">
        <v>1603</v>
      </c>
      <c r="BM907" s="45"/>
    </row>
    <row r="908" spans="1:65" x14ac:dyDescent="0.35">
      <c r="A908" s="45" t="str">
        <f>Database_Productkaarten[[#This Row],[Product]]&amp;", "&amp;Database_Productkaarten[[#This Row],[Levensfase]]</f>
        <v>PP Drainbuis 125 mm, C4</v>
      </c>
      <c r="B908" s="45" t="s">
        <v>1600</v>
      </c>
      <c r="C908" s="45" t="s">
        <v>465</v>
      </c>
      <c r="D908" s="45" t="s">
        <v>1599</v>
      </c>
      <c r="E908" s="45" t="s">
        <v>538</v>
      </c>
      <c r="F908" s="41" t="s">
        <v>28</v>
      </c>
      <c r="G908" s="45">
        <v>1</v>
      </c>
      <c r="H908" s="45"/>
      <c r="I908" s="45"/>
      <c r="J908" s="45">
        <v>0.125</v>
      </c>
      <c r="K908" s="45"/>
      <c r="L908" s="45"/>
      <c r="M908" s="54">
        <v>1.7689999999999999E-4</v>
      </c>
      <c r="N908" s="45">
        <v>15</v>
      </c>
      <c r="O908" s="45"/>
      <c r="P908" s="45"/>
      <c r="Q908" s="45">
        <v>2.5000000000000001E-3</v>
      </c>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c r="AS908" s="45"/>
      <c r="AT908" s="45"/>
      <c r="AU908" s="45"/>
      <c r="AV908" s="45"/>
      <c r="AW908" s="45"/>
      <c r="AX908" s="45"/>
      <c r="AY908" s="45"/>
      <c r="AZ908" s="45"/>
      <c r="BA908" s="45"/>
      <c r="BB908" s="45"/>
      <c r="BC908" s="45"/>
      <c r="BD908" s="45"/>
      <c r="BE908" s="45"/>
      <c r="BF908" s="45"/>
      <c r="BG908" s="45"/>
      <c r="BH908" s="45"/>
      <c r="BI908" s="45"/>
      <c r="BJ908" s="45"/>
      <c r="BK908" s="78">
        <v>0</v>
      </c>
      <c r="BL908" s="45" t="s">
        <v>1603</v>
      </c>
      <c r="BM908" s="45"/>
    </row>
    <row r="909" spans="1:65" x14ac:dyDescent="0.35">
      <c r="A909" s="45" t="str">
        <f>Database_Productkaarten[[#This Row],[Product]]&amp;", "&amp;Database_Productkaarten[[#This Row],[Levensfase]]</f>
        <v>PP Drainbuis 125 mm, D1</v>
      </c>
      <c r="B909" s="45" t="s">
        <v>1600</v>
      </c>
      <c r="C909" s="45" t="s">
        <v>465</v>
      </c>
      <c r="D909" s="45" t="s">
        <v>1599</v>
      </c>
      <c r="E909" s="45" t="s">
        <v>538</v>
      </c>
      <c r="F909" s="41" t="s">
        <v>51</v>
      </c>
      <c r="G909" s="45">
        <v>1</v>
      </c>
      <c r="H909" s="45"/>
      <c r="I909" s="45"/>
      <c r="J909" s="45">
        <v>0.125</v>
      </c>
      <c r="K909" s="45"/>
      <c r="L909" s="45"/>
      <c r="M909" s="54">
        <v>6.3489999999999998E-4</v>
      </c>
      <c r="N909" s="45">
        <v>15</v>
      </c>
      <c r="O909" s="45"/>
      <c r="P909" s="45"/>
      <c r="Q909" s="45">
        <v>-4.8599999999999997E-2</v>
      </c>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c r="AS909" s="45"/>
      <c r="AT909" s="45"/>
      <c r="AU909" s="45"/>
      <c r="AV909" s="45"/>
      <c r="AW909" s="45"/>
      <c r="AX909" s="45"/>
      <c r="AY909" s="45"/>
      <c r="AZ909" s="45"/>
      <c r="BA909" s="45"/>
      <c r="BB909" s="45"/>
      <c r="BC909" s="45"/>
      <c r="BD909" s="45"/>
      <c r="BE909" s="45"/>
      <c r="BF909" s="45"/>
      <c r="BG909" s="45"/>
      <c r="BH909" s="45"/>
      <c r="BI909" s="45"/>
      <c r="BJ909" s="45"/>
      <c r="BK909" s="78">
        <v>0</v>
      </c>
      <c r="BL909" s="45" t="s">
        <v>1603</v>
      </c>
      <c r="BM909" s="45"/>
    </row>
    <row r="910" spans="1:65" x14ac:dyDescent="0.35">
      <c r="A910" s="45" t="str">
        <f>Database_Productkaarten[[#This Row],[Product]]&amp;", "&amp;Database_Productkaarten[[#This Row],[Levensfase]]</f>
        <v>PP Drainbuis 125 mm, D2</v>
      </c>
      <c r="B910" s="45" t="s">
        <v>1600</v>
      </c>
      <c r="C910" s="45" t="s">
        <v>465</v>
      </c>
      <c r="D910" s="45" t="s">
        <v>1599</v>
      </c>
      <c r="E910" s="45" t="s">
        <v>538</v>
      </c>
      <c r="F910" s="41" t="s">
        <v>52</v>
      </c>
      <c r="G910" s="45">
        <v>1</v>
      </c>
      <c r="H910" s="45"/>
      <c r="I910" s="45"/>
      <c r="J910" s="45">
        <v>0.125</v>
      </c>
      <c r="K910" s="45"/>
      <c r="L910" s="45"/>
      <c r="M910" s="54"/>
      <c r="N910" s="45">
        <v>15</v>
      </c>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c r="AS910" s="45"/>
      <c r="AT910" s="45"/>
      <c r="AU910" s="45"/>
      <c r="AV910" s="45"/>
      <c r="AW910" s="45"/>
      <c r="AX910" s="45"/>
      <c r="AY910" s="45"/>
      <c r="AZ910" s="45"/>
      <c r="BA910" s="45"/>
      <c r="BB910" s="45"/>
      <c r="BC910" s="45"/>
      <c r="BD910" s="45"/>
      <c r="BE910" s="45"/>
      <c r="BF910" s="45"/>
      <c r="BG910" s="45"/>
      <c r="BH910" s="45"/>
      <c r="BI910" s="45"/>
      <c r="BJ910" s="45"/>
      <c r="BK910" s="78">
        <v>0</v>
      </c>
      <c r="BL910" s="45" t="s">
        <v>1603</v>
      </c>
      <c r="BM910" s="45"/>
    </row>
    <row r="911" spans="1:65" x14ac:dyDescent="0.35">
      <c r="A911" s="45" t="str">
        <f>Database_Productkaarten[[#This Row],[Product]]&amp;", "&amp;Database_Productkaarten[[#This Row],[Levensfase]]</f>
        <v>Betonbuis 300 mm, Totaal</v>
      </c>
      <c r="B911" s="45" t="s">
        <v>1601</v>
      </c>
      <c r="C911" s="45" t="s">
        <v>465</v>
      </c>
      <c r="D911" s="45" t="s">
        <v>1611</v>
      </c>
      <c r="E911" s="45" t="s">
        <v>538</v>
      </c>
      <c r="F911" s="41" t="s">
        <v>16</v>
      </c>
      <c r="G911" s="45">
        <v>1</v>
      </c>
      <c r="H911" s="45"/>
      <c r="I911" s="45"/>
      <c r="J911" s="45">
        <v>0.3</v>
      </c>
      <c r="K911" s="45">
        <v>5.5E-2</v>
      </c>
      <c r="L911" s="45"/>
      <c r="M911" s="54"/>
      <c r="N911" s="45">
        <v>40</v>
      </c>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c r="AS911" s="45"/>
      <c r="AT911" s="45"/>
      <c r="AU911" s="45"/>
      <c r="AV911" s="45"/>
      <c r="AW911" s="45"/>
      <c r="AX911" s="45"/>
      <c r="AY911" s="45"/>
      <c r="AZ911" s="45"/>
      <c r="BA911" s="45"/>
      <c r="BB911" s="45"/>
      <c r="BC911" s="45"/>
      <c r="BD911" s="45"/>
      <c r="BE911" s="45"/>
      <c r="BF911" s="45"/>
      <c r="BG911" s="45"/>
      <c r="BH911" s="45"/>
      <c r="BI911" s="45"/>
      <c r="BJ911" s="45"/>
      <c r="BK911" s="78">
        <v>0</v>
      </c>
      <c r="BL911" s="45" t="s">
        <v>1604</v>
      </c>
      <c r="BM911" s="45"/>
    </row>
    <row r="912" spans="1:65" x14ac:dyDescent="0.35">
      <c r="A912" s="45" t="str">
        <f>Database_Productkaarten[[#This Row],[Product]]&amp;", "&amp;Database_Productkaarten[[#This Row],[Levensfase]]</f>
        <v>Betonbuis 300 mm, A1</v>
      </c>
      <c r="B912" s="45" t="s">
        <v>1601</v>
      </c>
      <c r="C912" s="45" t="s">
        <v>465</v>
      </c>
      <c r="D912" s="45" t="s">
        <v>1611</v>
      </c>
      <c r="E912" s="45" t="s">
        <v>538</v>
      </c>
      <c r="F912" s="41" t="s">
        <v>19</v>
      </c>
      <c r="G912" s="45">
        <v>1</v>
      </c>
      <c r="H912" s="45"/>
      <c r="I912" s="45"/>
      <c r="J912" s="45">
        <v>0.3</v>
      </c>
      <c r="K912" s="45">
        <v>5.5E-2</v>
      </c>
      <c r="L912" s="45"/>
      <c r="M912" s="54">
        <v>1.4984999999999999</v>
      </c>
      <c r="N912" s="45">
        <v>40</v>
      </c>
      <c r="O912" s="45"/>
      <c r="P912" s="45"/>
      <c r="Q912" s="45">
        <v>19.295999999999999</v>
      </c>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c r="AS912" s="45"/>
      <c r="AT912" s="45"/>
      <c r="AU912" s="45"/>
      <c r="AV912" s="45"/>
      <c r="AW912" s="45"/>
      <c r="AX912" s="45"/>
      <c r="AY912" s="45"/>
      <c r="AZ912" s="45"/>
      <c r="BA912" s="45"/>
      <c r="BB912" s="45"/>
      <c r="BC912" s="45"/>
      <c r="BD912" s="45"/>
      <c r="BE912" s="45"/>
      <c r="BF912" s="45"/>
      <c r="BG912" s="45"/>
      <c r="BH912" s="45"/>
      <c r="BI912" s="45"/>
      <c r="BJ912" s="45"/>
      <c r="BK912" s="78">
        <v>0</v>
      </c>
      <c r="BL912" s="45" t="s">
        <v>1604</v>
      </c>
      <c r="BM912" s="45"/>
    </row>
    <row r="913" spans="1:65" x14ac:dyDescent="0.35">
      <c r="A913" s="45" t="str">
        <f>Database_Productkaarten[[#This Row],[Product]]&amp;", "&amp;Database_Productkaarten[[#This Row],[Levensfase]]</f>
        <v>Betonbuis 300 mm, A2</v>
      </c>
      <c r="B913" s="45" t="s">
        <v>1601</v>
      </c>
      <c r="C913" s="45" t="s">
        <v>465</v>
      </c>
      <c r="D913" s="45" t="s">
        <v>1611</v>
      </c>
      <c r="E913" s="45" t="s">
        <v>538</v>
      </c>
      <c r="F913" s="41" t="s">
        <v>20</v>
      </c>
      <c r="G913" s="45">
        <v>1</v>
      </c>
      <c r="H913" s="45"/>
      <c r="I913" s="45"/>
      <c r="J913" s="45">
        <v>0.3</v>
      </c>
      <c r="K913" s="45">
        <v>5.5E-2</v>
      </c>
      <c r="L913" s="45"/>
      <c r="M913" s="54"/>
      <c r="N913" s="45">
        <v>40</v>
      </c>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c r="AS913" s="45"/>
      <c r="AT913" s="45"/>
      <c r="AU913" s="45"/>
      <c r="AV913" s="45"/>
      <c r="AW913" s="45"/>
      <c r="AX913" s="45"/>
      <c r="AY913" s="45"/>
      <c r="AZ913" s="45"/>
      <c r="BA913" s="45"/>
      <c r="BB913" s="45"/>
      <c r="BC913" s="45"/>
      <c r="BD913" s="45"/>
      <c r="BE913" s="45"/>
      <c r="BF913" s="45"/>
      <c r="BG913" s="45"/>
      <c r="BH913" s="45"/>
      <c r="BI913" s="45"/>
      <c r="BJ913" s="45"/>
      <c r="BK913" s="78">
        <v>0</v>
      </c>
      <c r="BL913" s="45" t="s">
        <v>1604</v>
      </c>
      <c r="BM913" s="45"/>
    </row>
    <row r="914" spans="1:65" x14ac:dyDescent="0.35">
      <c r="A914" s="45" t="str">
        <f>Database_Productkaarten[[#This Row],[Product]]&amp;", "&amp;Database_Productkaarten[[#This Row],[Levensfase]]</f>
        <v>Betonbuis 300 mm, A3</v>
      </c>
      <c r="B914" s="45" t="s">
        <v>1601</v>
      </c>
      <c r="C914" s="45" t="s">
        <v>465</v>
      </c>
      <c r="D914" s="45" t="s">
        <v>1611</v>
      </c>
      <c r="E914" s="45" t="s">
        <v>538</v>
      </c>
      <c r="F914" s="41" t="s">
        <v>21</v>
      </c>
      <c r="G914" s="45">
        <v>1</v>
      </c>
      <c r="H914" s="45"/>
      <c r="I914" s="45"/>
      <c r="J914" s="45">
        <v>0.3</v>
      </c>
      <c r="K914" s="45">
        <v>5.5E-2</v>
      </c>
      <c r="L914" s="45"/>
      <c r="M914" s="54"/>
      <c r="N914" s="45">
        <v>40</v>
      </c>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c r="AS914" s="45"/>
      <c r="AT914" s="45"/>
      <c r="AU914" s="45"/>
      <c r="AV914" s="45"/>
      <c r="AW914" s="45"/>
      <c r="AX914" s="45"/>
      <c r="AY914" s="45"/>
      <c r="AZ914" s="45"/>
      <c r="BA914" s="45"/>
      <c r="BB914" s="45"/>
      <c r="BC914" s="45"/>
      <c r="BD914" s="45"/>
      <c r="BE914" s="45"/>
      <c r="BF914" s="45"/>
      <c r="BG914" s="45"/>
      <c r="BH914" s="45"/>
      <c r="BI914" s="45"/>
      <c r="BJ914" s="45"/>
      <c r="BK914" s="78">
        <v>0</v>
      </c>
      <c r="BL914" s="45" t="s">
        <v>1604</v>
      </c>
      <c r="BM914" s="45"/>
    </row>
    <row r="915" spans="1:65" x14ac:dyDescent="0.35">
      <c r="A915" s="45" t="str">
        <f>Database_Productkaarten[[#This Row],[Product]]&amp;", "&amp;Database_Productkaarten[[#This Row],[Levensfase]]</f>
        <v>Betonbuis 300 mm, A4</v>
      </c>
      <c r="B915" s="45" t="s">
        <v>1601</v>
      </c>
      <c r="C915" s="45" t="s">
        <v>465</v>
      </c>
      <c r="D915" s="45" t="s">
        <v>1611</v>
      </c>
      <c r="E915" s="45" t="s">
        <v>538</v>
      </c>
      <c r="F915" s="41" t="s">
        <v>22</v>
      </c>
      <c r="G915" s="45">
        <v>1</v>
      </c>
      <c r="H915" s="45"/>
      <c r="I915" s="45"/>
      <c r="J915" s="45">
        <v>0.3</v>
      </c>
      <c r="K915" s="45">
        <v>5.5E-2</v>
      </c>
      <c r="L915" s="45"/>
      <c r="M915" s="54">
        <v>0.4204</v>
      </c>
      <c r="N915" s="45">
        <v>40</v>
      </c>
      <c r="O915" s="45"/>
      <c r="P915" s="45"/>
      <c r="Q915" s="45">
        <v>3.5386000000000002</v>
      </c>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c r="AS915" s="45"/>
      <c r="AT915" s="45"/>
      <c r="AU915" s="45"/>
      <c r="AV915" s="45"/>
      <c r="AW915" s="45"/>
      <c r="AX915" s="45"/>
      <c r="AY915" s="45"/>
      <c r="AZ915" s="45"/>
      <c r="BA915" s="45"/>
      <c r="BB915" s="45"/>
      <c r="BC915" s="45"/>
      <c r="BD915" s="45"/>
      <c r="BE915" s="45"/>
      <c r="BF915" s="45"/>
      <c r="BG915" s="45"/>
      <c r="BH915" s="45"/>
      <c r="BI915" s="45"/>
      <c r="BJ915" s="45"/>
      <c r="BK915" s="78">
        <v>0</v>
      </c>
      <c r="BL915" s="45" t="s">
        <v>1604</v>
      </c>
      <c r="BM915" s="45"/>
    </row>
    <row r="916" spans="1:65" x14ac:dyDescent="0.35">
      <c r="A916" s="45" t="str">
        <f>Database_Productkaarten[[#This Row],[Product]]&amp;", "&amp;Database_Productkaarten[[#This Row],[Levensfase]]</f>
        <v>Betonbuis 300 mm, A5</v>
      </c>
      <c r="B916" s="45" t="s">
        <v>1601</v>
      </c>
      <c r="C916" s="45" t="s">
        <v>465</v>
      </c>
      <c r="D916" s="45" t="s">
        <v>1611</v>
      </c>
      <c r="E916" s="45" t="s">
        <v>538</v>
      </c>
      <c r="F916" s="41" t="s">
        <v>23</v>
      </c>
      <c r="G916" s="45">
        <v>1</v>
      </c>
      <c r="H916" s="45"/>
      <c r="I916" s="45"/>
      <c r="J916" s="45">
        <v>0.3</v>
      </c>
      <c r="K916" s="45">
        <v>5.5E-2</v>
      </c>
      <c r="L916" s="45"/>
      <c r="M916" s="54">
        <v>0.56999999999999995</v>
      </c>
      <c r="N916" s="45">
        <v>40</v>
      </c>
      <c r="O916" s="45"/>
      <c r="P916" s="45"/>
      <c r="Q916" s="45">
        <v>0.65500000000000003</v>
      </c>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c r="AS916" s="45"/>
      <c r="AT916" s="45"/>
      <c r="AU916" s="45"/>
      <c r="AV916" s="45"/>
      <c r="AW916" s="45"/>
      <c r="AX916" s="45"/>
      <c r="AY916" s="45"/>
      <c r="AZ916" s="45"/>
      <c r="BA916" s="45"/>
      <c r="BB916" s="45"/>
      <c r="BC916" s="45"/>
      <c r="BD916" s="45"/>
      <c r="BE916" s="45"/>
      <c r="BF916" s="45"/>
      <c r="BG916" s="45"/>
      <c r="BH916" s="45"/>
      <c r="BI916" s="45"/>
      <c r="BJ916" s="45"/>
      <c r="BK916" s="78">
        <v>0</v>
      </c>
      <c r="BL916" s="45" t="s">
        <v>1604</v>
      </c>
      <c r="BM916" s="45"/>
    </row>
    <row r="917" spans="1:65" x14ac:dyDescent="0.35">
      <c r="A917" s="45" t="str">
        <f>Database_Productkaarten[[#This Row],[Product]]&amp;", "&amp;Database_Productkaarten[[#This Row],[Levensfase]]</f>
        <v>Betonbuis 300 mm, B1</v>
      </c>
      <c r="B917" s="45" t="s">
        <v>1601</v>
      </c>
      <c r="C917" s="45" t="s">
        <v>465</v>
      </c>
      <c r="D917" s="45" t="s">
        <v>1611</v>
      </c>
      <c r="E917" s="45" t="s">
        <v>538</v>
      </c>
      <c r="F917" s="41" t="s">
        <v>24</v>
      </c>
      <c r="G917" s="45">
        <v>1</v>
      </c>
      <c r="H917" s="45"/>
      <c r="I917" s="45"/>
      <c r="J917" s="45">
        <v>0.3</v>
      </c>
      <c r="K917" s="45">
        <v>5.5E-2</v>
      </c>
      <c r="L917" s="45"/>
      <c r="M917" s="54"/>
      <c r="N917" s="45">
        <v>40</v>
      </c>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c r="AS917" s="45"/>
      <c r="AT917" s="45"/>
      <c r="AU917" s="45"/>
      <c r="AV917" s="45"/>
      <c r="AW917" s="45"/>
      <c r="AX917" s="45"/>
      <c r="AY917" s="45"/>
      <c r="AZ917" s="45"/>
      <c r="BA917" s="45"/>
      <c r="BB917" s="45"/>
      <c r="BC917" s="45"/>
      <c r="BD917" s="45"/>
      <c r="BE917" s="45"/>
      <c r="BF917" s="45"/>
      <c r="BG917" s="45"/>
      <c r="BH917" s="45"/>
      <c r="BI917" s="45"/>
      <c r="BJ917" s="45"/>
      <c r="BK917" s="78">
        <v>0</v>
      </c>
      <c r="BL917" s="45" t="s">
        <v>1604</v>
      </c>
      <c r="BM917" s="45"/>
    </row>
    <row r="918" spans="1:65" x14ac:dyDescent="0.35">
      <c r="A918" s="45" t="str">
        <f>Database_Productkaarten[[#This Row],[Product]]&amp;", "&amp;Database_Productkaarten[[#This Row],[Levensfase]]</f>
        <v>Betonbuis 300 mm, C1</v>
      </c>
      <c r="B918" s="45" t="s">
        <v>1601</v>
      </c>
      <c r="C918" s="45" t="s">
        <v>465</v>
      </c>
      <c r="D918" s="45" t="s">
        <v>1611</v>
      </c>
      <c r="E918" s="45" t="s">
        <v>538</v>
      </c>
      <c r="F918" s="41" t="s">
        <v>25</v>
      </c>
      <c r="G918" s="45">
        <v>1</v>
      </c>
      <c r="H918" s="45"/>
      <c r="I918" s="45"/>
      <c r="J918" s="45">
        <v>0.3</v>
      </c>
      <c r="K918" s="45">
        <v>5.5E-2</v>
      </c>
      <c r="L918" s="45"/>
      <c r="M918" s="54">
        <v>0.13070000000000001</v>
      </c>
      <c r="N918" s="45">
        <v>40</v>
      </c>
      <c r="O918" s="45"/>
      <c r="P918" s="45"/>
      <c r="Q918" s="45">
        <v>1.4101999999999999</v>
      </c>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c r="AS918" s="45"/>
      <c r="AT918" s="45"/>
      <c r="AU918" s="45"/>
      <c r="AV918" s="45"/>
      <c r="AW918" s="45"/>
      <c r="AX918" s="45"/>
      <c r="AY918" s="45"/>
      <c r="AZ918" s="45"/>
      <c r="BA918" s="45"/>
      <c r="BB918" s="45"/>
      <c r="BC918" s="45"/>
      <c r="BD918" s="45"/>
      <c r="BE918" s="45"/>
      <c r="BF918" s="45"/>
      <c r="BG918" s="45"/>
      <c r="BH918" s="45"/>
      <c r="BI918" s="45"/>
      <c r="BJ918" s="45"/>
      <c r="BK918" s="78">
        <v>0</v>
      </c>
      <c r="BL918" s="45" t="s">
        <v>1604</v>
      </c>
      <c r="BM918" s="45"/>
    </row>
    <row r="919" spans="1:65" x14ac:dyDescent="0.35">
      <c r="A919" s="45" t="str">
        <f>Database_Productkaarten[[#This Row],[Product]]&amp;", "&amp;Database_Productkaarten[[#This Row],[Levensfase]]</f>
        <v>Betonbuis 300 mm, C2</v>
      </c>
      <c r="B919" s="45" t="s">
        <v>1601</v>
      </c>
      <c r="C919" s="45" t="s">
        <v>465</v>
      </c>
      <c r="D919" s="45" t="s">
        <v>1611</v>
      </c>
      <c r="E919" s="45" t="s">
        <v>538</v>
      </c>
      <c r="F919" s="41" t="s">
        <v>26</v>
      </c>
      <c r="G919" s="45">
        <v>1</v>
      </c>
      <c r="H919" s="45"/>
      <c r="I919" s="45"/>
      <c r="J919" s="45">
        <v>0.3</v>
      </c>
      <c r="K919" s="45">
        <v>5.5E-2</v>
      </c>
      <c r="L919" s="45"/>
      <c r="M919" s="54">
        <v>0.14169999999999999</v>
      </c>
      <c r="N919" s="45">
        <v>40</v>
      </c>
      <c r="O919" s="45"/>
      <c r="P919" s="45"/>
      <c r="Q919" s="55">
        <v>1.1897</v>
      </c>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c r="AS919" s="45"/>
      <c r="AT919" s="45"/>
      <c r="AU919" s="45"/>
      <c r="AV919" s="45"/>
      <c r="AW919" s="45"/>
      <c r="AX919" s="45"/>
      <c r="AY919" s="45"/>
      <c r="AZ919" s="45"/>
      <c r="BA919" s="45"/>
      <c r="BB919" s="45"/>
      <c r="BC919" s="45"/>
      <c r="BD919" s="45"/>
      <c r="BE919" s="45"/>
      <c r="BF919" s="45"/>
      <c r="BG919" s="45"/>
      <c r="BH919" s="45"/>
      <c r="BI919" s="45"/>
      <c r="BJ919" s="45"/>
      <c r="BK919" s="78">
        <v>0</v>
      </c>
      <c r="BL919" s="45" t="s">
        <v>1604</v>
      </c>
      <c r="BM919" s="45"/>
    </row>
    <row r="920" spans="1:65" x14ac:dyDescent="0.35">
      <c r="A920" s="45" t="str">
        <f>Database_Productkaarten[[#This Row],[Product]]&amp;", "&amp;Database_Productkaarten[[#This Row],[Levensfase]]</f>
        <v>Betonbuis 300 mm, C3</v>
      </c>
      <c r="B920" s="45" t="s">
        <v>1601</v>
      </c>
      <c r="C920" s="45" t="s">
        <v>465</v>
      </c>
      <c r="D920" s="45" t="s">
        <v>1611</v>
      </c>
      <c r="E920" s="45" t="s">
        <v>538</v>
      </c>
      <c r="F920" s="41" t="s">
        <v>27</v>
      </c>
      <c r="G920" s="45">
        <v>1</v>
      </c>
      <c r="H920" s="45"/>
      <c r="I920" s="45"/>
      <c r="J920" s="45">
        <v>0.3</v>
      </c>
      <c r="K920" s="45">
        <v>5.5E-2</v>
      </c>
      <c r="L920" s="45"/>
      <c r="M920" s="54">
        <v>5.1299999999999998E-2</v>
      </c>
      <c r="N920" s="45">
        <v>40</v>
      </c>
      <c r="O920" s="45"/>
      <c r="P920" s="45"/>
      <c r="Q920" s="45">
        <v>1.44E-2</v>
      </c>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c r="AS920" s="45"/>
      <c r="AT920" s="45"/>
      <c r="AU920" s="45"/>
      <c r="AV920" s="45"/>
      <c r="AW920" s="45"/>
      <c r="AX920" s="45"/>
      <c r="AY920" s="45"/>
      <c r="AZ920" s="45"/>
      <c r="BA920" s="45"/>
      <c r="BB920" s="45"/>
      <c r="BC920" s="45"/>
      <c r="BD920" s="45"/>
      <c r="BE920" s="45"/>
      <c r="BF920" s="45"/>
      <c r="BG920" s="45"/>
      <c r="BH920" s="45"/>
      <c r="BI920" s="45"/>
      <c r="BJ920" s="45"/>
      <c r="BK920" s="78">
        <v>0</v>
      </c>
      <c r="BL920" s="45" t="s">
        <v>1604</v>
      </c>
      <c r="BM920" s="45"/>
    </row>
    <row r="921" spans="1:65" x14ac:dyDescent="0.35">
      <c r="A921" s="45" t="str">
        <f>Database_Productkaarten[[#This Row],[Product]]&amp;", "&amp;Database_Productkaarten[[#This Row],[Levensfase]]</f>
        <v>Betonbuis 300 mm, C4</v>
      </c>
      <c r="B921" s="45" t="s">
        <v>1601</v>
      </c>
      <c r="C921" s="45" t="s">
        <v>465</v>
      </c>
      <c r="D921" s="45" t="s">
        <v>1611</v>
      </c>
      <c r="E921" s="45" t="s">
        <v>538</v>
      </c>
      <c r="F921" s="41" t="s">
        <v>28</v>
      </c>
      <c r="G921" s="45">
        <v>1</v>
      </c>
      <c r="H921" s="45"/>
      <c r="I921" s="45"/>
      <c r="J921" s="45">
        <v>0.3</v>
      </c>
      <c r="K921" s="45">
        <v>5.5E-2</v>
      </c>
      <c r="L921" s="45"/>
      <c r="M921" s="54">
        <v>1.2999999999999999E-3</v>
      </c>
      <c r="N921" s="45">
        <v>40</v>
      </c>
      <c r="O921" s="45"/>
      <c r="P921" s="45"/>
      <c r="Q921" s="45">
        <v>96</v>
      </c>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c r="AS921" s="45"/>
      <c r="AT921" s="45"/>
      <c r="AU921" s="45"/>
      <c r="AV921" s="45"/>
      <c r="AW921" s="45"/>
      <c r="AX921" s="45"/>
      <c r="AY921" s="45"/>
      <c r="AZ921" s="45"/>
      <c r="BA921" s="45"/>
      <c r="BB921" s="45"/>
      <c r="BC921" s="45"/>
      <c r="BD921" s="45"/>
      <c r="BE921" s="45"/>
      <c r="BF921" s="45"/>
      <c r="BG921" s="45"/>
      <c r="BH921" s="45"/>
      <c r="BI921" s="45"/>
      <c r="BJ921" s="45"/>
      <c r="BK921" s="78">
        <v>0</v>
      </c>
      <c r="BL921" s="45" t="s">
        <v>1604</v>
      </c>
      <c r="BM921" s="45"/>
    </row>
    <row r="922" spans="1:65" x14ac:dyDescent="0.35">
      <c r="A922" s="45" t="str">
        <f>Database_Productkaarten[[#This Row],[Product]]&amp;", "&amp;Database_Productkaarten[[#This Row],[Levensfase]]</f>
        <v>Betonbuis 300 mm, D1</v>
      </c>
      <c r="B922" s="45" t="s">
        <v>1601</v>
      </c>
      <c r="C922" s="45" t="s">
        <v>465</v>
      </c>
      <c r="D922" s="45" t="s">
        <v>1611</v>
      </c>
      <c r="E922" s="45" t="s">
        <v>538</v>
      </c>
      <c r="F922" s="41" t="s">
        <v>51</v>
      </c>
      <c r="G922" s="45">
        <v>1</v>
      </c>
      <c r="H922" s="45"/>
      <c r="I922" s="45"/>
      <c r="J922" s="45">
        <v>0.3</v>
      </c>
      <c r="K922" s="45">
        <v>5.5E-2</v>
      </c>
      <c r="L922" s="45"/>
      <c r="M922" s="54">
        <v>-9.5500000000000002E-2</v>
      </c>
      <c r="N922" s="45">
        <v>40</v>
      </c>
      <c r="O922" s="45"/>
      <c r="P922" s="45"/>
      <c r="Q922" s="45">
        <v>-0.74719999999999998</v>
      </c>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c r="AS922" s="45"/>
      <c r="AT922" s="45"/>
      <c r="AU922" s="45"/>
      <c r="AV922" s="45"/>
      <c r="AW922" s="45"/>
      <c r="AX922" s="45"/>
      <c r="AY922" s="45"/>
      <c r="AZ922" s="45"/>
      <c r="BA922" s="45"/>
      <c r="BB922" s="45"/>
      <c r="BC922" s="45"/>
      <c r="BD922" s="45"/>
      <c r="BE922" s="45"/>
      <c r="BF922" s="45"/>
      <c r="BG922" s="45"/>
      <c r="BH922" s="45"/>
      <c r="BI922" s="45"/>
      <c r="BJ922" s="45"/>
      <c r="BK922" s="78">
        <v>0</v>
      </c>
      <c r="BL922" s="45" t="s">
        <v>1604</v>
      </c>
      <c r="BM922" s="45"/>
    </row>
    <row r="923" spans="1:65" x14ac:dyDescent="0.35">
      <c r="A923" s="45" t="str">
        <f>Database_Productkaarten[[#This Row],[Product]]&amp;", "&amp;Database_Productkaarten[[#This Row],[Levensfase]]</f>
        <v>Betonbuis 300 mm, D2</v>
      </c>
      <c r="B923" s="45" t="s">
        <v>1601</v>
      </c>
      <c r="C923" s="45" t="s">
        <v>465</v>
      </c>
      <c r="D923" s="45" t="s">
        <v>1611</v>
      </c>
      <c r="E923" s="45" t="s">
        <v>538</v>
      </c>
      <c r="F923" s="41" t="s">
        <v>52</v>
      </c>
      <c r="G923" s="45">
        <v>1</v>
      </c>
      <c r="H923" s="45"/>
      <c r="I923" s="45"/>
      <c r="J923" s="45">
        <v>0.3</v>
      </c>
      <c r="K923" s="45">
        <v>5.5E-2</v>
      </c>
      <c r="L923" s="45"/>
      <c r="M923" s="54"/>
      <c r="N923" s="45">
        <v>40</v>
      </c>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c r="AS923" s="45"/>
      <c r="AT923" s="45"/>
      <c r="AU923" s="45"/>
      <c r="AV923" s="45"/>
      <c r="AW923" s="45"/>
      <c r="AX923" s="45"/>
      <c r="AY923" s="45"/>
      <c r="AZ923" s="45"/>
      <c r="BA923" s="45"/>
      <c r="BB923" s="45"/>
      <c r="BC923" s="45"/>
      <c r="BD923" s="45"/>
      <c r="BE923" s="45"/>
      <c r="BF923" s="45"/>
      <c r="BG923" s="45"/>
      <c r="BH923" s="45"/>
      <c r="BI923" s="45"/>
      <c r="BJ923" s="45"/>
      <c r="BK923" s="78">
        <v>0</v>
      </c>
      <c r="BL923" s="45" t="s">
        <v>1604</v>
      </c>
      <c r="BM923" s="45"/>
    </row>
    <row r="924" spans="1:65" x14ac:dyDescent="0.35">
      <c r="A924" s="45" t="str">
        <f>Database_Productkaarten[[#This Row],[Product]]&amp;", "&amp;Database_Productkaarten[[#This Row],[Levensfase]]</f>
        <v>Betonbuis 500 mm, Totaal</v>
      </c>
      <c r="B924" s="45" t="s">
        <v>1602</v>
      </c>
      <c r="C924" s="45" t="s">
        <v>465</v>
      </c>
      <c r="D924" s="45" t="s">
        <v>1611</v>
      </c>
      <c r="E924" s="45" t="s">
        <v>538</v>
      </c>
      <c r="F924" s="41" t="s">
        <v>16</v>
      </c>
      <c r="G924" s="45">
        <v>1</v>
      </c>
      <c r="H924" s="45"/>
      <c r="I924" s="45"/>
      <c r="J924" s="45">
        <v>0.5</v>
      </c>
      <c r="K924" s="45">
        <v>6.5000000000000002E-2</v>
      </c>
      <c r="L924" s="45"/>
      <c r="M924" s="54"/>
      <c r="N924" s="45">
        <v>40</v>
      </c>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c r="AS924" s="45"/>
      <c r="AT924" s="45"/>
      <c r="AU924" s="45"/>
      <c r="AV924" s="45"/>
      <c r="AW924" s="45"/>
      <c r="AX924" s="45"/>
      <c r="AY924" s="45"/>
      <c r="AZ924" s="45"/>
      <c r="BA924" s="45"/>
      <c r="BB924" s="45"/>
      <c r="BC924" s="45"/>
      <c r="BD924" s="45"/>
      <c r="BE924" s="45"/>
      <c r="BF924" s="45"/>
      <c r="BG924" s="45"/>
      <c r="BH924" s="45"/>
      <c r="BI924" s="45"/>
      <c r="BJ924" s="45"/>
      <c r="BK924" s="78">
        <v>0</v>
      </c>
      <c r="BL924" s="45" t="s">
        <v>1605</v>
      </c>
      <c r="BM924" s="45"/>
    </row>
    <row r="925" spans="1:65" x14ac:dyDescent="0.35">
      <c r="A925" s="45" t="str">
        <f>Database_Productkaarten[[#This Row],[Product]]&amp;", "&amp;Database_Productkaarten[[#This Row],[Levensfase]]</f>
        <v>Betonbuis 500 mm, A1</v>
      </c>
      <c r="B925" s="45" t="s">
        <v>1602</v>
      </c>
      <c r="C925" s="45" t="s">
        <v>465</v>
      </c>
      <c r="D925" s="45" t="s">
        <v>1611</v>
      </c>
      <c r="E925" s="45" t="s">
        <v>538</v>
      </c>
      <c r="F925" s="41" t="s">
        <v>19</v>
      </c>
      <c r="G925" s="45">
        <v>1</v>
      </c>
      <c r="H925" s="45"/>
      <c r="I925" s="45"/>
      <c r="J925" s="45">
        <v>0.5</v>
      </c>
      <c r="K925" s="45">
        <v>6.5000000000000002E-2</v>
      </c>
      <c r="L925" s="45"/>
      <c r="M925" s="54">
        <v>2.7</v>
      </c>
      <c r="N925" s="45">
        <v>40</v>
      </c>
      <c r="O925" s="45"/>
      <c r="P925" s="45"/>
      <c r="Q925" s="45">
        <v>34.766599999999997</v>
      </c>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c r="AS925" s="45"/>
      <c r="AT925" s="45"/>
      <c r="AU925" s="45"/>
      <c r="AV925" s="45"/>
      <c r="AW925" s="45"/>
      <c r="AX925" s="45"/>
      <c r="AY925" s="45"/>
      <c r="AZ925" s="45"/>
      <c r="BA925" s="45"/>
      <c r="BB925" s="45"/>
      <c r="BC925" s="45"/>
      <c r="BD925" s="45"/>
      <c r="BE925" s="45"/>
      <c r="BF925" s="45"/>
      <c r="BG925" s="45"/>
      <c r="BH925" s="45"/>
      <c r="BI925" s="45"/>
      <c r="BJ925" s="45"/>
      <c r="BK925" s="78">
        <v>0</v>
      </c>
      <c r="BL925" s="45" t="s">
        <v>1605</v>
      </c>
      <c r="BM925" s="45"/>
    </row>
    <row r="926" spans="1:65" x14ac:dyDescent="0.35">
      <c r="A926" s="45" t="str">
        <f>Database_Productkaarten[[#This Row],[Product]]&amp;", "&amp;Database_Productkaarten[[#This Row],[Levensfase]]</f>
        <v>Betonbuis 500 mm, A2</v>
      </c>
      <c r="B926" s="45" t="s">
        <v>1602</v>
      </c>
      <c r="C926" s="45" t="s">
        <v>465</v>
      </c>
      <c r="D926" s="45" t="s">
        <v>1611</v>
      </c>
      <c r="E926" s="45" t="s">
        <v>538</v>
      </c>
      <c r="F926" s="41" t="s">
        <v>20</v>
      </c>
      <c r="G926" s="45">
        <v>1</v>
      </c>
      <c r="H926" s="45"/>
      <c r="I926" s="45"/>
      <c r="J926" s="45">
        <v>0.5</v>
      </c>
      <c r="K926" s="45">
        <v>6.5000000000000002E-2</v>
      </c>
      <c r="L926" s="45"/>
      <c r="M926" s="54"/>
      <c r="N926" s="45">
        <v>40</v>
      </c>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c r="AS926" s="45"/>
      <c r="AT926" s="45"/>
      <c r="AU926" s="45"/>
      <c r="AV926" s="45"/>
      <c r="AW926" s="45"/>
      <c r="AX926" s="45"/>
      <c r="AY926" s="45"/>
      <c r="AZ926" s="45"/>
      <c r="BA926" s="45"/>
      <c r="BB926" s="45"/>
      <c r="BC926" s="45"/>
      <c r="BD926" s="45"/>
      <c r="BE926" s="45"/>
      <c r="BF926" s="45"/>
      <c r="BG926" s="45"/>
      <c r="BH926" s="45"/>
      <c r="BI926" s="45"/>
      <c r="BJ926" s="45"/>
      <c r="BK926" s="78">
        <v>0</v>
      </c>
      <c r="BL926" s="45" t="s">
        <v>1605</v>
      </c>
      <c r="BM926" s="45"/>
    </row>
    <row r="927" spans="1:65" x14ac:dyDescent="0.35">
      <c r="A927" s="45" t="str">
        <f>Database_Productkaarten[[#This Row],[Product]]&amp;", "&amp;Database_Productkaarten[[#This Row],[Levensfase]]</f>
        <v>Betonbuis 500 mm, A3</v>
      </c>
      <c r="B927" s="45" t="s">
        <v>1602</v>
      </c>
      <c r="C927" s="45" t="s">
        <v>465</v>
      </c>
      <c r="D927" s="45" t="s">
        <v>1611</v>
      </c>
      <c r="E927" s="45" t="s">
        <v>538</v>
      </c>
      <c r="F927" s="41" t="s">
        <v>21</v>
      </c>
      <c r="G927" s="45">
        <v>1</v>
      </c>
      <c r="H927" s="45"/>
      <c r="I927" s="45"/>
      <c r="J927" s="45">
        <v>0.5</v>
      </c>
      <c r="K927" s="45">
        <v>6.5000000000000002E-2</v>
      </c>
      <c r="L927" s="45"/>
      <c r="M927" s="54"/>
      <c r="N927" s="45">
        <v>40</v>
      </c>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c r="AS927" s="45"/>
      <c r="AT927" s="45"/>
      <c r="AU927" s="45"/>
      <c r="AV927" s="45"/>
      <c r="AW927" s="45"/>
      <c r="AX927" s="45"/>
      <c r="AY927" s="45"/>
      <c r="AZ927" s="45"/>
      <c r="BA927" s="45"/>
      <c r="BB927" s="45"/>
      <c r="BC927" s="45"/>
      <c r="BD927" s="45"/>
      <c r="BE927" s="45"/>
      <c r="BF927" s="45"/>
      <c r="BG927" s="45"/>
      <c r="BH927" s="45"/>
      <c r="BI927" s="45"/>
      <c r="BJ927" s="45"/>
      <c r="BK927" s="78">
        <v>0</v>
      </c>
      <c r="BL927" s="45" t="s">
        <v>1605</v>
      </c>
      <c r="BM927" s="45"/>
    </row>
    <row r="928" spans="1:65" x14ac:dyDescent="0.35">
      <c r="A928" s="45" t="str">
        <f>Database_Productkaarten[[#This Row],[Product]]&amp;", "&amp;Database_Productkaarten[[#This Row],[Levensfase]]</f>
        <v>Betonbuis 500 mm, A4</v>
      </c>
      <c r="B928" s="45" t="s">
        <v>1602</v>
      </c>
      <c r="C928" s="45" t="s">
        <v>465</v>
      </c>
      <c r="D928" s="45" t="s">
        <v>1611</v>
      </c>
      <c r="E928" s="45" t="s">
        <v>538</v>
      </c>
      <c r="F928" s="41" t="s">
        <v>22</v>
      </c>
      <c r="G928" s="45">
        <v>1</v>
      </c>
      <c r="H928" s="45"/>
      <c r="I928" s="45"/>
      <c r="J928" s="45">
        <v>0.5</v>
      </c>
      <c r="K928" s="45">
        <v>6.5000000000000002E-2</v>
      </c>
      <c r="L928" s="45"/>
      <c r="M928" s="54">
        <f>0.759</f>
        <v>0.75900000000000001</v>
      </c>
      <c r="N928" s="45">
        <v>40</v>
      </c>
      <c r="O928" s="45"/>
      <c r="P928" s="45"/>
      <c r="Q928" s="45">
        <v>6.3708999999999998</v>
      </c>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c r="AS928" s="45"/>
      <c r="AT928" s="45"/>
      <c r="AU928" s="45"/>
      <c r="AV928" s="45"/>
      <c r="AW928" s="45"/>
      <c r="AX928" s="45"/>
      <c r="AY928" s="45"/>
      <c r="AZ928" s="45"/>
      <c r="BA928" s="45"/>
      <c r="BB928" s="45"/>
      <c r="BC928" s="45"/>
      <c r="BD928" s="45"/>
      <c r="BE928" s="45"/>
      <c r="BF928" s="45"/>
      <c r="BG928" s="45"/>
      <c r="BH928" s="45"/>
      <c r="BI928" s="45"/>
      <c r="BJ928" s="45"/>
      <c r="BK928" s="78">
        <v>0</v>
      </c>
      <c r="BL928" s="45" t="s">
        <v>1605</v>
      </c>
      <c r="BM928" s="45"/>
    </row>
    <row r="929" spans="1:65" x14ac:dyDescent="0.35">
      <c r="A929" s="45" t="str">
        <f>Database_Productkaarten[[#This Row],[Product]]&amp;", "&amp;Database_Productkaarten[[#This Row],[Levensfase]]</f>
        <v>Betonbuis 500 mm, A5</v>
      </c>
      <c r="B929" s="45" t="s">
        <v>1602</v>
      </c>
      <c r="C929" s="45" t="s">
        <v>465</v>
      </c>
      <c r="D929" s="45" t="s">
        <v>1611</v>
      </c>
      <c r="E929" s="45" t="s">
        <v>538</v>
      </c>
      <c r="F929" s="41" t="s">
        <v>23</v>
      </c>
      <c r="G929" s="45">
        <v>1</v>
      </c>
      <c r="H929" s="45"/>
      <c r="I929" s="45"/>
      <c r="J929" s="45">
        <v>0.5</v>
      </c>
      <c r="K929" s="45">
        <v>6.5000000000000002E-2</v>
      </c>
      <c r="L929" s="45"/>
      <c r="M929" s="54">
        <f>0.1026+1.0103</f>
        <v>1.1129</v>
      </c>
      <c r="N929" s="45">
        <v>40</v>
      </c>
      <c r="O929" s="45"/>
      <c r="P929" s="45"/>
      <c r="Q929" s="45">
        <f>1.1799+10.903</f>
        <v>12.0829</v>
      </c>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c r="AS929" s="45"/>
      <c r="AT929" s="45"/>
      <c r="AU929" s="45"/>
      <c r="AV929" s="45"/>
      <c r="AW929" s="45"/>
      <c r="AX929" s="45"/>
      <c r="AY929" s="45"/>
      <c r="AZ929" s="45"/>
      <c r="BA929" s="45"/>
      <c r="BB929" s="45"/>
      <c r="BC929" s="45"/>
      <c r="BD929" s="45"/>
      <c r="BE929" s="45"/>
      <c r="BF929" s="45"/>
      <c r="BG929" s="45"/>
      <c r="BH929" s="45"/>
      <c r="BI929" s="45"/>
      <c r="BJ929" s="45"/>
      <c r="BK929" s="78">
        <v>0</v>
      </c>
      <c r="BL929" s="45" t="s">
        <v>1605</v>
      </c>
      <c r="BM929" s="45"/>
    </row>
    <row r="930" spans="1:65" x14ac:dyDescent="0.35">
      <c r="A930" s="45" t="str">
        <f>Database_Productkaarten[[#This Row],[Product]]&amp;", "&amp;Database_Productkaarten[[#This Row],[Levensfase]]</f>
        <v>Betonbuis 500 mm, B1</v>
      </c>
      <c r="B930" s="45" t="s">
        <v>1602</v>
      </c>
      <c r="C930" s="45" t="s">
        <v>465</v>
      </c>
      <c r="D930" s="45" t="s">
        <v>1611</v>
      </c>
      <c r="E930" s="45" t="s">
        <v>538</v>
      </c>
      <c r="F930" s="41" t="s">
        <v>24</v>
      </c>
      <c r="G930" s="45">
        <v>1</v>
      </c>
      <c r="H930" s="45"/>
      <c r="I930" s="45"/>
      <c r="J930" s="45">
        <v>0.5</v>
      </c>
      <c r="K930" s="45">
        <v>6.5000000000000002E-2</v>
      </c>
      <c r="L930" s="45"/>
      <c r="M930" s="54"/>
      <c r="N930" s="45">
        <v>40</v>
      </c>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c r="AS930" s="45"/>
      <c r="AT930" s="45"/>
      <c r="AU930" s="45"/>
      <c r="AV930" s="45"/>
      <c r="AW930" s="45"/>
      <c r="AX930" s="45"/>
      <c r="AY930" s="45"/>
      <c r="AZ930" s="45"/>
      <c r="BA930" s="45"/>
      <c r="BB930" s="45"/>
      <c r="BC930" s="45"/>
      <c r="BD930" s="45"/>
      <c r="BE930" s="45"/>
      <c r="BF930" s="45"/>
      <c r="BG930" s="45"/>
      <c r="BH930" s="45"/>
      <c r="BI930" s="45"/>
      <c r="BJ930" s="45"/>
      <c r="BK930" s="78">
        <v>0</v>
      </c>
      <c r="BL930" s="45" t="s">
        <v>1605</v>
      </c>
      <c r="BM930" s="45"/>
    </row>
    <row r="931" spans="1:65" x14ac:dyDescent="0.35">
      <c r="A931" s="45" t="str">
        <f>Database_Productkaarten[[#This Row],[Product]]&amp;", "&amp;Database_Productkaarten[[#This Row],[Levensfase]]</f>
        <v>Betonbuis 500 mm, C1</v>
      </c>
      <c r="B931" s="45" t="s">
        <v>1602</v>
      </c>
      <c r="C931" s="45" t="s">
        <v>465</v>
      </c>
      <c r="D931" s="45" t="s">
        <v>1611</v>
      </c>
      <c r="E931" s="45" t="s">
        <v>538</v>
      </c>
      <c r="F931" s="41" t="s">
        <v>25</v>
      </c>
      <c r="G931" s="45">
        <v>1</v>
      </c>
      <c r="H931" s="45"/>
      <c r="I931" s="45"/>
      <c r="J931" s="45">
        <v>0.5</v>
      </c>
      <c r="K931" s="45">
        <v>6.5000000000000002E-2</v>
      </c>
      <c r="L931" s="45"/>
      <c r="M931" s="54"/>
      <c r="N931" s="45">
        <v>40</v>
      </c>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c r="AS931" s="45"/>
      <c r="AT931" s="45"/>
      <c r="AU931" s="45"/>
      <c r="AV931" s="45"/>
      <c r="AW931" s="45"/>
      <c r="AX931" s="45"/>
      <c r="AY931" s="45"/>
      <c r="AZ931" s="45"/>
      <c r="BA931" s="45"/>
      <c r="BB931" s="45"/>
      <c r="BC931" s="45"/>
      <c r="BD931" s="45"/>
      <c r="BE931" s="45"/>
      <c r="BF931" s="45"/>
      <c r="BG931" s="45"/>
      <c r="BH931" s="45"/>
      <c r="BI931" s="45"/>
      <c r="BJ931" s="45"/>
      <c r="BK931" s="78">
        <v>0</v>
      </c>
      <c r="BL931" s="45" t="s">
        <v>1605</v>
      </c>
      <c r="BM931" s="45"/>
    </row>
    <row r="932" spans="1:65" x14ac:dyDescent="0.35">
      <c r="A932" s="45" t="str">
        <f>Database_Productkaarten[[#This Row],[Product]]&amp;", "&amp;Database_Productkaarten[[#This Row],[Levensfase]]</f>
        <v>Betonbuis 500 mm, C2</v>
      </c>
      <c r="B932" s="45" t="s">
        <v>1602</v>
      </c>
      <c r="C932" s="45" t="s">
        <v>465</v>
      </c>
      <c r="D932" s="45" t="s">
        <v>1611</v>
      </c>
      <c r="E932" s="45" t="s">
        <v>538</v>
      </c>
      <c r="F932" s="41" t="s">
        <v>26</v>
      </c>
      <c r="G932" s="45">
        <v>1</v>
      </c>
      <c r="H932" s="45"/>
      <c r="I932" s="45"/>
      <c r="J932" s="45">
        <v>0.5</v>
      </c>
      <c r="K932" s="45">
        <v>6.5000000000000002E-2</v>
      </c>
      <c r="L932" s="45"/>
      <c r="M932" s="54">
        <v>0.27089999999999997</v>
      </c>
      <c r="N932" s="45">
        <v>40</v>
      </c>
      <c r="O932" s="45"/>
      <c r="P932" s="45"/>
      <c r="Q932" s="45">
        <v>2.9235000000000002</v>
      </c>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c r="AS932" s="45"/>
      <c r="AT932" s="45"/>
      <c r="AU932" s="45"/>
      <c r="AV932" s="45"/>
      <c r="AW932" s="45"/>
      <c r="AX932" s="45"/>
      <c r="AY932" s="45"/>
      <c r="AZ932" s="45"/>
      <c r="BA932" s="45"/>
      <c r="BB932" s="45"/>
      <c r="BC932" s="45"/>
      <c r="BD932" s="45"/>
      <c r="BE932" s="45"/>
      <c r="BF932" s="45"/>
      <c r="BG932" s="45"/>
      <c r="BH932" s="45"/>
      <c r="BI932" s="45"/>
      <c r="BJ932" s="45"/>
      <c r="BK932" s="78">
        <v>0</v>
      </c>
      <c r="BL932" s="45" t="s">
        <v>1605</v>
      </c>
      <c r="BM932" s="45"/>
    </row>
    <row r="933" spans="1:65" x14ac:dyDescent="0.35">
      <c r="A933" s="45" t="str">
        <f>Database_Productkaarten[[#This Row],[Product]]&amp;", "&amp;Database_Productkaarten[[#This Row],[Levensfase]]</f>
        <v>Betonbuis 500 mm, C3</v>
      </c>
      <c r="B933" s="45" t="s">
        <v>1602</v>
      </c>
      <c r="C933" s="45" t="s">
        <v>465</v>
      </c>
      <c r="D933" s="45" t="s">
        <v>1611</v>
      </c>
      <c r="E933" s="45" t="s">
        <v>538</v>
      </c>
      <c r="F933" s="41" t="s">
        <v>27</v>
      </c>
      <c r="G933" s="45">
        <v>1</v>
      </c>
      <c r="H933" s="45"/>
      <c r="I933" s="45"/>
      <c r="J933" s="45">
        <v>0.5</v>
      </c>
      <c r="K933" s="45">
        <v>6.5000000000000002E-2</v>
      </c>
      <c r="L933" s="45"/>
      <c r="M933" s="54">
        <v>0.25590000000000002</v>
      </c>
      <c r="N933" s="45">
        <v>40</v>
      </c>
      <c r="O933" s="45"/>
      <c r="P933" s="45"/>
      <c r="Q933" s="45">
        <v>2.1478999999999999</v>
      </c>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c r="AS933" s="45"/>
      <c r="AT933" s="45"/>
      <c r="AU933" s="45"/>
      <c r="AV933" s="45"/>
      <c r="AW933" s="45"/>
      <c r="AX933" s="45"/>
      <c r="AY933" s="45"/>
      <c r="AZ933" s="45"/>
      <c r="BA933" s="45"/>
      <c r="BB933" s="45"/>
      <c r="BC933" s="45"/>
      <c r="BD933" s="45"/>
      <c r="BE933" s="45"/>
      <c r="BF933" s="45"/>
      <c r="BG933" s="45"/>
      <c r="BH933" s="45"/>
      <c r="BI933" s="45"/>
      <c r="BJ933" s="45"/>
      <c r="BK933" s="78">
        <v>0</v>
      </c>
      <c r="BL933" s="45" t="s">
        <v>1605</v>
      </c>
      <c r="BM933" s="45"/>
    </row>
    <row r="934" spans="1:65" x14ac:dyDescent="0.35">
      <c r="A934" s="45" t="str">
        <f>Database_Productkaarten[[#This Row],[Product]]&amp;", "&amp;Database_Productkaarten[[#This Row],[Levensfase]]</f>
        <v>Betonbuis 500 mm, C4</v>
      </c>
      <c r="B934" s="45" t="s">
        <v>1602</v>
      </c>
      <c r="C934" s="45" t="s">
        <v>465</v>
      </c>
      <c r="D934" s="45" t="s">
        <v>1611</v>
      </c>
      <c r="E934" s="45" t="s">
        <v>538</v>
      </c>
      <c r="F934" s="41" t="s">
        <v>28</v>
      </c>
      <c r="G934" s="45">
        <v>1</v>
      </c>
      <c r="H934" s="45"/>
      <c r="I934" s="45"/>
      <c r="J934" s="45">
        <v>0.5</v>
      </c>
      <c r="K934" s="45">
        <v>6.5000000000000002E-2</v>
      </c>
      <c r="L934" s="45"/>
      <c r="M934" s="54">
        <v>9.2499999999999999E-2</v>
      </c>
      <c r="N934" s="45">
        <v>40</v>
      </c>
      <c r="O934" s="45"/>
      <c r="P934" s="45"/>
      <c r="Q934" s="45">
        <v>2.5999999999999999E-2</v>
      </c>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c r="AS934" s="45"/>
      <c r="AT934" s="45"/>
      <c r="AU934" s="45"/>
      <c r="AV934" s="45"/>
      <c r="AW934" s="45"/>
      <c r="AX934" s="45"/>
      <c r="AY934" s="45"/>
      <c r="AZ934" s="45"/>
      <c r="BA934" s="45"/>
      <c r="BB934" s="45"/>
      <c r="BC934" s="45"/>
      <c r="BD934" s="45"/>
      <c r="BE934" s="45"/>
      <c r="BF934" s="45"/>
      <c r="BG934" s="45"/>
      <c r="BH934" s="45"/>
      <c r="BI934" s="45"/>
      <c r="BJ934" s="45"/>
      <c r="BK934" s="78">
        <v>0</v>
      </c>
      <c r="BL934" s="45" t="s">
        <v>1605</v>
      </c>
      <c r="BM934" s="45"/>
    </row>
    <row r="935" spans="1:65" x14ac:dyDescent="0.35">
      <c r="A935" s="45" t="str">
        <f>Database_Productkaarten[[#This Row],[Product]]&amp;", "&amp;Database_Productkaarten[[#This Row],[Levensfase]]</f>
        <v>Betonbuis 500 mm, D1</v>
      </c>
      <c r="B935" s="45" t="s">
        <v>1602</v>
      </c>
      <c r="C935" s="45" t="s">
        <v>465</v>
      </c>
      <c r="D935" s="45" t="s">
        <v>1611</v>
      </c>
      <c r="E935" s="45" t="s">
        <v>538</v>
      </c>
      <c r="F935" s="41" t="s">
        <v>51</v>
      </c>
      <c r="G935" s="45">
        <v>1</v>
      </c>
      <c r="H935" s="45"/>
      <c r="I935" s="45"/>
      <c r="J935" s="45">
        <v>0.5</v>
      </c>
      <c r="K935" s="45">
        <v>6.5000000000000002E-2</v>
      </c>
      <c r="L935" s="45"/>
      <c r="M935" s="54">
        <v>2.3999999999999998E-3</v>
      </c>
      <c r="N935" s="45">
        <v>40</v>
      </c>
      <c r="O935" s="45"/>
      <c r="P935" s="45"/>
      <c r="Q935" s="45">
        <v>1.7299999999999999E-2</v>
      </c>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c r="AS935" s="45"/>
      <c r="AT935" s="45"/>
      <c r="AU935" s="45"/>
      <c r="AV935" s="45"/>
      <c r="AW935" s="45"/>
      <c r="AX935" s="45"/>
      <c r="AY935" s="45"/>
      <c r="AZ935" s="45"/>
      <c r="BA935" s="45"/>
      <c r="BB935" s="45"/>
      <c r="BC935" s="45"/>
      <c r="BD935" s="45"/>
      <c r="BE935" s="45"/>
      <c r="BF935" s="45"/>
      <c r="BG935" s="45"/>
      <c r="BH935" s="45"/>
      <c r="BI935" s="45"/>
      <c r="BJ935" s="45"/>
      <c r="BK935" s="78">
        <v>0</v>
      </c>
      <c r="BL935" s="45" t="s">
        <v>1605</v>
      </c>
      <c r="BM935" s="45"/>
    </row>
    <row r="936" spans="1:65" x14ac:dyDescent="0.35">
      <c r="A936" s="45" t="str">
        <f>Database_Productkaarten[[#This Row],[Product]]&amp;", "&amp;Database_Productkaarten[[#This Row],[Levensfase]]</f>
        <v>Betonbuis 500 mm, D2</v>
      </c>
      <c r="B936" s="45" t="s">
        <v>1602</v>
      </c>
      <c r="C936" s="45" t="s">
        <v>465</v>
      </c>
      <c r="D936" s="45" t="s">
        <v>1611</v>
      </c>
      <c r="E936" s="45" t="s">
        <v>538</v>
      </c>
      <c r="F936" s="41" t="s">
        <v>52</v>
      </c>
      <c r="G936" s="45">
        <v>1</v>
      </c>
      <c r="H936" s="45"/>
      <c r="I936" s="45"/>
      <c r="J936" s="45">
        <v>0.5</v>
      </c>
      <c r="K936" s="45">
        <v>6.5000000000000002E-2</v>
      </c>
      <c r="L936" s="45"/>
      <c r="M936" s="54">
        <v>-0.17280000000000001</v>
      </c>
      <c r="N936" s="45">
        <v>40</v>
      </c>
      <c r="O936" s="45"/>
      <c r="P936" s="45"/>
      <c r="Q936" s="45">
        <v>-1.3516999999999999</v>
      </c>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c r="AS936" s="45"/>
      <c r="AT936" s="45"/>
      <c r="AU936" s="45"/>
      <c r="AV936" s="45"/>
      <c r="AW936" s="45"/>
      <c r="AX936" s="45"/>
      <c r="AY936" s="45"/>
      <c r="AZ936" s="45"/>
      <c r="BA936" s="45"/>
      <c r="BB936" s="45"/>
      <c r="BC936" s="45"/>
      <c r="BD936" s="45"/>
      <c r="BE936" s="45"/>
      <c r="BF936" s="45"/>
      <c r="BG936" s="45"/>
      <c r="BH936" s="45"/>
      <c r="BI936" s="45"/>
      <c r="BJ936" s="45"/>
      <c r="BK936" s="78">
        <v>0</v>
      </c>
      <c r="BL936" s="45" t="s">
        <v>1608</v>
      </c>
      <c r="BM936" s="45"/>
    </row>
    <row r="937" spans="1:65" x14ac:dyDescent="0.35">
      <c r="A937" s="45" t="str">
        <f>Database_Productkaarten[[#This Row],[Product]]&amp;", "&amp;Database_Productkaarten[[#This Row],[Levensfase]]</f>
        <v>Betonbuis 800 mm, Totaal</v>
      </c>
      <c r="B937" s="45" t="s">
        <v>1606</v>
      </c>
      <c r="C937" s="45" t="s">
        <v>465</v>
      </c>
      <c r="D937" s="45" t="s">
        <v>1611</v>
      </c>
      <c r="E937" s="45" t="s">
        <v>538</v>
      </c>
      <c r="F937" s="41" t="s">
        <v>16</v>
      </c>
      <c r="G937" s="45">
        <v>1</v>
      </c>
      <c r="H937" s="45"/>
      <c r="I937" s="45"/>
      <c r="J937" s="45">
        <v>0.8</v>
      </c>
      <c r="K937" s="45">
        <v>0.1</v>
      </c>
      <c r="L937" s="45"/>
      <c r="M937" s="54"/>
      <c r="N937" s="45">
        <v>40</v>
      </c>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c r="AS937" s="45"/>
      <c r="AT937" s="45"/>
      <c r="AU937" s="45"/>
      <c r="AV937" s="45"/>
      <c r="AW937" s="45"/>
      <c r="AX937" s="45"/>
      <c r="AY937" s="45"/>
      <c r="AZ937" s="45"/>
      <c r="BA937" s="45"/>
      <c r="BB937" s="45"/>
      <c r="BC937" s="45"/>
      <c r="BD937" s="45"/>
      <c r="BE937" s="45"/>
      <c r="BF937" s="45"/>
      <c r="BG937" s="45"/>
      <c r="BH937" s="45"/>
      <c r="BI937" s="45"/>
      <c r="BJ937" s="45"/>
      <c r="BK937" s="78">
        <v>0</v>
      </c>
      <c r="BL937" s="45" t="s">
        <v>1608</v>
      </c>
      <c r="BM937" s="45"/>
    </row>
    <row r="938" spans="1:65" x14ac:dyDescent="0.35">
      <c r="A938" s="45" t="str">
        <f>Database_Productkaarten[[#This Row],[Product]]&amp;", "&amp;Database_Productkaarten[[#This Row],[Levensfase]]</f>
        <v>Betonbuis 800 mm, A1</v>
      </c>
      <c r="B938" s="45" t="s">
        <v>1606</v>
      </c>
      <c r="C938" s="45" t="s">
        <v>465</v>
      </c>
      <c r="D938" s="45" t="s">
        <v>1611</v>
      </c>
      <c r="E938" s="45" t="s">
        <v>538</v>
      </c>
      <c r="F938" s="41" t="s">
        <v>19</v>
      </c>
      <c r="G938" s="45">
        <v>1</v>
      </c>
      <c r="H938" s="45"/>
      <c r="I938" s="45"/>
      <c r="J938" s="45">
        <v>0.8</v>
      </c>
      <c r="K938" s="45">
        <v>0.1</v>
      </c>
      <c r="L938" s="45"/>
      <c r="M938" s="54">
        <v>6.4364999999999997</v>
      </c>
      <c r="N938" s="45">
        <v>40</v>
      </c>
      <c r="O938" s="45"/>
      <c r="P938" s="45"/>
      <c r="Q938" s="45">
        <v>83.209500000000006</v>
      </c>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c r="AT938" s="45"/>
      <c r="AU938" s="45"/>
      <c r="AV938" s="45"/>
      <c r="AW938" s="45"/>
      <c r="AX938" s="45"/>
      <c r="AY938" s="45"/>
      <c r="AZ938" s="45"/>
      <c r="BA938" s="45"/>
      <c r="BB938" s="45"/>
      <c r="BC938" s="45"/>
      <c r="BD938" s="45"/>
      <c r="BE938" s="45"/>
      <c r="BF938" s="45"/>
      <c r="BG938" s="45"/>
      <c r="BH938" s="45"/>
      <c r="BI938" s="45"/>
      <c r="BJ938" s="45"/>
      <c r="BK938" s="78">
        <v>0</v>
      </c>
      <c r="BL938" s="45" t="s">
        <v>1608</v>
      </c>
      <c r="BM938" s="45"/>
    </row>
    <row r="939" spans="1:65" x14ac:dyDescent="0.35">
      <c r="A939" s="45" t="str">
        <f>Database_Productkaarten[[#This Row],[Product]]&amp;", "&amp;Database_Productkaarten[[#This Row],[Levensfase]]</f>
        <v>Betonbuis 800 mm, A2</v>
      </c>
      <c r="B939" s="45" t="s">
        <v>1606</v>
      </c>
      <c r="C939" s="45" t="s">
        <v>465</v>
      </c>
      <c r="D939" s="45" t="s">
        <v>1611</v>
      </c>
      <c r="E939" s="45" t="s">
        <v>538</v>
      </c>
      <c r="F939" s="41" t="s">
        <v>20</v>
      </c>
      <c r="G939" s="45">
        <v>1</v>
      </c>
      <c r="H939" s="45"/>
      <c r="I939" s="45"/>
      <c r="J939" s="45">
        <v>0.8</v>
      </c>
      <c r="K939" s="45">
        <v>0.1</v>
      </c>
      <c r="L939" s="45"/>
      <c r="M939" s="54"/>
      <c r="N939" s="45">
        <v>40</v>
      </c>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c r="AS939" s="45"/>
      <c r="AT939" s="45"/>
      <c r="AU939" s="45"/>
      <c r="AV939" s="45"/>
      <c r="AW939" s="45"/>
      <c r="AX939" s="45"/>
      <c r="AY939" s="45"/>
      <c r="AZ939" s="45"/>
      <c r="BA939" s="45"/>
      <c r="BB939" s="45"/>
      <c r="BC939" s="45"/>
      <c r="BD939" s="45"/>
      <c r="BE939" s="45"/>
      <c r="BF939" s="45"/>
      <c r="BG939" s="45"/>
      <c r="BH939" s="45"/>
      <c r="BI939" s="45"/>
      <c r="BJ939" s="45"/>
      <c r="BK939" s="78">
        <v>0</v>
      </c>
      <c r="BL939" s="45" t="s">
        <v>1608</v>
      </c>
      <c r="BM939" s="45"/>
    </row>
    <row r="940" spans="1:65" x14ac:dyDescent="0.35">
      <c r="A940" s="45" t="str">
        <f>Database_Productkaarten[[#This Row],[Product]]&amp;", "&amp;Database_Productkaarten[[#This Row],[Levensfase]]</f>
        <v>Betonbuis 800 mm, A3</v>
      </c>
      <c r="B940" s="45" t="s">
        <v>1606</v>
      </c>
      <c r="C940" s="45" t="s">
        <v>465</v>
      </c>
      <c r="D940" s="45" t="s">
        <v>1611</v>
      </c>
      <c r="E940" s="45" t="s">
        <v>538</v>
      </c>
      <c r="F940" s="41" t="s">
        <v>21</v>
      </c>
      <c r="G940" s="45">
        <v>1</v>
      </c>
      <c r="H940" s="45"/>
      <c r="I940" s="45"/>
      <c r="J940" s="45">
        <v>0.8</v>
      </c>
      <c r="K940" s="45">
        <v>0.1</v>
      </c>
      <c r="L940" s="45"/>
      <c r="M940" s="54"/>
      <c r="N940" s="45">
        <v>40</v>
      </c>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c r="AO940" s="45"/>
      <c r="AP940" s="45"/>
      <c r="AQ940" s="45"/>
      <c r="AR940" s="45"/>
      <c r="AS940" s="45"/>
      <c r="AT940" s="45"/>
      <c r="AU940" s="45"/>
      <c r="AV940" s="45"/>
      <c r="AW940" s="45"/>
      <c r="AX940" s="45"/>
      <c r="AY940" s="45"/>
      <c r="AZ940" s="45"/>
      <c r="BA940" s="45"/>
      <c r="BB940" s="45"/>
      <c r="BC940" s="45"/>
      <c r="BD940" s="45"/>
      <c r="BE940" s="45"/>
      <c r="BF940" s="45"/>
      <c r="BG940" s="45"/>
      <c r="BH940" s="45"/>
      <c r="BI940" s="45"/>
      <c r="BJ940" s="45"/>
      <c r="BK940" s="78">
        <v>0</v>
      </c>
      <c r="BL940" s="45" t="s">
        <v>1608</v>
      </c>
      <c r="BM940" s="45"/>
    </row>
    <row r="941" spans="1:65" x14ac:dyDescent="0.35">
      <c r="A941" s="45" t="str">
        <f>Database_Productkaarten[[#This Row],[Product]]&amp;", "&amp;Database_Productkaarten[[#This Row],[Levensfase]]</f>
        <v>Betonbuis 800 mm, A4</v>
      </c>
      <c r="B941" s="45" t="s">
        <v>1606</v>
      </c>
      <c r="C941" s="45" t="s">
        <v>465</v>
      </c>
      <c r="D941" s="45" t="s">
        <v>1611</v>
      </c>
      <c r="E941" s="45" t="s">
        <v>538</v>
      </c>
      <c r="F941" s="41" t="s">
        <v>22</v>
      </c>
      <c r="G941" s="45">
        <v>1</v>
      </c>
      <c r="H941" s="45"/>
      <c r="I941" s="45"/>
      <c r="J941" s="45">
        <v>0.8</v>
      </c>
      <c r="K941" s="45">
        <v>0.1</v>
      </c>
      <c r="L941" s="45"/>
      <c r="M941" s="54">
        <v>1.8288</v>
      </c>
      <c r="N941" s="45">
        <v>40</v>
      </c>
      <c r="O941" s="45"/>
      <c r="P941" s="45"/>
      <c r="Q941" s="45">
        <v>15.3506</v>
      </c>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c r="AO941" s="45"/>
      <c r="AP941" s="45"/>
      <c r="AQ941" s="45"/>
      <c r="AR941" s="45"/>
      <c r="AS941" s="45"/>
      <c r="AT941" s="45"/>
      <c r="AU941" s="45"/>
      <c r="AV941" s="45"/>
      <c r="AW941" s="45"/>
      <c r="AX941" s="45"/>
      <c r="AY941" s="45"/>
      <c r="AZ941" s="45"/>
      <c r="BA941" s="45"/>
      <c r="BB941" s="45"/>
      <c r="BC941" s="45"/>
      <c r="BD941" s="45"/>
      <c r="BE941" s="45"/>
      <c r="BF941" s="45"/>
      <c r="BG941" s="45"/>
      <c r="BH941" s="45"/>
      <c r="BI941" s="45"/>
      <c r="BJ941" s="45"/>
      <c r="BK941" s="78">
        <v>0</v>
      </c>
      <c r="BL941" s="45" t="s">
        <v>1608</v>
      </c>
      <c r="BM941" s="45"/>
    </row>
    <row r="942" spans="1:65" x14ac:dyDescent="0.35">
      <c r="A942" s="45" t="str">
        <f>Database_Productkaarten[[#This Row],[Product]]&amp;", "&amp;Database_Productkaarten[[#This Row],[Levensfase]]</f>
        <v>Betonbuis 800 mm, A5</v>
      </c>
      <c r="B942" s="45" t="s">
        <v>1606</v>
      </c>
      <c r="C942" s="45" t="s">
        <v>465</v>
      </c>
      <c r="D942" s="45" t="s">
        <v>1611</v>
      </c>
      <c r="E942" s="45" t="s">
        <v>538</v>
      </c>
      <c r="F942" s="41" t="s">
        <v>23</v>
      </c>
      <c r="G942" s="45">
        <v>1</v>
      </c>
      <c r="H942" s="45"/>
      <c r="I942" s="45"/>
      <c r="J942" s="45">
        <v>0.8</v>
      </c>
      <c r="K942" s="45">
        <v>0.1</v>
      </c>
      <c r="L942" s="45"/>
      <c r="M942" s="54">
        <f>0.2452+1.415</f>
        <v>1.6602000000000001</v>
      </c>
      <c r="N942" s="45">
        <v>40</v>
      </c>
      <c r="O942" s="45"/>
      <c r="P942" s="45"/>
      <c r="Q942" s="45">
        <f>2.8266+15.271</f>
        <v>18.0976</v>
      </c>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c r="AO942" s="45"/>
      <c r="AP942" s="45"/>
      <c r="AQ942" s="45"/>
      <c r="AR942" s="45"/>
      <c r="AS942" s="45"/>
      <c r="AT942" s="45"/>
      <c r="AU942" s="45"/>
      <c r="AV942" s="45"/>
      <c r="AW942" s="45"/>
      <c r="AX942" s="45"/>
      <c r="AY942" s="45"/>
      <c r="AZ942" s="45"/>
      <c r="BA942" s="45"/>
      <c r="BB942" s="45"/>
      <c r="BC942" s="45"/>
      <c r="BD942" s="45"/>
      <c r="BE942" s="45"/>
      <c r="BF942" s="45"/>
      <c r="BG942" s="45"/>
      <c r="BH942" s="45"/>
      <c r="BI942" s="45"/>
      <c r="BJ942" s="45"/>
      <c r="BK942" s="78">
        <v>0</v>
      </c>
      <c r="BL942" s="45" t="s">
        <v>1608</v>
      </c>
      <c r="BM942" s="45"/>
    </row>
    <row r="943" spans="1:65" x14ac:dyDescent="0.35">
      <c r="A943" s="45" t="str">
        <f>Database_Productkaarten[[#This Row],[Product]]&amp;", "&amp;Database_Productkaarten[[#This Row],[Levensfase]]</f>
        <v>Betonbuis 800 mm, B1</v>
      </c>
      <c r="B943" s="45" t="s">
        <v>1606</v>
      </c>
      <c r="C943" s="45" t="s">
        <v>465</v>
      </c>
      <c r="D943" s="45" t="s">
        <v>1611</v>
      </c>
      <c r="E943" s="45" t="s">
        <v>538</v>
      </c>
      <c r="F943" s="41" t="s">
        <v>24</v>
      </c>
      <c r="G943" s="45">
        <v>1</v>
      </c>
      <c r="H943" s="45"/>
      <c r="I943" s="45"/>
      <c r="J943" s="45">
        <v>0.8</v>
      </c>
      <c r="K943" s="45">
        <v>0.1</v>
      </c>
      <c r="L943" s="45"/>
      <c r="M943" s="54"/>
      <c r="N943" s="45">
        <v>40</v>
      </c>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c r="AO943" s="45"/>
      <c r="AP943" s="45"/>
      <c r="AQ943" s="45"/>
      <c r="AR943" s="45"/>
      <c r="AS943" s="45"/>
      <c r="AT943" s="45"/>
      <c r="AU943" s="45"/>
      <c r="AV943" s="45"/>
      <c r="AW943" s="45"/>
      <c r="AX943" s="45"/>
      <c r="AY943" s="45"/>
      <c r="AZ943" s="45"/>
      <c r="BA943" s="45"/>
      <c r="BB943" s="45"/>
      <c r="BC943" s="45"/>
      <c r="BD943" s="45"/>
      <c r="BE943" s="45"/>
      <c r="BF943" s="45"/>
      <c r="BG943" s="45"/>
      <c r="BH943" s="45"/>
      <c r="BI943" s="45"/>
      <c r="BJ943" s="45"/>
      <c r="BK943" s="78">
        <v>0</v>
      </c>
      <c r="BL943" s="45" t="s">
        <v>1608</v>
      </c>
      <c r="BM943" s="45"/>
    </row>
    <row r="944" spans="1:65" x14ac:dyDescent="0.35">
      <c r="A944" s="45" t="str">
        <f>Database_Productkaarten[[#This Row],[Product]]&amp;", "&amp;Database_Productkaarten[[#This Row],[Levensfase]]</f>
        <v>Betonbuis 800 mm, C1</v>
      </c>
      <c r="B944" s="45" t="s">
        <v>1606</v>
      </c>
      <c r="C944" s="45" t="s">
        <v>465</v>
      </c>
      <c r="D944" s="45" t="s">
        <v>1611</v>
      </c>
      <c r="E944" s="45" t="s">
        <v>538</v>
      </c>
      <c r="F944" s="41" t="s">
        <v>25</v>
      </c>
      <c r="G944" s="45">
        <v>1</v>
      </c>
      <c r="H944" s="45"/>
      <c r="I944" s="45"/>
      <c r="J944" s="45">
        <v>0.8</v>
      </c>
      <c r="K944" s="45">
        <v>0.1</v>
      </c>
      <c r="L944" s="45"/>
      <c r="M944" s="54">
        <v>0.47489999999999999</v>
      </c>
      <c r="N944" s="45">
        <v>40</v>
      </c>
      <c r="O944" s="45"/>
      <c r="P944" s="45"/>
      <c r="Q944" s="45">
        <v>5.1246999999999998</v>
      </c>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c r="AS944" s="45"/>
      <c r="AT944" s="45"/>
      <c r="AU944" s="45"/>
      <c r="AV944" s="45"/>
      <c r="AW944" s="45"/>
      <c r="AX944" s="45"/>
      <c r="AY944" s="45"/>
      <c r="AZ944" s="45"/>
      <c r="BA944" s="45"/>
      <c r="BB944" s="45"/>
      <c r="BC944" s="45"/>
      <c r="BD944" s="45"/>
      <c r="BE944" s="45"/>
      <c r="BF944" s="45"/>
      <c r="BG944" s="45"/>
      <c r="BH944" s="45"/>
      <c r="BI944" s="45"/>
      <c r="BJ944" s="45"/>
      <c r="BK944" s="78">
        <v>0</v>
      </c>
      <c r="BL944" s="45" t="s">
        <v>1608</v>
      </c>
      <c r="BM944" s="45"/>
    </row>
    <row r="945" spans="1:65" x14ac:dyDescent="0.35">
      <c r="A945" s="45" t="str">
        <f>Database_Productkaarten[[#This Row],[Product]]&amp;", "&amp;Database_Productkaarten[[#This Row],[Levensfase]]</f>
        <v>Betonbuis 800 mm, C2</v>
      </c>
      <c r="B945" s="45" t="s">
        <v>1606</v>
      </c>
      <c r="C945" s="45" t="s">
        <v>465</v>
      </c>
      <c r="D945" s="45" t="s">
        <v>1611</v>
      </c>
      <c r="E945" s="45" t="s">
        <v>538</v>
      </c>
      <c r="F945" s="41" t="s">
        <v>26</v>
      </c>
      <c r="G945" s="45">
        <v>1</v>
      </c>
      <c r="H945" s="45"/>
      <c r="I945" s="45"/>
      <c r="J945" s="45">
        <v>0.8</v>
      </c>
      <c r="K945" s="45">
        <v>0.1</v>
      </c>
      <c r="L945" s="45"/>
      <c r="M945" s="54">
        <v>0.61629999999999996</v>
      </c>
      <c r="N945" s="45">
        <v>40</v>
      </c>
      <c r="O945" s="45"/>
      <c r="P945" s="45"/>
      <c r="Q945" s="45">
        <v>5.1727999999999996</v>
      </c>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c r="AS945" s="45"/>
      <c r="AT945" s="45"/>
      <c r="AU945" s="45"/>
      <c r="AV945" s="45"/>
      <c r="AW945" s="45"/>
      <c r="AX945" s="45"/>
      <c r="AY945" s="45"/>
      <c r="AZ945" s="45"/>
      <c r="BA945" s="45"/>
      <c r="BB945" s="45"/>
      <c r="BC945" s="45"/>
      <c r="BD945" s="45"/>
      <c r="BE945" s="45"/>
      <c r="BF945" s="45"/>
      <c r="BG945" s="45"/>
      <c r="BH945" s="45"/>
      <c r="BI945" s="45"/>
      <c r="BJ945" s="45"/>
      <c r="BK945" s="78">
        <v>0</v>
      </c>
      <c r="BL945" s="45" t="s">
        <v>1608</v>
      </c>
      <c r="BM945" s="45"/>
    </row>
    <row r="946" spans="1:65" x14ac:dyDescent="0.35">
      <c r="A946" s="45" t="str">
        <f>Database_Productkaarten[[#This Row],[Product]]&amp;", "&amp;Database_Productkaarten[[#This Row],[Levensfase]]</f>
        <v>Betonbuis 800 mm, C3</v>
      </c>
      <c r="B946" s="45" t="s">
        <v>1606</v>
      </c>
      <c r="C946" s="45" t="s">
        <v>465</v>
      </c>
      <c r="D946" s="45" t="s">
        <v>1611</v>
      </c>
      <c r="E946" s="45" t="s">
        <v>538</v>
      </c>
      <c r="F946" s="41" t="s">
        <v>27</v>
      </c>
      <c r="G946" s="45">
        <v>1</v>
      </c>
      <c r="H946" s="45"/>
      <c r="I946" s="45"/>
      <c r="J946" s="45">
        <v>0.8</v>
      </c>
      <c r="K946" s="45">
        <v>0.1</v>
      </c>
      <c r="L946" s="45"/>
      <c r="M946" s="54">
        <v>0.223</v>
      </c>
      <c r="N946" s="45">
        <v>40</v>
      </c>
      <c r="O946" s="45"/>
      <c r="P946" s="45"/>
      <c r="Q946" s="45">
        <v>6.2700000000000006E-2</v>
      </c>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c r="AS946" s="45"/>
      <c r="AT946" s="45"/>
      <c r="AU946" s="45"/>
      <c r="AV946" s="45"/>
      <c r="AW946" s="45"/>
      <c r="AX946" s="45"/>
      <c r="AY946" s="45"/>
      <c r="AZ946" s="45"/>
      <c r="BA946" s="45"/>
      <c r="BB946" s="45"/>
      <c r="BC946" s="45"/>
      <c r="BD946" s="45"/>
      <c r="BE946" s="45"/>
      <c r="BF946" s="45"/>
      <c r="BG946" s="45"/>
      <c r="BH946" s="45"/>
      <c r="BI946" s="45"/>
      <c r="BJ946" s="45"/>
      <c r="BK946" s="78">
        <v>0</v>
      </c>
      <c r="BL946" s="45" t="s">
        <v>1608</v>
      </c>
      <c r="BM946" s="45"/>
    </row>
    <row r="947" spans="1:65" x14ac:dyDescent="0.35">
      <c r="A947" s="45" t="str">
        <f>Database_Productkaarten[[#This Row],[Product]]&amp;", "&amp;Database_Productkaarten[[#This Row],[Levensfase]]</f>
        <v>Betonbuis 800 mm, C4</v>
      </c>
      <c r="B947" s="45" t="s">
        <v>1606</v>
      </c>
      <c r="C947" s="45" t="s">
        <v>465</v>
      </c>
      <c r="D947" s="45" t="s">
        <v>1611</v>
      </c>
      <c r="E947" s="45" t="s">
        <v>538</v>
      </c>
      <c r="F947" s="41" t="s">
        <v>28</v>
      </c>
      <c r="G947" s="45">
        <v>1</v>
      </c>
      <c r="H947" s="45"/>
      <c r="I947" s="45"/>
      <c r="J947" s="45">
        <v>0.8</v>
      </c>
      <c r="K947" s="45">
        <v>0.1</v>
      </c>
      <c r="L947" s="45"/>
      <c r="M947" s="54">
        <v>5.8999999999999999E-3</v>
      </c>
      <c r="N947" s="45">
        <v>40</v>
      </c>
      <c r="O947" s="45"/>
      <c r="P947" s="45"/>
      <c r="Q947" s="45">
        <v>4.1599999999999998E-2</v>
      </c>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c r="AS947" s="45"/>
      <c r="AT947" s="45"/>
      <c r="AU947" s="45"/>
      <c r="AV947" s="45"/>
      <c r="AW947" s="45"/>
      <c r="AX947" s="45"/>
      <c r="AY947" s="45"/>
      <c r="AZ947" s="45"/>
      <c r="BA947" s="45"/>
      <c r="BB947" s="45"/>
      <c r="BC947" s="45"/>
      <c r="BD947" s="45"/>
      <c r="BE947" s="45"/>
      <c r="BF947" s="45"/>
      <c r="BG947" s="45"/>
      <c r="BH947" s="45"/>
      <c r="BI947" s="45"/>
      <c r="BJ947" s="45"/>
      <c r="BK947" s="78">
        <v>0</v>
      </c>
      <c r="BL947" s="45" t="s">
        <v>1608</v>
      </c>
      <c r="BM947" s="45"/>
    </row>
    <row r="948" spans="1:65" x14ac:dyDescent="0.35">
      <c r="A948" s="45" t="str">
        <f>Database_Productkaarten[[#This Row],[Product]]&amp;", "&amp;Database_Productkaarten[[#This Row],[Levensfase]]</f>
        <v>Betonbuis 800 mm, D1</v>
      </c>
      <c r="B948" s="45" t="s">
        <v>1606</v>
      </c>
      <c r="C948" s="45" t="s">
        <v>465</v>
      </c>
      <c r="D948" s="45" t="s">
        <v>1611</v>
      </c>
      <c r="E948" s="45" t="s">
        <v>538</v>
      </c>
      <c r="F948" s="41" t="s">
        <v>51</v>
      </c>
      <c r="G948" s="45">
        <v>1</v>
      </c>
      <c r="H948" s="45"/>
      <c r="I948" s="45"/>
      <c r="J948" s="45">
        <v>0.8</v>
      </c>
      <c r="K948" s="45">
        <v>0.1</v>
      </c>
      <c r="L948" s="45"/>
      <c r="M948" s="54">
        <v>-0.41589999999999999</v>
      </c>
      <c r="N948" s="45">
        <v>40</v>
      </c>
      <c r="O948" s="45"/>
      <c r="P948" s="45"/>
      <c r="Q948" s="45">
        <v>-3.2532999999999999</v>
      </c>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c r="AS948" s="45"/>
      <c r="AT948" s="45"/>
      <c r="AU948" s="45"/>
      <c r="AV948" s="45"/>
      <c r="AW948" s="45"/>
      <c r="AX948" s="45"/>
      <c r="AY948" s="45"/>
      <c r="AZ948" s="45"/>
      <c r="BA948" s="45"/>
      <c r="BB948" s="45"/>
      <c r="BC948" s="45"/>
      <c r="BD948" s="45"/>
      <c r="BE948" s="45"/>
      <c r="BF948" s="45"/>
      <c r="BG948" s="45"/>
      <c r="BH948" s="45"/>
      <c r="BI948" s="45"/>
      <c r="BJ948" s="45"/>
      <c r="BK948" s="78">
        <v>0</v>
      </c>
      <c r="BL948" s="45" t="s">
        <v>1608</v>
      </c>
      <c r="BM948" s="45"/>
    </row>
    <row r="949" spans="1:65" x14ac:dyDescent="0.35">
      <c r="A949" s="45" t="str">
        <f>Database_Productkaarten[[#This Row],[Product]]&amp;", "&amp;Database_Productkaarten[[#This Row],[Levensfase]]</f>
        <v>Betonbuis 800 mm, D2</v>
      </c>
      <c r="B949" s="45" t="s">
        <v>1606</v>
      </c>
      <c r="C949" s="45" t="s">
        <v>465</v>
      </c>
      <c r="D949" s="45" t="s">
        <v>1611</v>
      </c>
      <c r="E949" s="45" t="s">
        <v>538</v>
      </c>
      <c r="F949" s="41" t="s">
        <v>52</v>
      </c>
      <c r="G949" s="45">
        <v>1</v>
      </c>
      <c r="H949" s="45"/>
      <c r="I949" s="45"/>
      <c r="J949" s="45">
        <v>0.8</v>
      </c>
      <c r="K949" s="45">
        <v>0.1</v>
      </c>
      <c r="L949" s="45"/>
      <c r="M949" s="54"/>
      <c r="N949" s="45">
        <v>40</v>
      </c>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c r="AS949" s="45"/>
      <c r="AT949" s="45"/>
      <c r="AU949" s="45"/>
      <c r="AV949" s="45"/>
      <c r="AW949" s="45"/>
      <c r="AX949" s="45"/>
      <c r="AY949" s="45"/>
      <c r="AZ949" s="45"/>
      <c r="BA949" s="45"/>
      <c r="BB949" s="45"/>
      <c r="BC949" s="45"/>
      <c r="BD949" s="45"/>
      <c r="BE949" s="45"/>
      <c r="BF949" s="45"/>
      <c r="BG949" s="45"/>
      <c r="BH949" s="45"/>
      <c r="BI949" s="45"/>
      <c r="BJ949" s="45"/>
      <c r="BK949" s="78">
        <v>0</v>
      </c>
      <c r="BL949" s="45" t="s">
        <v>1608</v>
      </c>
      <c r="BM949" s="45"/>
    </row>
    <row r="950" spans="1:65" x14ac:dyDescent="0.35">
      <c r="A950" s="45" t="str">
        <f>Database_Productkaarten[[#This Row],[Product]]&amp;", "&amp;Database_Productkaarten[[#This Row],[Levensfase]]</f>
        <v>Betonbuis 1000 mm, Totaal</v>
      </c>
      <c r="B950" s="45" t="s">
        <v>1607</v>
      </c>
      <c r="C950" s="45" t="s">
        <v>465</v>
      </c>
      <c r="D950" s="45" t="s">
        <v>1611</v>
      </c>
      <c r="E950" s="45" t="s">
        <v>538</v>
      </c>
      <c r="F950" s="41" t="s">
        <v>16</v>
      </c>
      <c r="G950" s="45">
        <v>1</v>
      </c>
      <c r="H950" s="45"/>
      <c r="I950" s="45"/>
      <c r="J950" s="45">
        <v>1</v>
      </c>
      <c r="K950" s="45">
        <v>0.125</v>
      </c>
      <c r="L950" s="45"/>
      <c r="M950" s="54"/>
      <c r="N950" s="45">
        <v>100</v>
      </c>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c r="AS950" s="45"/>
      <c r="AT950" s="45"/>
      <c r="AU950" s="45"/>
      <c r="AV950" s="45"/>
      <c r="AW950" s="45"/>
      <c r="AX950" s="45"/>
      <c r="AY950" s="45"/>
      <c r="AZ950" s="45"/>
      <c r="BA950" s="45"/>
      <c r="BB950" s="45"/>
      <c r="BC950" s="45"/>
      <c r="BD950" s="45"/>
      <c r="BE950" s="45"/>
      <c r="BF950" s="45"/>
      <c r="BG950" s="45"/>
      <c r="BH950" s="45"/>
      <c r="BI950" s="45"/>
      <c r="BJ950" s="45"/>
      <c r="BK950" s="78">
        <v>0</v>
      </c>
      <c r="BL950" s="45" t="s">
        <v>1609</v>
      </c>
      <c r="BM950" s="45"/>
    </row>
    <row r="951" spans="1:65" x14ac:dyDescent="0.35">
      <c r="A951" s="45" t="str">
        <f>Database_Productkaarten[[#This Row],[Product]]&amp;", "&amp;Database_Productkaarten[[#This Row],[Levensfase]]</f>
        <v>Betonbuis 1000 mm, A1</v>
      </c>
      <c r="B951" s="45" t="s">
        <v>1607</v>
      </c>
      <c r="C951" s="45" t="s">
        <v>465</v>
      </c>
      <c r="D951" s="45" t="s">
        <v>1611</v>
      </c>
      <c r="E951" s="45" t="s">
        <v>538</v>
      </c>
      <c r="F951" s="41" t="s">
        <v>19</v>
      </c>
      <c r="G951" s="45">
        <v>1</v>
      </c>
      <c r="H951" s="45"/>
      <c r="I951" s="45"/>
      <c r="J951" s="45">
        <v>1</v>
      </c>
      <c r="K951" s="45">
        <v>0.125</v>
      </c>
      <c r="L951" s="45"/>
      <c r="M951" s="54">
        <f>0.0142+18.8317</f>
        <v>18.8459</v>
      </c>
      <c r="N951" s="45">
        <v>100</v>
      </c>
      <c r="O951" s="45"/>
      <c r="P951" s="45"/>
      <c r="Q951" s="45">
        <f>10.9013+345.2651</f>
        <v>356.16640000000001</v>
      </c>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c r="AS951" s="45"/>
      <c r="AT951" s="45"/>
      <c r="AU951" s="45"/>
      <c r="AV951" s="45"/>
      <c r="AW951" s="45"/>
      <c r="AX951" s="45"/>
      <c r="AY951" s="45"/>
      <c r="AZ951" s="45"/>
      <c r="BA951" s="45"/>
      <c r="BB951" s="45"/>
      <c r="BC951" s="45"/>
      <c r="BD951" s="45"/>
      <c r="BE951" s="45"/>
      <c r="BF951" s="45"/>
      <c r="BG951" s="45"/>
      <c r="BH951" s="45"/>
      <c r="BI951" s="45"/>
      <c r="BJ951" s="45"/>
      <c r="BK951" s="78">
        <v>0</v>
      </c>
      <c r="BL951" s="45" t="s">
        <v>1609</v>
      </c>
      <c r="BM951" s="45"/>
    </row>
    <row r="952" spans="1:65" x14ac:dyDescent="0.35">
      <c r="A952" s="45" t="str">
        <f>Database_Productkaarten[[#This Row],[Product]]&amp;", "&amp;Database_Productkaarten[[#This Row],[Levensfase]]</f>
        <v>Betonbuis 1000 mm, A2</v>
      </c>
      <c r="B952" s="45" t="s">
        <v>1607</v>
      </c>
      <c r="C952" s="45" t="s">
        <v>465</v>
      </c>
      <c r="D952" s="45" t="s">
        <v>1611</v>
      </c>
      <c r="E952" s="45" t="s">
        <v>538</v>
      </c>
      <c r="F952" s="41" t="s">
        <v>20</v>
      </c>
      <c r="G952" s="45">
        <v>1</v>
      </c>
      <c r="H952" s="45"/>
      <c r="I952" s="45"/>
      <c r="J952" s="45">
        <v>1</v>
      </c>
      <c r="K952" s="45">
        <v>0.125</v>
      </c>
      <c r="L952" s="45"/>
      <c r="M952" s="54"/>
      <c r="N952" s="45">
        <v>100</v>
      </c>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c r="AS952" s="45"/>
      <c r="AT952" s="45"/>
      <c r="AU952" s="45"/>
      <c r="AV952" s="45"/>
      <c r="AW952" s="45"/>
      <c r="AX952" s="45"/>
      <c r="AY952" s="45"/>
      <c r="AZ952" s="45"/>
      <c r="BA952" s="45"/>
      <c r="BB952" s="45"/>
      <c r="BC952" s="45"/>
      <c r="BD952" s="45"/>
      <c r="BE952" s="45"/>
      <c r="BF952" s="45"/>
      <c r="BG952" s="45"/>
      <c r="BH952" s="45"/>
      <c r="BI952" s="45"/>
      <c r="BJ952" s="45"/>
      <c r="BK952" s="78">
        <v>0</v>
      </c>
      <c r="BL952" s="45" t="s">
        <v>1609</v>
      </c>
      <c r="BM952" s="45"/>
    </row>
    <row r="953" spans="1:65" x14ac:dyDescent="0.35">
      <c r="A953" s="45" t="str">
        <f>Database_Productkaarten[[#This Row],[Product]]&amp;", "&amp;Database_Productkaarten[[#This Row],[Levensfase]]</f>
        <v>Betonbuis 1000 mm, A3</v>
      </c>
      <c r="B953" s="45" t="s">
        <v>1607</v>
      </c>
      <c r="C953" s="45" t="s">
        <v>465</v>
      </c>
      <c r="D953" s="45" t="s">
        <v>1611</v>
      </c>
      <c r="E953" s="45" t="s">
        <v>538</v>
      </c>
      <c r="F953" s="41" t="s">
        <v>21</v>
      </c>
      <c r="G953" s="45">
        <v>1</v>
      </c>
      <c r="H953" s="45"/>
      <c r="I953" s="45"/>
      <c r="J953" s="45">
        <v>1</v>
      </c>
      <c r="K953" s="45">
        <v>0.125</v>
      </c>
      <c r="L953" s="45"/>
      <c r="M953" s="54"/>
      <c r="N953" s="45">
        <v>100</v>
      </c>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c r="AS953" s="45"/>
      <c r="AT953" s="45"/>
      <c r="AU953" s="45"/>
      <c r="AV953" s="45"/>
      <c r="AW953" s="45"/>
      <c r="AX953" s="45"/>
      <c r="AY953" s="45"/>
      <c r="AZ953" s="45"/>
      <c r="BA953" s="45"/>
      <c r="BB953" s="45"/>
      <c r="BC953" s="45"/>
      <c r="BD953" s="45"/>
      <c r="BE953" s="45"/>
      <c r="BF953" s="45"/>
      <c r="BG953" s="45"/>
      <c r="BH953" s="45"/>
      <c r="BI953" s="45"/>
      <c r="BJ953" s="45"/>
      <c r="BK953" s="78">
        <v>0</v>
      </c>
      <c r="BL953" s="45" t="s">
        <v>1609</v>
      </c>
      <c r="BM953" s="45"/>
    </row>
    <row r="954" spans="1:65" x14ac:dyDescent="0.35">
      <c r="A954" s="45" t="str">
        <f>Database_Productkaarten[[#This Row],[Product]]&amp;", "&amp;Database_Productkaarten[[#This Row],[Levensfase]]</f>
        <v>Betonbuis 1000 mm, A4</v>
      </c>
      <c r="B954" s="45" t="s">
        <v>1607</v>
      </c>
      <c r="C954" s="45" t="s">
        <v>465</v>
      </c>
      <c r="D954" s="45" t="s">
        <v>1611</v>
      </c>
      <c r="E954" s="45" t="s">
        <v>538</v>
      </c>
      <c r="F954" s="41" t="s">
        <v>22</v>
      </c>
      <c r="G954" s="45">
        <v>1</v>
      </c>
      <c r="H954" s="45"/>
      <c r="I954" s="45"/>
      <c r="J954" s="45">
        <v>1</v>
      </c>
      <c r="K954" s="45">
        <v>0.125</v>
      </c>
      <c r="L954" s="45"/>
      <c r="M954" s="54">
        <v>1.058E-4</v>
      </c>
      <c r="N954" s="45">
        <v>100</v>
      </c>
      <c r="O954" s="45"/>
      <c r="P954" s="45"/>
      <c r="Q954" s="45">
        <v>5.0700000000000002E-2</v>
      </c>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c r="AS954" s="45"/>
      <c r="AT954" s="45"/>
      <c r="AU954" s="45"/>
      <c r="AV954" s="45"/>
      <c r="AW954" s="45"/>
      <c r="AX954" s="45"/>
      <c r="AY954" s="45"/>
      <c r="AZ954" s="45"/>
      <c r="BA954" s="45"/>
      <c r="BB954" s="45"/>
      <c r="BC954" s="45"/>
      <c r="BD954" s="45"/>
      <c r="BE954" s="45"/>
      <c r="BF954" s="45"/>
      <c r="BG954" s="45"/>
      <c r="BH954" s="45"/>
      <c r="BI954" s="45"/>
      <c r="BJ954" s="45"/>
      <c r="BK954" s="78">
        <v>0</v>
      </c>
      <c r="BL954" s="45" t="s">
        <v>1609</v>
      </c>
      <c r="BM954" s="45"/>
    </row>
    <row r="955" spans="1:65" x14ac:dyDescent="0.35">
      <c r="A955" s="45" t="str">
        <f>Database_Productkaarten[[#This Row],[Product]]&amp;", "&amp;Database_Productkaarten[[#This Row],[Levensfase]]</f>
        <v>Betonbuis 1000 mm, A5</v>
      </c>
      <c r="B955" s="45" t="s">
        <v>1607</v>
      </c>
      <c r="C955" s="45" t="s">
        <v>465</v>
      </c>
      <c r="D955" s="45" t="s">
        <v>1611</v>
      </c>
      <c r="E955" s="45" t="s">
        <v>538</v>
      </c>
      <c r="F955" s="41" t="s">
        <v>23</v>
      </c>
      <c r="G955" s="45">
        <v>1</v>
      </c>
      <c r="H955" s="45"/>
      <c r="I955" s="45"/>
      <c r="J955" s="45">
        <v>1</v>
      </c>
      <c r="K955" s="45">
        <v>0.125</v>
      </c>
      <c r="L955" s="45"/>
      <c r="M955" s="54">
        <f>0.0055+0.8358+(4.3152*0.1)</f>
        <v>1.2728199999999998</v>
      </c>
      <c r="N955" s="45">
        <v>100</v>
      </c>
      <c r="O955" s="45"/>
      <c r="P955" s="45"/>
      <c r="Q955" s="45">
        <f>6.6707+10.842+(46.5697*0.1)</f>
        <v>22.169670000000004</v>
      </c>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c r="AS955" s="45"/>
      <c r="AT955" s="45"/>
      <c r="AU955" s="45"/>
      <c r="AV955" s="45"/>
      <c r="AW955" s="45"/>
      <c r="AX955" s="45"/>
      <c r="AY955" s="45"/>
      <c r="AZ955" s="45"/>
      <c r="BA955" s="45"/>
      <c r="BB955" s="45"/>
      <c r="BC955" s="45"/>
      <c r="BD955" s="45"/>
      <c r="BE955" s="45"/>
      <c r="BF955" s="45"/>
      <c r="BG955" s="45"/>
      <c r="BH955" s="45"/>
      <c r="BI955" s="45"/>
      <c r="BJ955" s="45"/>
      <c r="BK955" s="78">
        <v>0</v>
      </c>
      <c r="BL955" s="45" t="s">
        <v>1609</v>
      </c>
      <c r="BM955" s="45"/>
    </row>
    <row r="956" spans="1:65" x14ac:dyDescent="0.35">
      <c r="A956" s="45" t="str">
        <f>Database_Productkaarten[[#This Row],[Product]]&amp;", "&amp;Database_Productkaarten[[#This Row],[Levensfase]]</f>
        <v>Betonbuis 1000 mm, B1</v>
      </c>
      <c r="B956" s="45" t="s">
        <v>1607</v>
      </c>
      <c r="C956" s="45" t="s">
        <v>465</v>
      </c>
      <c r="D956" s="45" t="s">
        <v>1611</v>
      </c>
      <c r="E956" s="45" t="s">
        <v>538</v>
      </c>
      <c r="F956" s="41" t="s">
        <v>24</v>
      </c>
      <c r="G956" s="45">
        <v>1</v>
      </c>
      <c r="H956" s="45"/>
      <c r="I956" s="45"/>
      <c r="J956" s="45">
        <v>1</v>
      </c>
      <c r="K956" s="45">
        <v>0.125</v>
      </c>
      <c r="L956" s="45"/>
      <c r="M956" s="54"/>
      <c r="N956" s="45">
        <v>100</v>
      </c>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c r="AS956" s="45"/>
      <c r="AT956" s="45"/>
      <c r="AU956" s="45"/>
      <c r="AV956" s="45"/>
      <c r="AW956" s="45"/>
      <c r="AX956" s="45"/>
      <c r="AY956" s="45"/>
      <c r="AZ956" s="45"/>
      <c r="BA956" s="45"/>
      <c r="BB956" s="45"/>
      <c r="BC956" s="45"/>
      <c r="BD956" s="45"/>
      <c r="BE956" s="45"/>
      <c r="BF956" s="45"/>
      <c r="BG956" s="45"/>
      <c r="BH956" s="45"/>
      <c r="BI956" s="45"/>
      <c r="BJ956" s="45"/>
      <c r="BK956" s="78">
        <v>0</v>
      </c>
      <c r="BL956" s="45" t="s">
        <v>1609</v>
      </c>
      <c r="BM956" s="45"/>
    </row>
    <row r="957" spans="1:65" x14ac:dyDescent="0.35">
      <c r="A957" s="45" t="str">
        <f>Database_Productkaarten[[#This Row],[Product]]&amp;", "&amp;Database_Productkaarten[[#This Row],[Levensfase]]</f>
        <v>Betonbuis 1000 mm, C1</v>
      </c>
      <c r="B957" s="45" t="s">
        <v>1607</v>
      </c>
      <c r="C957" s="45" t="s">
        <v>465</v>
      </c>
      <c r="D957" s="45" t="s">
        <v>1611</v>
      </c>
      <c r="E957" s="45" t="s">
        <v>538</v>
      </c>
      <c r="F957" s="41" t="s">
        <v>25</v>
      </c>
      <c r="G957" s="45">
        <v>1</v>
      </c>
      <c r="H957" s="45"/>
      <c r="I957" s="45"/>
      <c r="J957" s="45">
        <v>1</v>
      </c>
      <c r="K957" s="45">
        <v>0.125</v>
      </c>
      <c r="L957" s="45"/>
      <c r="M957" s="54">
        <f>4.3152*0.1</f>
        <v>0.43152000000000001</v>
      </c>
      <c r="N957" s="45">
        <v>100</v>
      </c>
      <c r="O957" s="45"/>
      <c r="P957" s="45"/>
      <c r="Q957" s="45">
        <f>(46.5697*0.1)</f>
        <v>4.6569700000000003</v>
      </c>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c r="AS957" s="45"/>
      <c r="AT957" s="45"/>
      <c r="AU957" s="45"/>
      <c r="AV957" s="45"/>
      <c r="AW957" s="45"/>
      <c r="AX957" s="45"/>
      <c r="AY957" s="45"/>
      <c r="AZ957" s="45"/>
      <c r="BA957" s="45"/>
      <c r="BB957" s="45"/>
      <c r="BC957" s="45"/>
      <c r="BD957" s="45"/>
      <c r="BE957" s="45"/>
      <c r="BF957" s="45"/>
      <c r="BG957" s="45"/>
      <c r="BH957" s="45"/>
      <c r="BI957" s="45"/>
      <c r="BJ957" s="45"/>
      <c r="BK957" s="78">
        <v>0</v>
      </c>
      <c r="BL957" s="45" t="s">
        <v>1609</v>
      </c>
      <c r="BM957" s="45"/>
    </row>
    <row r="958" spans="1:65" x14ac:dyDescent="0.35">
      <c r="A958" s="45" t="str">
        <f>Database_Productkaarten[[#This Row],[Product]]&amp;", "&amp;Database_Productkaarten[[#This Row],[Levensfase]]</f>
        <v>Betonbuis 1000 mm, C2</v>
      </c>
      <c r="B958" s="45" t="s">
        <v>1607</v>
      </c>
      <c r="C958" s="45" t="s">
        <v>465</v>
      </c>
      <c r="D958" s="45" t="s">
        <v>1611</v>
      </c>
      <c r="E958" s="45" t="s">
        <v>538</v>
      </c>
      <c r="F958" s="41" t="s">
        <v>26</v>
      </c>
      <c r="G958" s="45">
        <v>1</v>
      </c>
      <c r="H958" s="45"/>
      <c r="I958" s="45"/>
      <c r="J958" s="45">
        <v>1</v>
      </c>
      <c r="K958" s="45">
        <v>0.125</v>
      </c>
      <c r="L958" s="45"/>
      <c r="M958" s="54">
        <v>1.058E-4</v>
      </c>
      <c r="N958" s="45">
        <v>100</v>
      </c>
      <c r="O958" s="45"/>
      <c r="P958" s="45"/>
      <c r="Q958" s="45">
        <v>5.0700000000000002E-2</v>
      </c>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c r="AS958" s="45"/>
      <c r="AT958" s="45"/>
      <c r="AU958" s="45"/>
      <c r="AV958" s="45"/>
      <c r="AW958" s="45"/>
      <c r="AX958" s="45"/>
      <c r="AY958" s="45"/>
      <c r="AZ958" s="45"/>
      <c r="BA958" s="45"/>
      <c r="BB958" s="45"/>
      <c r="BC958" s="45"/>
      <c r="BD958" s="45"/>
      <c r="BE958" s="45"/>
      <c r="BF958" s="45"/>
      <c r="BG958" s="45"/>
      <c r="BH958" s="45"/>
      <c r="BI958" s="45"/>
      <c r="BJ958" s="45"/>
      <c r="BK958" s="78">
        <v>0</v>
      </c>
      <c r="BL958" s="45" t="s">
        <v>1609</v>
      </c>
      <c r="BM958" s="45"/>
    </row>
    <row r="959" spans="1:65" x14ac:dyDescent="0.35">
      <c r="A959" s="45" t="str">
        <f>Database_Productkaarten[[#This Row],[Product]]&amp;", "&amp;Database_Productkaarten[[#This Row],[Levensfase]]</f>
        <v>Betonbuis 1000 mm, C3</v>
      </c>
      <c r="B959" s="45" t="s">
        <v>1607</v>
      </c>
      <c r="C959" s="45" t="s">
        <v>465</v>
      </c>
      <c r="D959" s="45" t="s">
        <v>1611</v>
      </c>
      <c r="E959" s="45" t="s">
        <v>538</v>
      </c>
      <c r="F959" s="41" t="s">
        <v>27</v>
      </c>
      <c r="G959" s="45">
        <v>1</v>
      </c>
      <c r="H959" s="45"/>
      <c r="I959" s="45"/>
      <c r="J959" s="45">
        <v>1</v>
      </c>
      <c r="K959" s="45">
        <v>0.125</v>
      </c>
      <c r="L959" s="45"/>
      <c r="M959" s="54">
        <f>0.00004494+0.6663</f>
        <v>0.66634494</v>
      </c>
      <c r="N959" s="45">
        <v>100</v>
      </c>
      <c r="O959" s="45"/>
      <c r="P959" s="45"/>
      <c r="Q959" s="45">
        <f>0.6315+0.1873</f>
        <v>0.81879999999999997</v>
      </c>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c r="AS959" s="45"/>
      <c r="AT959" s="45"/>
      <c r="AU959" s="45"/>
      <c r="AV959" s="45"/>
      <c r="AW959" s="45"/>
      <c r="AX959" s="45"/>
      <c r="AY959" s="45"/>
      <c r="AZ959" s="45"/>
      <c r="BA959" s="45"/>
      <c r="BB959" s="45"/>
      <c r="BC959" s="45"/>
      <c r="BD959" s="45"/>
      <c r="BE959" s="45"/>
      <c r="BF959" s="45"/>
      <c r="BG959" s="45"/>
      <c r="BH959" s="45"/>
      <c r="BI959" s="45"/>
      <c r="BJ959" s="45"/>
      <c r="BK959" s="78">
        <v>0</v>
      </c>
      <c r="BL959" s="45" t="s">
        <v>1609</v>
      </c>
      <c r="BM959" s="45"/>
    </row>
    <row r="960" spans="1:65" x14ac:dyDescent="0.35">
      <c r="A960" s="45" t="str">
        <f>Database_Productkaarten[[#This Row],[Product]]&amp;", "&amp;Database_Productkaarten[[#This Row],[Levensfase]]</f>
        <v>Betonbuis 1000 mm, C4</v>
      </c>
      <c r="B960" s="45" t="s">
        <v>1607</v>
      </c>
      <c r="C960" s="45" t="s">
        <v>465</v>
      </c>
      <c r="D960" s="45" t="s">
        <v>1611</v>
      </c>
      <c r="E960" s="45" t="s">
        <v>538</v>
      </c>
      <c r="F960" s="41" t="s">
        <v>28</v>
      </c>
      <c r="G960" s="45">
        <v>1</v>
      </c>
      <c r="H960" s="45"/>
      <c r="I960" s="45"/>
      <c r="J960" s="45">
        <v>1</v>
      </c>
      <c r="K960" s="45">
        <v>0.125</v>
      </c>
      <c r="L960" s="45"/>
      <c r="M960" s="54">
        <v>1.7399999999999999E-2</v>
      </c>
      <c r="N960" s="45">
        <v>100</v>
      </c>
      <c r="O960" s="45"/>
      <c r="P960" s="45"/>
      <c r="Q960" s="45">
        <v>0.1236</v>
      </c>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c r="AS960" s="45"/>
      <c r="AT960" s="45"/>
      <c r="AU960" s="45"/>
      <c r="AV960" s="45"/>
      <c r="AW960" s="45"/>
      <c r="AX960" s="45"/>
      <c r="AY960" s="45"/>
      <c r="AZ960" s="45"/>
      <c r="BA960" s="45"/>
      <c r="BB960" s="45"/>
      <c r="BC960" s="45"/>
      <c r="BD960" s="45"/>
      <c r="BE960" s="45"/>
      <c r="BF960" s="45"/>
      <c r="BG960" s="45"/>
      <c r="BH960" s="45"/>
      <c r="BI960" s="45"/>
      <c r="BJ960" s="45"/>
      <c r="BK960" s="78">
        <v>0</v>
      </c>
      <c r="BL960" s="45" t="s">
        <v>1609</v>
      </c>
      <c r="BM960" s="45"/>
    </row>
    <row r="961" spans="1:65" x14ac:dyDescent="0.35">
      <c r="A961" s="45" t="str">
        <f>Database_Productkaarten[[#This Row],[Product]]&amp;", "&amp;Database_Productkaarten[[#This Row],[Levensfase]]</f>
        <v>Betonbuis 1000 mm, D1</v>
      </c>
      <c r="B961" s="45" t="s">
        <v>1607</v>
      </c>
      <c r="C961" s="45" t="s">
        <v>465</v>
      </c>
      <c r="D961" s="45" t="s">
        <v>1611</v>
      </c>
      <c r="E961" s="45" t="s">
        <v>538</v>
      </c>
      <c r="F961" s="41" t="s">
        <v>51</v>
      </c>
      <c r="G961" s="45">
        <v>1</v>
      </c>
      <c r="H961" s="45"/>
      <c r="I961" s="45"/>
      <c r="J961" s="45">
        <v>1</v>
      </c>
      <c r="K961" s="45">
        <v>0.125</v>
      </c>
      <c r="L961" s="45"/>
      <c r="M961" s="54">
        <v>-2.2000000000000002</v>
      </c>
      <c r="N961" s="45">
        <v>100</v>
      </c>
      <c r="O961" s="45"/>
      <c r="P961" s="45"/>
      <c r="Q961" s="45">
        <v>-17.289000000000001</v>
      </c>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c r="AS961" s="45"/>
      <c r="AT961" s="45"/>
      <c r="AU961" s="45"/>
      <c r="AV961" s="45"/>
      <c r="AW961" s="45"/>
      <c r="AX961" s="45"/>
      <c r="AY961" s="45"/>
      <c r="AZ961" s="45"/>
      <c r="BA961" s="45"/>
      <c r="BB961" s="45"/>
      <c r="BC961" s="45"/>
      <c r="BD961" s="45"/>
      <c r="BE961" s="45"/>
      <c r="BF961" s="45"/>
      <c r="BG961" s="45"/>
      <c r="BH961" s="45"/>
      <c r="BI961" s="45"/>
      <c r="BJ961" s="45"/>
      <c r="BK961" s="78">
        <v>0</v>
      </c>
      <c r="BL961" s="45" t="s">
        <v>1609</v>
      </c>
      <c r="BM961" s="45"/>
    </row>
    <row r="962" spans="1:65" x14ac:dyDescent="0.35">
      <c r="A962" s="45" t="str">
        <f>Database_Productkaarten[[#This Row],[Product]]&amp;", "&amp;Database_Productkaarten[[#This Row],[Levensfase]]</f>
        <v>Betonbuis 1000 mm, D2</v>
      </c>
      <c r="B962" s="45" t="s">
        <v>1607</v>
      </c>
      <c r="C962" s="45" t="s">
        <v>465</v>
      </c>
      <c r="D962" s="45" t="s">
        <v>1611</v>
      </c>
      <c r="E962" s="45" t="s">
        <v>538</v>
      </c>
      <c r="F962" s="41" t="s">
        <v>52</v>
      </c>
      <c r="G962" s="45">
        <v>1</v>
      </c>
      <c r="H962" s="45"/>
      <c r="I962" s="45"/>
      <c r="J962" s="45">
        <v>1</v>
      </c>
      <c r="K962" s="45">
        <v>0.125</v>
      </c>
      <c r="L962" s="45"/>
      <c r="M962" s="54"/>
      <c r="N962" s="45">
        <v>100</v>
      </c>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c r="AS962" s="45"/>
      <c r="AT962" s="45"/>
      <c r="AU962" s="45"/>
      <c r="AV962" s="45"/>
      <c r="AW962" s="45"/>
      <c r="AX962" s="45"/>
      <c r="AY962" s="45"/>
      <c r="AZ962" s="45"/>
      <c r="BA962" s="45"/>
      <c r="BB962" s="45"/>
      <c r="BC962" s="45"/>
      <c r="BD962" s="45"/>
      <c r="BE962" s="45"/>
      <c r="BF962" s="45"/>
      <c r="BG962" s="45"/>
      <c r="BH962" s="45"/>
      <c r="BI962" s="45"/>
      <c r="BJ962" s="45"/>
      <c r="BK962" s="78">
        <v>0</v>
      </c>
      <c r="BL962" s="45" t="s">
        <v>1609</v>
      </c>
      <c r="BM962" s="45"/>
    </row>
    <row r="963" spans="1:65" x14ac:dyDescent="0.35">
      <c r="A963" s="45" t="str">
        <f>Database_Productkaarten[[#This Row],[Product]]&amp;", "&amp;Database_Productkaarten[[#This Row],[Levensfase]]</f>
        <v>PVC 200 mm, Totaal</v>
      </c>
      <c r="B963" s="45" t="s">
        <v>1613</v>
      </c>
      <c r="C963" s="45" t="s">
        <v>465</v>
      </c>
      <c r="D963" s="45" t="s">
        <v>1612</v>
      </c>
      <c r="E963" s="45" t="s">
        <v>538</v>
      </c>
      <c r="F963" s="41" t="s">
        <v>16</v>
      </c>
      <c r="G963" s="45">
        <v>1</v>
      </c>
      <c r="H963" s="45"/>
      <c r="I963" s="45"/>
      <c r="J963" s="45">
        <v>0.2</v>
      </c>
      <c r="K963" s="45"/>
      <c r="L963" s="45"/>
      <c r="M963" s="54"/>
      <c r="N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c r="AS963" s="45"/>
      <c r="AT963" s="45"/>
      <c r="AU963" s="45"/>
      <c r="AV963" s="45"/>
      <c r="AW963" s="45"/>
      <c r="AX963" s="45"/>
      <c r="AY963" s="45"/>
      <c r="AZ963" s="45"/>
      <c r="BA963" s="45"/>
      <c r="BB963" s="45"/>
      <c r="BC963" s="45"/>
      <c r="BD963" s="45"/>
      <c r="BE963" s="45"/>
      <c r="BF963" s="45"/>
      <c r="BG963" s="45"/>
      <c r="BH963" s="45"/>
      <c r="BI963" s="45"/>
      <c r="BJ963" s="45"/>
      <c r="BK963" s="78">
        <v>0</v>
      </c>
      <c r="BL963" s="45" t="s">
        <v>1614</v>
      </c>
      <c r="BM963" s="45"/>
    </row>
    <row r="964" spans="1:65" x14ac:dyDescent="0.35">
      <c r="A964" s="45" t="str">
        <f>Database_Productkaarten[[#This Row],[Product]]&amp;", "&amp;Database_Productkaarten[[#This Row],[Levensfase]]</f>
        <v>PVC 200 mm, A1</v>
      </c>
      <c r="B964" s="45" t="s">
        <v>1613</v>
      </c>
      <c r="C964" s="45" t="s">
        <v>465</v>
      </c>
      <c r="D964" s="45" t="s">
        <v>1612</v>
      </c>
      <c r="E964" s="45" t="s">
        <v>538</v>
      </c>
      <c r="F964" s="41" t="s">
        <v>19</v>
      </c>
      <c r="G964" s="45">
        <v>1</v>
      </c>
      <c r="H964" s="45"/>
      <c r="I964" s="45"/>
      <c r="J964" s="45">
        <v>0.2</v>
      </c>
      <c r="K964" s="45"/>
      <c r="L964" s="45"/>
      <c r="M964" s="54">
        <v>0.97689999999999999</v>
      </c>
      <c r="N964" s="45"/>
      <c r="O964" s="45"/>
      <c r="P964" s="45"/>
      <c r="Q964" s="45">
        <v>13.2049</v>
      </c>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c r="AS964" s="45"/>
      <c r="AT964" s="45"/>
      <c r="AU964" s="45"/>
      <c r="AV964" s="45"/>
      <c r="AW964" s="45"/>
      <c r="AX964" s="45"/>
      <c r="AY964" s="45"/>
      <c r="AZ964" s="45"/>
      <c r="BA964" s="45"/>
      <c r="BB964" s="45"/>
      <c r="BC964" s="45"/>
      <c r="BD964" s="45"/>
      <c r="BE964" s="45"/>
      <c r="BF964" s="45"/>
      <c r="BG964" s="45"/>
      <c r="BH964" s="45"/>
      <c r="BI964" s="45"/>
      <c r="BJ964" s="45"/>
      <c r="BK964" s="78">
        <v>0</v>
      </c>
      <c r="BL964" s="45" t="s">
        <v>1614</v>
      </c>
      <c r="BM964" s="45"/>
    </row>
    <row r="965" spans="1:65" x14ac:dyDescent="0.35">
      <c r="A965" s="45" t="str">
        <f>Database_Productkaarten[[#This Row],[Product]]&amp;", "&amp;Database_Productkaarten[[#This Row],[Levensfase]]</f>
        <v>PVC 200 mm, A2</v>
      </c>
      <c r="B965" s="45" t="s">
        <v>1613</v>
      </c>
      <c r="C965" s="45" t="s">
        <v>465</v>
      </c>
      <c r="D965" s="45" t="s">
        <v>1612</v>
      </c>
      <c r="E965" s="45" t="s">
        <v>538</v>
      </c>
      <c r="F965" s="41" t="s">
        <v>20</v>
      </c>
      <c r="G965" s="45">
        <v>1</v>
      </c>
      <c r="H965" s="45"/>
      <c r="I965" s="45"/>
      <c r="J965" s="45">
        <v>0.2</v>
      </c>
      <c r="K965" s="45"/>
      <c r="L965" s="45"/>
      <c r="M965" s="54"/>
      <c r="N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c r="AS965" s="45"/>
      <c r="AT965" s="45"/>
      <c r="AU965" s="45"/>
      <c r="AV965" s="45"/>
      <c r="AW965" s="45"/>
      <c r="AX965" s="45"/>
      <c r="AY965" s="45"/>
      <c r="AZ965" s="45"/>
      <c r="BA965" s="45"/>
      <c r="BB965" s="45"/>
      <c r="BC965" s="45"/>
      <c r="BD965" s="45"/>
      <c r="BE965" s="45"/>
      <c r="BF965" s="45"/>
      <c r="BG965" s="45"/>
      <c r="BH965" s="45"/>
      <c r="BI965" s="45"/>
      <c r="BJ965" s="45"/>
      <c r="BK965" s="78">
        <v>0</v>
      </c>
      <c r="BL965" s="45" t="s">
        <v>1614</v>
      </c>
      <c r="BM965" s="45"/>
    </row>
    <row r="966" spans="1:65" x14ac:dyDescent="0.35">
      <c r="A966" s="45" t="str">
        <f>Database_Productkaarten[[#This Row],[Product]]&amp;", "&amp;Database_Productkaarten[[#This Row],[Levensfase]]</f>
        <v>PVC 200 mm, A3</v>
      </c>
      <c r="B966" s="45" t="s">
        <v>1613</v>
      </c>
      <c r="C966" s="45" t="s">
        <v>465</v>
      </c>
      <c r="D966" s="45" t="s">
        <v>1612</v>
      </c>
      <c r="E966" s="45" t="s">
        <v>538</v>
      </c>
      <c r="F966" s="41" t="s">
        <v>21</v>
      </c>
      <c r="G966" s="45">
        <v>1</v>
      </c>
      <c r="H966" s="45"/>
      <c r="I966" s="45"/>
      <c r="J966" s="45">
        <v>0.2</v>
      </c>
      <c r="K966" s="45"/>
      <c r="L966" s="45"/>
      <c r="M966" s="54"/>
      <c r="N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c r="AS966" s="45"/>
      <c r="AT966" s="45"/>
      <c r="AU966" s="45"/>
      <c r="AV966" s="45"/>
      <c r="AW966" s="45"/>
      <c r="AX966" s="45"/>
      <c r="AY966" s="45"/>
      <c r="AZ966" s="45"/>
      <c r="BA966" s="45"/>
      <c r="BB966" s="45"/>
      <c r="BC966" s="45"/>
      <c r="BD966" s="45"/>
      <c r="BE966" s="45"/>
      <c r="BF966" s="45"/>
      <c r="BG966" s="45"/>
      <c r="BH966" s="45"/>
      <c r="BI966" s="45"/>
      <c r="BJ966" s="45"/>
      <c r="BK966" s="78">
        <v>0</v>
      </c>
      <c r="BL966" s="45" t="s">
        <v>1614</v>
      </c>
      <c r="BM966" s="45"/>
    </row>
    <row r="967" spans="1:65" x14ac:dyDescent="0.35">
      <c r="A967" s="45" t="str">
        <f>Database_Productkaarten[[#This Row],[Product]]&amp;", "&amp;Database_Productkaarten[[#This Row],[Levensfase]]</f>
        <v>PVC 200 mm, A4</v>
      </c>
      <c r="B967" s="45" t="s">
        <v>1613</v>
      </c>
      <c r="C967" s="45" t="s">
        <v>465</v>
      </c>
      <c r="D967" s="45" t="s">
        <v>1612</v>
      </c>
      <c r="E967" s="45" t="s">
        <v>538</v>
      </c>
      <c r="F967" s="41" t="s">
        <v>22</v>
      </c>
      <c r="G967" s="45">
        <v>1</v>
      </c>
      <c r="H967" s="45"/>
      <c r="I967" s="45"/>
      <c r="J967" s="45">
        <v>0.2</v>
      </c>
      <c r="K967" s="45"/>
      <c r="L967" s="45"/>
      <c r="M967" s="54">
        <v>7.7000000000000002E-3</v>
      </c>
      <c r="N967" s="45"/>
      <c r="O967" s="45"/>
      <c r="P967" s="45"/>
      <c r="Q967" s="45">
        <v>6.8099999999999994E-2</v>
      </c>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c r="AS967" s="45"/>
      <c r="AT967" s="45"/>
      <c r="AU967" s="45"/>
      <c r="AV967" s="45"/>
      <c r="AW967" s="45"/>
      <c r="AX967" s="45"/>
      <c r="AY967" s="45"/>
      <c r="AZ967" s="45"/>
      <c r="BA967" s="45"/>
      <c r="BB967" s="45"/>
      <c r="BC967" s="45"/>
      <c r="BD967" s="45"/>
      <c r="BE967" s="45"/>
      <c r="BF967" s="45"/>
      <c r="BG967" s="45"/>
      <c r="BH967" s="45"/>
      <c r="BI967" s="45"/>
      <c r="BJ967" s="45"/>
      <c r="BK967" s="78">
        <v>0</v>
      </c>
      <c r="BL967" s="45" t="s">
        <v>1614</v>
      </c>
      <c r="BM967" s="45"/>
    </row>
    <row r="968" spans="1:65" x14ac:dyDescent="0.35">
      <c r="A968" s="45" t="str">
        <f>Database_Productkaarten[[#This Row],[Product]]&amp;", "&amp;Database_Productkaarten[[#This Row],[Levensfase]]</f>
        <v>PVC 200 mm, A5</v>
      </c>
      <c r="B968" s="45" t="s">
        <v>1613</v>
      </c>
      <c r="C968" s="45" t="s">
        <v>465</v>
      </c>
      <c r="D968" s="45" t="s">
        <v>1612</v>
      </c>
      <c r="E968" s="45" t="s">
        <v>538</v>
      </c>
      <c r="F968" s="41" t="s">
        <v>23</v>
      </c>
      <c r="G968" s="45">
        <v>1</v>
      </c>
      <c r="H968" s="45"/>
      <c r="I968" s="45"/>
      <c r="J968" s="45">
        <v>0.2</v>
      </c>
      <c r="K968" s="45"/>
      <c r="L968" s="45"/>
      <c r="M968" s="54">
        <f>0.0395+(3.7299*0.0667)</f>
        <v>0.28828432999999998</v>
      </c>
      <c r="N968" s="45"/>
      <c r="O968" s="45"/>
      <c r="P968" s="45"/>
      <c r="Q968" s="45">
        <f>0.5164+(133.6384*0.0667)</f>
        <v>9.4300812799999996</v>
      </c>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c r="AS968" s="45"/>
      <c r="AT968" s="45"/>
      <c r="AU968" s="45"/>
      <c r="AV968" s="45"/>
      <c r="AW968" s="45"/>
      <c r="AX968" s="45"/>
      <c r="AY968" s="45"/>
      <c r="AZ968" s="45"/>
      <c r="BA968" s="45"/>
      <c r="BB968" s="45"/>
      <c r="BC968" s="45"/>
      <c r="BD968" s="45"/>
      <c r="BE968" s="45"/>
      <c r="BF968" s="45"/>
      <c r="BG968" s="45"/>
      <c r="BH968" s="45"/>
      <c r="BI968" s="45"/>
      <c r="BJ968" s="45"/>
      <c r="BK968" s="78">
        <v>0</v>
      </c>
      <c r="BL968" s="45" t="s">
        <v>1614</v>
      </c>
      <c r="BM968" s="45"/>
    </row>
    <row r="969" spans="1:65" x14ac:dyDescent="0.35">
      <c r="A969" s="45" t="str">
        <f>Database_Productkaarten[[#This Row],[Product]]&amp;", "&amp;Database_Productkaarten[[#This Row],[Levensfase]]</f>
        <v>PVC 200 mm, B1</v>
      </c>
      <c r="B969" s="45" t="s">
        <v>1613</v>
      </c>
      <c r="C969" s="45" t="s">
        <v>465</v>
      </c>
      <c r="D969" s="45" t="s">
        <v>1612</v>
      </c>
      <c r="E969" s="45" t="s">
        <v>538</v>
      </c>
      <c r="F969" s="41" t="s">
        <v>24</v>
      </c>
      <c r="G969" s="45">
        <v>1</v>
      </c>
      <c r="H969" s="45"/>
      <c r="I969" s="45"/>
      <c r="J969" s="45">
        <v>0.2</v>
      </c>
      <c r="K969" s="45"/>
      <c r="L969" s="45"/>
      <c r="M969" s="54"/>
      <c r="N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c r="AS969" s="45"/>
      <c r="AT969" s="45"/>
      <c r="AU969" s="45"/>
      <c r="AV969" s="45"/>
      <c r="AW969" s="45"/>
      <c r="AX969" s="45"/>
      <c r="AY969" s="45"/>
      <c r="AZ969" s="45"/>
      <c r="BA969" s="45"/>
      <c r="BB969" s="45"/>
      <c r="BC969" s="45"/>
      <c r="BD969" s="45"/>
      <c r="BE969" s="45"/>
      <c r="BF969" s="45"/>
      <c r="BG969" s="45"/>
      <c r="BH969" s="45"/>
      <c r="BI969" s="45"/>
      <c r="BJ969" s="45"/>
      <c r="BK969" s="78">
        <v>0</v>
      </c>
      <c r="BL969" s="45" t="s">
        <v>1614</v>
      </c>
      <c r="BM969" s="45"/>
    </row>
    <row r="970" spans="1:65" x14ac:dyDescent="0.35">
      <c r="A970" s="45" t="str">
        <f>Database_Productkaarten[[#This Row],[Product]]&amp;", "&amp;Database_Productkaarten[[#This Row],[Levensfase]]</f>
        <v>PVC 200 mm, C1</v>
      </c>
      <c r="B970" s="45" t="s">
        <v>1613</v>
      </c>
      <c r="C970" s="45" t="s">
        <v>465</v>
      </c>
      <c r="D970" s="45" t="s">
        <v>1612</v>
      </c>
      <c r="E970" s="45" t="s">
        <v>538</v>
      </c>
      <c r="F970" s="41" t="s">
        <v>25</v>
      </c>
      <c r="G970" s="45">
        <v>1</v>
      </c>
      <c r="H970" s="45"/>
      <c r="I970" s="45"/>
      <c r="J970" s="45">
        <v>0.2</v>
      </c>
      <c r="K970" s="45"/>
      <c r="L970" s="45"/>
      <c r="M970" s="54">
        <f>3.7288*0.002</f>
        <v>7.4576E-3</v>
      </c>
      <c r="N970" s="45"/>
      <c r="O970" s="45"/>
      <c r="P970" s="45"/>
      <c r="Q970" s="45">
        <f>113.6384*0.002</f>
        <v>0.2272768</v>
      </c>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c r="AS970" s="45"/>
      <c r="AT970" s="45"/>
      <c r="AU970" s="45"/>
      <c r="AV970" s="45"/>
      <c r="AW970" s="45"/>
      <c r="AX970" s="45"/>
      <c r="AY970" s="45"/>
      <c r="AZ970" s="45"/>
      <c r="BA970" s="45"/>
      <c r="BB970" s="45"/>
      <c r="BC970" s="45"/>
      <c r="BD970" s="45"/>
      <c r="BE970" s="45"/>
      <c r="BF970" s="45"/>
      <c r="BG970" s="45"/>
      <c r="BH970" s="45"/>
      <c r="BI970" s="45"/>
      <c r="BJ970" s="45"/>
      <c r="BK970" s="78">
        <v>0</v>
      </c>
      <c r="BL970" s="45" t="s">
        <v>1614</v>
      </c>
      <c r="BM970" s="45"/>
    </row>
    <row r="971" spans="1:65" x14ac:dyDescent="0.35">
      <c r="A971" s="45" t="str">
        <f>Database_Productkaarten[[#This Row],[Product]]&amp;", "&amp;Database_Productkaarten[[#This Row],[Levensfase]]</f>
        <v>PVC 200 mm, C2</v>
      </c>
      <c r="B971" s="45" t="s">
        <v>1613</v>
      </c>
      <c r="C971" s="45" t="s">
        <v>465</v>
      </c>
      <c r="D971" s="45" t="s">
        <v>1612</v>
      </c>
      <c r="E971" s="45" t="s">
        <v>538</v>
      </c>
      <c r="F971" s="41" t="s">
        <v>26</v>
      </c>
      <c r="G971" s="45">
        <v>1</v>
      </c>
      <c r="H971" s="45"/>
      <c r="I971" s="45"/>
      <c r="J971" s="45">
        <v>0.2</v>
      </c>
      <c r="K971" s="45"/>
      <c r="L971" s="45"/>
      <c r="M971" s="54">
        <v>3.2000000000000002E-3</v>
      </c>
      <c r="N971" s="45"/>
      <c r="O971" s="45"/>
      <c r="P971" s="45"/>
      <c r="Q971" s="45">
        <v>3.4000000000000002E-2</v>
      </c>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c r="AS971" s="45"/>
      <c r="AT971" s="45"/>
      <c r="AU971" s="45"/>
      <c r="AV971" s="45"/>
      <c r="AW971" s="45"/>
      <c r="AX971" s="45"/>
      <c r="AY971" s="45"/>
      <c r="AZ971" s="45"/>
      <c r="BA971" s="45"/>
      <c r="BB971" s="45"/>
      <c r="BC971" s="45"/>
      <c r="BD971" s="45"/>
      <c r="BE971" s="45"/>
      <c r="BF971" s="45"/>
      <c r="BG971" s="45"/>
      <c r="BH971" s="45"/>
      <c r="BI971" s="45"/>
      <c r="BJ971" s="45"/>
      <c r="BK971" s="78">
        <v>0</v>
      </c>
      <c r="BL971" s="45" t="s">
        <v>1614</v>
      </c>
      <c r="BM971" s="45"/>
    </row>
    <row r="972" spans="1:65" x14ac:dyDescent="0.35">
      <c r="A972" s="45" t="str">
        <f>Database_Productkaarten[[#This Row],[Product]]&amp;", "&amp;Database_Productkaarten[[#This Row],[Levensfase]]</f>
        <v>PVC 200 mm, C3</v>
      </c>
      <c r="B972" s="45" t="s">
        <v>1613</v>
      </c>
      <c r="C972" s="45" t="s">
        <v>465</v>
      </c>
      <c r="D972" s="45" t="s">
        <v>1612</v>
      </c>
      <c r="E972" s="45" t="s">
        <v>538</v>
      </c>
      <c r="F972" s="41" t="s">
        <v>27</v>
      </c>
      <c r="G972" s="45">
        <v>1</v>
      </c>
      <c r="H972" s="45"/>
      <c r="I972" s="45"/>
      <c r="J972" s="45">
        <v>0.2</v>
      </c>
      <c r="K972" s="45"/>
      <c r="L972" s="45"/>
      <c r="M972" s="54">
        <v>0.32890000000000003</v>
      </c>
      <c r="N972" s="45"/>
      <c r="O972" s="45"/>
      <c r="P972" s="45"/>
      <c r="Q972" s="45">
        <v>3.8671000000000002</v>
      </c>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c r="AS972" s="45"/>
      <c r="AT972" s="45"/>
      <c r="AU972" s="45"/>
      <c r="AV972" s="45"/>
      <c r="AW972" s="45"/>
      <c r="AX972" s="45"/>
      <c r="AY972" s="45"/>
      <c r="AZ972" s="45"/>
      <c r="BA972" s="45"/>
      <c r="BB972" s="45"/>
      <c r="BC972" s="45"/>
      <c r="BD972" s="45"/>
      <c r="BE972" s="45"/>
      <c r="BF972" s="45"/>
      <c r="BG972" s="45"/>
      <c r="BH972" s="45"/>
      <c r="BI972" s="45"/>
      <c r="BJ972" s="45"/>
      <c r="BK972" s="78">
        <v>0</v>
      </c>
      <c r="BL972" s="45" t="s">
        <v>1614</v>
      </c>
      <c r="BM972" s="45"/>
    </row>
    <row r="973" spans="1:65" x14ac:dyDescent="0.35">
      <c r="A973" s="45" t="str">
        <f>Database_Productkaarten[[#This Row],[Product]]&amp;", "&amp;Database_Productkaarten[[#This Row],[Levensfase]]</f>
        <v>PVC 200 mm, C4</v>
      </c>
      <c r="B973" s="45" t="s">
        <v>1613</v>
      </c>
      <c r="C973" s="45" t="s">
        <v>465</v>
      </c>
      <c r="D973" s="45" t="s">
        <v>1612</v>
      </c>
      <c r="E973" s="45" t="s">
        <v>538</v>
      </c>
      <c r="F973" s="41" t="s">
        <v>28</v>
      </c>
      <c r="G973" s="45">
        <v>1</v>
      </c>
      <c r="H973" s="45"/>
      <c r="I973" s="45"/>
      <c r="J973" s="45">
        <v>0.2</v>
      </c>
      <c r="K973" s="45"/>
      <c r="L973" s="45"/>
      <c r="M973" s="54">
        <v>2.3E-3</v>
      </c>
      <c r="N973" s="45"/>
      <c r="O973" s="45"/>
      <c r="P973" s="45"/>
      <c r="Q973" s="45">
        <v>3.9100000000000003E-2</v>
      </c>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c r="AS973" s="45"/>
      <c r="AT973" s="45"/>
      <c r="AU973" s="45"/>
      <c r="AV973" s="45"/>
      <c r="AW973" s="45"/>
      <c r="AX973" s="45"/>
      <c r="AY973" s="45"/>
      <c r="AZ973" s="45"/>
      <c r="BA973" s="45"/>
      <c r="BB973" s="45"/>
      <c r="BC973" s="45"/>
      <c r="BD973" s="45"/>
      <c r="BE973" s="45"/>
      <c r="BF973" s="45"/>
      <c r="BG973" s="45"/>
      <c r="BH973" s="45"/>
      <c r="BI973" s="45"/>
      <c r="BJ973" s="45"/>
      <c r="BK973" s="78">
        <v>0</v>
      </c>
      <c r="BL973" s="45" t="s">
        <v>1614</v>
      </c>
      <c r="BM973" s="45"/>
    </row>
    <row r="974" spans="1:65" x14ac:dyDescent="0.35">
      <c r="A974" s="45" t="str">
        <f>Database_Productkaarten[[#This Row],[Product]]&amp;", "&amp;Database_Productkaarten[[#This Row],[Levensfase]]</f>
        <v>PVC 200 mm, D1</v>
      </c>
      <c r="B974" s="45" t="s">
        <v>1613</v>
      </c>
      <c r="C974" s="45" t="s">
        <v>465</v>
      </c>
      <c r="D974" s="45" t="s">
        <v>1612</v>
      </c>
      <c r="E974" s="45" t="s">
        <v>538</v>
      </c>
      <c r="F974" s="41" t="s">
        <v>51</v>
      </c>
      <c r="G974" s="45">
        <v>1</v>
      </c>
      <c r="H974" s="45"/>
      <c r="I974" s="45"/>
      <c r="J974" s="45">
        <v>0.2</v>
      </c>
      <c r="K974" s="45"/>
      <c r="L974" s="45"/>
      <c r="M974" s="54">
        <v>-0.36030000000000001</v>
      </c>
      <c r="N974" s="45"/>
      <c r="O974" s="45"/>
      <c r="P974" s="45"/>
      <c r="Q974" s="45">
        <v>-5.8041</v>
      </c>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c r="AS974" s="45"/>
      <c r="AT974" s="45"/>
      <c r="AU974" s="45"/>
      <c r="AV974" s="45"/>
      <c r="AW974" s="45"/>
      <c r="AX974" s="45"/>
      <c r="AY974" s="45"/>
      <c r="AZ974" s="45"/>
      <c r="BA974" s="45"/>
      <c r="BB974" s="45"/>
      <c r="BC974" s="45"/>
      <c r="BD974" s="45"/>
      <c r="BE974" s="45"/>
      <c r="BF974" s="45"/>
      <c r="BG974" s="45"/>
      <c r="BH974" s="45"/>
      <c r="BI974" s="45"/>
      <c r="BJ974" s="45"/>
      <c r="BK974" s="78">
        <v>0</v>
      </c>
      <c r="BL974" s="45" t="s">
        <v>1614</v>
      </c>
      <c r="BM974" s="45"/>
    </row>
    <row r="975" spans="1:65" x14ac:dyDescent="0.35">
      <c r="A975" s="45" t="str">
        <f>Database_Productkaarten[[#This Row],[Product]]&amp;", "&amp;Database_Productkaarten[[#This Row],[Levensfase]]</f>
        <v>PVC 200 mm, D2</v>
      </c>
      <c r="B975" s="45" t="s">
        <v>1613</v>
      </c>
      <c r="C975" s="45" t="s">
        <v>465</v>
      </c>
      <c r="D975" s="45" t="s">
        <v>1612</v>
      </c>
      <c r="E975" s="45" t="s">
        <v>538</v>
      </c>
      <c r="F975" s="41" t="s">
        <v>52</v>
      </c>
      <c r="G975" s="45">
        <v>1</v>
      </c>
      <c r="H975" s="45"/>
      <c r="I975" s="45"/>
      <c r="J975" s="45">
        <v>0.2</v>
      </c>
      <c r="K975" s="45"/>
      <c r="L975" s="45"/>
      <c r="M975" s="54"/>
      <c r="N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c r="AS975" s="45"/>
      <c r="AT975" s="45"/>
      <c r="AU975" s="45"/>
      <c r="AV975" s="45"/>
      <c r="AW975" s="45"/>
      <c r="AX975" s="45"/>
      <c r="AY975" s="45"/>
      <c r="AZ975" s="45"/>
      <c r="BA975" s="45"/>
      <c r="BB975" s="45"/>
      <c r="BC975" s="45"/>
      <c r="BD975" s="45"/>
      <c r="BE975" s="45"/>
      <c r="BF975" s="45"/>
      <c r="BG975" s="45"/>
      <c r="BH975" s="45"/>
      <c r="BI975" s="45"/>
      <c r="BJ975" s="45"/>
      <c r="BK975" s="78">
        <v>0</v>
      </c>
      <c r="BL975" s="45" t="s">
        <v>1614</v>
      </c>
      <c r="BM975" s="45"/>
    </row>
    <row r="976" spans="1:65" x14ac:dyDescent="0.35">
      <c r="A976" s="41" t="str">
        <f>Database_Productkaarten[[#This Row],[Product]]&amp;", "&amp;Database_Productkaarten[[#This Row],[Levensfase]]</f>
        <v>Grond, Totaal</v>
      </c>
      <c r="B976" s="41" t="s">
        <v>139</v>
      </c>
      <c r="C976" s="41" t="s">
        <v>131</v>
      </c>
      <c r="D976" s="41" t="s">
        <v>139</v>
      </c>
      <c r="E976" s="41" t="s">
        <v>91</v>
      </c>
      <c r="F976" s="41" t="s">
        <v>16</v>
      </c>
      <c r="L976" s="41">
        <v>1.6</v>
      </c>
      <c r="M976" s="54">
        <f>SUM(M977:M988)</f>
        <v>1.0354479620520014</v>
      </c>
      <c r="N976" s="41">
        <v>100</v>
      </c>
      <c r="O976" s="55">
        <f t="shared" ref="O976" si="1073">SUM(O977:O988)</f>
        <v>1.6658530166666667E-5</v>
      </c>
      <c r="P976" s="55">
        <f t="shared" ref="P976" si="1074">SUM(P977:P988)</f>
        <v>7.0394193429583321E-2</v>
      </c>
      <c r="Q976" s="55">
        <f t="shared" ref="Q976" si="1075">SUM(Q977:Q988)</f>
        <v>9.3931862808749997</v>
      </c>
      <c r="R976" s="55">
        <f t="shared" ref="R976" si="1076">SUM(R977:R988)</f>
        <v>1.8441759166666665E-6</v>
      </c>
      <c r="S976" s="55">
        <f t="shared" ref="S976" si="1077">SUM(S977:S988)</f>
        <v>5.6432077141666667E-3</v>
      </c>
      <c r="T976" s="55">
        <f t="shared" ref="T976" si="1078">SUM(T977:T988)</f>
        <v>3.1696245145433059E-2</v>
      </c>
      <c r="U976" s="55">
        <f t="shared" ref="U976" si="1079">SUM(U977:U988)</f>
        <v>8.6882896500000001E-3</v>
      </c>
      <c r="V976" s="55">
        <f t="shared" ref="V976" si="1080">SUM(V977:V988)</f>
        <v>3.6122344820625001</v>
      </c>
      <c r="W976" s="55">
        <f t="shared" ref="W976" si="1081">SUM(W977:W988)</f>
        <v>0.19187902745479335</v>
      </c>
      <c r="X976" s="55">
        <f t="shared" ref="X976" si="1082">SUM(X977:X988)</f>
        <v>502.53528866064983</v>
      </c>
      <c r="Y976" s="55">
        <f t="shared" ref="Y976" si="1083">SUM(Y977:Y988)</f>
        <v>2.0494173181042283E-2</v>
      </c>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f t="shared" ref="AU976" si="1084">SUM(AU977:AU988)</f>
        <v>2.2844481629137139</v>
      </c>
      <c r="AV976" s="55"/>
      <c r="AW976" s="55"/>
      <c r="AX976" s="55">
        <f t="shared" ref="AX976" si="1085">SUM(AX977:AX988)</f>
        <v>146.08358981500129</v>
      </c>
      <c r="AY976" s="55"/>
      <c r="AZ976" s="55"/>
      <c r="BA976" s="55"/>
      <c r="BB976" s="55">
        <f t="shared" ref="BB976" si="1086">SUM(BB977:BB988)</f>
        <v>2.9664720221734373E-2</v>
      </c>
      <c r="BC976" s="55">
        <f t="shared" ref="BC976" si="1087">SUM(BC977:BC988)</f>
        <v>1.2653735224820134E-3</v>
      </c>
      <c r="BD976" s="55">
        <f t="shared" ref="BD976" si="1088">SUM(BD977:BD988)</f>
        <v>12.06172700065598</v>
      </c>
      <c r="BE976" s="55">
        <f t="shared" ref="BE976" si="1089">SUM(BE977:BE988)</f>
        <v>0</v>
      </c>
      <c r="BF976" s="55"/>
      <c r="BG976" s="55"/>
      <c r="BH976" s="55"/>
      <c r="BI976" s="55"/>
      <c r="BJ976" s="55"/>
      <c r="BK976" s="78">
        <v>1</v>
      </c>
      <c r="BM976" s="45"/>
    </row>
    <row r="977" spans="1:65" x14ac:dyDescent="0.35">
      <c r="A977" s="41" t="str">
        <f>Database_Productkaarten[[#This Row],[Product]]&amp;", "&amp;Database_Productkaarten[[#This Row],[Levensfase]]</f>
        <v>Grond, A1</v>
      </c>
      <c r="B977" s="41" t="s">
        <v>139</v>
      </c>
      <c r="C977" s="41" t="s">
        <v>131</v>
      </c>
      <c r="D977" s="41" t="s">
        <v>139</v>
      </c>
      <c r="E977" s="41" t="s">
        <v>91</v>
      </c>
      <c r="F977" s="41" t="s">
        <v>19</v>
      </c>
      <c r="L977" s="41">
        <v>1.6</v>
      </c>
      <c r="M977" s="54">
        <v>0</v>
      </c>
      <c r="N977" s="41">
        <v>100</v>
      </c>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78">
        <v>1</v>
      </c>
      <c r="BM977" s="45"/>
    </row>
    <row r="978" spans="1:65" x14ac:dyDescent="0.35">
      <c r="A978" s="41" t="str">
        <f>Database_Productkaarten[[#This Row],[Product]]&amp;", "&amp;Database_Productkaarten[[#This Row],[Levensfase]]</f>
        <v>Grond, A2</v>
      </c>
      <c r="B978" s="41" t="s">
        <v>139</v>
      </c>
      <c r="C978" s="41" t="s">
        <v>131</v>
      </c>
      <c r="D978" s="41" t="s">
        <v>139</v>
      </c>
      <c r="E978" s="41" t="s">
        <v>91</v>
      </c>
      <c r="F978" s="41" t="s">
        <v>20</v>
      </c>
      <c r="L978" s="41">
        <v>1.6</v>
      </c>
      <c r="M978" s="54">
        <v>0</v>
      </c>
      <c r="N978" s="41">
        <v>100</v>
      </c>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78">
        <v>1</v>
      </c>
      <c r="BM978" s="45"/>
    </row>
    <row r="979" spans="1:65" x14ac:dyDescent="0.35">
      <c r="A979" s="41" t="str">
        <f>Database_Productkaarten[[#This Row],[Product]]&amp;", "&amp;Database_Productkaarten[[#This Row],[Levensfase]]</f>
        <v>Grond, A3</v>
      </c>
      <c r="B979" s="41" t="s">
        <v>139</v>
      </c>
      <c r="C979" s="41" t="s">
        <v>131</v>
      </c>
      <c r="D979" s="41" t="s">
        <v>139</v>
      </c>
      <c r="E979" s="41" t="s">
        <v>91</v>
      </c>
      <c r="F979" s="41" t="s">
        <v>21</v>
      </c>
      <c r="L979" s="41">
        <v>1.6</v>
      </c>
      <c r="M979" s="54">
        <v>0</v>
      </c>
      <c r="N979" s="41">
        <v>100</v>
      </c>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78">
        <v>1</v>
      </c>
      <c r="BM979" s="45"/>
    </row>
    <row r="980" spans="1:65" x14ac:dyDescent="0.35">
      <c r="A980" s="41" t="str">
        <f>Database_Productkaarten[[#This Row],[Product]]&amp;", "&amp;Database_Productkaarten[[#This Row],[Levensfase]]</f>
        <v>Grond, A4</v>
      </c>
      <c r="B980" s="41" t="s">
        <v>139</v>
      </c>
      <c r="C980" s="41" t="s">
        <v>131</v>
      </c>
      <c r="D980" s="41" t="s">
        <v>139</v>
      </c>
      <c r="E980" s="41" t="s">
        <v>91</v>
      </c>
      <c r="F980" s="41" t="s">
        <v>22</v>
      </c>
      <c r="L980" s="41">
        <v>1.6</v>
      </c>
      <c r="M980" s="54">
        <f>G$1051*50</f>
        <v>0.47396919681357996</v>
      </c>
      <c r="N980" s="41">
        <v>100</v>
      </c>
      <c r="O980" s="55">
        <f t="shared" ref="O980:Y980" si="1090">J$1051*50</f>
        <v>8.1082254999999995E-6</v>
      </c>
      <c r="P980" s="55">
        <f t="shared" si="1090"/>
        <v>3.1970782499999996E-2</v>
      </c>
      <c r="Q980" s="55">
        <f t="shared" si="1090"/>
        <v>4.2243894499999994</v>
      </c>
      <c r="R980" s="55">
        <f t="shared" si="1090"/>
        <v>8.3985024999999995E-7</v>
      </c>
      <c r="S980" s="55">
        <f t="shared" si="1090"/>
        <v>2.6661339499999999E-3</v>
      </c>
      <c r="T980" s="55">
        <f t="shared" si="1090"/>
        <v>1.5406751E-2</v>
      </c>
      <c r="U980" s="55">
        <f t="shared" si="1090"/>
        <v>3.13787795E-3</v>
      </c>
      <c r="V980" s="55">
        <f t="shared" si="1090"/>
        <v>1.4876886499999999</v>
      </c>
      <c r="W980" s="55">
        <f t="shared" si="1090"/>
        <v>9.5939509999999992E-2</v>
      </c>
      <c r="X980" s="55">
        <f t="shared" si="1090"/>
        <v>251.08560500000002</v>
      </c>
      <c r="Y980" s="55">
        <f t="shared" si="1090"/>
        <v>8.8168090000000001E-3</v>
      </c>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f>AP$1051*50</f>
        <v>1.14222405</v>
      </c>
      <c r="AV980" s="55"/>
      <c r="AW980" s="55"/>
      <c r="AX980" s="55">
        <f>AS$1051*50</f>
        <v>73.033640000000005</v>
      </c>
      <c r="AY980" s="55"/>
      <c r="AZ980" s="55"/>
      <c r="BA980" s="55"/>
      <c r="BB980" s="55">
        <f>AW$1051*50</f>
        <v>1.4826382499999999E-2</v>
      </c>
      <c r="BC980" s="55">
        <f>AX$1051*50</f>
        <v>5.1738344999999999E-4</v>
      </c>
      <c r="BD980" s="55">
        <f>AY$1051*50</f>
        <v>6.0308634999999997</v>
      </c>
      <c r="BE980" s="55">
        <f>AZ$1051*50</f>
        <v>0</v>
      </c>
      <c r="BF980" s="55"/>
      <c r="BG980" s="55"/>
      <c r="BH980" s="55"/>
      <c r="BI980" s="55"/>
      <c r="BJ980" s="55"/>
      <c r="BK980" s="78">
        <v>1</v>
      </c>
      <c r="BM980" s="45"/>
    </row>
    <row r="981" spans="1:65" x14ac:dyDescent="0.35">
      <c r="A981" s="41" t="str">
        <f>Database_Productkaarten[[#This Row],[Product]]&amp;", "&amp;Database_Productkaarten[[#This Row],[Levensfase]]</f>
        <v>Grond, A5</v>
      </c>
      <c r="B981" s="41" t="s">
        <v>139</v>
      </c>
      <c r="C981" s="41" t="s">
        <v>131</v>
      </c>
      <c r="D981" s="41" t="s">
        <v>139</v>
      </c>
      <c r="E981" s="41" t="s">
        <v>91</v>
      </c>
      <c r="F981" s="41" t="s">
        <v>23</v>
      </c>
      <c r="L981" s="41">
        <v>1.6</v>
      </c>
      <c r="M981" s="54">
        <f>((1/Database_Productkaarten[[#This Row],[Soortelijk Gewicht '[ton / m3']]])/$H$1164)*(G$1164)</f>
        <v>4.3754784212420766E-2</v>
      </c>
      <c r="N981" s="41">
        <v>100</v>
      </c>
      <c r="O981" s="55">
        <f>((1/Database_Productkaarten[[#This Row],[Soortelijk Gewicht '[ton / m3']]])/$H$1164)*(J$1164)</f>
        <v>2.2103958333333332E-7</v>
      </c>
      <c r="P981" s="55">
        <f>((1/Database_Productkaarten[[#This Row],[Soortelijk Gewicht '[ton / m3']]])/$H$1164)*(K$1164)</f>
        <v>3.2263142147916667E-3</v>
      </c>
      <c r="Q981" s="55">
        <f>((1/Database_Productkaarten[[#This Row],[Soortelijk Gewicht '[ton / m3']]])/$H$1164)*(L$1164)</f>
        <v>0.47220369043749999</v>
      </c>
      <c r="R981" s="55">
        <f>((1/Database_Productkaarten[[#This Row],[Soortelijk Gewicht '[ton / m3']]])/$H$1164)*(M$1164)</f>
        <v>8.2237708333333324E-8</v>
      </c>
      <c r="S981" s="55">
        <f>((1/Database_Productkaarten[[#This Row],[Soortelijk Gewicht '[ton / m3']]])/$H$1164)*(N$1164)</f>
        <v>1.5546990708333334E-4</v>
      </c>
      <c r="T981" s="55">
        <f>((1/Database_Productkaarten[[#This Row],[Soortelijk Gewicht '[ton / m3']]])/$H$1164)*(O$1164)</f>
        <v>4.4137157271653107E-4</v>
      </c>
      <c r="U981" s="55">
        <f>((1/Database_Productkaarten[[#This Row],[Soortelijk Gewicht '[ton / m3']]])/$H$1164)*(P$1164)</f>
        <v>1.2062668749999999E-3</v>
      </c>
      <c r="V981" s="55">
        <f>((1/Database_Productkaarten[[#This Row],[Soortelijk Gewicht '[ton / m3']]])/$H$1164)*(Q$1164)</f>
        <v>0.31842859103124999</v>
      </c>
      <c r="W981" s="55">
        <f>((1/Database_Productkaarten[[#This Row],[Soortelijk Gewicht '[ton / m3']]])/$H$1164)*(R$1164)</f>
        <v>3.7273966828583328E-9</v>
      </c>
      <c r="X981" s="55">
        <f>((1/Database_Productkaarten[[#This Row],[Soortelijk Gewicht '[ton / m3']]])/$H$1164)*(S$1164)</f>
        <v>0.18203933032491099</v>
      </c>
      <c r="Y981" s="55">
        <f>((1/Database_Productkaarten[[#This Row],[Soortelijk Gewicht '[ton / m3']]])/$H$1164)*(T$1164)</f>
        <v>1.4302775905211417E-3</v>
      </c>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f>((1/Database_Productkaarten[[#This Row],[Soortelijk Gewicht '[ton / m3']]])/$H$1164)*(AP$1164)</f>
        <v>3.1456856835489578E-8</v>
      </c>
      <c r="AV981" s="55"/>
      <c r="AW981" s="55"/>
      <c r="AX981" s="55">
        <f>((1/Database_Productkaarten[[#This Row],[Soortelijk Gewicht '[ton / m3']]])/$H$1164)*(AS$1164)</f>
        <v>8.1549075006355082E-3</v>
      </c>
      <c r="AY981" s="55"/>
      <c r="AZ981" s="55"/>
      <c r="BA981" s="55"/>
      <c r="BB981" s="55">
        <f>((1/Database_Productkaarten[[#This Row],[Soortelijk Gewicht '[ton / m3']]])/$H$1164)*(AW$1164)</f>
        <v>5.9776108671881242E-6</v>
      </c>
      <c r="BC981" s="55">
        <f>((1/Database_Productkaarten[[#This Row],[Soortelijk Gewicht '[ton / m3']]])/$H$1164)*(AX$1164)</f>
        <v>1.1530331124100664E-4</v>
      </c>
      <c r="BD981" s="55">
        <f>((1/Database_Productkaarten[[#This Row],[Soortelijk Gewicht '[ton / m3']]])/$H$1164)*(AY$1164)</f>
        <v>3.2799006821667943E-10</v>
      </c>
      <c r="BE981" s="55">
        <f>((1/Database_Productkaarten[[#This Row],[Soortelijk Gewicht '[ton / m3']]])/$H$1164)*(AZ$1164)</f>
        <v>0</v>
      </c>
      <c r="BF981" s="55"/>
      <c r="BG981" s="55"/>
      <c r="BH981" s="55"/>
      <c r="BI981" s="55"/>
      <c r="BJ981" s="55"/>
      <c r="BK981" s="78">
        <v>1</v>
      </c>
      <c r="BM981" s="45"/>
    </row>
    <row r="982" spans="1:65" x14ac:dyDescent="0.35">
      <c r="A982" s="41" t="str">
        <f>Database_Productkaarten[[#This Row],[Product]]&amp;", "&amp;Database_Productkaarten[[#This Row],[Levensfase]]</f>
        <v>Grond, B1</v>
      </c>
      <c r="B982" s="41" t="s">
        <v>139</v>
      </c>
      <c r="C982" s="41" t="s">
        <v>131</v>
      </c>
      <c r="D982" s="41" t="s">
        <v>139</v>
      </c>
      <c r="E982" s="41" t="s">
        <v>91</v>
      </c>
      <c r="F982" s="41" t="s">
        <v>24</v>
      </c>
      <c r="L982" s="41">
        <v>1.6</v>
      </c>
      <c r="M982" s="54">
        <v>0</v>
      </c>
      <c r="N982" s="41">
        <v>100</v>
      </c>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78">
        <v>1</v>
      </c>
      <c r="BM982" s="45"/>
    </row>
    <row r="983" spans="1:65" x14ac:dyDescent="0.35">
      <c r="A983" s="41" t="str">
        <f>Database_Productkaarten[[#This Row],[Product]]&amp;", "&amp;Database_Productkaarten[[#This Row],[Levensfase]]</f>
        <v>Grond, C1</v>
      </c>
      <c r="B983" s="41" t="s">
        <v>139</v>
      </c>
      <c r="C983" s="41" t="s">
        <v>131</v>
      </c>
      <c r="D983" s="41" t="s">
        <v>139</v>
      </c>
      <c r="E983" s="41" t="s">
        <v>91</v>
      </c>
      <c r="F983" s="41" t="s">
        <v>25</v>
      </c>
      <c r="L983" s="41">
        <v>1.6</v>
      </c>
      <c r="M983" s="54">
        <f>((1/Database_Productkaarten[[#This Row],[Soortelijk Gewicht '[ton / m3']]])/$H$1164)*(G$1164)</f>
        <v>4.3754784212420766E-2</v>
      </c>
      <c r="N983" s="41">
        <v>100</v>
      </c>
      <c r="O983" s="55">
        <f>((1/Database_Productkaarten[[#This Row],[Soortelijk Gewicht '[ton / m3']]])/$H$1164)*(J$1164)</f>
        <v>2.2103958333333332E-7</v>
      </c>
      <c r="P983" s="55">
        <f>((1/Database_Productkaarten[[#This Row],[Soortelijk Gewicht '[ton / m3']]])/$H$1164)*(K$1164)</f>
        <v>3.2263142147916667E-3</v>
      </c>
      <c r="Q983" s="55">
        <f>((1/Database_Productkaarten[[#This Row],[Soortelijk Gewicht '[ton / m3']]])/$H$1164)*(L$1164)</f>
        <v>0.47220369043749999</v>
      </c>
      <c r="R983" s="55">
        <f>((1/Database_Productkaarten[[#This Row],[Soortelijk Gewicht '[ton / m3']]])/$H$1164)*(M$1164)</f>
        <v>8.2237708333333324E-8</v>
      </c>
      <c r="S983" s="55">
        <f>((1/Database_Productkaarten[[#This Row],[Soortelijk Gewicht '[ton / m3']]])/$H$1164)*(N$1164)</f>
        <v>1.5546990708333334E-4</v>
      </c>
      <c r="T983" s="55">
        <f>((1/Database_Productkaarten[[#This Row],[Soortelijk Gewicht '[ton / m3']]])/$H$1164)*(O$1164)</f>
        <v>4.4137157271653107E-4</v>
      </c>
      <c r="U983" s="55">
        <f>((1/Database_Productkaarten[[#This Row],[Soortelijk Gewicht '[ton / m3']]])/$H$1164)*(P$1164)</f>
        <v>1.2062668749999999E-3</v>
      </c>
      <c r="V983" s="55">
        <f>((1/Database_Productkaarten[[#This Row],[Soortelijk Gewicht '[ton / m3']]])/$H$1164)*(Q$1164)</f>
        <v>0.31842859103124999</v>
      </c>
      <c r="W983" s="55">
        <f>((1/Database_Productkaarten[[#This Row],[Soortelijk Gewicht '[ton / m3']]])/$H$1164)*(R$1164)</f>
        <v>3.7273966828583328E-9</v>
      </c>
      <c r="X983" s="55">
        <f>((1/Database_Productkaarten[[#This Row],[Soortelijk Gewicht '[ton / m3']]])/$H$1164)*(S$1164)</f>
        <v>0.18203933032491099</v>
      </c>
      <c r="Y983" s="55">
        <f>((1/Database_Productkaarten[[#This Row],[Soortelijk Gewicht '[ton / m3']]])/$H$1164)*(T$1164)</f>
        <v>1.4302775905211417E-3</v>
      </c>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f>((1/Database_Productkaarten[[#This Row],[Soortelijk Gewicht '[ton / m3']]])/$H$1164)*(AP$1164)</f>
        <v>3.1456856835489578E-8</v>
      </c>
      <c r="AV983" s="55"/>
      <c r="AW983" s="55"/>
      <c r="AX983" s="55">
        <f>((1/Database_Productkaarten[[#This Row],[Soortelijk Gewicht '[ton / m3']]])/$H$1164)*(AS$1164)</f>
        <v>8.1549075006355082E-3</v>
      </c>
      <c r="AY983" s="55"/>
      <c r="AZ983" s="55"/>
      <c r="BA983" s="55"/>
      <c r="BB983" s="55">
        <f>((1/Database_Productkaarten[[#This Row],[Soortelijk Gewicht '[ton / m3']]])/$H$1164)*(AW$1164)</f>
        <v>5.9776108671881242E-6</v>
      </c>
      <c r="BC983" s="55">
        <f>((1/Database_Productkaarten[[#This Row],[Soortelijk Gewicht '[ton / m3']]])/$H$1164)*(AX$1164)</f>
        <v>1.1530331124100664E-4</v>
      </c>
      <c r="BD983" s="55">
        <f>((1/Database_Productkaarten[[#This Row],[Soortelijk Gewicht '[ton / m3']]])/$H$1164)*(AY$1164)</f>
        <v>3.2799006821667943E-10</v>
      </c>
      <c r="BE983" s="55">
        <f>((1/Database_Productkaarten[[#This Row],[Soortelijk Gewicht '[ton / m3']]])/$H$1164)*(AZ$1164)</f>
        <v>0</v>
      </c>
      <c r="BF983" s="55"/>
      <c r="BG983" s="55"/>
      <c r="BH983" s="55"/>
      <c r="BI983" s="55"/>
      <c r="BJ983" s="55"/>
      <c r="BK983" s="78">
        <v>1</v>
      </c>
      <c r="BM983" s="45"/>
    </row>
    <row r="984" spans="1:65" x14ac:dyDescent="0.35">
      <c r="A984" s="41" t="str">
        <f>Database_Productkaarten[[#This Row],[Product]]&amp;", "&amp;Database_Productkaarten[[#This Row],[Levensfase]]</f>
        <v>Grond, C2</v>
      </c>
      <c r="B984" s="41" t="s">
        <v>139</v>
      </c>
      <c r="C984" s="41" t="s">
        <v>131</v>
      </c>
      <c r="D984" s="41" t="s">
        <v>139</v>
      </c>
      <c r="E984" s="41" t="s">
        <v>91</v>
      </c>
      <c r="F984" s="41" t="s">
        <v>26</v>
      </c>
      <c r="L984" s="41">
        <v>1.6</v>
      </c>
      <c r="M984" s="54">
        <f>G$1051*50</f>
        <v>0.47396919681357996</v>
      </c>
      <c r="N984" s="41">
        <v>100</v>
      </c>
      <c r="O984" s="55">
        <f t="shared" ref="O984:Y984" si="1091">J$1051*50</f>
        <v>8.1082254999999995E-6</v>
      </c>
      <c r="P984" s="55">
        <f t="shared" si="1091"/>
        <v>3.1970782499999996E-2</v>
      </c>
      <c r="Q984" s="55">
        <f t="shared" si="1091"/>
        <v>4.2243894499999994</v>
      </c>
      <c r="R984" s="55">
        <f t="shared" si="1091"/>
        <v>8.3985024999999995E-7</v>
      </c>
      <c r="S984" s="55">
        <f t="shared" si="1091"/>
        <v>2.6661339499999999E-3</v>
      </c>
      <c r="T984" s="55">
        <f t="shared" si="1091"/>
        <v>1.5406751E-2</v>
      </c>
      <c r="U984" s="55">
        <f t="shared" si="1091"/>
        <v>3.13787795E-3</v>
      </c>
      <c r="V984" s="55">
        <f t="shared" si="1091"/>
        <v>1.4876886499999999</v>
      </c>
      <c r="W984" s="55">
        <f t="shared" si="1091"/>
        <v>9.5939509999999992E-2</v>
      </c>
      <c r="X984" s="55">
        <f t="shared" si="1091"/>
        <v>251.08560500000002</v>
      </c>
      <c r="Y984" s="55">
        <f t="shared" si="1091"/>
        <v>8.8168090000000001E-3</v>
      </c>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f>AP$1051*50</f>
        <v>1.14222405</v>
      </c>
      <c r="AV984" s="55"/>
      <c r="AW984" s="55"/>
      <c r="AX984" s="55">
        <f>AS$1051*50</f>
        <v>73.033640000000005</v>
      </c>
      <c r="AY984" s="55"/>
      <c r="AZ984" s="55"/>
      <c r="BA984" s="55"/>
      <c r="BB984" s="55">
        <f>AW$1051*50</f>
        <v>1.4826382499999999E-2</v>
      </c>
      <c r="BC984" s="55">
        <f>AX$1051*50</f>
        <v>5.1738344999999999E-4</v>
      </c>
      <c r="BD984" s="55">
        <f>AY$1051*50</f>
        <v>6.0308634999999997</v>
      </c>
      <c r="BE984" s="55">
        <f>AZ$1051*50</f>
        <v>0</v>
      </c>
      <c r="BF984" s="55"/>
      <c r="BG984" s="55"/>
      <c r="BH984" s="55"/>
      <c r="BI984" s="55"/>
      <c r="BJ984" s="55"/>
      <c r="BK984" s="78">
        <v>1</v>
      </c>
      <c r="BM984" s="45"/>
    </row>
    <row r="985" spans="1:65" x14ac:dyDescent="0.35">
      <c r="A985" s="41" t="str">
        <f>Database_Productkaarten[[#This Row],[Product]]&amp;", "&amp;Database_Productkaarten[[#This Row],[Levensfase]]</f>
        <v>Grond, C3</v>
      </c>
      <c r="B985" s="41" t="s">
        <v>139</v>
      </c>
      <c r="C985" s="41" t="s">
        <v>131</v>
      </c>
      <c r="D985" s="41" t="s">
        <v>139</v>
      </c>
      <c r="E985" s="41" t="s">
        <v>91</v>
      </c>
      <c r="F985" s="41" t="s">
        <v>27</v>
      </c>
      <c r="L985" s="41">
        <v>1.6</v>
      </c>
      <c r="M985" s="54">
        <v>0</v>
      </c>
      <c r="N985" s="41">
        <v>100</v>
      </c>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78">
        <v>1</v>
      </c>
      <c r="BM985" s="45"/>
    </row>
    <row r="986" spans="1:65" x14ac:dyDescent="0.35">
      <c r="A986" s="41" t="str">
        <f>Database_Productkaarten[[#This Row],[Product]]&amp;", "&amp;Database_Productkaarten[[#This Row],[Levensfase]]</f>
        <v>Grond, C4</v>
      </c>
      <c r="B986" s="41" t="s">
        <v>139</v>
      </c>
      <c r="C986" s="41" t="s">
        <v>131</v>
      </c>
      <c r="D986" s="41" t="s">
        <v>139</v>
      </c>
      <c r="E986" s="41" t="s">
        <v>91</v>
      </c>
      <c r="F986" s="41" t="s">
        <v>28</v>
      </c>
      <c r="L986" s="41">
        <v>1.6</v>
      </c>
      <c r="M986" s="54">
        <v>0</v>
      </c>
      <c r="N986" s="41">
        <v>100</v>
      </c>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78">
        <v>1</v>
      </c>
      <c r="BM986" s="45"/>
    </row>
    <row r="987" spans="1:65" x14ac:dyDescent="0.35">
      <c r="A987" s="41" t="str">
        <f>Database_Productkaarten[[#This Row],[Product]]&amp;", "&amp;Database_Productkaarten[[#This Row],[Levensfase]]</f>
        <v>Grond, D1</v>
      </c>
      <c r="B987" s="41" t="s">
        <v>139</v>
      </c>
      <c r="C987" s="41" t="s">
        <v>131</v>
      </c>
      <c r="D987" s="41" t="s">
        <v>139</v>
      </c>
      <c r="E987" s="41" t="s">
        <v>91</v>
      </c>
      <c r="F987" s="41" t="s">
        <v>51</v>
      </c>
      <c r="L987" s="41">
        <v>1.6</v>
      </c>
      <c r="M987" s="54">
        <v>0</v>
      </c>
      <c r="N987" s="41">
        <v>100</v>
      </c>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78">
        <v>1</v>
      </c>
      <c r="BM987" s="45"/>
    </row>
    <row r="988" spans="1:65" x14ac:dyDescent="0.35">
      <c r="A988" s="41" t="str">
        <f>Database_Productkaarten[[#This Row],[Product]]&amp;", "&amp;Database_Productkaarten[[#This Row],[Levensfase]]</f>
        <v>Grond, D2</v>
      </c>
      <c r="B988" s="41" t="s">
        <v>139</v>
      </c>
      <c r="C988" s="41" t="s">
        <v>131</v>
      </c>
      <c r="D988" s="41" t="s">
        <v>139</v>
      </c>
      <c r="E988" s="41" t="s">
        <v>91</v>
      </c>
      <c r="F988" s="41" t="s">
        <v>52</v>
      </c>
      <c r="L988" s="41">
        <v>1.6</v>
      </c>
      <c r="M988" s="54">
        <v>0</v>
      </c>
      <c r="N988" s="41">
        <v>100</v>
      </c>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78">
        <v>1</v>
      </c>
      <c r="BM988" s="45"/>
    </row>
    <row r="989" spans="1:65" x14ac:dyDescent="0.35">
      <c r="A989" s="41" t="str">
        <f>Database_Productkaarten[[#This Row],[Product]]&amp;", "&amp;Database_Productkaarten[[#This Row],[Levensfase]]</f>
        <v>Zand (hergebruik), Totaal</v>
      </c>
      <c r="B989" s="41" t="s">
        <v>1616</v>
      </c>
      <c r="C989" s="41" t="s">
        <v>131</v>
      </c>
      <c r="D989" s="41" t="s">
        <v>54</v>
      </c>
      <c r="E989" s="41" t="s">
        <v>91</v>
      </c>
      <c r="F989" s="41" t="s">
        <v>16</v>
      </c>
      <c r="L989" s="41">
        <v>1.6</v>
      </c>
      <c r="M989" s="54">
        <f>SUM(M990:M1001)</f>
        <v>1.0354479620520014</v>
      </c>
      <c r="N989" s="41">
        <v>100</v>
      </c>
      <c r="O989" s="55">
        <f t="shared" ref="O989:Y989" si="1092">SUM(O990:O1001)</f>
        <v>1.6658530166666667E-5</v>
      </c>
      <c r="P989" s="55">
        <f t="shared" si="1092"/>
        <v>7.0394193429583321E-2</v>
      </c>
      <c r="Q989" s="55">
        <f t="shared" si="1092"/>
        <v>9.3931862808749997</v>
      </c>
      <c r="R989" s="55">
        <f t="shared" si="1092"/>
        <v>1.8441759166666665E-6</v>
      </c>
      <c r="S989" s="55">
        <f t="shared" si="1092"/>
        <v>5.6432077141666667E-3</v>
      </c>
      <c r="T989" s="55">
        <f t="shared" si="1092"/>
        <v>3.1696245145433059E-2</v>
      </c>
      <c r="U989" s="55">
        <f t="shared" si="1092"/>
        <v>8.6882896500000001E-3</v>
      </c>
      <c r="V989" s="55">
        <f t="shared" si="1092"/>
        <v>3.6122344820625001</v>
      </c>
      <c r="W989" s="55">
        <f t="shared" si="1092"/>
        <v>0.19187902745479335</v>
      </c>
      <c r="X989" s="55">
        <f t="shared" si="1092"/>
        <v>502.53528866064983</v>
      </c>
      <c r="Y989" s="55">
        <f t="shared" si="1092"/>
        <v>2.0494173181042283E-2</v>
      </c>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f t="shared" ref="AU989" si="1093">SUM(AU990:AU1001)</f>
        <v>2.2844481629137139</v>
      </c>
      <c r="AV989" s="55"/>
      <c r="AW989" s="55"/>
      <c r="AX989" s="55">
        <f t="shared" ref="AX989" si="1094">SUM(AX990:AX1001)</f>
        <v>146.08358981500129</v>
      </c>
      <c r="AY989" s="55"/>
      <c r="AZ989" s="55"/>
      <c r="BA989" s="55"/>
      <c r="BB989" s="55">
        <f t="shared" ref="BB989:BE989" si="1095">SUM(BB990:BB1001)</f>
        <v>2.9664720221734373E-2</v>
      </c>
      <c r="BC989" s="55">
        <f t="shared" si="1095"/>
        <v>1.2653735224820134E-3</v>
      </c>
      <c r="BD989" s="55">
        <f t="shared" si="1095"/>
        <v>12.06172700065598</v>
      </c>
      <c r="BE989" s="55">
        <f t="shared" si="1095"/>
        <v>0</v>
      </c>
      <c r="BF989" s="55"/>
      <c r="BG989" s="55"/>
      <c r="BH989" s="55"/>
      <c r="BI989" s="55"/>
      <c r="BJ989" s="55"/>
      <c r="BK989" s="78">
        <v>1</v>
      </c>
      <c r="BM989" s="45"/>
    </row>
    <row r="990" spans="1:65" x14ac:dyDescent="0.35">
      <c r="A990" s="41" t="str">
        <f>Database_Productkaarten[[#This Row],[Product]]&amp;", "&amp;Database_Productkaarten[[#This Row],[Levensfase]]</f>
        <v>Zand (hergebruik), A1</v>
      </c>
      <c r="B990" s="41" t="s">
        <v>1616</v>
      </c>
      <c r="C990" s="41" t="s">
        <v>131</v>
      </c>
      <c r="D990" s="41" t="s">
        <v>54</v>
      </c>
      <c r="E990" s="41" t="s">
        <v>91</v>
      </c>
      <c r="F990" s="41" t="s">
        <v>19</v>
      </c>
      <c r="L990" s="41">
        <v>1.6</v>
      </c>
      <c r="M990" s="54"/>
      <c r="N990" s="41">
        <v>100</v>
      </c>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78">
        <v>1</v>
      </c>
      <c r="BM990" s="45"/>
    </row>
    <row r="991" spans="1:65" x14ac:dyDescent="0.35">
      <c r="A991" s="41" t="str">
        <f>Database_Productkaarten[[#This Row],[Product]]&amp;", "&amp;Database_Productkaarten[[#This Row],[Levensfase]]</f>
        <v>Zand (hergebruik), A2</v>
      </c>
      <c r="B991" s="41" t="s">
        <v>1616</v>
      </c>
      <c r="C991" s="41" t="s">
        <v>131</v>
      </c>
      <c r="D991" s="41" t="s">
        <v>54</v>
      </c>
      <c r="E991" s="41" t="s">
        <v>91</v>
      </c>
      <c r="F991" s="41" t="s">
        <v>20</v>
      </c>
      <c r="L991" s="41">
        <v>1.6</v>
      </c>
      <c r="M991" s="54"/>
      <c r="N991" s="41">
        <v>100</v>
      </c>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78">
        <v>1</v>
      </c>
      <c r="BM991" s="45"/>
    </row>
    <row r="992" spans="1:65" x14ac:dyDescent="0.35">
      <c r="A992" s="41" t="str">
        <f>Database_Productkaarten[[#This Row],[Product]]&amp;", "&amp;Database_Productkaarten[[#This Row],[Levensfase]]</f>
        <v>Zand (hergebruik), A3</v>
      </c>
      <c r="B992" s="41" t="s">
        <v>1616</v>
      </c>
      <c r="C992" s="41" t="s">
        <v>131</v>
      </c>
      <c r="D992" s="41" t="s">
        <v>54</v>
      </c>
      <c r="E992" s="41" t="s">
        <v>91</v>
      </c>
      <c r="F992" s="41" t="s">
        <v>21</v>
      </c>
      <c r="L992" s="41">
        <v>1.6</v>
      </c>
      <c r="M992" s="54"/>
      <c r="N992" s="41">
        <v>100</v>
      </c>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78">
        <v>1</v>
      </c>
      <c r="BM992" s="45"/>
    </row>
    <row r="993" spans="1:65" x14ac:dyDescent="0.35">
      <c r="A993" s="41" t="str">
        <f>Database_Productkaarten[[#This Row],[Product]]&amp;", "&amp;Database_Productkaarten[[#This Row],[Levensfase]]</f>
        <v>Zand (hergebruik), A4</v>
      </c>
      <c r="B993" s="41" t="s">
        <v>1616</v>
      </c>
      <c r="C993" s="41" t="s">
        <v>131</v>
      </c>
      <c r="D993" s="41" t="s">
        <v>54</v>
      </c>
      <c r="E993" s="41" t="s">
        <v>91</v>
      </c>
      <c r="F993" s="41" t="s">
        <v>22</v>
      </c>
      <c r="L993" s="41">
        <v>1.6</v>
      </c>
      <c r="M993" s="54">
        <f>G$1051*50</f>
        <v>0.47396919681357996</v>
      </c>
      <c r="N993" s="41">
        <v>100</v>
      </c>
      <c r="O993" s="55">
        <f t="shared" ref="O993" si="1096">J$1051*50</f>
        <v>8.1082254999999995E-6</v>
      </c>
      <c r="P993" s="55">
        <f t="shared" ref="P993" si="1097">K$1051*50</f>
        <v>3.1970782499999996E-2</v>
      </c>
      <c r="Q993" s="55">
        <f t="shared" ref="Q993" si="1098">L$1051*50</f>
        <v>4.2243894499999994</v>
      </c>
      <c r="R993" s="55">
        <f t="shared" ref="R993" si="1099">M$1051*50</f>
        <v>8.3985024999999995E-7</v>
      </c>
      <c r="S993" s="55">
        <f t="shared" ref="S993" si="1100">N$1051*50</f>
        <v>2.6661339499999999E-3</v>
      </c>
      <c r="T993" s="55">
        <f t="shared" ref="T993" si="1101">O$1051*50</f>
        <v>1.5406751E-2</v>
      </c>
      <c r="U993" s="55">
        <f t="shared" ref="U993" si="1102">P$1051*50</f>
        <v>3.13787795E-3</v>
      </c>
      <c r="V993" s="55">
        <f t="shared" ref="V993" si="1103">Q$1051*50</f>
        <v>1.4876886499999999</v>
      </c>
      <c r="W993" s="55">
        <f t="shared" ref="W993" si="1104">R$1051*50</f>
        <v>9.5939509999999992E-2</v>
      </c>
      <c r="X993" s="55">
        <f t="shared" ref="X993" si="1105">S$1051*50</f>
        <v>251.08560500000002</v>
      </c>
      <c r="Y993" s="55">
        <f t="shared" ref="Y993" si="1106">T$1051*50</f>
        <v>8.8168090000000001E-3</v>
      </c>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f>AP$1051*50</f>
        <v>1.14222405</v>
      </c>
      <c r="AV993" s="55"/>
      <c r="AW993" s="55"/>
      <c r="AX993" s="55">
        <f>AS$1051*50</f>
        <v>73.033640000000005</v>
      </c>
      <c r="AY993" s="55"/>
      <c r="AZ993" s="55"/>
      <c r="BA993" s="55"/>
      <c r="BB993" s="55">
        <f>AW$1051*50</f>
        <v>1.4826382499999999E-2</v>
      </c>
      <c r="BC993" s="55">
        <f>AX$1051*50</f>
        <v>5.1738344999999999E-4</v>
      </c>
      <c r="BD993" s="55">
        <f>AY$1051*50</f>
        <v>6.0308634999999997</v>
      </c>
      <c r="BE993" s="55">
        <f>AZ$1051*50</f>
        <v>0</v>
      </c>
      <c r="BF993" s="55"/>
      <c r="BG993" s="55"/>
      <c r="BH993" s="55"/>
      <c r="BI993" s="55"/>
      <c r="BJ993" s="55"/>
      <c r="BK993" s="78">
        <v>1</v>
      </c>
      <c r="BM993" s="45"/>
    </row>
    <row r="994" spans="1:65" x14ac:dyDescent="0.35">
      <c r="A994" s="41" t="str">
        <f>Database_Productkaarten[[#This Row],[Product]]&amp;", "&amp;Database_Productkaarten[[#This Row],[Levensfase]]</f>
        <v>Zand (hergebruik), A5</v>
      </c>
      <c r="B994" s="41" t="s">
        <v>1616</v>
      </c>
      <c r="C994" s="41" t="s">
        <v>131</v>
      </c>
      <c r="D994" s="41" t="s">
        <v>54</v>
      </c>
      <c r="E994" s="41" t="s">
        <v>91</v>
      </c>
      <c r="F994" s="41" t="s">
        <v>23</v>
      </c>
      <c r="L994" s="41">
        <v>1.6</v>
      </c>
      <c r="M994" s="54">
        <f>((1/Database_Productkaarten[[#This Row],[Soortelijk Gewicht '[ton / m3']]])/$H$1164)*(G$1164)</f>
        <v>4.3754784212420766E-2</v>
      </c>
      <c r="N994" s="41">
        <v>100</v>
      </c>
      <c r="O994" s="55">
        <f>((1/Database_Productkaarten[[#This Row],[Soortelijk Gewicht '[ton / m3']]])/$H$1164)*(J$1164)</f>
        <v>2.2103958333333332E-7</v>
      </c>
      <c r="P994" s="55">
        <f>((1/Database_Productkaarten[[#This Row],[Soortelijk Gewicht '[ton / m3']]])/$H$1164)*(K$1164)</f>
        <v>3.2263142147916667E-3</v>
      </c>
      <c r="Q994" s="55">
        <f>((1/Database_Productkaarten[[#This Row],[Soortelijk Gewicht '[ton / m3']]])/$H$1164)*(L$1164)</f>
        <v>0.47220369043749999</v>
      </c>
      <c r="R994" s="55">
        <f>((1/Database_Productkaarten[[#This Row],[Soortelijk Gewicht '[ton / m3']]])/$H$1164)*(M$1164)</f>
        <v>8.2237708333333324E-8</v>
      </c>
      <c r="S994" s="55">
        <f>((1/Database_Productkaarten[[#This Row],[Soortelijk Gewicht '[ton / m3']]])/$H$1164)*(N$1164)</f>
        <v>1.5546990708333334E-4</v>
      </c>
      <c r="T994" s="55">
        <f>((1/Database_Productkaarten[[#This Row],[Soortelijk Gewicht '[ton / m3']]])/$H$1164)*(O$1164)</f>
        <v>4.4137157271653107E-4</v>
      </c>
      <c r="U994" s="55">
        <f>((1/Database_Productkaarten[[#This Row],[Soortelijk Gewicht '[ton / m3']]])/$H$1164)*(P$1164)</f>
        <v>1.2062668749999999E-3</v>
      </c>
      <c r="V994" s="55">
        <f>((1/Database_Productkaarten[[#This Row],[Soortelijk Gewicht '[ton / m3']]])/$H$1164)*(Q$1164)</f>
        <v>0.31842859103124999</v>
      </c>
      <c r="W994" s="55">
        <f>((1/Database_Productkaarten[[#This Row],[Soortelijk Gewicht '[ton / m3']]])/$H$1164)*(R$1164)</f>
        <v>3.7273966828583328E-9</v>
      </c>
      <c r="X994" s="55">
        <f>((1/Database_Productkaarten[[#This Row],[Soortelijk Gewicht '[ton / m3']]])/$H$1164)*(S$1164)</f>
        <v>0.18203933032491099</v>
      </c>
      <c r="Y994" s="55">
        <f>((1/Database_Productkaarten[[#This Row],[Soortelijk Gewicht '[ton / m3']]])/$H$1164)*(T$1164)</f>
        <v>1.4302775905211417E-3</v>
      </c>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f>((1/Database_Productkaarten[[#This Row],[Soortelijk Gewicht '[ton / m3']]])/$H$1164)*(AP$1164)</f>
        <v>3.1456856835489578E-8</v>
      </c>
      <c r="AV994" s="55"/>
      <c r="AW994" s="55"/>
      <c r="AX994" s="55">
        <f>((1/Database_Productkaarten[[#This Row],[Soortelijk Gewicht '[ton / m3']]])/$H$1164)*(AS$1164)</f>
        <v>8.1549075006355082E-3</v>
      </c>
      <c r="AY994" s="55"/>
      <c r="AZ994" s="55"/>
      <c r="BA994" s="55"/>
      <c r="BB994" s="55">
        <f>((1/Database_Productkaarten[[#This Row],[Soortelijk Gewicht '[ton / m3']]])/$H$1164)*(AW$1164)</f>
        <v>5.9776108671881242E-6</v>
      </c>
      <c r="BC994" s="55">
        <f>((1/Database_Productkaarten[[#This Row],[Soortelijk Gewicht '[ton / m3']]])/$H$1164)*(AX$1164)</f>
        <v>1.1530331124100664E-4</v>
      </c>
      <c r="BD994" s="55">
        <f>((1/Database_Productkaarten[[#This Row],[Soortelijk Gewicht '[ton / m3']]])/$H$1164)*(AY$1164)</f>
        <v>3.2799006821667943E-10</v>
      </c>
      <c r="BE994" s="55">
        <f>((1/Database_Productkaarten[[#This Row],[Soortelijk Gewicht '[ton / m3']]])/$H$1164)*(AZ$1164)</f>
        <v>0</v>
      </c>
      <c r="BF994" s="55"/>
      <c r="BG994" s="55"/>
      <c r="BH994" s="55"/>
      <c r="BI994" s="55"/>
      <c r="BJ994" s="55"/>
      <c r="BK994" s="78">
        <v>1</v>
      </c>
      <c r="BM994" s="45"/>
    </row>
    <row r="995" spans="1:65" x14ac:dyDescent="0.35">
      <c r="A995" s="41" t="str">
        <f>Database_Productkaarten[[#This Row],[Product]]&amp;", "&amp;Database_Productkaarten[[#This Row],[Levensfase]]</f>
        <v>Zand (hergebruik), B1</v>
      </c>
      <c r="B995" s="41" t="s">
        <v>1616</v>
      </c>
      <c r="C995" s="41" t="s">
        <v>131</v>
      </c>
      <c r="D995" s="41" t="s">
        <v>54</v>
      </c>
      <c r="E995" s="41" t="s">
        <v>91</v>
      </c>
      <c r="F995" s="41" t="s">
        <v>24</v>
      </c>
      <c r="L995" s="41">
        <v>1.6</v>
      </c>
      <c r="M995" s="54">
        <v>0</v>
      </c>
      <c r="N995" s="41">
        <v>100</v>
      </c>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78">
        <v>1</v>
      </c>
      <c r="BM995" s="45"/>
    </row>
    <row r="996" spans="1:65" x14ac:dyDescent="0.35">
      <c r="A996" s="41" t="str">
        <f>Database_Productkaarten[[#This Row],[Product]]&amp;", "&amp;Database_Productkaarten[[#This Row],[Levensfase]]</f>
        <v>Zand (hergebruik), C1</v>
      </c>
      <c r="B996" s="41" t="s">
        <v>1616</v>
      </c>
      <c r="C996" s="41" t="s">
        <v>131</v>
      </c>
      <c r="D996" s="41" t="s">
        <v>54</v>
      </c>
      <c r="E996" s="41" t="s">
        <v>91</v>
      </c>
      <c r="F996" s="41" t="s">
        <v>25</v>
      </c>
      <c r="L996" s="41">
        <v>1.6</v>
      </c>
      <c r="M996" s="54">
        <f>((1/Database_Productkaarten[[#This Row],[Soortelijk Gewicht '[ton / m3']]])/$H$1164)*(G$1164)</f>
        <v>4.3754784212420766E-2</v>
      </c>
      <c r="N996" s="41">
        <v>100</v>
      </c>
      <c r="O996" s="55">
        <f>((1/Database_Productkaarten[[#This Row],[Soortelijk Gewicht '[ton / m3']]])/$H$1164)*(J$1164)</f>
        <v>2.2103958333333332E-7</v>
      </c>
      <c r="P996" s="55">
        <f>((1/Database_Productkaarten[[#This Row],[Soortelijk Gewicht '[ton / m3']]])/$H$1164)*(K$1164)</f>
        <v>3.2263142147916667E-3</v>
      </c>
      <c r="Q996" s="55">
        <f>((1/Database_Productkaarten[[#This Row],[Soortelijk Gewicht '[ton / m3']]])/$H$1164)*(L$1164)</f>
        <v>0.47220369043749999</v>
      </c>
      <c r="R996" s="55">
        <f>((1/Database_Productkaarten[[#This Row],[Soortelijk Gewicht '[ton / m3']]])/$H$1164)*(M$1164)</f>
        <v>8.2237708333333324E-8</v>
      </c>
      <c r="S996" s="55">
        <f>((1/Database_Productkaarten[[#This Row],[Soortelijk Gewicht '[ton / m3']]])/$H$1164)*(N$1164)</f>
        <v>1.5546990708333334E-4</v>
      </c>
      <c r="T996" s="55">
        <f>((1/Database_Productkaarten[[#This Row],[Soortelijk Gewicht '[ton / m3']]])/$H$1164)*(O$1164)</f>
        <v>4.4137157271653107E-4</v>
      </c>
      <c r="U996" s="55">
        <f>((1/Database_Productkaarten[[#This Row],[Soortelijk Gewicht '[ton / m3']]])/$H$1164)*(P$1164)</f>
        <v>1.2062668749999999E-3</v>
      </c>
      <c r="V996" s="55">
        <f>((1/Database_Productkaarten[[#This Row],[Soortelijk Gewicht '[ton / m3']]])/$H$1164)*(Q$1164)</f>
        <v>0.31842859103124999</v>
      </c>
      <c r="W996" s="55">
        <f>((1/Database_Productkaarten[[#This Row],[Soortelijk Gewicht '[ton / m3']]])/$H$1164)*(R$1164)</f>
        <v>3.7273966828583328E-9</v>
      </c>
      <c r="X996" s="55">
        <f>((1/Database_Productkaarten[[#This Row],[Soortelijk Gewicht '[ton / m3']]])/$H$1164)*(S$1164)</f>
        <v>0.18203933032491099</v>
      </c>
      <c r="Y996" s="55">
        <f>((1/Database_Productkaarten[[#This Row],[Soortelijk Gewicht '[ton / m3']]])/$H$1164)*(T$1164)</f>
        <v>1.4302775905211417E-3</v>
      </c>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f>((1/Database_Productkaarten[[#This Row],[Soortelijk Gewicht '[ton / m3']]])/$H$1164)*(AP$1164)</f>
        <v>3.1456856835489578E-8</v>
      </c>
      <c r="AV996" s="55"/>
      <c r="AW996" s="55"/>
      <c r="AX996" s="55">
        <f>((1/Database_Productkaarten[[#This Row],[Soortelijk Gewicht '[ton / m3']]])/$H$1164)*(AS$1164)</f>
        <v>8.1549075006355082E-3</v>
      </c>
      <c r="AY996" s="55"/>
      <c r="AZ996" s="55"/>
      <c r="BA996" s="55"/>
      <c r="BB996" s="55">
        <f>((1/Database_Productkaarten[[#This Row],[Soortelijk Gewicht '[ton / m3']]])/$H$1164)*(AW$1164)</f>
        <v>5.9776108671881242E-6</v>
      </c>
      <c r="BC996" s="55">
        <f>((1/Database_Productkaarten[[#This Row],[Soortelijk Gewicht '[ton / m3']]])/$H$1164)*(AX$1164)</f>
        <v>1.1530331124100664E-4</v>
      </c>
      <c r="BD996" s="55">
        <f>((1/Database_Productkaarten[[#This Row],[Soortelijk Gewicht '[ton / m3']]])/$H$1164)*(AY$1164)</f>
        <v>3.2799006821667943E-10</v>
      </c>
      <c r="BE996" s="55">
        <f>((1/Database_Productkaarten[[#This Row],[Soortelijk Gewicht '[ton / m3']]])/$H$1164)*(AZ$1164)</f>
        <v>0</v>
      </c>
      <c r="BF996" s="55"/>
      <c r="BG996" s="55"/>
      <c r="BH996" s="55"/>
      <c r="BI996" s="55"/>
      <c r="BJ996" s="55"/>
      <c r="BK996" s="78">
        <v>1</v>
      </c>
      <c r="BM996" s="45"/>
    </row>
    <row r="997" spans="1:65" x14ac:dyDescent="0.35">
      <c r="A997" s="41" t="str">
        <f>Database_Productkaarten[[#This Row],[Product]]&amp;", "&amp;Database_Productkaarten[[#This Row],[Levensfase]]</f>
        <v>Zand (hergebruik), C2</v>
      </c>
      <c r="B997" s="41" t="s">
        <v>1616</v>
      </c>
      <c r="C997" s="41" t="s">
        <v>131</v>
      </c>
      <c r="D997" s="41" t="s">
        <v>54</v>
      </c>
      <c r="E997" s="41" t="s">
        <v>91</v>
      </c>
      <c r="F997" s="41" t="s">
        <v>26</v>
      </c>
      <c r="L997" s="41">
        <v>1.6</v>
      </c>
      <c r="M997" s="54">
        <f>G$1051*50</f>
        <v>0.47396919681357996</v>
      </c>
      <c r="N997" s="41">
        <v>100</v>
      </c>
      <c r="O997" s="55">
        <f t="shared" ref="O997" si="1107">J$1051*50</f>
        <v>8.1082254999999995E-6</v>
      </c>
      <c r="P997" s="55">
        <f t="shared" ref="P997" si="1108">K$1051*50</f>
        <v>3.1970782499999996E-2</v>
      </c>
      <c r="Q997" s="55">
        <f t="shared" ref="Q997" si="1109">L$1051*50</f>
        <v>4.2243894499999994</v>
      </c>
      <c r="R997" s="55">
        <f t="shared" ref="R997" si="1110">M$1051*50</f>
        <v>8.3985024999999995E-7</v>
      </c>
      <c r="S997" s="55">
        <f t="shared" ref="S997" si="1111">N$1051*50</f>
        <v>2.6661339499999999E-3</v>
      </c>
      <c r="T997" s="55">
        <f t="shared" ref="T997" si="1112">O$1051*50</f>
        <v>1.5406751E-2</v>
      </c>
      <c r="U997" s="55">
        <f t="shared" ref="U997" si="1113">P$1051*50</f>
        <v>3.13787795E-3</v>
      </c>
      <c r="V997" s="55">
        <f t="shared" ref="V997" si="1114">Q$1051*50</f>
        <v>1.4876886499999999</v>
      </c>
      <c r="W997" s="55">
        <f t="shared" ref="W997" si="1115">R$1051*50</f>
        <v>9.5939509999999992E-2</v>
      </c>
      <c r="X997" s="55">
        <f t="shared" ref="X997" si="1116">S$1051*50</f>
        <v>251.08560500000002</v>
      </c>
      <c r="Y997" s="55">
        <f t="shared" ref="Y997" si="1117">T$1051*50</f>
        <v>8.8168090000000001E-3</v>
      </c>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f>AP$1051*50</f>
        <v>1.14222405</v>
      </c>
      <c r="AV997" s="55"/>
      <c r="AW997" s="55"/>
      <c r="AX997" s="55">
        <f>AS$1051*50</f>
        <v>73.033640000000005</v>
      </c>
      <c r="AY997" s="55"/>
      <c r="AZ997" s="55"/>
      <c r="BA997" s="55"/>
      <c r="BB997" s="55">
        <f>AW$1051*50</f>
        <v>1.4826382499999999E-2</v>
      </c>
      <c r="BC997" s="55">
        <f>AX$1051*50</f>
        <v>5.1738344999999999E-4</v>
      </c>
      <c r="BD997" s="55">
        <f>AY$1051*50</f>
        <v>6.0308634999999997</v>
      </c>
      <c r="BE997" s="55">
        <f>AZ$1051*50</f>
        <v>0</v>
      </c>
      <c r="BF997" s="55"/>
      <c r="BG997" s="55"/>
      <c r="BH997" s="55"/>
      <c r="BI997" s="55"/>
      <c r="BJ997" s="55"/>
      <c r="BK997" s="78">
        <v>1</v>
      </c>
      <c r="BM997" s="45"/>
    </row>
    <row r="998" spans="1:65" x14ac:dyDescent="0.35">
      <c r="A998" s="41" t="str">
        <f>Database_Productkaarten[[#This Row],[Product]]&amp;", "&amp;Database_Productkaarten[[#This Row],[Levensfase]]</f>
        <v>Zand (hergebruik), C3</v>
      </c>
      <c r="B998" s="41" t="s">
        <v>1616</v>
      </c>
      <c r="C998" s="41" t="s">
        <v>131</v>
      </c>
      <c r="D998" s="41" t="s">
        <v>54</v>
      </c>
      <c r="E998" s="41" t="s">
        <v>91</v>
      </c>
      <c r="F998" s="41" t="s">
        <v>27</v>
      </c>
      <c r="L998" s="41">
        <v>1.6</v>
      </c>
      <c r="M998" s="54"/>
      <c r="N998" s="41">
        <v>100</v>
      </c>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c r="BA998" s="55"/>
      <c r="BB998" s="55"/>
      <c r="BC998" s="55"/>
      <c r="BD998" s="55"/>
      <c r="BE998" s="55"/>
      <c r="BF998" s="55"/>
      <c r="BG998" s="55"/>
      <c r="BH998" s="55"/>
      <c r="BI998" s="55"/>
      <c r="BJ998" s="55"/>
      <c r="BK998" s="78">
        <v>1</v>
      </c>
      <c r="BM998" s="45"/>
    </row>
    <row r="999" spans="1:65" x14ac:dyDescent="0.35">
      <c r="A999" s="41" t="str">
        <f>Database_Productkaarten[[#This Row],[Product]]&amp;", "&amp;Database_Productkaarten[[#This Row],[Levensfase]]</f>
        <v>Zand (hergebruik), C4</v>
      </c>
      <c r="B999" s="41" t="s">
        <v>1616</v>
      </c>
      <c r="C999" s="41" t="s">
        <v>131</v>
      </c>
      <c r="D999" s="41" t="s">
        <v>54</v>
      </c>
      <c r="E999" s="41" t="s">
        <v>91</v>
      </c>
      <c r="F999" s="41" t="s">
        <v>28</v>
      </c>
      <c r="L999" s="41">
        <v>1.6</v>
      </c>
      <c r="M999" s="54"/>
      <c r="N999" s="41">
        <v>100</v>
      </c>
      <c r="O999" s="55"/>
      <c r="P999" s="55"/>
      <c r="Q999" s="4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78">
        <v>1</v>
      </c>
      <c r="BM999" s="45"/>
    </row>
    <row r="1000" spans="1:65" x14ac:dyDescent="0.35">
      <c r="A1000" s="41" t="str">
        <f>Database_Productkaarten[[#This Row],[Product]]&amp;", "&amp;Database_Productkaarten[[#This Row],[Levensfase]]</f>
        <v>Zand (hergebruik), D1</v>
      </c>
      <c r="B1000" s="41" t="s">
        <v>1616</v>
      </c>
      <c r="C1000" s="41" t="s">
        <v>131</v>
      </c>
      <c r="D1000" s="41" t="s">
        <v>54</v>
      </c>
      <c r="E1000" s="41" t="s">
        <v>91</v>
      </c>
      <c r="F1000" s="41" t="s">
        <v>51</v>
      </c>
      <c r="L1000" s="41">
        <v>1.6</v>
      </c>
      <c r="M1000" s="54"/>
      <c r="N1000" s="41">
        <v>100</v>
      </c>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c r="BA1000" s="55"/>
      <c r="BB1000" s="55"/>
      <c r="BC1000" s="55"/>
      <c r="BD1000" s="55"/>
      <c r="BE1000" s="55"/>
      <c r="BF1000" s="55"/>
      <c r="BG1000" s="55"/>
      <c r="BH1000" s="55"/>
      <c r="BI1000" s="55"/>
      <c r="BJ1000" s="55"/>
      <c r="BK1000" s="78">
        <v>1</v>
      </c>
      <c r="BM1000" s="45"/>
    </row>
    <row r="1001" spans="1:65" x14ac:dyDescent="0.35">
      <c r="A1001" s="41" t="str">
        <f>Database_Productkaarten[[#This Row],[Product]]&amp;", "&amp;Database_Productkaarten[[#This Row],[Levensfase]]</f>
        <v>Zand (hergebruik), D2</v>
      </c>
      <c r="B1001" s="41" t="s">
        <v>1616</v>
      </c>
      <c r="C1001" s="41" t="s">
        <v>131</v>
      </c>
      <c r="D1001" s="41" t="s">
        <v>54</v>
      </c>
      <c r="E1001" s="41" t="s">
        <v>91</v>
      </c>
      <c r="F1001" s="41" t="s">
        <v>52</v>
      </c>
      <c r="L1001" s="41">
        <v>1.6</v>
      </c>
      <c r="M1001" s="54">
        <v>0</v>
      </c>
      <c r="N1001" s="41">
        <v>100</v>
      </c>
      <c r="O1001" s="55"/>
      <c r="P1001" s="55"/>
      <c r="Q1001" s="55"/>
      <c r="R1001" s="55"/>
      <c r="S1001" s="55"/>
      <c r="T1001" s="55"/>
      <c r="U1001" s="55"/>
      <c r="V1001" s="55"/>
      <c r="W1001" s="55"/>
      <c r="X1001" s="55"/>
      <c r="Y1001" s="55"/>
      <c r="Z1001" s="55"/>
      <c r="AA1001" s="55"/>
      <c r="AB1001" s="55"/>
      <c r="AC1001" s="55"/>
      <c r="AD1001" s="55"/>
      <c r="AE1001" s="55"/>
      <c r="AF1001" s="55"/>
      <c r="AG1001" s="55"/>
      <c r="AH1001" s="55"/>
      <c r="AI1001" s="55"/>
      <c r="AJ1001" s="55"/>
      <c r="AK1001" s="55"/>
      <c r="AL1001" s="55"/>
      <c r="AM1001" s="55"/>
      <c r="AN1001" s="55"/>
      <c r="AO1001" s="55"/>
      <c r="AP1001" s="55"/>
      <c r="AQ1001" s="55"/>
      <c r="AR1001" s="55"/>
      <c r="AS1001" s="55"/>
      <c r="AT1001" s="55"/>
      <c r="AU1001" s="55"/>
      <c r="AV1001" s="55"/>
      <c r="AW1001" s="55"/>
      <c r="AX1001" s="55"/>
      <c r="AY1001" s="55"/>
      <c r="AZ1001" s="55"/>
      <c r="BA1001" s="55"/>
      <c r="BB1001" s="55"/>
      <c r="BC1001" s="55"/>
      <c r="BD1001" s="55"/>
      <c r="BE1001" s="55"/>
      <c r="BF1001" s="55"/>
      <c r="BG1001" s="55"/>
      <c r="BH1001" s="55"/>
      <c r="BI1001" s="55"/>
      <c r="BJ1001" s="55"/>
      <c r="BK1001" s="78">
        <v>1</v>
      </c>
      <c r="BM1001" s="45"/>
    </row>
    <row r="1002" spans="1:65" x14ac:dyDescent="0.35">
      <c r="A1002" s="41" t="str">
        <f>Database_Productkaarten[[#This Row],[Product]]&amp;", "&amp;Database_Productkaarten[[#This Row],[Levensfase]]</f>
        <v>Straatzand, Totaal</v>
      </c>
      <c r="B1002" s="41" t="s">
        <v>1615</v>
      </c>
      <c r="C1002" s="41" t="s">
        <v>131</v>
      </c>
      <c r="D1002" s="41" t="s">
        <v>54</v>
      </c>
      <c r="E1002" s="41" t="s">
        <v>91</v>
      </c>
      <c r="F1002" s="41" t="s">
        <v>16</v>
      </c>
      <c r="L1002" s="41">
        <v>1.6</v>
      </c>
      <c r="M1002" s="54">
        <f>SUM(M1003:M1014)</f>
        <v>2.3767604620520011</v>
      </c>
      <c r="N1002" s="41">
        <v>100</v>
      </c>
      <c r="O1002" s="55">
        <f t="shared" ref="O1002" si="1118">SUM(O1003:O1014)</f>
        <v>1.6658530166666667E-5</v>
      </c>
      <c r="P1002" s="55">
        <f t="shared" ref="P1002" si="1119">SUM(P1003:P1014)</f>
        <v>7.0394193429583321E-2</v>
      </c>
      <c r="Q1002" s="55">
        <f t="shared" ref="Q1002" si="1120">SUM(Q1003:Q1014)</f>
        <v>17.499123780875003</v>
      </c>
      <c r="R1002" s="55">
        <f t="shared" ref="R1002" si="1121">SUM(R1003:R1014)</f>
        <v>1.8441759166666665E-6</v>
      </c>
      <c r="S1002" s="55">
        <f t="shared" ref="S1002" si="1122">SUM(S1003:S1014)</f>
        <v>5.6432077141666667E-3</v>
      </c>
      <c r="T1002" s="55">
        <f t="shared" ref="T1002" si="1123">SUM(T1003:T1014)</f>
        <v>3.1696245145433059E-2</v>
      </c>
      <c r="U1002" s="55">
        <f t="shared" ref="U1002" si="1124">SUM(U1003:U1014)</f>
        <v>8.6882896500000001E-3</v>
      </c>
      <c r="V1002" s="55">
        <f t="shared" ref="V1002" si="1125">SUM(V1003:V1014)</f>
        <v>3.6122344820625001</v>
      </c>
      <c r="W1002" s="55">
        <f t="shared" ref="W1002" si="1126">SUM(W1003:W1014)</f>
        <v>0.19187902745479335</v>
      </c>
      <c r="X1002" s="55">
        <f t="shared" ref="X1002" si="1127">SUM(X1003:X1014)</f>
        <v>502.53528866064983</v>
      </c>
      <c r="Y1002" s="55">
        <f t="shared" ref="Y1002" si="1128">SUM(Y1003:Y1014)</f>
        <v>2.0494173181042283E-2</v>
      </c>
      <c r="Z1002" s="55"/>
      <c r="AA1002" s="55"/>
      <c r="AB1002" s="55"/>
      <c r="AC1002" s="55"/>
      <c r="AD1002" s="55"/>
      <c r="AE1002" s="55"/>
      <c r="AF1002" s="55"/>
      <c r="AG1002" s="55"/>
      <c r="AH1002" s="55"/>
      <c r="AI1002" s="55"/>
      <c r="AJ1002" s="55"/>
      <c r="AK1002" s="55"/>
      <c r="AL1002" s="55"/>
      <c r="AM1002" s="55"/>
      <c r="AN1002" s="55"/>
      <c r="AO1002" s="55"/>
      <c r="AP1002" s="55"/>
      <c r="AQ1002" s="55"/>
      <c r="AR1002" s="55"/>
      <c r="AS1002" s="55"/>
      <c r="AT1002" s="55"/>
      <c r="AU1002" s="55">
        <f t="shared" ref="AU1002" si="1129">SUM(AU1003:AU1014)</f>
        <v>2.2844481629137139</v>
      </c>
      <c r="AV1002" s="55"/>
      <c r="AW1002" s="55"/>
      <c r="AX1002" s="55">
        <f t="shared" ref="AX1002" si="1130">SUM(AX1003:AX1014)</f>
        <v>146.08358981500129</v>
      </c>
      <c r="AY1002" s="55"/>
      <c r="AZ1002" s="55"/>
      <c r="BA1002" s="55"/>
      <c r="BB1002" s="55">
        <f t="shared" ref="BB1002" si="1131">SUM(BB1003:BB1014)</f>
        <v>2.9664720221734373E-2</v>
      </c>
      <c r="BC1002" s="55">
        <f t="shared" ref="BC1002" si="1132">SUM(BC1003:BC1014)</f>
        <v>1.2653735224820134E-3</v>
      </c>
      <c r="BD1002" s="55">
        <f t="shared" ref="BD1002" si="1133">SUM(BD1003:BD1014)</f>
        <v>12.06172700065598</v>
      </c>
      <c r="BE1002" s="55">
        <f t="shared" ref="BE1002" si="1134">SUM(BE1003:BE1014)</f>
        <v>0</v>
      </c>
      <c r="BF1002" s="55"/>
      <c r="BG1002" s="55"/>
      <c r="BH1002" s="55"/>
      <c r="BI1002" s="55"/>
      <c r="BJ1002" s="55"/>
      <c r="BK1002" s="78">
        <v>0</v>
      </c>
      <c r="BM1002" s="45"/>
    </row>
    <row r="1003" spans="1:65" x14ac:dyDescent="0.35">
      <c r="A1003" s="41" t="str">
        <f>Database_Productkaarten[[#This Row],[Product]]&amp;", "&amp;Database_Productkaarten[[#This Row],[Levensfase]]</f>
        <v>Straatzand, A1</v>
      </c>
      <c r="B1003" s="41" t="s">
        <v>1615</v>
      </c>
      <c r="C1003" s="41" t="s">
        <v>131</v>
      </c>
      <c r="D1003" s="41" t="s">
        <v>54</v>
      </c>
      <c r="E1003" s="41" t="s">
        <v>91</v>
      </c>
      <c r="F1003" s="41" t="s">
        <v>19</v>
      </c>
      <c r="L1003" s="41">
        <v>1.6</v>
      </c>
      <c r="M1003" s="54">
        <f>3.3038/Database_Productkaarten[[#This Row],[Soortelijk Gewicht '[ton / m3']]]</f>
        <v>2.0648749999999998</v>
      </c>
      <c r="N1003" s="41">
        <v>100</v>
      </c>
      <c r="O1003" s="55"/>
      <c r="P1003" s="55"/>
      <c r="Q1003" s="55">
        <f>19.9447/Database_Productkaarten[[#This Row],[Soortelijk Gewicht '[ton / m3']]]</f>
        <v>12.4654375</v>
      </c>
      <c r="R1003" s="55"/>
      <c r="S1003" s="55"/>
      <c r="T1003" s="55"/>
      <c r="U1003" s="55"/>
      <c r="V1003" s="55"/>
      <c r="W1003" s="55"/>
      <c r="X1003" s="55"/>
      <c r="Y1003" s="55"/>
      <c r="Z1003" s="55"/>
      <c r="AA1003" s="55"/>
      <c r="AB1003" s="55"/>
      <c r="AC1003" s="55"/>
      <c r="AD1003" s="55"/>
      <c r="AE1003" s="55"/>
      <c r="AF1003" s="55"/>
      <c r="AG1003" s="55"/>
      <c r="AH1003" s="55"/>
      <c r="AI1003" s="55"/>
      <c r="AJ1003" s="55"/>
      <c r="AK1003" s="55"/>
      <c r="AL1003" s="55"/>
      <c r="AM1003" s="55"/>
      <c r="AN1003" s="55"/>
      <c r="AO1003" s="55"/>
      <c r="AP1003" s="55"/>
      <c r="AQ1003" s="55"/>
      <c r="AR1003" s="55"/>
      <c r="AS1003" s="55"/>
      <c r="AT1003" s="55"/>
      <c r="AU1003" s="55"/>
      <c r="AV1003" s="55"/>
      <c r="AW1003" s="55"/>
      <c r="AX1003" s="55"/>
      <c r="AY1003" s="55"/>
      <c r="AZ1003" s="55"/>
      <c r="BA1003" s="55"/>
      <c r="BB1003" s="55"/>
      <c r="BC1003" s="55"/>
      <c r="BD1003" s="55"/>
      <c r="BE1003" s="55"/>
      <c r="BF1003" s="55"/>
      <c r="BG1003" s="55"/>
      <c r="BH1003" s="55"/>
      <c r="BI1003" s="55"/>
      <c r="BJ1003" s="55"/>
      <c r="BK1003" s="78">
        <v>0</v>
      </c>
      <c r="BM1003" s="45"/>
    </row>
    <row r="1004" spans="1:65" x14ac:dyDescent="0.35">
      <c r="A1004" s="41" t="str">
        <f>Database_Productkaarten[[#This Row],[Product]]&amp;", "&amp;Database_Productkaarten[[#This Row],[Levensfase]]</f>
        <v>Straatzand, A2</v>
      </c>
      <c r="B1004" s="41" t="s">
        <v>1615</v>
      </c>
      <c r="C1004" s="41" t="s">
        <v>131</v>
      </c>
      <c r="D1004" s="41" t="s">
        <v>54</v>
      </c>
      <c r="E1004" s="41" t="s">
        <v>91</v>
      </c>
      <c r="F1004" s="41" t="s">
        <v>20</v>
      </c>
      <c r="L1004" s="41">
        <v>1.6</v>
      </c>
      <c r="M1004" s="54"/>
      <c r="N1004" s="41">
        <v>100</v>
      </c>
      <c r="O1004" s="55"/>
      <c r="P1004" s="55"/>
      <c r="Q1004" s="55"/>
      <c r="R1004" s="55"/>
      <c r="S1004" s="55"/>
      <c r="T1004" s="55"/>
      <c r="U1004" s="55"/>
      <c r="V1004" s="55"/>
      <c r="W1004" s="55"/>
      <c r="X1004" s="55"/>
      <c r="Y1004" s="55"/>
      <c r="Z1004" s="55"/>
      <c r="AA1004" s="55"/>
      <c r="AB1004" s="55"/>
      <c r="AC1004" s="55"/>
      <c r="AD1004" s="55"/>
      <c r="AE1004" s="55"/>
      <c r="AF1004" s="55"/>
      <c r="AG1004" s="55"/>
      <c r="AH1004" s="55"/>
      <c r="AI1004" s="55"/>
      <c r="AJ1004" s="55"/>
      <c r="AK1004" s="55"/>
      <c r="AL1004" s="55"/>
      <c r="AM1004" s="55"/>
      <c r="AN1004" s="55"/>
      <c r="AO1004" s="55"/>
      <c r="AP1004" s="55"/>
      <c r="AQ1004" s="55"/>
      <c r="AR1004" s="55"/>
      <c r="AS1004" s="55"/>
      <c r="AT1004" s="55"/>
      <c r="AU1004" s="55"/>
      <c r="AV1004" s="55"/>
      <c r="AW1004" s="55"/>
      <c r="AX1004" s="55"/>
      <c r="AY1004" s="55"/>
      <c r="AZ1004" s="55"/>
      <c r="BA1004" s="55"/>
      <c r="BB1004" s="55"/>
      <c r="BC1004" s="55"/>
      <c r="BD1004" s="55"/>
      <c r="BE1004" s="55"/>
      <c r="BF1004" s="55"/>
      <c r="BG1004" s="55"/>
      <c r="BH1004" s="55"/>
      <c r="BI1004" s="55"/>
      <c r="BJ1004" s="55"/>
      <c r="BK1004" s="78">
        <v>0</v>
      </c>
      <c r="BM1004" s="45"/>
    </row>
    <row r="1005" spans="1:65" x14ac:dyDescent="0.35">
      <c r="A1005" s="41" t="str">
        <f>Database_Productkaarten[[#This Row],[Product]]&amp;", "&amp;Database_Productkaarten[[#This Row],[Levensfase]]</f>
        <v>Straatzand, A3</v>
      </c>
      <c r="B1005" s="41" t="s">
        <v>1615</v>
      </c>
      <c r="C1005" s="41" t="s">
        <v>131</v>
      </c>
      <c r="D1005" s="41" t="s">
        <v>54</v>
      </c>
      <c r="E1005" s="41" t="s">
        <v>91</v>
      </c>
      <c r="F1005" s="41" t="s">
        <v>21</v>
      </c>
      <c r="L1005" s="41">
        <v>1.6</v>
      </c>
      <c r="M1005" s="54"/>
      <c r="N1005" s="41">
        <v>100</v>
      </c>
      <c r="O1005" s="55"/>
      <c r="P1005" s="55"/>
      <c r="Q1005" s="55"/>
      <c r="R1005" s="55"/>
      <c r="S1005" s="55"/>
      <c r="T1005" s="55"/>
      <c r="U1005" s="55"/>
      <c r="V1005" s="55"/>
      <c r="W1005" s="55"/>
      <c r="X1005" s="55"/>
      <c r="Y1005" s="55"/>
      <c r="Z1005" s="55"/>
      <c r="AA1005" s="55"/>
      <c r="AB1005" s="55"/>
      <c r="AC1005" s="55"/>
      <c r="AD1005" s="55"/>
      <c r="AE1005" s="55"/>
      <c r="AF1005" s="55"/>
      <c r="AG1005" s="55"/>
      <c r="AH1005" s="55"/>
      <c r="AI1005" s="55"/>
      <c r="AJ1005" s="55"/>
      <c r="AK1005" s="55"/>
      <c r="AL1005" s="55"/>
      <c r="AM1005" s="55"/>
      <c r="AN1005" s="55"/>
      <c r="AO1005" s="55"/>
      <c r="AP1005" s="55"/>
      <c r="AQ1005" s="55"/>
      <c r="AR1005" s="55"/>
      <c r="AS1005" s="55"/>
      <c r="AT1005" s="55"/>
      <c r="AU1005" s="55"/>
      <c r="AV1005" s="55"/>
      <c r="AW1005" s="55"/>
      <c r="AX1005" s="55"/>
      <c r="AY1005" s="55"/>
      <c r="AZ1005" s="55"/>
      <c r="BA1005" s="55"/>
      <c r="BB1005" s="55"/>
      <c r="BC1005" s="55"/>
      <c r="BD1005" s="55"/>
      <c r="BE1005" s="55"/>
      <c r="BF1005" s="55"/>
      <c r="BG1005" s="55"/>
      <c r="BH1005" s="55"/>
      <c r="BI1005" s="55"/>
      <c r="BJ1005" s="55"/>
      <c r="BK1005" s="78">
        <v>0</v>
      </c>
      <c r="BM1005" s="45"/>
    </row>
    <row r="1006" spans="1:65" x14ac:dyDescent="0.35">
      <c r="A1006" s="41" t="str">
        <f>Database_Productkaarten[[#This Row],[Product]]&amp;", "&amp;Database_Productkaarten[[#This Row],[Levensfase]]</f>
        <v>Straatzand, A4</v>
      </c>
      <c r="B1006" s="41" t="s">
        <v>1615</v>
      </c>
      <c r="C1006" s="41" t="s">
        <v>131</v>
      </c>
      <c r="D1006" s="41" t="s">
        <v>54</v>
      </c>
      <c r="E1006" s="41" t="s">
        <v>91</v>
      </c>
      <c r="F1006" s="41" t="s">
        <v>22</v>
      </c>
      <c r="L1006" s="41">
        <v>1.6</v>
      </c>
      <c r="M1006" s="54">
        <f>G$1051*50</f>
        <v>0.47396919681357996</v>
      </c>
      <c r="N1006" s="41">
        <v>100</v>
      </c>
      <c r="O1006" s="55">
        <f t="shared" ref="O1006:Y1006" si="1135">J$1051*50</f>
        <v>8.1082254999999995E-6</v>
      </c>
      <c r="P1006" s="55">
        <f t="shared" si="1135"/>
        <v>3.1970782499999996E-2</v>
      </c>
      <c r="Q1006" s="55">
        <f t="shared" si="1135"/>
        <v>4.2243894499999994</v>
      </c>
      <c r="R1006" s="55">
        <f t="shared" si="1135"/>
        <v>8.3985024999999995E-7</v>
      </c>
      <c r="S1006" s="55">
        <f t="shared" si="1135"/>
        <v>2.6661339499999999E-3</v>
      </c>
      <c r="T1006" s="55">
        <f t="shared" si="1135"/>
        <v>1.5406751E-2</v>
      </c>
      <c r="U1006" s="55">
        <f t="shared" si="1135"/>
        <v>3.13787795E-3</v>
      </c>
      <c r="V1006" s="55">
        <f t="shared" si="1135"/>
        <v>1.4876886499999999</v>
      </c>
      <c r="W1006" s="55">
        <f t="shared" si="1135"/>
        <v>9.5939509999999992E-2</v>
      </c>
      <c r="X1006" s="55">
        <f t="shared" si="1135"/>
        <v>251.08560500000002</v>
      </c>
      <c r="Y1006" s="55">
        <f t="shared" si="1135"/>
        <v>8.8168090000000001E-3</v>
      </c>
      <c r="Z1006" s="55"/>
      <c r="AA1006" s="55"/>
      <c r="AB1006" s="55"/>
      <c r="AC1006" s="55"/>
      <c r="AD1006" s="55"/>
      <c r="AE1006" s="55"/>
      <c r="AF1006" s="55"/>
      <c r="AG1006" s="55"/>
      <c r="AH1006" s="55"/>
      <c r="AI1006" s="55"/>
      <c r="AJ1006" s="55"/>
      <c r="AK1006" s="55"/>
      <c r="AL1006" s="55"/>
      <c r="AM1006" s="55"/>
      <c r="AN1006" s="55"/>
      <c r="AO1006" s="55"/>
      <c r="AP1006" s="55"/>
      <c r="AQ1006" s="55"/>
      <c r="AR1006" s="55"/>
      <c r="AS1006" s="55"/>
      <c r="AT1006" s="55"/>
      <c r="AU1006" s="55">
        <f>AP$1051*50</f>
        <v>1.14222405</v>
      </c>
      <c r="AV1006" s="55"/>
      <c r="AW1006" s="55"/>
      <c r="AX1006" s="55">
        <f>AS$1051*50</f>
        <v>73.033640000000005</v>
      </c>
      <c r="AY1006" s="55"/>
      <c r="AZ1006" s="55"/>
      <c r="BA1006" s="55"/>
      <c r="BB1006" s="55">
        <f>AW$1051*50</f>
        <v>1.4826382499999999E-2</v>
      </c>
      <c r="BC1006" s="55">
        <f>AX$1051*50</f>
        <v>5.1738344999999999E-4</v>
      </c>
      <c r="BD1006" s="55">
        <f>AY$1051*50</f>
        <v>6.0308634999999997</v>
      </c>
      <c r="BE1006" s="55">
        <f>AZ$1051*50</f>
        <v>0</v>
      </c>
      <c r="BF1006" s="55"/>
      <c r="BG1006" s="55"/>
      <c r="BH1006" s="55"/>
      <c r="BI1006" s="55"/>
      <c r="BJ1006" s="55"/>
      <c r="BK1006" s="78">
        <v>0</v>
      </c>
      <c r="BM1006" s="45"/>
    </row>
    <row r="1007" spans="1:65" x14ac:dyDescent="0.35">
      <c r="A1007" s="41" t="str">
        <f>Database_Productkaarten[[#This Row],[Product]]&amp;", "&amp;Database_Productkaarten[[#This Row],[Levensfase]]</f>
        <v>Straatzand, A5</v>
      </c>
      <c r="B1007" s="41" t="s">
        <v>1615</v>
      </c>
      <c r="C1007" s="41" t="s">
        <v>131</v>
      </c>
      <c r="D1007" s="41" t="s">
        <v>54</v>
      </c>
      <c r="E1007" s="41" t="s">
        <v>91</v>
      </c>
      <c r="F1007" s="41" t="s">
        <v>23</v>
      </c>
      <c r="L1007" s="41">
        <v>1.6</v>
      </c>
      <c r="M1007" s="54">
        <f>((1/Database_Productkaarten[[#This Row],[Soortelijk Gewicht '[ton / m3']]])/$H$1164)*(G$1164)</f>
        <v>4.3754784212420766E-2</v>
      </c>
      <c r="N1007" s="41">
        <v>100</v>
      </c>
      <c r="O1007" s="55">
        <f>((1/Database_Productkaarten[[#This Row],[Soortelijk Gewicht '[ton / m3']]])/$H$1164)*(J$1164)</f>
        <v>2.2103958333333332E-7</v>
      </c>
      <c r="P1007" s="55">
        <f>((1/Database_Productkaarten[[#This Row],[Soortelijk Gewicht '[ton / m3']]])/$H$1164)*(K$1164)</f>
        <v>3.2263142147916667E-3</v>
      </c>
      <c r="Q1007" s="55">
        <f>((1/Database_Productkaarten[[#This Row],[Soortelijk Gewicht '[ton / m3']]])/$H$1164)*(L$1164)</f>
        <v>0.47220369043749999</v>
      </c>
      <c r="R1007" s="55">
        <f>((1/Database_Productkaarten[[#This Row],[Soortelijk Gewicht '[ton / m3']]])/$H$1164)*(M$1164)</f>
        <v>8.2237708333333324E-8</v>
      </c>
      <c r="S1007" s="55">
        <f>((1/Database_Productkaarten[[#This Row],[Soortelijk Gewicht '[ton / m3']]])/$H$1164)*(N$1164)</f>
        <v>1.5546990708333334E-4</v>
      </c>
      <c r="T1007" s="55">
        <f>((1/Database_Productkaarten[[#This Row],[Soortelijk Gewicht '[ton / m3']]])/$H$1164)*(O$1164)</f>
        <v>4.4137157271653107E-4</v>
      </c>
      <c r="U1007" s="55">
        <f>((1/Database_Productkaarten[[#This Row],[Soortelijk Gewicht '[ton / m3']]])/$H$1164)*(P$1164)</f>
        <v>1.2062668749999999E-3</v>
      </c>
      <c r="V1007" s="55">
        <f>((1/Database_Productkaarten[[#This Row],[Soortelijk Gewicht '[ton / m3']]])/$H$1164)*(Q$1164)</f>
        <v>0.31842859103124999</v>
      </c>
      <c r="W1007" s="55">
        <f>((1/Database_Productkaarten[[#This Row],[Soortelijk Gewicht '[ton / m3']]])/$H$1164)*(R$1164)</f>
        <v>3.7273966828583328E-9</v>
      </c>
      <c r="X1007" s="55">
        <f>((1/Database_Productkaarten[[#This Row],[Soortelijk Gewicht '[ton / m3']]])/$H$1164)*(S$1164)</f>
        <v>0.18203933032491099</v>
      </c>
      <c r="Y1007" s="55">
        <f>((1/Database_Productkaarten[[#This Row],[Soortelijk Gewicht '[ton / m3']]])/$H$1164)*(T$1164)</f>
        <v>1.4302775905211417E-3</v>
      </c>
      <c r="Z1007" s="55"/>
      <c r="AA1007" s="55"/>
      <c r="AB1007" s="55"/>
      <c r="AC1007" s="55"/>
      <c r="AD1007" s="55"/>
      <c r="AE1007" s="55"/>
      <c r="AF1007" s="55"/>
      <c r="AG1007" s="55"/>
      <c r="AH1007" s="55"/>
      <c r="AI1007" s="55"/>
      <c r="AJ1007" s="55"/>
      <c r="AK1007" s="55"/>
      <c r="AL1007" s="55"/>
      <c r="AM1007" s="55"/>
      <c r="AN1007" s="55"/>
      <c r="AO1007" s="55"/>
      <c r="AP1007" s="55"/>
      <c r="AQ1007" s="55"/>
      <c r="AR1007" s="55"/>
      <c r="AS1007" s="55"/>
      <c r="AT1007" s="55"/>
      <c r="AU1007" s="55">
        <f>((1/Database_Productkaarten[[#This Row],[Soortelijk Gewicht '[ton / m3']]])/$H$1164)*(AP$1164)</f>
        <v>3.1456856835489578E-8</v>
      </c>
      <c r="AV1007" s="55"/>
      <c r="AW1007" s="55"/>
      <c r="AX1007" s="55">
        <f>((1/Database_Productkaarten[[#This Row],[Soortelijk Gewicht '[ton / m3']]])/$H$1164)*(AS$1164)</f>
        <v>8.1549075006355082E-3</v>
      </c>
      <c r="AY1007" s="55"/>
      <c r="AZ1007" s="55"/>
      <c r="BA1007" s="55"/>
      <c r="BB1007" s="55">
        <f>((1/Database_Productkaarten[[#This Row],[Soortelijk Gewicht '[ton / m3']]])/$H$1164)*(AW$1164)</f>
        <v>5.9776108671881242E-6</v>
      </c>
      <c r="BC1007" s="55">
        <f>((1/Database_Productkaarten[[#This Row],[Soortelijk Gewicht '[ton / m3']]])/$H$1164)*(AX$1164)</f>
        <v>1.1530331124100664E-4</v>
      </c>
      <c r="BD1007" s="55">
        <f>((1/Database_Productkaarten[[#This Row],[Soortelijk Gewicht '[ton / m3']]])/$H$1164)*(AY$1164)</f>
        <v>3.2799006821667943E-10</v>
      </c>
      <c r="BE1007" s="55">
        <f>((1/Database_Productkaarten[[#This Row],[Soortelijk Gewicht '[ton / m3']]])/$H$1164)*(AZ$1164)</f>
        <v>0</v>
      </c>
      <c r="BF1007" s="55"/>
      <c r="BG1007" s="55"/>
      <c r="BH1007" s="55"/>
      <c r="BI1007" s="55"/>
      <c r="BJ1007" s="55"/>
      <c r="BK1007" s="78">
        <v>0</v>
      </c>
      <c r="BM1007" s="45"/>
    </row>
    <row r="1008" spans="1:65" x14ac:dyDescent="0.35">
      <c r="A1008" s="41" t="str">
        <f>Database_Productkaarten[[#This Row],[Product]]&amp;", "&amp;Database_Productkaarten[[#This Row],[Levensfase]]</f>
        <v>Straatzand, B1</v>
      </c>
      <c r="B1008" s="41" t="s">
        <v>1615</v>
      </c>
      <c r="C1008" s="41" t="s">
        <v>131</v>
      </c>
      <c r="D1008" s="41" t="s">
        <v>54</v>
      </c>
      <c r="E1008" s="41" t="s">
        <v>91</v>
      </c>
      <c r="F1008" s="41" t="s">
        <v>24</v>
      </c>
      <c r="L1008" s="41">
        <v>1.6</v>
      </c>
      <c r="M1008" s="54">
        <v>0</v>
      </c>
      <c r="N1008" s="41">
        <v>100</v>
      </c>
      <c r="O1008" s="55"/>
      <c r="P1008" s="55"/>
      <c r="Q1008" s="55"/>
      <c r="R1008" s="55"/>
      <c r="S1008" s="55"/>
      <c r="T1008" s="55"/>
      <c r="U1008" s="55"/>
      <c r="V1008" s="55"/>
      <c r="W1008" s="55"/>
      <c r="X1008" s="55"/>
      <c r="Y1008" s="55"/>
      <c r="Z1008" s="55"/>
      <c r="AA1008" s="55"/>
      <c r="AB1008" s="55"/>
      <c r="AC1008" s="55"/>
      <c r="AD1008" s="55"/>
      <c r="AE1008" s="55"/>
      <c r="AF1008" s="55"/>
      <c r="AG1008" s="55"/>
      <c r="AH1008" s="55"/>
      <c r="AI1008" s="55"/>
      <c r="AJ1008" s="55"/>
      <c r="AK1008" s="55"/>
      <c r="AL1008" s="55"/>
      <c r="AM1008" s="55"/>
      <c r="AN1008" s="55"/>
      <c r="AO1008" s="55"/>
      <c r="AP1008" s="55"/>
      <c r="AQ1008" s="55"/>
      <c r="AR1008" s="55"/>
      <c r="AS1008" s="55"/>
      <c r="AT1008" s="55"/>
      <c r="AU1008" s="55"/>
      <c r="AV1008" s="55"/>
      <c r="AW1008" s="55"/>
      <c r="AX1008" s="55"/>
      <c r="AY1008" s="55"/>
      <c r="AZ1008" s="55"/>
      <c r="BA1008" s="55"/>
      <c r="BB1008" s="55"/>
      <c r="BC1008" s="55"/>
      <c r="BD1008" s="55"/>
      <c r="BE1008" s="55"/>
      <c r="BF1008" s="55"/>
      <c r="BG1008" s="55"/>
      <c r="BH1008" s="55"/>
      <c r="BI1008" s="55"/>
      <c r="BJ1008" s="55"/>
      <c r="BK1008" s="78">
        <v>0</v>
      </c>
      <c r="BM1008" s="45"/>
    </row>
    <row r="1009" spans="1:65" x14ac:dyDescent="0.35">
      <c r="A1009" s="41" t="str">
        <f>Database_Productkaarten[[#This Row],[Product]]&amp;", "&amp;Database_Productkaarten[[#This Row],[Levensfase]]</f>
        <v>Straatzand, C1</v>
      </c>
      <c r="B1009" s="41" t="s">
        <v>1615</v>
      </c>
      <c r="C1009" s="41" t="s">
        <v>131</v>
      </c>
      <c r="D1009" s="41" t="s">
        <v>54</v>
      </c>
      <c r="E1009" s="41" t="s">
        <v>91</v>
      </c>
      <c r="F1009" s="41" t="s">
        <v>25</v>
      </c>
      <c r="L1009" s="41">
        <v>1.6</v>
      </c>
      <c r="M1009" s="54">
        <f>((1/Database_Productkaarten[[#This Row],[Soortelijk Gewicht '[ton / m3']]])/$H$1164)*(G$1164)</f>
        <v>4.3754784212420766E-2</v>
      </c>
      <c r="N1009" s="41">
        <v>100</v>
      </c>
      <c r="O1009" s="55">
        <f>((1/Database_Productkaarten[[#This Row],[Soortelijk Gewicht '[ton / m3']]])/$H$1164)*(J$1164)</f>
        <v>2.2103958333333332E-7</v>
      </c>
      <c r="P1009" s="55">
        <f>((1/Database_Productkaarten[[#This Row],[Soortelijk Gewicht '[ton / m3']]])/$H$1164)*(K$1164)</f>
        <v>3.2263142147916667E-3</v>
      </c>
      <c r="Q1009" s="55">
        <f>((1/Database_Productkaarten[[#This Row],[Soortelijk Gewicht '[ton / m3']]])/$H$1164)*(L$1164)</f>
        <v>0.47220369043749999</v>
      </c>
      <c r="R1009" s="55">
        <f>((1/Database_Productkaarten[[#This Row],[Soortelijk Gewicht '[ton / m3']]])/$H$1164)*(M$1164)</f>
        <v>8.2237708333333324E-8</v>
      </c>
      <c r="S1009" s="55">
        <f>((1/Database_Productkaarten[[#This Row],[Soortelijk Gewicht '[ton / m3']]])/$H$1164)*(N$1164)</f>
        <v>1.5546990708333334E-4</v>
      </c>
      <c r="T1009" s="55">
        <f>((1/Database_Productkaarten[[#This Row],[Soortelijk Gewicht '[ton / m3']]])/$H$1164)*(O$1164)</f>
        <v>4.4137157271653107E-4</v>
      </c>
      <c r="U1009" s="55">
        <f>((1/Database_Productkaarten[[#This Row],[Soortelijk Gewicht '[ton / m3']]])/$H$1164)*(P$1164)</f>
        <v>1.2062668749999999E-3</v>
      </c>
      <c r="V1009" s="55">
        <f>((1/Database_Productkaarten[[#This Row],[Soortelijk Gewicht '[ton / m3']]])/$H$1164)*(Q$1164)</f>
        <v>0.31842859103124999</v>
      </c>
      <c r="W1009" s="55">
        <f>((1/Database_Productkaarten[[#This Row],[Soortelijk Gewicht '[ton / m3']]])/$H$1164)*(R$1164)</f>
        <v>3.7273966828583328E-9</v>
      </c>
      <c r="X1009" s="55">
        <f>((1/Database_Productkaarten[[#This Row],[Soortelijk Gewicht '[ton / m3']]])/$H$1164)*(S$1164)</f>
        <v>0.18203933032491099</v>
      </c>
      <c r="Y1009" s="55">
        <f>((1/Database_Productkaarten[[#This Row],[Soortelijk Gewicht '[ton / m3']]])/$H$1164)*(T$1164)</f>
        <v>1.4302775905211417E-3</v>
      </c>
      <c r="Z1009" s="55"/>
      <c r="AA1009" s="55"/>
      <c r="AB1009" s="55"/>
      <c r="AC1009" s="55"/>
      <c r="AD1009" s="55"/>
      <c r="AE1009" s="55"/>
      <c r="AF1009" s="55"/>
      <c r="AG1009" s="55"/>
      <c r="AH1009" s="55"/>
      <c r="AI1009" s="55"/>
      <c r="AJ1009" s="55"/>
      <c r="AK1009" s="55"/>
      <c r="AL1009" s="55"/>
      <c r="AM1009" s="55"/>
      <c r="AN1009" s="55"/>
      <c r="AO1009" s="55"/>
      <c r="AP1009" s="55"/>
      <c r="AQ1009" s="55"/>
      <c r="AR1009" s="55"/>
      <c r="AS1009" s="55"/>
      <c r="AT1009" s="55"/>
      <c r="AU1009" s="55">
        <f>((1/Database_Productkaarten[[#This Row],[Soortelijk Gewicht '[ton / m3']]])/$H$1164)*(AP$1164)</f>
        <v>3.1456856835489578E-8</v>
      </c>
      <c r="AV1009" s="55"/>
      <c r="AW1009" s="55"/>
      <c r="AX1009" s="55">
        <f>((1/Database_Productkaarten[[#This Row],[Soortelijk Gewicht '[ton / m3']]])/$H$1164)*(AS$1164)</f>
        <v>8.1549075006355082E-3</v>
      </c>
      <c r="AY1009" s="55"/>
      <c r="AZ1009" s="55"/>
      <c r="BA1009" s="55"/>
      <c r="BB1009" s="55">
        <f>((1/Database_Productkaarten[[#This Row],[Soortelijk Gewicht '[ton / m3']]])/$H$1164)*(AW$1164)</f>
        <v>5.9776108671881242E-6</v>
      </c>
      <c r="BC1009" s="55">
        <f>((1/Database_Productkaarten[[#This Row],[Soortelijk Gewicht '[ton / m3']]])/$H$1164)*(AX$1164)</f>
        <v>1.1530331124100664E-4</v>
      </c>
      <c r="BD1009" s="55">
        <f>((1/Database_Productkaarten[[#This Row],[Soortelijk Gewicht '[ton / m3']]])/$H$1164)*(AY$1164)</f>
        <v>3.2799006821667943E-10</v>
      </c>
      <c r="BE1009" s="55">
        <f>((1/Database_Productkaarten[[#This Row],[Soortelijk Gewicht '[ton / m3']]])/$H$1164)*(AZ$1164)</f>
        <v>0</v>
      </c>
      <c r="BF1009" s="55"/>
      <c r="BG1009" s="55"/>
      <c r="BH1009" s="55"/>
      <c r="BI1009" s="55"/>
      <c r="BJ1009" s="55"/>
      <c r="BK1009" s="78">
        <v>0</v>
      </c>
      <c r="BM1009" s="45"/>
    </row>
    <row r="1010" spans="1:65" x14ac:dyDescent="0.35">
      <c r="A1010" s="41" t="str">
        <f>Database_Productkaarten[[#This Row],[Product]]&amp;", "&amp;Database_Productkaarten[[#This Row],[Levensfase]]</f>
        <v>Straatzand, C2</v>
      </c>
      <c r="B1010" s="41" t="s">
        <v>1615</v>
      </c>
      <c r="C1010" s="41" t="s">
        <v>131</v>
      </c>
      <c r="D1010" s="41" t="s">
        <v>54</v>
      </c>
      <c r="E1010" s="41" t="s">
        <v>91</v>
      </c>
      <c r="F1010" s="41" t="s">
        <v>26</v>
      </c>
      <c r="L1010" s="41">
        <v>1.6</v>
      </c>
      <c r="M1010" s="54">
        <f>G$1051*50</f>
        <v>0.47396919681357996</v>
      </c>
      <c r="N1010" s="41">
        <v>100</v>
      </c>
      <c r="O1010" s="55">
        <f t="shared" ref="O1010:Y1010" si="1136">J$1051*50</f>
        <v>8.1082254999999995E-6</v>
      </c>
      <c r="P1010" s="55">
        <f t="shared" si="1136"/>
        <v>3.1970782499999996E-2</v>
      </c>
      <c r="Q1010" s="55">
        <f t="shared" si="1136"/>
        <v>4.2243894499999994</v>
      </c>
      <c r="R1010" s="55">
        <f t="shared" si="1136"/>
        <v>8.3985024999999995E-7</v>
      </c>
      <c r="S1010" s="55">
        <f t="shared" si="1136"/>
        <v>2.6661339499999999E-3</v>
      </c>
      <c r="T1010" s="55">
        <f t="shared" si="1136"/>
        <v>1.5406751E-2</v>
      </c>
      <c r="U1010" s="55">
        <f t="shared" si="1136"/>
        <v>3.13787795E-3</v>
      </c>
      <c r="V1010" s="55">
        <f t="shared" si="1136"/>
        <v>1.4876886499999999</v>
      </c>
      <c r="W1010" s="55">
        <f t="shared" si="1136"/>
        <v>9.5939509999999992E-2</v>
      </c>
      <c r="X1010" s="55">
        <f t="shared" si="1136"/>
        <v>251.08560500000002</v>
      </c>
      <c r="Y1010" s="55">
        <f t="shared" si="1136"/>
        <v>8.8168090000000001E-3</v>
      </c>
      <c r="Z1010" s="55"/>
      <c r="AA1010" s="55"/>
      <c r="AB1010" s="55"/>
      <c r="AC1010" s="55"/>
      <c r="AD1010" s="55"/>
      <c r="AE1010" s="55"/>
      <c r="AF1010" s="55"/>
      <c r="AG1010" s="55"/>
      <c r="AH1010" s="55"/>
      <c r="AI1010" s="55"/>
      <c r="AJ1010" s="55"/>
      <c r="AK1010" s="55"/>
      <c r="AL1010" s="55"/>
      <c r="AM1010" s="55"/>
      <c r="AN1010" s="55"/>
      <c r="AO1010" s="55"/>
      <c r="AP1010" s="55"/>
      <c r="AQ1010" s="55"/>
      <c r="AR1010" s="55"/>
      <c r="AS1010" s="55"/>
      <c r="AT1010" s="55"/>
      <c r="AU1010" s="55">
        <f>AP$1051*50</f>
        <v>1.14222405</v>
      </c>
      <c r="AV1010" s="55"/>
      <c r="AW1010" s="55"/>
      <c r="AX1010" s="55">
        <f>AS$1051*50</f>
        <v>73.033640000000005</v>
      </c>
      <c r="AY1010" s="55"/>
      <c r="AZ1010" s="55"/>
      <c r="BA1010" s="55"/>
      <c r="BB1010" s="55">
        <f>AW$1051*50</f>
        <v>1.4826382499999999E-2</v>
      </c>
      <c r="BC1010" s="55">
        <f>AX$1051*50</f>
        <v>5.1738344999999999E-4</v>
      </c>
      <c r="BD1010" s="55">
        <f>AY$1051*50</f>
        <v>6.0308634999999997</v>
      </c>
      <c r="BE1010" s="55">
        <f>AZ$1051*50</f>
        <v>0</v>
      </c>
      <c r="BF1010" s="55"/>
      <c r="BG1010" s="55"/>
      <c r="BH1010" s="55"/>
      <c r="BI1010" s="55"/>
      <c r="BJ1010" s="55"/>
      <c r="BK1010" s="78">
        <v>0</v>
      </c>
      <c r="BM1010" s="45"/>
    </row>
    <row r="1011" spans="1:65" x14ac:dyDescent="0.35">
      <c r="A1011" s="41" t="str">
        <f>Database_Productkaarten[[#This Row],[Product]]&amp;", "&amp;Database_Productkaarten[[#This Row],[Levensfase]]</f>
        <v>Straatzand, C3</v>
      </c>
      <c r="B1011" s="41" t="s">
        <v>1615</v>
      </c>
      <c r="C1011" s="41" t="s">
        <v>131</v>
      </c>
      <c r="D1011" s="41" t="s">
        <v>54</v>
      </c>
      <c r="E1011" s="41" t="s">
        <v>91</v>
      </c>
      <c r="F1011" s="41" t="s">
        <v>27</v>
      </c>
      <c r="L1011" s="41">
        <v>1.6</v>
      </c>
      <c r="M1011" s="54"/>
      <c r="N1011" s="41">
        <v>100</v>
      </c>
      <c r="O1011" s="55"/>
      <c r="P1011" s="55"/>
      <c r="Q1011" s="55"/>
      <c r="R1011" s="55"/>
      <c r="S1011" s="55"/>
      <c r="T1011" s="55"/>
      <c r="U1011" s="55"/>
      <c r="V1011" s="55"/>
      <c r="W1011" s="55"/>
      <c r="X1011" s="55"/>
      <c r="Y1011" s="55"/>
      <c r="Z1011" s="55"/>
      <c r="AA1011" s="55"/>
      <c r="AB1011" s="55"/>
      <c r="AC1011" s="55"/>
      <c r="AD1011" s="55"/>
      <c r="AE1011" s="55"/>
      <c r="AF1011" s="55"/>
      <c r="AG1011" s="55"/>
      <c r="AH1011" s="55"/>
      <c r="AI1011" s="55"/>
      <c r="AJ1011" s="55"/>
      <c r="AK1011" s="55"/>
      <c r="AL1011" s="55"/>
      <c r="AM1011" s="55"/>
      <c r="AN1011" s="55"/>
      <c r="AO1011" s="55"/>
      <c r="AP1011" s="55"/>
      <c r="AQ1011" s="55"/>
      <c r="AR1011" s="55"/>
      <c r="AS1011" s="55"/>
      <c r="AT1011" s="55"/>
      <c r="AU1011" s="55"/>
      <c r="AV1011" s="55"/>
      <c r="AW1011" s="55"/>
      <c r="AX1011" s="55"/>
      <c r="AY1011" s="55"/>
      <c r="AZ1011" s="55"/>
      <c r="BA1011" s="55"/>
      <c r="BB1011" s="55"/>
      <c r="BC1011" s="55"/>
      <c r="BD1011" s="55"/>
      <c r="BE1011" s="55"/>
      <c r="BF1011" s="55"/>
      <c r="BG1011" s="55"/>
      <c r="BH1011" s="55"/>
      <c r="BI1011" s="55"/>
      <c r="BJ1011" s="55"/>
      <c r="BK1011" s="78">
        <v>0</v>
      </c>
      <c r="BM1011" s="45"/>
    </row>
    <row r="1012" spans="1:65" x14ac:dyDescent="0.35">
      <c r="A1012" s="41" t="str">
        <f>Database_Productkaarten[[#This Row],[Product]]&amp;", "&amp;Database_Productkaarten[[#This Row],[Levensfase]]</f>
        <v>Straatzand, C4</v>
      </c>
      <c r="B1012" s="41" t="s">
        <v>1615</v>
      </c>
      <c r="C1012" s="41" t="s">
        <v>131</v>
      </c>
      <c r="D1012" s="41" t="s">
        <v>54</v>
      </c>
      <c r="E1012" s="41" t="s">
        <v>91</v>
      </c>
      <c r="F1012" s="41" t="s">
        <v>28</v>
      </c>
      <c r="L1012" s="41">
        <v>1.6</v>
      </c>
      <c r="M1012" s="54">
        <f>0.0164/Database_Productkaarten[[#This Row],[Soortelijk Gewicht '[ton / m3']]]</f>
        <v>1.025E-2</v>
      </c>
      <c r="N1012" s="41">
        <v>100</v>
      </c>
      <c r="O1012" s="55"/>
      <c r="P1012" s="55"/>
      <c r="Q1012" s="45">
        <f>0.0898/Database_Productkaarten[[#This Row],[Soortelijk Gewicht '[ton / m3']]]</f>
        <v>5.6125000000000001E-2</v>
      </c>
      <c r="R1012" s="55"/>
      <c r="S1012" s="55"/>
      <c r="T1012" s="55"/>
      <c r="U1012" s="55"/>
      <c r="V1012" s="55"/>
      <c r="W1012" s="55"/>
      <c r="X1012" s="55"/>
      <c r="Y1012" s="55"/>
      <c r="Z1012" s="55"/>
      <c r="AA1012" s="55"/>
      <c r="AB1012" s="55"/>
      <c r="AC1012" s="55"/>
      <c r="AD1012" s="55"/>
      <c r="AE1012" s="55"/>
      <c r="AF1012" s="55"/>
      <c r="AG1012" s="55"/>
      <c r="AH1012" s="55"/>
      <c r="AI1012" s="55"/>
      <c r="AJ1012" s="55"/>
      <c r="AK1012" s="55"/>
      <c r="AL1012" s="55"/>
      <c r="AM1012" s="55"/>
      <c r="AN1012" s="55"/>
      <c r="AO1012" s="55"/>
      <c r="AP1012" s="55"/>
      <c r="AQ1012" s="55"/>
      <c r="AR1012" s="55"/>
      <c r="AS1012" s="55"/>
      <c r="AT1012" s="55"/>
      <c r="AU1012" s="55"/>
      <c r="AV1012" s="55"/>
      <c r="AW1012" s="55"/>
      <c r="AX1012" s="55"/>
      <c r="AY1012" s="55"/>
      <c r="AZ1012" s="55"/>
      <c r="BA1012" s="55"/>
      <c r="BB1012" s="55"/>
      <c r="BC1012" s="55"/>
      <c r="BD1012" s="55"/>
      <c r="BE1012" s="55"/>
      <c r="BF1012" s="55"/>
      <c r="BG1012" s="55"/>
      <c r="BH1012" s="55"/>
      <c r="BI1012" s="55"/>
      <c r="BJ1012" s="55"/>
      <c r="BK1012" s="78">
        <v>0</v>
      </c>
      <c r="BM1012" s="45"/>
    </row>
    <row r="1013" spans="1:65" x14ac:dyDescent="0.35">
      <c r="A1013" s="41" t="str">
        <f>Database_Productkaarten[[#This Row],[Product]]&amp;", "&amp;Database_Productkaarten[[#This Row],[Levensfase]]</f>
        <v>Straatzand, D1</v>
      </c>
      <c r="B1013" s="41" t="s">
        <v>1615</v>
      </c>
      <c r="C1013" s="41" t="s">
        <v>131</v>
      </c>
      <c r="D1013" s="41" t="s">
        <v>54</v>
      </c>
      <c r="E1013" s="41" t="s">
        <v>91</v>
      </c>
      <c r="F1013" s="41" t="s">
        <v>51</v>
      </c>
      <c r="L1013" s="41">
        <v>1.6</v>
      </c>
      <c r="M1013" s="54">
        <f>-1.1741/Database_Productkaarten[[#This Row],[Soortelijk Gewicht '[ton / m3']]]</f>
        <v>-0.73381249999999987</v>
      </c>
      <c r="N1013" s="41">
        <v>100</v>
      </c>
      <c r="O1013" s="55"/>
      <c r="P1013" s="55"/>
      <c r="Q1013" s="55">
        <f>-7.065/Database_Productkaarten[[#This Row],[Soortelijk Gewicht '[ton / m3']]]</f>
        <v>-4.4156250000000004</v>
      </c>
      <c r="R1013" s="55"/>
      <c r="S1013" s="55"/>
      <c r="T1013" s="55"/>
      <c r="U1013" s="55"/>
      <c r="V1013" s="55"/>
      <c r="W1013" s="55"/>
      <c r="X1013" s="55"/>
      <c r="Y1013" s="55"/>
      <c r="Z1013" s="55"/>
      <c r="AA1013" s="55"/>
      <c r="AB1013" s="55"/>
      <c r="AC1013" s="55"/>
      <c r="AD1013" s="55"/>
      <c r="AE1013" s="55"/>
      <c r="AF1013" s="55"/>
      <c r="AG1013" s="55"/>
      <c r="AH1013" s="55"/>
      <c r="AI1013" s="55"/>
      <c r="AJ1013" s="55"/>
      <c r="AK1013" s="55"/>
      <c r="AL1013" s="55"/>
      <c r="AM1013" s="55"/>
      <c r="AN1013" s="55"/>
      <c r="AO1013" s="55"/>
      <c r="AP1013" s="55"/>
      <c r="AQ1013" s="55"/>
      <c r="AR1013" s="55"/>
      <c r="AS1013" s="55"/>
      <c r="AT1013" s="55"/>
      <c r="AU1013" s="55"/>
      <c r="AV1013" s="55"/>
      <c r="AW1013" s="55"/>
      <c r="AX1013" s="55"/>
      <c r="AY1013" s="55"/>
      <c r="AZ1013" s="55"/>
      <c r="BA1013" s="55"/>
      <c r="BB1013" s="55"/>
      <c r="BC1013" s="55"/>
      <c r="BD1013" s="55"/>
      <c r="BE1013" s="55"/>
      <c r="BF1013" s="55"/>
      <c r="BG1013" s="55"/>
      <c r="BH1013" s="55"/>
      <c r="BI1013" s="55"/>
      <c r="BJ1013" s="55"/>
      <c r="BK1013" s="78">
        <v>0</v>
      </c>
      <c r="BM1013" s="45"/>
    </row>
    <row r="1014" spans="1:65" x14ac:dyDescent="0.35">
      <c r="A1014" s="41" t="str">
        <f>Database_Productkaarten[[#This Row],[Product]]&amp;", "&amp;Database_Productkaarten[[#This Row],[Levensfase]]</f>
        <v>Straatzand, D2</v>
      </c>
      <c r="B1014" s="41" t="s">
        <v>1615</v>
      </c>
      <c r="C1014" s="41" t="s">
        <v>131</v>
      </c>
      <c r="D1014" s="41" t="s">
        <v>54</v>
      </c>
      <c r="E1014" s="41" t="s">
        <v>91</v>
      </c>
      <c r="F1014" s="41" t="s">
        <v>52</v>
      </c>
      <c r="L1014" s="41">
        <v>1.6</v>
      </c>
      <c r="M1014" s="54">
        <v>0</v>
      </c>
      <c r="N1014" s="41">
        <v>100</v>
      </c>
      <c r="O1014" s="55"/>
      <c r="P1014" s="55"/>
      <c r="Q1014" s="55"/>
      <c r="R1014" s="55"/>
      <c r="S1014" s="55"/>
      <c r="T1014" s="55"/>
      <c r="U1014" s="55"/>
      <c r="V1014" s="55"/>
      <c r="W1014" s="55"/>
      <c r="X1014" s="55"/>
      <c r="Y1014" s="55"/>
      <c r="Z1014" s="55"/>
      <c r="AA1014" s="55"/>
      <c r="AB1014" s="55"/>
      <c r="AC1014" s="55"/>
      <c r="AD1014" s="55"/>
      <c r="AE1014" s="55"/>
      <c r="AF1014" s="55"/>
      <c r="AG1014" s="55"/>
      <c r="AH1014" s="55"/>
      <c r="AI1014" s="55"/>
      <c r="AJ1014" s="55"/>
      <c r="AK1014" s="55"/>
      <c r="AL1014" s="55"/>
      <c r="AM1014" s="55"/>
      <c r="AN1014" s="55"/>
      <c r="AO1014" s="55"/>
      <c r="AP1014" s="55"/>
      <c r="AQ1014" s="55"/>
      <c r="AR1014" s="55"/>
      <c r="AS1014" s="55"/>
      <c r="AT1014" s="55"/>
      <c r="AU1014" s="55"/>
      <c r="AV1014" s="55"/>
      <c r="AW1014" s="55"/>
      <c r="AX1014" s="55"/>
      <c r="AY1014" s="55"/>
      <c r="AZ1014" s="55"/>
      <c r="BA1014" s="55"/>
      <c r="BB1014" s="55"/>
      <c r="BC1014" s="55"/>
      <c r="BD1014" s="55"/>
      <c r="BE1014" s="55"/>
      <c r="BF1014" s="55"/>
      <c r="BG1014" s="55"/>
      <c r="BH1014" s="55"/>
      <c r="BI1014" s="55"/>
      <c r="BJ1014" s="55"/>
      <c r="BK1014" s="78">
        <v>0</v>
      </c>
      <c r="BM1014" s="45"/>
    </row>
    <row r="1015" spans="1:65" x14ac:dyDescent="0.35">
      <c r="A1015" s="41" t="str">
        <f>Database_Productkaarten[[#This Row],[Product]]&amp;", "&amp;Database_Productkaarten[[#This Row],[Levensfase]]</f>
        <v>Ophoogzand, Cascade-leden, Totaal</v>
      </c>
      <c r="B1015" s="41" t="s">
        <v>161</v>
      </c>
      <c r="C1015" s="41" t="s">
        <v>131</v>
      </c>
      <c r="D1015" s="41" t="s">
        <v>54</v>
      </c>
      <c r="E1015" s="41" t="s">
        <v>91</v>
      </c>
      <c r="F1015" s="41" t="s">
        <v>16</v>
      </c>
      <c r="L1015" s="41">
        <v>1.6</v>
      </c>
      <c r="M1015" s="54">
        <f>SUM(M1016:M1027)</f>
        <v>1.1806089620520015</v>
      </c>
      <c r="N1015" s="41">
        <v>100</v>
      </c>
      <c r="O1015" s="55">
        <f t="shared" ref="O1015" si="1137">SUM(O1016:O1027)</f>
        <v>1.6658530166666667E-5</v>
      </c>
      <c r="P1015" s="55">
        <f t="shared" ref="P1015" si="1138">SUM(P1016:P1027)</f>
        <v>7.0394193429583321E-2</v>
      </c>
      <c r="Q1015" s="55">
        <f t="shared" ref="Q1015" si="1139">SUM(Q1016:Q1027)</f>
        <v>10.638266280874998</v>
      </c>
      <c r="R1015" s="55">
        <f t="shared" ref="R1015" si="1140">SUM(R1016:R1027)</f>
        <v>1.8441759166666665E-6</v>
      </c>
      <c r="S1015" s="55">
        <f t="shared" ref="S1015" si="1141">SUM(S1016:S1027)</f>
        <v>5.6432077141666667E-3</v>
      </c>
      <c r="T1015" s="55">
        <f t="shared" ref="T1015" si="1142">SUM(T1016:T1027)</f>
        <v>3.1696245145433059E-2</v>
      </c>
      <c r="U1015" s="55">
        <f t="shared" ref="U1015" si="1143">SUM(U1016:U1027)</f>
        <v>8.6882896500000001E-3</v>
      </c>
      <c r="V1015" s="55">
        <f t="shared" ref="V1015" si="1144">SUM(V1016:V1027)</f>
        <v>3.6122344820625001</v>
      </c>
      <c r="W1015" s="55">
        <f t="shared" ref="W1015" si="1145">SUM(W1016:W1027)</f>
        <v>0.19187902745479335</v>
      </c>
      <c r="X1015" s="55">
        <f t="shared" ref="X1015" si="1146">SUM(X1016:X1027)</f>
        <v>502.53528866064983</v>
      </c>
      <c r="Y1015" s="55">
        <f t="shared" ref="Y1015" si="1147">SUM(Y1016:Y1027)</f>
        <v>2.0494173181042283E-2</v>
      </c>
      <c r="Z1015" s="55"/>
      <c r="AA1015" s="55"/>
      <c r="AB1015" s="55"/>
      <c r="AC1015" s="55"/>
      <c r="AD1015" s="55"/>
      <c r="AE1015" s="55"/>
      <c r="AF1015" s="55"/>
      <c r="AG1015" s="55"/>
      <c r="AH1015" s="55"/>
      <c r="AI1015" s="55"/>
      <c r="AJ1015" s="55"/>
      <c r="AK1015" s="55"/>
      <c r="AL1015" s="55"/>
      <c r="AM1015" s="55"/>
      <c r="AN1015" s="55"/>
      <c r="AO1015" s="55"/>
      <c r="AP1015" s="55"/>
      <c r="AQ1015" s="55"/>
      <c r="AR1015" s="55"/>
      <c r="AS1015" s="55"/>
      <c r="AT1015" s="55"/>
      <c r="AU1015" s="55">
        <f t="shared" ref="AU1015" si="1148">SUM(AU1016:AU1027)</f>
        <v>2.2844481629137139</v>
      </c>
      <c r="AV1015" s="55"/>
      <c r="AW1015" s="55"/>
      <c r="AX1015" s="55">
        <f t="shared" ref="AX1015" si="1149">SUM(AX1016:AX1027)</f>
        <v>146.08358981500129</v>
      </c>
      <c r="AY1015" s="55"/>
      <c r="AZ1015" s="55"/>
      <c r="BA1015" s="55"/>
      <c r="BB1015" s="55">
        <f t="shared" ref="BB1015" si="1150">SUM(BB1016:BB1027)</f>
        <v>2.9664720221734373E-2</v>
      </c>
      <c r="BC1015" s="55">
        <f t="shared" ref="BC1015" si="1151">SUM(BC1016:BC1027)</f>
        <v>1.2653735224820134E-3</v>
      </c>
      <c r="BD1015" s="55">
        <f t="shared" ref="BD1015" si="1152">SUM(BD1016:BD1027)</f>
        <v>12.06172700065598</v>
      </c>
      <c r="BE1015" s="55">
        <f t="shared" ref="BE1015" si="1153">SUM(BE1016:BE1027)</f>
        <v>0</v>
      </c>
      <c r="BF1015" s="55"/>
      <c r="BG1015" s="55"/>
      <c r="BH1015" s="55"/>
      <c r="BI1015" s="55"/>
      <c r="BJ1015" s="55"/>
      <c r="BK1015" s="78">
        <v>0</v>
      </c>
      <c r="BM1015" s="45"/>
    </row>
    <row r="1016" spans="1:65" x14ac:dyDescent="0.35">
      <c r="A1016" s="41" t="str">
        <f>Database_Productkaarten[[#This Row],[Product]]&amp;", "&amp;Database_Productkaarten[[#This Row],[Levensfase]]</f>
        <v>Ophoogzand, Cascade-leden, A1</v>
      </c>
      <c r="B1016" s="41" t="s">
        <v>161</v>
      </c>
      <c r="C1016" s="41" t="s">
        <v>131</v>
      </c>
      <c r="D1016" s="41" t="s">
        <v>54</v>
      </c>
      <c r="E1016" s="41" t="s">
        <v>91</v>
      </c>
      <c r="F1016" s="41" t="s">
        <v>19</v>
      </c>
      <c r="L1016" s="41">
        <v>1.6</v>
      </c>
      <c r="M1016" s="54">
        <v>8.3199999999999996E-2</v>
      </c>
      <c r="N1016" s="41">
        <v>100</v>
      </c>
      <c r="O1016" s="55"/>
      <c r="P1016" s="55"/>
      <c r="Q1016" s="55">
        <v>0.73</v>
      </c>
      <c r="R1016" s="55"/>
      <c r="S1016" s="55"/>
      <c r="T1016" s="55"/>
      <c r="U1016" s="55"/>
      <c r="V1016" s="55"/>
      <c r="W1016" s="55"/>
      <c r="X1016" s="55"/>
      <c r="Y1016" s="55"/>
      <c r="Z1016" s="55"/>
      <c r="AA1016" s="55"/>
      <c r="AB1016" s="55"/>
      <c r="AC1016" s="55"/>
      <c r="AD1016" s="55"/>
      <c r="AE1016" s="55"/>
      <c r="AF1016" s="55"/>
      <c r="AG1016" s="55"/>
      <c r="AH1016" s="55"/>
      <c r="AI1016" s="55"/>
      <c r="AJ1016" s="55"/>
      <c r="AK1016" s="55"/>
      <c r="AL1016" s="55"/>
      <c r="AM1016" s="55"/>
      <c r="AN1016" s="55"/>
      <c r="AO1016" s="55"/>
      <c r="AP1016" s="55"/>
      <c r="AQ1016" s="55"/>
      <c r="AR1016" s="55"/>
      <c r="AS1016" s="55"/>
      <c r="AT1016" s="55"/>
      <c r="AU1016" s="55"/>
      <c r="AV1016" s="55"/>
      <c r="AW1016" s="55"/>
      <c r="AX1016" s="55"/>
      <c r="AY1016" s="55"/>
      <c r="AZ1016" s="55"/>
      <c r="BA1016" s="55"/>
      <c r="BB1016" s="55"/>
      <c r="BC1016" s="55"/>
      <c r="BD1016" s="55"/>
      <c r="BE1016" s="55"/>
      <c r="BF1016" s="55"/>
      <c r="BG1016" s="55"/>
      <c r="BH1016" s="55"/>
      <c r="BI1016" s="55"/>
      <c r="BJ1016" s="55"/>
      <c r="BK1016" s="78">
        <v>0</v>
      </c>
      <c r="BM1016" s="45"/>
    </row>
    <row r="1017" spans="1:65" x14ac:dyDescent="0.35">
      <c r="A1017" s="41" t="str">
        <f>Database_Productkaarten[[#This Row],[Product]]&amp;", "&amp;Database_Productkaarten[[#This Row],[Levensfase]]</f>
        <v>Ophoogzand, Cascade-leden, A2</v>
      </c>
      <c r="B1017" s="41" t="s">
        <v>161</v>
      </c>
      <c r="C1017" s="41" t="s">
        <v>131</v>
      </c>
      <c r="D1017" s="41" t="s">
        <v>54</v>
      </c>
      <c r="E1017" s="41" t="s">
        <v>91</v>
      </c>
      <c r="F1017" s="41" t="s">
        <v>20</v>
      </c>
      <c r="L1017" s="41">
        <v>1.6</v>
      </c>
      <c r="M1017" s="54">
        <v>3.6099999999999999E-4</v>
      </c>
      <c r="N1017" s="41">
        <v>100</v>
      </c>
      <c r="O1017" s="55"/>
      <c r="P1017" s="55"/>
      <c r="Q1017" s="55">
        <v>3.0799999999999998E-3</v>
      </c>
      <c r="R1017" s="55"/>
      <c r="S1017" s="55"/>
      <c r="T1017" s="55"/>
      <c r="U1017" s="55"/>
      <c r="V1017" s="55"/>
      <c r="W1017" s="55"/>
      <c r="X1017" s="55"/>
      <c r="Y1017" s="55"/>
      <c r="Z1017" s="55"/>
      <c r="AA1017" s="55"/>
      <c r="AB1017" s="55"/>
      <c r="AC1017" s="55"/>
      <c r="AD1017" s="55"/>
      <c r="AE1017" s="55"/>
      <c r="AF1017" s="55"/>
      <c r="AG1017" s="55"/>
      <c r="AH1017" s="55"/>
      <c r="AI1017" s="55"/>
      <c r="AJ1017" s="55"/>
      <c r="AK1017" s="55"/>
      <c r="AL1017" s="55"/>
      <c r="AM1017" s="55"/>
      <c r="AN1017" s="55"/>
      <c r="AO1017" s="55"/>
      <c r="AP1017" s="55"/>
      <c r="AQ1017" s="55"/>
      <c r="AR1017" s="55"/>
      <c r="AS1017" s="55"/>
      <c r="AT1017" s="55"/>
      <c r="AU1017" s="55"/>
      <c r="AV1017" s="55"/>
      <c r="AW1017" s="55"/>
      <c r="AX1017" s="55"/>
      <c r="AY1017" s="55"/>
      <c r="AZ1017" s="55"/>
      <c r="BA1017" s="55"/>
      <c r="BB1017" s="55"/>
      <c r="BC1017" s="55"/>
      <c r="BD1017" s="55"/>
      <c r="BE1017" s="55"/>
      <c r="BF1017" s="55"/>
      <c r="BG1017" s="55"/>
      <c r="BH1017" s="55"/>
      <c r="BI1017" s="55"/>
      <c r="BJ1017" s="55"/>
      <c r="BK1017" s="78">
        <v>0</v>
      </c>
      <c r="BM1017" s="45"/>
    </row>
    <row r="1018" spans="1:65" x14ac:dyDescent="0.35">
      <c r="A1018" s="41" t="str">
        <f>Database_Productkaarten[[#This Row],[Product]]&amp;", "&amp;Database_Productkaarten[[#This Row],[Levensfase]]</f>
        <v>Ophoogzand, Cascade-leden, A3</v>
      </c>
      <c r="B1018" s="41" t="s">
        <v>161</v>
      </c>
      <c r="C1018" s="41" t="s">
        <v>131</v>
      </c>
      <c r="D1018" s="41" t="s">
        <v>54</v>
      </c>
      <c r="E1018" s="41" t="s">
        <v>91</v>
      </c>
      <c r="F1018" s="41" t="s">
        <v>21</v>
      </c>
      <c r="L1018" s="41">
        <v>1.6</v>
      </c>
      <c r="M1018" s="54">
        <v>6.1600000000000002E-2</v>
      </c>
      <c r="N1018" s="41">
        <v>100</v>
      </c>
      <c r="O1018" s="55"/>
      <c r="P1018" s="55"/>
      <c r="Q1018" s="55">
        <v>0.51200000000000001</v>
      </c>
      <c r="R1018" s="55"/>
      <c r="S1018" s="55"/>
      <c r="T1018" s="55"/>
      <c r="U1018" s="55"/>
      <c r="V1018" s="55"/>
      <c r="W1018" s="55"/>
      <c r="X1018" s="55"/>
      <c r="Y1018" s="55"/>
      <c r="Z1018" s="55"/>
      <c r="AA1018" s="55"/>
      <c r="AB1018" s="55"/>
      <c r="AC1018" s="55"/>
      <c r="AD1018" s="55"/>
      <c r="AE1018" s="55"/>
      <c r="AF1018" s="55"/>
      <c r="AG1018" s="55"/>
      <c r="AH1018" s="55"/>
      <c r="AI1018" s="55"/>
      <c r="AJ1018" s="55"/>
      <c r="AK1018" s="55"/>
      <c r="AL1018" s="55"/>
      <c r="AM1018" s="55"/>
      <c r="AN1018" s="55"/>
      <c r="AO1018" s="55"/>
      <c r="AP1018" s="55"/>
      <c r="AQ1018" s="55"/>
      <c r="AR1018" s="55"/>
      <c r="AS1018" s="55"/>
      <c r="AT1018" s="55"/>
      <c r="AU1018" s="55"/>
      <c r="AV1018" s="55"/>
      <c r="AW1018" s="55"/>
      <c r="AX1018" s="55"/>
      <c r="AY1018" s="55"/>
      <c r="AZ1018" s="55"/>
      <c r="BA1018" s="55"/>
      <c r="BB1018" s="55"/>
      <c r="BC1018" s="55"/>
      <c r="BD1018" s="55"/>
      <c r="BE1018" s="55"/>
      <c r="BF1018" s="55"/>
      <c r="BG1018" s="55"/>
      <c r="BH1018" s="55"/>
      <c r="BI1018" s="55"/>
      <c r="BJ1018" s="55"/>
      <c r="BK1018" s="78">
        <v>0</v>
      </c>
      <c r="BM1018" s="45"/>
    </row>
    <row r="1019" spans="1:65" x14ac:dyDescent="0.35">
      <c r="A1019" s="41" t="str">
        <f>Database_Productkaarten[[#This Row],[Product]]&amp;", "&amp;Database_Productkaarten[[#This Row],[Levensfase]]</f>
        <v>Ophoogzand, Cascade-leden, A4</v>
      </c>
      <c r="B1019" s="41" t="s">
        <v>161</v>
      </c>
      <c r="C1019" s="41" t="s">
        <v>131</v>
      </c>
      <c r="D1019" s="41" t="s">
        <v>54</v>
      </c>
      <c r="E1019" s="41" t="s">
        <v>91</v>
      </c>
      <c r="F1019" s="41" t="s">
        <v>22</v>
      </c>
      <c r="L1019" s="41">
        <v>1.6</v>
      </c>
      <c r="M1019" s="54">
        <f>G$1051*50</f>
        <v>0.47396919681357996</v>
      </c>
      <c r="N1019" s="41">
        <v>100</v>
      </c>
      <c r="O1019" s="55">
        <f t="shared" ref="O1019:Y1019" si="1154">J$1051*50</f>
        <v>8.1082254999999995E-6</v>
      </c>
      <c r="P1019" s="55">
        <f t="shared" si="1154"/>
        <v>3.1970782499999996E-2</v>
      </c>
      <c r="Q1019" s="55">
        <f t="shared" si="1154"/>
        <v>4.2243894499999994</v>
      </c>
      <c r="R1019" s="55">
        <f t="shared" si="1154"/>
        <v>8.3985024999999995E-7</v>
      </c>
      <c r="S1019" s="55">
        <f t="shared" si="1154"/>
        <v>2.6661339499999999E-3</v>
      </c>
      <c r="T1019" s="55">
        <f t="shared" si="1154"/>
        <v>1.5406751E-2</v>
      </c>
      <c r="U1019" s="55">
        <f t="shared" si="1154"/>
        <v>3.13787795E-3</v>
      </c>
      <c r="V1019" s="55">
        <f t="shared" si="1154"/>
        <v>1.4876886499999999</v>
      </c>
      <c r="W1019" s="55">
        <f t="shared" si="1154"/>
        <v>9.5939509999999992E-2</v>
      </c>
      <c r="X1019" s="55">
        <f t="shared" si="1154"/>
        <v>251.08560500000002</v>
      </c>
      <c r="Y1019" s="55">
        <f t="shared" si="1154"/>
        <v>8.8168090000000001E-3</v>
      </c>
      <c r="Z1019" s="55"/>
      <c r="AA1019" s="55"/>
      <c r="AB1019" s="55"/>
      <c r="AC1019" s="55"/>
      <c r="AD1019" s="55"/>
      <c r="AE1019" s="55"/>
      <c r="AF1019" s="55"/>
      <c r="AG1019" s="55"/>
      <c r="AH1019" s="55"/>
      <c r="AI1019" s="55"/>
      <c r="AJ1019" s="55"/>
      <c r="AK1019" s="55"/>
      <c r="AL1019" s="55"/>
      <c r="AM1019" s="55"/>
      <c r="AN1019" s="55"/>
      <c r="AO1019" s="55"/>
      <c r="AP1019" s="55"/>
      <c r="AQ1019" s="55"/>
      <c r="AR1019" s="55"/>
      <c r="AS1019" s="55"/>
      <c r="AT1019" s="55"/>
      <c r="AU1019" s="55">
        <f>AP$1051*50</f>
        <v>1.14222405</v>
      </c>
      <c r="AV1019" s="55"/>
      <c r="AW1019" s="55"/>
      <c r="AX1019" s="55">
        <f>AS$1051*50</f>
        <v>73.033640000000005</v>
      </c>
      <c r="AY1019" s="55"/>
      <c r="AZ1019" s="55"/>
      <c r="BA1019" s="55"/>
      <c r="BB1019" s="55">
        <f>AW$1051*50</f>
        <v>1.4826382499999999E-2</v>
      </c>
      <c r="BC1019" s="55">
        <f>AX$1051*50</f>
        <v>5.1738344999999999E-4</v>
      </c>
      <c r="BD1019" s="55">
        <f>AY$1051*50</f>
        <v>6.0308634999999997</v>
      </c>
      <c r="BE1019" s="55">
        <f>AZ$1051*50</f>
        <v>0</v>
      </c>
      <c r="BF1019" s="55"/>
      <c r="BG1019" s="55"/>
      <c r="BH1019" s="55"/>
      <c r="BI1019" s="55"/>
      <c r="BJ1019" s="55"/>
      <c r="BK1019" s="78">
        <v>0</v>
      </c>
      <c r="BM1019" s="45"/>
    </row>
    <row r="1020" spans="1:65" x14ac:dyDescent="0.35">
      <c r="A1020" s="41" t="str">
        <f>Database_Productkaarten[[#This Row],[Product]]&amp;", "&amp;Database_Productkaarten[[#This Row],[Levensfase]]</f>
        <v>Ophoogzand, Cascade-leden, A5</v>
      </c>
      <c r="B1020" s="41" t="s">
        <v>161</v>
      </c>
      <c r="C1020" s="41" t="s">
        <v>131</v>
      </c>
      <c r="D1020" s="41" t="s">
        <v>54</v>
      </c>
      <c r="E1020" s="41" t="s">
        <v>91</v>
      </c>
      <c r="F1020" s="41" t="s">
        <v>23</v>
      </c>
      <c r="L1020" s="41">
        <v>1.6</v>
      </c>
      <c r="M1020" s="54">
        <f>((1/Database_Productkaarten[[#This Row],[Soortelijk Gewicht '[ton / m3']]])/$H$1164)*(G$1164)</f>
        <v>4.3754784212420766E-2</v>
      </c>
      <c r="N1020" s="41">
        <v>100</v>
      </c>
      <c r="O1020" s="55">
        <f>((1/Database_Productkaarten[[#This Row],[Soortelijk Gewicht '[ton / m3']]])/$H$1164)*(J$1164)</f>
        <v>2.2103958333333332E-7</v>
      </c>
      <c r="P1020" s="55">
        <f>((1/Database_Productkaarten[[#This Row],[Soortelijk Gewicht '[ton / m3']]])/$H$1164)*(K$1164)</f>
        <v>3.2263142147916667E-3</v>
      </c>
      <c r="Q1020" s="55">
        <f>((1/Database_Productkaarten[[#This Row],[Soortelijk Gewicht '[ton / m3']]])/$H$1164)*(L$1164)</f>
        <v>0.47220369043749999</v>
      </c>
      <c r="R1020" s="55">
        <f>((1/Database_Productkaarten[[#This Row],[Soortelijk Gewicht '[ton / m3']]])/$H$1164)*(M$1164)</f>
        <v>8.2237708333333324E-8</v>
      </c>
      <c r="S1020" s="55">
        <f>((1/Database_Productkaarten[[#This Row],[Soortelijk Gewicht '[ton / m3']]])/$H$1164)*(N$1164)</f>
        <v>1.5546990708333334E-4</v>
      </c>
      <c r="T1020" s="55">
        <f>((1/Database_Productkaarten[[#This Row],[Soortelijk Gewicht '[ton / m3']]])/$H$1164)*(O$1164)</f>
        <v>4.4137157271653107E-4</v>
      </c>
      <c r="U1020" s="55">
        <f>((1/Database_Productkaarten[[#This Row],[Soortelijk Gewicht '[ton / m3']]])/$H$1164)*(P$1164)</f>
        <v>1.2062668749999999E-3</v>
      </c>
      <c r="V1020" s="55">
        <f>((1/Database_Productkaarten[[#This Row],[Soortelijk Gewicht '[ton / m3']]])/$H$1164)*(Q$1164)</f>
        <v>0.31842859103124999</v>
      </c>
      <c r="W1020" s="55">
        <f>((1/Database_Productkaarten[[#This Row],[Soortelijk Gewicht '[ton / m3']]])/$H$1164)*(R$1164)</f>
        <v>3.7273966828583328E-9</v>
      </c>
      <c r="X1020" s="55">
        <f>((1/Database_Productkaarten[[#This Row],[Soortelijk Gewicht '[ton / m3']]])/$H$1164)*(S$1164)</f>
        <v>0.18203933032491099</v>
      </c>
      <c r="Y1020" s="55">
        <f>((1/Database_Productkaarten[[#This Row],[Soortelijk Gewicht '[ton / m3']]])/$H$1164)*(T$1164)</f>
        <v>1.4302775905211417E-3</v>
      </c>
      <c r="Z1020" s="55"/>
      <c r="AA1020" s="55"/>
      <c r="AB1020" s="55"/>
      <c r="AC1020" s="55"/>
      <c r="AD1020" s="55"/>
      <c r="AE1020" s="55"/>
      <c r="AF1020" s="55"/>
      <c r="AG1020" s="55"/>
      <c r="AH1020" s="55"/>
      <c r="AI1020" s="55"/>
      <c r="AJ1020" s="55"/>
      <c r="AK1020" s="55"/>
      <c r="AL1020" s="55"/>
      <c r="AM1020" s="55"/>
      <c r="AN1020" s="55"/>
      <c r="AO1020" s="55"/>
      <c r="AP1020" s="55"/>
      <c r="AQ1020" s="55"/>
      <c r="AR1020" s="55"/>
      <c r="AS1020" s="55"/>
      <c r="AT1020" s="55"/>
      <c r="AU1020" s="55">
        <f>((1/Database_Productkaarten[[#This Row],[Soortelijk Gewicht '[ton / m3']]])/$H$1164)*(AP$1164)</f>
        <v>3.1456856835489578E-8</v>
      </c>
      <c r="AV1020" s="55"/>
      <c r="AW1020" s="55"/>
      <c r="AX1020" s="55">
        <f>((1/Database_Productkaarten[[#This Row],[Soortelijk Gewicht '[ton / m3']]])/$H$1164)*(AS$1164)</f>
        <v>8.1549075006355082E-3</v>
      </c>
      <c r="AY1020" s="55"/>
      <c r="AZ1020" s="55"/>
      <c r="BA1020" s="55"/>
      <c r="BB1020" s="55">
        <f>((1/Database_Productkaarten[[#This Row],[Soortelijk Gewicht '[ton / m3']]])/$H$1164)*(AW$1164)</f>
        <v>5.9776108671881242E-6</v>
      </c>
      <c r="BC1020" s="55">
        <f>((1/Database_Productkaarten[[#This Row],[Soortelijk Gewicht '[ton / m3']]])/$H$1164)*(AX$1164)</f>
        <v>1.1530331124100664E-4</v>
      </c>
      <c r="BD1020" s="55">
        <f>((1/Database_Productkaarten[[#This Row],[Soortelijk Gewicht '[ton / m3']]])/$H$1164)*(AY$1164)</f>
        <v>3.2799006821667943E-10</v>
      </c>
      <c r="BE1020" s="55">
        <f>((1/Database_Productkaarten[[#This Row],[Soortelijk Gewicht '[ton / m3']]])/$H$1164)*(AZ$1164)</f>
        <v>0</v>
      </c>
      <c r="BF1020" s="55"/>
      <c r="BG1020" s="55"/>
      <c r="BH1020" s="55"/>
      <c r="BI1020" s="55"/>
      <c r="BJ1020" s="55"/>
      <c r="BK1020" s="78">
        <v>0</v>
      </c>
      <c r="BM1020" s="45"/>
    </row>
    <row r="1021" spans="1:65" x14ac:dyDescent="0.35">
      <c r="A1021" s="41" t="str">
        <f>Database_Productkaarten[[#This Row],[Product]]&amp;", "&amp;Database_Productkaarten[[#This Row],[Levensfase]]</f>
        <v>Ophoogzand, Cascade-leden, B1</v>
      </c>
      <c r="B1021" s="41" t="s">
        <v>161</v>
      </c>
      <c r="C1021" s="41" t="s">
        <v>131</v>
      </c>
      <c r="D1021" s="41" t="s">
        <v>54</v>
      </c>
      <c r="E1021" s="41" t="s">
        <v>91</v>
      </c>
      <c r="F1021" s="41" t="s">
        <v>24</v>
      </c>
      <c r="L1021" s="41">
        <v>1.6</v>
      </c>
      <c r="M1021" s="54">
        <v>0</v>
      </c>
      <c r="N1021" s="41">
        <v>100</v>
      </c>
      <c r="O1021" s="55"/>
      <c r="P1021" s="55"/>
      <c r="Q1021" s="55"/>
      <c r="R1021" s="55"/>
      <c r="S1021" s="55"/>
      <c r="T1021" s="55"/>
      <c r="U1021" s="55"/>
      <c r="V1021" s="55"/>
      <c r="W1021" s="55"/>
      <c r="X1021" s="55"/>
      <c r="Y1021" s="55"/>
      <c r="Z1021" s="55"/>
      <c r="AA1021" s="55"/>
      <c r="AB1021" s="55"/>
      <c r="AC1021" s="55"/>
      <c r="AD1021" s="55"/>
      <c r="AE1021" s="55"/>
      <c r="AF1021" s="55"/>
      <c r="AG1021" s="55"/>
      <c r="AH1021" s="55"/>
      <c r="AI1021" s="55"/>
      <c r="AJ1021" s="55"/>
      <c r="AK1021" s="55"/>
      <c r="AL1021" s="55"/>
      <c r="AM1021" s="55"/>
      <c r="AN1021" s="55"/>
      <c r="AO1021" s="55"/>
      <c r="AP1021" s="55"/>
      <c r="AQ1021" s="55"/>
      <c r="AR1021" s="55"/>
      <c r="AS1021" s="55"/>
      <c r="AT1021" s="55"/>
      <c r="AU1021" s="55"/>
      <c r="AV1021" s="55"/>
      <c r="AW1021" s="55"/>
      <c r="AX1021" s="55"/>
      <c r="AY1021" s="55"/>
      <c r="AZ1021" s="55"/>
      <c r="BA1021" s="55"/>
      <c r="BB1021" s="55"/>
      <c r="BC1021" s="55"/>
      <c r="BD1021" s="55"/>
      <c r="BE1021" s="55"/>
      <c r="BF1021" s="55"/>
      <c r="BG1021" s="55"/>
      <c r="BH1021" s="55"/>
      <c r="BI1021" s="55"/>
      <c r="BJ1021" s="55"/>
      <c r="BK1021" s="78">
        <v>0</v>
      </c>
      <c r="BM1021" s="45"/>
    </row>
    <row r="1022" spans="1:65" x14ac:dyDescent="0.35">
      <c r="A1022" s="41" t="str">
        <f>Database_Productkaarten[[#This Row],[Product]]&amp;", "&amp;Database_Productkaarten[[#This Row],[Levensfase]]</f>
        <v>Ophoogzand, Cascade-leden, C1</v>
      </c>
      <c r="B1022" s="41" t="s">
        <v>161</v>
      </c>
      <c r="C1022" s="41" t="s">
        <v>131</v>
      </c>
      <c r="D1022" s="41" t="s">
        <v>54</v>
      </c>
      <c r="E1022" s="41" t="s">
        <v>91</v>
      </c>
      <c r="F1022" s="41" t="s">
        <v>25</v>
      </c>
      <c r="L1022" s="41">
        <v>1.6</v>
      </c>
      <c r="M1022" s="54">
        <f>((1/Database_Productkaarten[[#This Row],[Soortelijk Gewicht '[ton / m3']]])/$H$1164)*(G$1164)</f>
        <v>4.3754784212420766E-2</v>
      </c>
      <c r="N1022" s="41">
        <v>100</v>
      </c>
      <c r="O1022" s="55">
        <f>((1/Database_Productkaarten[[#This Row],[Soortelijk Gewicht '[ton / m3']]])/$H$1164)*(J$1164)</f>
        <v>2.2103958333333332E-7</v>
      </c>
      <c r="P1022" s="55">
        <f>((1/Database_Productkaarten[[#This Row],[Soortelijk Gewicht '[ton / m3']]])/$H$1164)*(K$1164)</f>
        <v>3.2263142147916667E-3</v>
      </c>
      <c r="Q1022" s="55">
        <f>((1/Database_Productkaarten[[#This Row],[Soortelijk Gewicht '[ton / m3']]])/$H$1164)*(L$1164)</f>
        <v>0.47220369043749999</v>
      </c>
      <c r="R1022" s="55">
        <f>((1/Database_Productkaarten[[#This Row],[Soortelijk Gewicht '[ton / m3']]])/$H$1164)*(M$1164)</f>
        <v>8.2237708333333324E-8</v>
      </c>
      <c r="S1022" s="55">
        <f>((1/Database_Productkaarten[[#This Row],[Soortelijk Gewicht '[ton / m3']]])/$H$1164)*(N$1164)</f>
        <v>1.5546990708333334E-4</v>
      </c>
      <c r="T1022" s="55">
        <f>((1/Database_Productkaarten[[#This Row],[Soortelijk Gewicht '[ton / m3']]])/$H$1164)*(O$1164)</f>
        <v>4.4137157271653107E-4</v>
      </c>
      <c r="U1022" s="55">
        <f>((1/Database_Productkaarten[[#This Row],[Soortelijk Gewicht '[ton / m3']]])/$H$1164)*(P$1164)</f>
        <v>1.2062668749999999E-3</v>
      </c>
      <c r="V1022" s="55">
        <f>((1/Database_Productkaarten[[#This Row],[Soortelijk Gewicht '[ton / m3']]])/$H$1164)*(Q$1164)</f>
        <v>0.31842859103124999</v>
      </c>
      <c r="W1022" s="55">
        <f>((1/Database_Productkaarten[[#This Row],[Soortelijk Gewicht '[ton / m3']]])/$H$1164)*(R$1164)</f>
        <v>3.7273966828583328E-9</v>
      </c>
      <c r="X1022" s="55">
        <f>((1/Database_Productkaarten[[#This Row],[Soortelijk Gewicht '[ton / m3']]])/$H$1164)*(S$1164)</f>
        <v>0.18203933032491099</v>
      </c>
      <c r="Y1022" s="55">
        <f>((1/Database_Productkaarten[[#This Row],[Soortelijk Gewicht '[ton / m3']]])/$H$1164)*(T$1164)</f>
        <v>1.4302775905211417E-3</v>
      </c>
      <c r="Z1022" s="55"/>
      <c r="AA1022" s="55"/>
      <c r="AB1022" s="55"/>
      <c r="AC1022" s="55"/>
      <c r="AD1022" s="55"/>
      <c r="AE1022" s="55"/>
      <c r="AF1022" s="55"/>
      <c r="AG1022" s="55"/>
      <c r="AH1022" s="55"/>
      <c r="AI1022" s="55"/>
      <c r="AJ1022" s="55"/>
      <c r="AK1022" s="55"/>
      <c r="AL1022" s="55"/>
      <c r="AM1022" s="55"/>
      <c r="AN1022" s="55"/>
      <c r="AO1022" s="55"/>
      <c r="AP1022" s="55"/>
      <c r="AQ1022" s="55"/>
      <c r="AR1022" s="55"/>
      <c r="AS1022" s="55"/>
      <c r="AT1022" s="55"/>
      <c r="AU1022" s="55">
        <f>((1/Database_Productkaarten[[#This Row],[Soortelijk Gewicht '[ton / m3']]])/$H$1164)*(AP$1164)</f>
        <v>3.1456856835489578E-8</v>
      </c>
      <c r="AV1022" s="55"/>
      <c r="AW1022" s="55"/>
      <c r="AX1022" s="55">
        <f>((1/Database_Productkaarten[[#This Row],[Soortelijk Gewicht '[ton / m3']]])/$H$1164)*(AS$1164)</f>
        <v>8.1549075006355082E-3</v>
      </c>
      <c r="AY1022" s="55"/>
      <c r="AZ1022" s="55"/>
      <c r="BA1022" s="55"/>
      <c r="BB1022" s="55">
        <f>((1/Database_Productkaarten[[#This Row],[Soortelijk Gewicht '[ton / m3']]])/$H$1164)*(AW$1164)</f>
        <v>5.9776108671881242E-6</v>
      </c>
      <c r="BC1022" s="55">
        <f>((1/Database_Productkaarten[[#This Row],[Soortelijk Gewicht '[ton / m3']]])/$H$1164)*(AX$1164)</f>
        <v>1.1530331124100664E-4</v>
      </c>
      <c r="BD1022" s="55">
        <f>((1/Database_Productkaarten[[#This Row],[Soortelijk Gewicht '[ton / m3']]])/$H$1164)*(AY$1164)</f>
        <v>3.2799006821667943E-10</v>
      </c>
      <c r="BE1022" s="55">
        <f>((1/Database_Productkaarten[[#This Row],[Soortelijk Gewicht '[ton / m3']]])/$H$1164)*(AZ$1164)</f>
        <v>0</v>
      </c>
      <c r="BF1022" s="55"/>
      <c r="BG1022" s="55"/>
      <c r="BH1022" s="55"/>
      <c r="BI1022" s="55"/>
      <c r="BJ1022" s="55"/>
      <c r="BK1022" s="78">
        <v>0</v>
      </c>
      <c r="BM1022" s="45"/>
    </row>
    <row r="1023" spans="1:65" x14ac:dyDescent="0.35">
      <c r="A1023" s="41" t="str">
        <f>Database_Productkaarten[[#This Row],[Product]]&amp;", "&amp;Database_Productkaarten[[#This Row],[Levensfase]]</f>
        <v>Ophoogzand, Cascade-leden, C2</v>
      </c>
      <c r="B1023" s="41" t="s">
        <v>161</v>
      </c>
      <c r="C1023" s="41" t="s">
        <v>131</v>
      </c>
      <c r="D1023" s="41" t="s">
        <v>54</v>
      </c>
      <c r="E1023" s="41" t="s">
        <v>91</v>
      </c>
      <c r="F1023" s="41" t="s">
        <v>26</v>
      </c>
      <c r="L1023" s="41">
        <v>1.6</v>
      </c>
      <c r="M1023" s="54">
        <f>G$1051*50</f>
        <v>0.47396919681357996</v>
      </c>
      <c r="N1023" s="41">
        <v>100</v>
      </c>
      <c r="O1023" s="55">
        <f t="shared" ref="O1023:Y1023" si="1155">J$1051*50</f>
        <v>8.1082254999999995E-6</v>
      </c>
      <c r="P1023" s="55">
        <f t="shared" si="1155"/>
        <v>3.1970782499999996E-2</v>
      </c>
      <c r="Q1023" s="55">
        <f t="shared" si="1155"/>
        <v>4.2243894499999994</v>
      </c>
      <c r="R1023" s="55">
        <f t="shared" si="1155"/>
        <v>8.3985024999999995E-7</v>
      </c>
      <c r="S1023" s="55">
        <f t="shared" si="1155"/>
        <v>2.6661339499999999E-3</v>
      </c>
      <c r="T1023" s="55">
        <f t="shared" si="1155"/>
        <v>1.5406751E-2</v>
      </c>
      <c r="U1023" s="55">
        <f t="shared" si="1155"/>
        <v>3.13787795E-3</v>
      </c>
      <c r="V1023" s="55">
        <f t="shared" si="1155"/>
        <v>1.4876886499999999</v>
      </c>
      <c r="W1023" s="55">
        <f t="shared" si="1155"/>
        <v>9.5939509999999992E-2</v>
      </c>
      <c r="X1023" s="55">
        <f t="shared" si="1155"/>
        <v>251.08560500000002</v>
      </c>
      <c r="Y1023" s="55">
        <f t="shared" si="1155"/>
        <v>8.8168090000000001E-3</v>
      </c>
      <c r="Z1023" s="55"/>
      <c r="AA1023" s="55"/>
      <c r="AB1023" s="55"/>
      <c r="AC1023" s="55"/>
      <c r="AD1023" s="55"/>
      <c r="AE1023" s="55"/>
      <c r="AF1023" s="55"/>
      <c r="AG1023" s="55"/>
      <c r="AH1023" s="55"/>
      <c r="AI1023" s="55"/>
      <c r="AJ1023" s="55"/>
      <c r="AK1023" s="55"/>
      <c r="AL1023" s="55"/>
      <c r="AM1023" s="55"/>
      <c r="AN1023" s="55"/>
      <c r="AO1023" s="55"/>
      <c r="AP1023" s="55"/>
      <c r="AQ1023" s="55"/>
      <c r="AR1023" s="55"/>
      <c r="AS1023" s="55"/>
      <c r="AT1023" s="55"/>
      <c r="AU1023" s="55">
        <f>AP$1051*50</f>
        <v>1.14222405</v>
      </c>
      <c r="AV1023" s="55"/>
      <c r="AW1023" s="55"/>
      <c r="AX1023" s="55">
        <f>AS$1051*50</f>
        <v>73.033640000000005</v>
      </c>
      <c r="AY1023" s="55"/>
      <c r="AZ1023" s="55"/>
      <c r="BA1023" s="55"/>
      <c r="BB1023" s="55">
        <f>AW$1051*50</f>
        <v>1.4826382499999999E-2</v>
      </c>
      <c r="BC1023" s="55">
        <f>AX$1051*50</f>
        <v>5.1738344999999999E-4</v>
      </c>
      <c r="BD1023" s="55">
        <f>AY$1051*50</f>
        <v>6.0308634999999997</v>
      </c>
      <c r="BE1023" s="55">
        <f>AZ$1051*50</f>
        <v>0</v>
      </c>
      <c r="BF1023" s="55"/>
      <c r="BG1023" s="55"/>
      <c r="BH1023" s="55"/>
      <c r="BI1023" s="55"/>
      <c r="BJ1023" s="55"/>
      <c r="BK1023" s="78">
        <v>0</v>
      </c>
      <c r="BM1023" s="45"/>
    </row>
    <row r="1024" spans="1:65" x14ac:dyDescent="0.35">
      <c r="A1024" s="41" t="str">
        <f>Database_Productkaarten[[#This Row],[Product]]&amp;", "&amp;Database_Productkaarten[[#This Row],[Levensfase]]</f>
        <v>Ophoogzand, Cascade-leden, C3</v>
      </c>
      <c r="B1024" s="41" t="s">
        <v>161</v>
      </c>
      <c r="C1024" s="41" t="s">
        <v>131</v>
      </c>
      <c r="D1024" s="41" t="s">
        <v>54</v>
      </c>
      <c r="E1024" s="41" t="s">
        <v>91</v>
      </c>
      <c r="F1024" s="41" t="s">
        <v>27</v>
      </c>
      <c r="L1024" s="41">
        <v>1.6</v>
      </c>
      <c r="M1024" s="54">
        <v>0</v>
      </c>
      <c r="N1024" s="41">
        <v>100</v>
      </c>
      <c r="O1024" s="55"/>
      <c r="P1024" s="55"/>
      <c r="Q1024" s="55"/>
      <c r="R1024" s="55"/>
      <c r="S1024" s="55"/>
      <c r="T1024" s="55"/>
      <c r="U1024" s="55"/>
      <c r="V1024" s="55"/>
      <c r="W1024" s="55"/>
      <c r="X1024" s="55"/>
      <c r="Y1024" s="55"/>
      <c r="Z1024" s="55"/>
      <c r="AA1024" s="55"/>
      <c r="AB1024" s="55"/>
      <c r="AC1024" s="55"/>
      <c r="AD1024" s="55"/>
      <c r="AE1024" s="55"/>
      <c r="AF1024" s="55"/>
      <c r="AG1024" s="55"/>
      <c r="AH1024" s="55"/>
      <c r="AI1024" s="55"/>
      <c r="AJ1024" s="55"/>
      <c r="AK1024" s="55"/>
      <c r="AL1024" s="55"/>
      <c r="AM1024" s="55"/>
      <c r="AN1024" s="55"/>
      <c r="AO1024" s="55"/>
      <c r="AP1024" s="55"/>
      <c r="AQ1024" s="55"/>
      <c r="AR1024" s="55"/>
      <c r="AS1024" s="55"/>
      <c r="AT1024" s="55"/>
      <c r="AU1024" s="55"/>
      <c r="AV1024" s="55"/>
      <c r="AW1024" s="55"/>
      <c r="AX1024" s="55"/>
      <c r="AY1024" s="55"/>
      <c r="AZ1024" s="55"/>
      <c r="BA1024" s="55"/>
      <c r="BB1024" s="55"/>
      <c r="BC1024" s="55"/>
      <c r="BD1024" s="55"/>
      <c r="BE1024" s="55"/>
      <c r="BF1024" s="55"/>
      <c r="BG1024" s="55"/>
      <c r="BH1024" s="55"/>
      <c r="BI1024" s="55"/>
      <c r="BJ1024" s="55"/>
      <c r="BK1024" s="78">
        <v>0</v>
      </c>
      <c r="BM1024" s="45"/>
    </row>
    <row r="1025" spans="1:65" x14ac:dyDescent="0.35">
      <c r="A1025" s="41" t="str">
        <f>Database_Productkaarten[[#This Row],[Product]]&amp;", "&amp;Database_Productkaarten[[#This Row],[Levensfase]]</f>
        <v>Ophoogzand, Cascade-leden, C4</v>
      </c>
      <c r="B1025" s="41" t="s">
        <v>161</v>
      </c>
      <c r="C1025" s="41" t="s">
        <v>131</v>
      </c>
      <c r="D1025" s="41" t="s">
        <v>54</v>
      </c>
      <c r="E1025" s="41" t="s">
        <v>91</v>
      </c>
      <c r="F1025" s="41" t="s">
        <v>28</v>
      </c>
      <c r="L1025" s="41">
        <v>1.6</v>
      </c>
      <c r="M1025" s="54">
        <v>0</v>
      </c>
      <c r="N1025" s="41">
        <v>100</v>
      </c>
      <c r="O1025" s="55"/>
      <c r="P1025" s="55"/>
      <c r="Q1025" s="55"/>
      <c r="R1025" s="55"/>
      <c r="S1025" s="55"/>
      <c r="T1025" s="55"/>
      <c r="U1025" s="55"/>
      <c r="V1025" s="55"/>
      <c r="W1025" s="55"/>
      <c r="X1025" s="55"/>
      <c r="Y1025" s="55"/>
      <c r="Z1025" s="55"/>
      <c r="AA1025" s="55"/>
      <c r="AB1025" s="55"/>
      <c r="AC1025" s="55"/>
      <c r="AD1025" s="55"/>
      <c r="AE1025" s="55"/>
      <c r="AF1025" s="55"/>
      <c r="AG1025" s="55"/>
      <c r="AH1025" s="55"/>
      <c r="AI1025" s="55"/>
      <c r="AJ1025" s="55"/>
      <c r="AK1025" s="55"/>
      <c r="AL1025" s="55"/>
      <c r="AM1025" s="55"/>
      <c r="AN1025" s="55"/>
      <c r="AO1025" s="55"/>
      <c r="AP1025" s="55"/>
      <c r="AQ1025" s="55"/>
      <c r="AR1025" s="55"/>
      <c r="AS1025" s="55"/>
      <c r="AT1025" s="55"/>
      <c r="AU1025" s="55"/>
      <c r="AV1025" s="55"/>
      <c r="AW1025" s="55"/>
      <c r="AX1025" s="55"/>
      <c r="AY1025" s="55"/>
      <c r="AZ1025" s="55"/>
      <c r="BA1025" s="55"/>
      <c r="BB1025" s="55"/>
      <c r="BC1025" s="55"/>
      <c r="BD1025" s="55"/>
      <c r="BE1025" s="55"/>
      <c r="BF1025" s="55"/>
      <c r="BG1025" s="55"/>
      <c r="BH1025" s="55"/>
      <c r="BI1025" s="55"/>
      <c r="BJ1025" s="55"/>
      <c r="BK1025" s="78">
        <v>0</v>
      </c>
      <c r="BM1025" s="45"/>
    </row>
    <row r="1026" spans="1:65" x14ac:dyDescent="0.35">
      <c r="A1026" s="41" t="str">
        <f>Database_Productkaarten[[#This Row],[Product]]&amp;", "&amp;Database_Productkaarten[[#This Row],[Levensfase]]</f>
        <v>Ophoogzand, Cascade-leden, D1</v>
      </c>
      <c r="B1026" s="41" t="s">
        <v>161</v>
      </c>
      <c r="C1026" s="41" t="s">
        <v>131</v>
      </c>
      <c r="D1026" s="41" t="s">
        <v>54</v>
      </c>
      <c r="E1026" s="41" t="s">
        <v>91</v>
      </c>
      <c r="F1026" s="41" t="s">
        <v>51</v>
      </c>
      <c r="L1026" s="41">
        <v>1.6</v>
      </c>
      <c r="M1026" s="54">
        <v>0</v>
      </c>
      <c r="N1026" s="41">
        <v>100</v>
      </c>
      <c r="O1026" s="55"/>
      <c r="P1026" s="55"/>
      <c r="Q1026" s="55"/>
      <c r="R1026" s="55"/>
      <c r="S1026" s="55"/>
      <c r="T1026" s="55"/>
      <c r="U1026" s="55"/>
      <c r="V1026" s="55"/>
      <c r="W1026" s="55"/>
      <c r="X1026" s="55"/>
      <c r="Y1026" s="55"/>
      <c r="Z1026" s="55"/>
      <c r="AA1026" s="55"/>
      <c r="AB1026" s="55"/>
      <c r="AC1026" s="55"/>
      <c r="AD1026" s="55"/>
      <c r="AE1026" s="55"/>
      <c r="AF1026" s="55"/>
      <c r="AG1026" s="55"/>
      <c r="AH1026" s="55"/>
      <c r="AI1026" s="55"/>
      <c r="AJ1026" s="55"/>
      <c r="AK1026" s="55"/>
      <c r="AL1026" s="55"/>
      <c r="AM1026" s="55"/>
      <c r="AN1026" s="55"/>
      <c r="AO1026" s="55"/>
      <c r="AP1026" s="55"/>
      <c r="AQ1026" s="55"/>
      <c r="AR1026" s="55"/>
      <c r="AS1026" s="55"/>
      <c r="AT1026" s="55"/>
      <c r="AU1026" s="55"/>
      <c r="AV1026" s="55"/>
      <c r="AW1026" s="55"/>
      <c r="AX1026" s="55"/>
      <c r="AY1026" s="55"/>
      <c r="AZ1026" s="55"/>
      <c r="BA1026" s="55"/>
      <c r="BB1026" s="55"/>
      <c r="BC1026" s="55"/>
      <c r="BD1026" s="55"/>
      <c r="BE1026" s="55"/>
      <c r="BF1026" s="55"/>
      <c r="BG1026" s="55"/>
      <c r="BH1026" s="55"/>
      <c r="BI1026" s="55"/>
      <c r="BJ1026" s="55"/>
      <c r="BK1026" s="78">
        <v>0</v>
      </c>
      <c r="BM1026" s="45"/>
    </row>
    <row r="1027" spans="1:65" x14ac:dyDescent="0.35">
      <c r="A1027" s="41" t="str">
        <f>Database_Productkaarten[[#This Row],[Product]]&amp;", "&amp;Database_Productkaarten[[#This Row],[Levensfase]]</f>
        <v>Ophoogzand, Cascade-leden, D2</v>
      </c>
      <c r="B1027" s="41" t="s">
        <v>161</v>
      </c>
      <c r="C1027" s="41" t="s">
        <v>131</v>
      </c>
      <c r="D1027" s="41" t="s">
        <v>54</v>
      </c>
      <c r="E1027" s="41" t="s">
        <v>91</v>
      </c>
      <c r="F1027" s="41" t="s">
        <v>52</v>
      </c>
      <c r="L1027" s="41">
        <v>1.6</v>
      </c>
      <c r="M1027" s="54">
        <v>0</v>
      </c>
      <c r="N1027" s="41">
        <v>100</v>
      </c>
      <c r="O1027" s="55"/>
      <c r="P1027" s="55"/>
      <c r="Q1027" s="55"/>
      <c r="R1027" s="55"/>
      <c r="S1027" s="55"/>
      <c r="T1027" s="55"/>
      <c r="U1027" s="55"/>
      <c r="V1027" s="55"/>
      <c r="W1027" s="55"/>
      <c r="X1027" s="55"/>
      <c r="Y1027" s="55"/>
      <c r="Z1027" s="55"/>
      <c r="AA1027" s="55"/>
      <c r="AB1027" s="55"/>
      <c r="AC1027" s="55"/>
      <c r="AD1027" s="55"/>
      <c r="AE1027" s="55"/>
      <c r="AF1027" s="55"/>
      <c r="AG1027" s="55"/>
      <c r="AH1027" s="55"/>
      <c r="AI1027" s="55"/>
      <c r="AJ1027" s="55"/>
      <c r="AK1027" s="55"/>
      <c r="AL1027" s="55"/>
      <c r="AM1027" s="55"/>
      <c r="AN1027" s="55"/>
      <c r="AO1027" s="55"/>
      <c r="AP1027" s="55"/>
      <c r="AQ1027" s="55"/>
      <c r="AR1027" s="55"/>
      <c r="AS1027" s="55"/>
      <c r="AT1027" s="55"/>
      <c r="AU1027" s="55"/>
      <c r="AV1027" s="55"/>
      <c r="AW1027" s="55"/>
      <c r="AX1027" s="55"/>
      <c r="AY1027" s="55"/>
      <c r="AZ1027" s="55"/>
      <c r="BA1027" s="55"/>
      <c r="BB1027" s="55"/>
      <c r="BC1027" s="55"/>
      <c r="BD1027" s="55"/>
      <c r="BE1027" s="55"/>
      <c r="BF1027" s="55"/>
      <c r="BG1027" s="55"/>
      <c r="BH1027" s="55"/>
      <c r="BI1027" s="55"/>
      <c r="BJ1027" s="55"/>
      <c r="BK1027" s="78">
        <v>0</v>
      </c>
      <c r="BM1027" s="45"/>
    </row>
    <row r="1028" spans="1:65" x14ac:dyDescent="0.35">
      <c r="A1028" s="41" t="str">
        <f>Database_Productkaarten[[#This Row],[Product]]&amp;", "&amp;Database_Productkaarten[[#This Row],[Levensfase]]</f>
        <v>Industriezand, Cascade-leden, Totaal</v>
      </c>
      <c r="B1028" s="41" t="s">
        <v>162</v>
      </c>
      <c r="C1028" s="41" t="s">
        <v>131</v>
      </c>
      <c r="D1028" s="41" t="s">
        <v>54</v>
      </c>
      <c r="E1028" s="41" t="s">
        <v>91</v>
      </c>
      <c r="F1028" s="41" t="s">
        <v>16</v>
      </c>
      <c r="L1028" s="41">
        <v>1.6</v>
      </c>
      <c r="M1028" s="54">
        <f>SUM(M1029:M1040)</f>
        <v>1.3375879620520015</v>
      </c>
      <c r="N1028" s="41">
        <v>100</v>
      </c>
      <c r="O1028" s="55">
        <f t="shared" ref="O1028" si="1156">SUM(O1029:O1040)</f>
        <v>1.6658530166666667E-5</v>
      </c>
      <c r="P1028" s="55">
        <f t="shared" ref="P1028" si="1157">SUM(P1029:P1040)</f>
        <v>7.0394193429583321E-2</v>
      </c>
      <c r="Q1028" s="55">
        <f t="shared" ref="Q1028" si="1158">SUM(Q1029:Q1040)</f>
        <v>11.947286280874998</v>
      </c>
      <c r="R1028" s="55">
        <f t="shared" ref="R1028" si="1159">SUM(R1029:R1040)</f>
        <v>1.8441759166666665E-6</v>
      </c>
      <c r="S1028" s="55">
        <f t="shared" ref="S1028" si="1160">SUM(S1029:S1040)</f>
        <v>5.6432077141666667E-3</v>
      </c>
      <c r="T1028" s="55">
        <f t="shared" ref="T1028" si="1161">SUM(T1029:T1040)</f>
        <v>3.1696245145433059E-2</v>
      </c>
      <c r="U1028" s="55">
        <f t="shared" ref="U1028" si="1162">SUM(U1029:U1040)</f>
        <v>8.6882896500000001E-3</v>
      </c>
      <c r="V1028" s="55">
        <f t="shared" ref="V1028" si="1163">SUM(V1029:V1040)</f>
        <v>3.6122344820625001</v>
      </c>
      <c r="W1028" s="55">
        <f t="shared" ref="W1028" si="1164">SUM(W1029:W1040)</f>
        <v>0.19187902745479335</v>
      </c>
      <c r="X1028" s="55">
        <f t="shared" ref="X1028" si="1165">SUM(X1029:X1040)</f>
        <v>502.53528866064983</v>
      </c>
      <c r="Y1028" s="55">
        <f t="shared" ref="Y1028" si="1166">SUM(Y1029:Y1040)</f>
        <v>2.0494173181042283E-2</v>
      </c>
      <c r="Z1028" s="55"/>
      <c r="AA1028" s="55"/>
      <c r="AB1028" s="55"/>
      <c r="AC1028" s="55"/>
      <c r="AD1028" s="55"/>
      <c r="AE1028" s="55"/>
      <c r="AF1028" s="55"/>
      <c r="AG1028" s="55"/>
      <c r="AH1028" s="55"/>
      <c r="AI1028" s="55"/>
      <c r="AJ1028" s="55"/>
      <c r="AK1028" s="55"/>
      <c r="AL1028" s="55"/>
      <c r="AM1028" s="55"/>
      <c r="AN1028" s="55"/>
      <c r="AO1028" s="55"/>
      <c r="AP1028" s="55"/>
      <c r="AQ1028" s="55"/>
      <c r="AR1028" s="55"/>
      <c r="AS1028" s="55"/>
      <c r="AT1028" s="55"/>
      <c r="AU1028" s="55">
        <f t="shared" ref="AU1028" si="1167">SUM(AU1029:AU1040)</f>
        <v>2.2844481629137139</v>
      </c>
      <c r="AV1028" s="55"/>
      <c r="AW1028" s="55"/>
      <c r="AX1028" s="55">
        <f t="shared" ref="AX1028" si="1168">SUM(AX1029:AX1040)</f>
        <v>146.08358981500129</v>
      </c>
      <c r="AY1028" s="55"/>
      <c r="AZ1028" s="55"/>
      <c r="BA1028" s="55"/>
      <c r="BB1028" s="55">
        <f t="shared" ref="BB1028" si="1169">SUM(BB1029:BB1040)</f>
        <v>2.9664720221734373E-2</v>
      </c>
      <c r="BC1028" s="55">
        <f t="shared" ref="BC1028" si="1170">SUM(BC1029:BC1040)</f>
        <v>1.2653735224820134E-3</v>
      </c>
      <c r="BD1028" s="55">
        <f t="shared" ref="BD1028" si="1171">SUM(BD1029:BD1040)</f>
        <v>12.06172700065598</v>
      </c>
      <c r="BE1028" s="55">
        <f t="shared" ref="BE1028" si="1172">SUM(BE1029:BE1040)</f>
        <v>0</v>
      </c>
      <c r="BF1028" s="55"/>
      <c r="BG1028" s="55"/>
      <c r="BH1028" s="55"/>
      <c r="BI1028" s="55"/>
      <c r="BJ1028" s="55"/>
      <c r="BK1028" s="78">
        <v>0</v>
      </c>
      <c r="BM1028" s="45"/>
    </row>
    <row r="1029" spans="1:65" x14ac:dyDescent="0.35">
      <c r="A1029" s="41" t="str">
        <f>Database_Productkaarten[[#This Row],[Product]]&amp;", "&amp;Database_Productkaarten[[#This Row],[Levensfase]]</f>
        <v>Industriezand, Cascade-leden, A1</v>
      </c>
      <c r="B1029" s="41" t="s">
        <v>162</v>
      </c>
      <c r="C1029" s="41" t="s">
        <v>131</v>
      </c>
      <c r="D1029" s="41" t="s">
        <v>54</v>
      </c>
      <c r="E1029" s="41" t="s">
        <v>91</v>
      </c>
      <c r="F1029" s="41" t="s">
        <v>19</v>
      </c>
      <c r="L1029" s="41">
        <v>1.6</v>
      </c>
      <c r="M1029" s="54">
        <v>0.13700000000000001</v>
      </c>
      <c r="N1029" s="41">
        <v>100</v>
      </c>
      <c r="O1029" s="55"/>
      <c r="P1029" s="55"/>
      <c r="Q1029" s="55">
        <v>1.03</v>
      </c>
      <c r="R1029" s="55"/>
      <c r="S1029" s="55"/>
      <c r="T1029" s="55"/>
      <c r="U1029" s="55"/>
      <c r="V1029" s="55"/>
      <c r="W1029" s="55"/>
      <c r="X1029" s="55"/>
      <c r="Y1029" s="55"/>
      <c r="Z1029" s="55"/>
      <c r="AA1029" s="55"/>
      <c r="AB1029" s="55"/>
      <c r="AC1029" s="55"/>
      <c r="AD1029" s="55"/>
      <c r="AE1029" s="55"/>
      <c r="AF1029" s="55"/>
      <c r="AG1029" s="55"/>
      <c r="AH1029" s="55"/>
      <c r="AI1029" s="55"/>
      <c r="AJ1029" s="55"/>
      <c r="AK1029" s="55"/>
      <c r="AL1029" s="55"/>
      <c r="AM1029" s="55"/>
      <c r="AN1029" s="55"/>
      <c r="AO1029" s="55"/>
      <c r="AP1029" s="55"/>
      <c r="AQ1029" s="55"/>
      <c r="AR1029" s="55"/>
      <c r="AS1029" s="55"/>
      <c r="AT1029" s="55"/>
      <c r="AU1029" s="55"/>
      <c r="AV1029" s="55"/>
      <c r="AW1029" s="55"/>
      <c r="AX1029" s="55"/>
      <c r="AY1029" s="55"/>
      <c r="AZ1029" s="55"/>
      <c r="BA1029" s="55"/>
      <c r="BB1029" s="55"/>
      <c r="BC1029" s="55"/>
      <c r="BD1029" s="55"/>
      <c r="BE1029" s="55"/>
      <c r="BF1029" s="55"/>
      <c r="BG1029" s="55"/>
      <c r="BH1029" s="55"/>
      <c r="BI1029" s="55"/>
      <c r="BJ1029" s="55"/>
      <c r="BK1029" s="78">
        <v>0</v>
      </c>
      <c r="BM1029" s="45"/>
    </row>
    <row r="1030" spans="1:65" x14ac:dyDescent="0.35">
      <c r="A1030" s="41" t="str">
        <f>Database_Productkaarten[[#This Row],[Product]]&amp;", "&amp;Database_Productkaarten[[#This Row],[Levensfase]]</f>
        <v>Industriezand, Cascade-leden, A2</v>
      </c>
      <c r="B1030" s="41" t="s">
        <v>162</v>
      </c>
      <c r="C1030" s="41" t="s">
        <v>131</v>
      </c>
      <c r="D1030" s="41" t="s">
        <v>54</v>
      </c>
      <c r="E1030" s="41" t="s">
        <v>91</v>
      </c>
      <c r="F1030" s="41" t="s">
        <v>20</v>
      </c>
      <c r="L1030" s="41">
        <v>1.6</v>
      </c>
      <c r="M1030" s="54">
        <v>6.1399999999999996E-3</v>
      </c>
      <c r="N1030" s="41">
        <v>100</v>
      </c>
      <c r="O1030" s="55"/>
      <c r="P1030" s="55"/>
      <c r="Q1030" s="55">
        <v>5.4100000000000002E-2</v>
      </c>
      <c r="R1030" s="55"/>
      <c r="S1030" s="55"/>
      <c r="T1030" s="55"/>
      <c r="U1030" s="55"/>
      <c r="V1030" s="55"/>
      <c r="W1030" s="55"/>
      <c r="X1030" s="55"/>
      <c r="Y1030" s="55"/>
      <c r="Z1030" s="55"/>
      <c r="AA1030" s="55"/>
      <c r="AB1030" s="55"/>
      <c r="AC1030" s="55"/>
      <c r="AD1030" s="55"/>
      <c r="AE1030" s="55"/>
      <c r="AF1030" s="55"/>
      <c r="AG1030" s="55"/>
      <c r="AH1030" s="55"/>
      <c r="AI1030" s="55"/>
      <c r="AJ1030" s="55"/>
      <c r="AK1030" s="55"/>
      <c r="AL1030" s="55"/>
      <c r="AM1030" s="55"/>
      <c r="AN1030" s="55"/>
      <c r="AO1030" s="55"/>
      <c r="AP1030" s="55"/>
      <c r="AQ1030" s="55"/>
      <c r="AR1030" s="55"/>
      <c r="AS1030" s="55"/>
      <c r="AT1030" s="55"/>
      <c r="AU1030" s="55"/>
      <c r="AV1030" s="55"/>
      <c r="AW1030" s="55"/>
      <c r="AX1030" s="55"/>
      <c r="AY1030" s="55"/>
      <c r="AZ1030" s="55"/>
      <c r="BA1030" s="55"/>
      <c r="BB1030" s="55"/>
      <c r="BC1030" s="55"/>
      <c r="BD1030" s="55"/>
      <c r="BE1030" s="55"/>
      <c r="BF1030" s="55"/>
      <c r="BG1030" s="55"/>
      <c r="BH1030" s="55"/>
      <c r="BI1030" s="55"/>
      <c r="BJ1030" s="55"/>
      <c r="BK1030" s="78">
        <v>0</v>
      </c>
      <c r="BM1030" s="45"/>
    </row>
    <row r="1031" spans="1:65" x14ac:dyDescent="0.35">
      <c r="A1031" s="41" t="str">
        <f>Database_Productkaarten[[#This Row],[Product]]&amp;", "&amp;Database_Productkaarten[[#This Row],[Levensfase]]</f>
        <v>Industriezand, Cascade-leden, A3</v>
      </c>
      <c r="B1031" s="41" t="s">
        <v>162</v>
      </c>
      <c r="C1031" s="41" t="s">
        <v>131</v>
      </c>
      <c r="D1031" s="41" t="s">
        <v>54</v>
      </c>
      <c r="E1031" s="41" t="s">
        <v>91</v>
      </c>
      <c r="F1031" s="41" t="s">
        <v>21</v>
      </c>
      <c r="L1031" s="41">
        <v>1.6</v>
      </c>
      <c r="M1031" s="54">
        <v>0.159</v>
      </c>
      <c r="N1031" s="41">
        <v>100</v>
      </c>
      <c r="O1031" s="55"/>
      <c r="P1031" s="55"/>
      <c r="Q1031" s="55">
        <v>1.47</v>
      </c>
      <c r="R1031" s="55"/>
      <c r="S1031" s="55"/>
      <c r="T1031" s="55"/>
      <c r="U1031" s="55"/>
      <c r="V1031" s="55"/>
      <c r="W1031" s="55"/>
      <c r="X1031" s="55"/>
      <c r="Y1031" s="55"/>
      <c r="Z1031" s="55"/>
      <c r="AA1031" s="55"/>
      <c r="AB1031" s="55"/>
      <c r="AC1031" s="55"/>
      <c r="AD1031" s="55"/>
      <c r="AE1031" s="55"/>
      <c r="AF1031" s="55"/>
      <c r="AG1031" s="55"/>
      <c r="AH1031" s="55"/>
      <c r="AI1031" s="55"/>
      <c r="AJ1031" s="55"/>
      <c r="AK1031" s="55"/>
      <c r="AL1031" s="55"/>
      <c r="AM1031" s="55"/>
      <c r="AN1031" s="55"/>
      <c r="AO1031" s="55"/>
      <c r="AP1031" s="55"/>
      <c r="AQ1031" s="55"/>
      <c r="AR1031" s="55"/>
      <c r="AS1031" s="55"/>
      <c r="AT1031" s="55"/>
      <c r="AU1031" s="55"/>
      <c r="AV1031" s="55"/>
      <c r="AW1031" s="55"/>
      <c r="AX1031" s="55"/>
      <c r="AY1031" s="55"/>
      <c r="AZ1031" s="55"/>
      <c r="BA1031" s="55"/>
      <c r="BB1031" s="55"/>
      <c r="BC1031" s="55"/>
      <c r="BD1031" s="55"/>
      <c r="BE1031" s="55"/>
      <c r="BF1031" s="55"/>
      <c r="BG1031" s="55"/>
      <c r="BH1031" s="55"/>
      <c r="BI1031" s="55"/>
      <c r="BJ1031" s="55"/>
      <c r="BK1031" s="78">
        <v>0</v>
      </c>
      <c r="BM1031" s="45"/>
    </row>
    <row r="1032" spans="1:65" x14ac:dyDescent="0.35">
      <c r="A1032" s="41" t="str">
        <f>Database_Productkaarten[[#This Row],[Product]]&amp;", "&amp;Database_Productkaarten[[#This Row],[Levensfase]]</f>
        <v>Industriezand, Cascade-leden, A4</v>
      </c>
      <c r="B1032" s="41" t="s">
        <v>162</v>
      </c>
      <c r="C1032" s="41" t="s">
        <v>131</v>
      </c>
      <c r="D1032" s="41" t="s">
        <v>54</v>
      </c>
      <c r="E1032" s="41" t="s">
        <v>91</v>
      </c>
      <c r="F1032" s="41" t="s">
        <v>22</v>
      </c>
      <c r="L1032" s="41">
        <v>1.6</v>
      </c>
      <c r="M1032" s="54">
        <f>G$1051*50</f>
        <v>0.47396919681357996</v>
      </c>
      <c r="N1032" s="41">
        <v>100</v>
      </c>
      <c r="O1032" s="55">
        <f t="shared" ref="O1032:Y1032" si="1173">J$1051*50</f>
        <v>8.1082254999999995E-6</v>
      </c>
      <c r="P1032" s="55">
        <f t="shared" si="1173"/>
        <v>3.1970782499999996E-2</v>
      </c>
      <c r="Q1032" s="55">
        <f t="shared" si="1173"/>
        <v>4.2243894499999994</v>
      </c>
      <c r="R1032" s="55">
        <f t="shared" si="1173"/>
        <v>8.3985024999999995E-7</v>
      </c>
      <c r="S1032" s="55">
        <f t="shared" si="1173"/>
        <v>2.6661339499999999E-3</v>
      </c>
      <c r="T1032" s="55">
        <f t="shared" si="1173"/>
        <v>1.5406751E-2</v>
      </c>
      <c r="U1032" s="55">
        <f t="shared" si="1173"/>
        <v>3.13787795E-3</v>
      </c>
      <c r="V1032" s="55">
        <f t="shared" si="1173"/>
        <v>1.4876886499999999</v>
      </c>
      <c r="W1032" s="55">
        <f t="shared" si="1173"/>
        <v>9.5939509999999992E-2</v>
      </c>
      <c r="X1032" s="55">
        <f t="shared" si="1173"/>
        <v>251.08560500000002</v>
      </c>
      <c r="Y1032" s="55">
        <f t="shared" si="1173"/>
        <v>8.8168090000000001E-3</v>
      </c>
      <c r="Z1032" s="55"/>
      <c r="AA1032" s="55"/>
      <c r="AB1032" s="55"/>
      <c r="AC1032" s="55"/>
      <c r="AD1032" s="55"/>
      <c r="AE1032" s="55"/>
      <c r="AF1032" s="55"/>
      <c r="AG1032" s="55"/>
      <c r="AH1032" s="55"/>
      <c r="AI1032" s="55"/>
      <c r="AJ1032" s="55"/>
      <c r="AK1032" s="55"/>
      <c r="AL1032" s="55"/>
      <c r="AM1032" s="55"/>
      <c r="AN1032" s="55"/>
      <c r="AO1032" s="55"/>
      <c r="AP1032" s="55"/>
      <c r="AQ1032" s="55"/>
      <c r="AR1032" s="55"/>
      <c r="AS1032" s="55"/>
      <c r="AT1032" s="55"/>
      <c r="AU1032" s="55">
        <f>AP$1051*50</f>
        <v>1.14222405</v>
      </c>
      <c r="AV1032" s="55"/>
      <c r="AW1032" s="55"/>
      <c r="AX1032" s="55">
        <f>AS$1051*50</f>
        <v>73.033640000000005</v>
      </c>
      <c r="AY1032" s="55"/>
      <c r="AZ1032" s="55"/>
      <c r="BA1032" s="55"/>
      <c r="BB1032" s="55">
        <f>AW$1051*50</f>
        <v>1.4826382499999999E-2</v>
      </c>
      <c r="BC1032" s="55">
        <f>AX$1051*50</f>
        <v>5.1738344999999999E-4</v>
      </c>
      <c r="BD1032" s="55">
        <f>AY$1051*50</f>
        <v>6.0308634999999997</v>
      </c>
      <c r="BE1032" s="55">
        <f>AZ$1051*50</f>
        <v>0</v>
      </c>
      <c r="BF1032" s="55"/>
      <c r="BG1032" s="55"/>
      <c r="BH1032" s="55"/>
      <c r="BI1032" s="55"/>
      <c r="BJ1032" s="55"/>
      <c r="BK1032" s="78">
        <v>0</v>
      </c>
      <c r="BM1032" s="45"/>
    </row>
    <row r="1033" spans="1:65" x14ac:dyDescent="0.35">
      <c r="A1033" s="41" t="str">
        <f>Database_Productkaarten[[#This Row],[Product]]&amp;", "&amp;Database_Productkaarten[[#This Row],[Levensfase]]</f>
        <v>Industriezand, Cascade-leden, A5</v>
      </c>
      <c r="B1033" s="41" t="s">
        <v>162</v>
      </c>
      <c r="C1033" s="41" t="s">
        <v>131</v>
      </c>
      <c r="D1033" s="41" t="s">
        <v>54</v>
      </c>
      <c r="E1033" s="41" t="s">
        <v>91</v>
      </c>
      <c r="F1033" s="41" t="s">
        <v>23</v>
      </c>
      <c r="L1033" s="41">
        <v>1.6</v>
      </c>
      <c r="M1033" s="53">
        <f>((1/Database_Productkaarten[[#This Row],[Soortelijk Gewicht '[ton / m3']]])/$H$1164)*(G$1164)</f>
        <v>4.3754784212420766E-2</v>
      </c>
      <c r="N1033" s="41">
        <v>100</v>
      </c>
      <c r="O1033" s="55">
        <f>((1/Database_Productkaarten[[#This Row],[Soortelijk Gewicht '[ton / m3']]])/$H$1164)*(J$1164)</f>
        <v>2.2103958333333332E-7</v>
      </c>
      <c r="P1033" s="55">
        <f>((1/Database_Productkaarten[[#This Row],[Soortelijk Gewicht '[ton / m3']]])/$H$1164)*(K$1164)</f>
        <v>3.2263142147916667E-3</v>
      </c>
      <c r="Q1033" s="55">
        <f>((1/Database_Productkaarten[[#This Row],[Soortelijk Gewicht '[ton / m3']]])/$H$1164)*(L$1164)</f>
        <v>0.47220369043749999</v>
      </c>
      <c r="R1033" s="55">
        <f>((1/Database_Productkaarten[[#This Row],[Soortelijk Gewicht '[ton / m3']]])/$H$1164)*(M$1164)</f>
        <v>8.2237708333333324E-8</v>
      </c>
      <c r="S1033" s="55">
        <f>((1/Database_Productkaarten[[#This Row],[Soortelijk Gewicht '[ton / m3']]])/$H$1164)*(N$1164)</f>
        <v>1.5546990708333334E-4</v>
      </c>
      <c r="T1033" s="55">
        <f>((1/Database_Productkaarten[[#This Row],[Soortelijk Gewicht '[ton / m3']]])/$H$1164)*(O$1164)</f>
        <v>4.4137157271653107E-4</v>
      </c>
      <c r="U1033" s="55">
        <f>((1/Database_Productkaarten[[#This Row],[Soortelijk Gewicht '[ton / m3']]])/$H$1164)*(P$1164)</f>
        <v>1.2062668749999999E-3</v>
      </c>
      <c r="V1033" s="55">
        <f>((1/Database_Productkaarten[[#This Row],[Soortelijk Gewicht '[ton / m3']]])/$H$1164)*(Q$1164)</f>
        <v>0.31842859103124999</v>
      </c>
      <c r="W1033" s="55">
        <f>((1/Database_Productkaarten[[#This Row],[Soortelijk Gewicht '[ton / m3']]])/$H$1164)*(R$1164)</f>
        <v>3.7273966828583328E-9</v>
      </c>
      <c r="X1033" s="55">
        <f>((1/Database_Productkaarten[[#This Row],[Soortelijk Gewicht '[ton / m3']]])/$H$1164)*(S$1164)</f>
        <v>0.18203933032491099</v>
      </c>
      <c r="Y1033" s="55">
        <f>((1/Database_Productkaarten[[#This Row],[Soortelijk Gewicht '[ton / m3']]])/$H$1164)*(T$1164)</f>
        <v>1.4302775905211417E-3</v>
      </c>
      <c r="Z1033" s="55"/>
      <c r="AA1033" s="55"/>
      <c r="AB1033" s="55"/>
      <c r="AC1033" s="55"/>
      <c r="AD1033" s="55"/>
      <c r="AE1033" s="55"/>
      <c r="AF1033" s="55"/>
      <c r="AG1033" s="55"/>
      <c r="AH1033" s="55"/>
      <c r="AI1033" s="55"/>
      <c r="AJ1033" s="55"/>
      <c r="AK1033" s="55"/>
      <c r="AL1033" s="55"/>
      <c r="AM1033" s="55"/>
      <c r="AN1033" s="55"/>
      <c r="AO1033" s="55"/>
      <c r="AP1033" s="55"/>
      <c r="AQ1033" s="55"/>
      <c r="AR1033" s="55"/>
      <c r="AS1033" s="55"/>
      <c r="AT1033" s="55"/>
      <c r="AU1033" s="55">
        <f>((1/Database_Productkaarten[[#This Row],[Soortelijk Gewicht '[ton / m3']]])/$H$1164)*(AP$1164)</f>
        <v>3.1456856835489578E-8</v>
      </c>
      <c r="AV1033" s="55"/>
      <c r="AW1033" s="55"/>
      <c r="AX1033" s="55">
        <f>((1/Database_Productkaarten[[#This Row],[Soortelijk Gewicht '[ton / m3']]])/$H$1164)*(AS$1164)</f>
        <v>8.1549075006355082E-3</v>
      </c>
      <c r="AY1033" s="55"/>
      <c r="AZ1033" s="55"/>
      <c r="BA1033" s="55"/>
      <c r="BB1033" s="55">
        <f>((1/Database_Productkaarten[[#This Row],[Soortelijk Gewicht '[ton / m3']]])/$H$1164)*(AW$1164)</f>
        <v>5.9776108671881242E-6</v>
      </c>
      <c r="BC1033" s="55">
        <f>((1/Database_Productkaarten[[#This Row],[Soortelijk Gewicht '[ton / m3']]])/$H$1164)*(AX$1164)</f>
        <v>1.1530331124100664E-4</v>
      </c>
      <c r="BD1033" s="55">
        <f>((1/Database_Productkaarten[[#This Row],[Soortelijk Gewicht '[ton / m3']]])/$H$1164)*(AY$1164)</f>
        <v>3.2799006821667943E-10</v>
      </c>
      <c r="BE1033" s="55">
        <f>((1/Database_Productkaarten[[#This Row],[Soortelijk Gewicht '[ton / m3']]])/$H$1164)*(AZ$1164)</f>
        <v>0</v>
      </c>
      <c r="BF1033" s="55"/>
      <c r="BG1033" s="55"/>
      <c r="BH1033" s="55"/>
      <c r="BI1033" s="55"/>
      <c r="BJ1033" s="55"/>
      <c r="BK1033" s="78">
        <v>0</v>
      </c>
      <c r="BM1033" s="45"/>
    </row>
    <row r="1034" spans="1:65" x14ac:dyDescent="0.35">
      <c r="A1034" s="41" t="str">
        <f>Database_Productkaarten[[#This Row],[Product]]&amp;", "&amp;Database_Productkaarten[[#This Row],[Levensfase]]</f>
        <v>Industriezand, Cascade-leden, B1</v>
      </c>
      <c r="B1034" s="41" t="s">
        <v>162</v>
      </c>
      <c r="C1034" s="41" t="s">
        <v>131</v>
      </c>
      <c r="D1034" s="41" t="s">
        <v>54</v>
      </c>
      <c r="E1034" s="41" t="s">
        <v>91</v>
      </c>
      <c r="F1034" s="41" t="s">
        <v>24</v>
      </c>
      <c r="L1034" s="41">
        <v>1.6</v>
      </c>
      <c r="M1034" s="53">
        <v>0</v>
      </c>
      <c r="N1034" s="41">
        <v>100</v>
      </c>
      <c r="O1034" s="55"/>
      <c r="P1034" s="55"/>
      <c r="Q1034" s="55"/>
      <c r="R1034" s="55"/>
      <c r="S1034" s="55"/>
      <c r="T1034" s="55"/>
      <c r="U1034" s="55"/>
      <c r="V1034" s="55"/>
      <c r="W1034" s="55"/>
      <c r="X1034" s="55"/>
      <c r="Y1034" s="55"/>
      <c r="Z1034" s="55"/>
      <c r="AA1034" s="55"/>
      <c r="AB1034" s="55"/>
      <c r="AC1034" s="55"/>
      <c r="AD1034" s="55"/>
      <c r="AE1034" s="55"/>
      <c r="AF1034" s="55"/>
      <c r="AG1034" s="55"/>
      <c r="AH1034" s="55"/>
      <c r="AI1034" s="55"/>
      <c r="AJ1034" s="55"/>
      <c r="AK1034" s="55"/>
      <c r="AL1034" s="55"/>
      <c r="AM1034" s="55"/>
      <c r="AN1034" s="55"/>
      <c r="AO1034" s="55"/>
      <c r="AP1034" s="55"/>
      <c r="AQ1034" s="55"/>
      <c r="AR1034" s="55"/>
      <c r="AS1034" s="55"/>
      <c r="AT1034" s="55"/>
      <c r="AU1034" s="55"/>
      <c r="AV1034" s="55"/>
      <c r="AW1034" s="55"/>
      <c r="AX1034" s="55"/>
      <c r="AY1034" s="55"/>
      <c r="AZ1034" s="55"/>
      <c r="BA1034" s="55"/>
      <c r="BB1034" s="55"/>
      <c r="BC1034" s="55"/>
      <c r="BD1034" s="55"/>
      <c r="BE1034" s="55"/>
      <c r="BF1034" s="55"/>
      <c r="BG1034" s="55"/>
      <c r="BH1034" s="55"/>
      <c r="BI1034" s="55"/>
      <c r="BJ1034" s="55"/>
      <c r="BK1034" s="78">
        <v>0</v>
      </c>
      <c r="BM1034" s="45"/>
    </row>
    <row r="1035" spans="1:65" x14ac:dyDescent="0.35">
      <c r="A1035" s="41" t="str">
        <f>Database_Productkaarten[[#This Row],[Product]]&amp;", "&amp;Database_Productkaarten[[#This Row],[Levensfase]]</f>
        <v>Industriezand, Cascade-leden, C1</v>
      </c>
      <c r="B1035" s="41" t="s">
        <v>162</v>
      </c>
      <c r="C1035" s="41" t="s">
        <v>131</v>
      </c>
      <c r="D1035" s="41" t="s">
        <v>54</v>
      </c>
      <c r="E1035" s="41" t="s">
        <v>91</v>
      </c>
      <c r="F1035" s="41" t="s">
        <v>25</v>
      </c>
      <c r="L1035" s="41">
        <v>1.6</v>
      </c>
      <c r="M1035" s="53">
        <f>((1/Database_Productkaarten[[#This Row],[Soortelijk Gewicht '[ton / m3']]])/$H$1164)*(G$1164)</f>
        <v>4.3754784212420766E-2</v>
      </c>
      <c r="N1035" s="41">
        <v>100</v>
      </c>
      <c r="O1035" s="55">
        <f>((1/Database_Productkaarten[[#This Row],[Soortelijk Gewicht '[ton / m3']]])/$H$1164)*(J$1164)</f>
        <v>2.2103958333333332E-7</v>
      </c>
      <c r="P1035" s="55">
        <f>((1/Database_Productkaarten[[#This Row],[Soortelijk Gewicht '[ton / m3']]])/$H$1164)*(K$1164)</f>
        <v>3.2263142147916667E-3</v>
      </c>
      <c r="Q1035" s="55">
        <f>((1/Database_Productkaarten[[#This Row],[Soortelijk Gewicht '[ton / m3']]])/$H$1164)*(L$1164)</f>
        <v>0.47220369043749999</v>
      </c>
      <c r="R1035" s="55">
        <f>((1/Database_Productkaarten[[#This Row],[Soortelijk Gewicht '[ton / m3']]])/$H$1164)*(M$1164)</f>
        <v>8.2237708333333324E-8</v>
      </c>
      <c r="S1035" s="55">
        <f>((1/Database_Productkaarten[[#This Row],[Soortelijk Gewicht '[ton / m3']]])/$H$1164)*(N$1164)</f>
        <v>1.5546990708333334E-4</v>
      </c>
      <c r="T1035" s="55">
        <f>((1/Database_Productkaarten[[#This Row],[Soortelijk Gewicht '[ton / m3']]])/$H$1164)*(O$1164)</f>
        <v>4.4137157271653107E-4</v>
      </c>
      <c r="U1035" s="55">
        <f>((1/Database_Productkaarten[[#This Row],[Soortelijk Gewicht '[ton / m3']]])/$H$1164)*(P$1164)</f>
        <v>1.2062668749999999E-3</v>
      </c>
      <c r="V1035" s="55">
        <f>((1/Database_Productkaarten[[#This Row],[Soortelijk Gewicht '[ton / m3']]])/$H$1164)*(Q$1164)</f>
        <v>0.31842859103124999</v>
      </c>
      <c r="W1035" s="55">
        <f>((1/Database_Productkaarten[[#This Row],[Soortelijk Gewicht '[ton / m3']]])/$H$1164)*(R$1164)</f>
        <v>3.7273966828583328E-9</v>
      </c>
      <c r="X1035" s="55">
        <f>((1/Database_Productkaarten[[#This Row],[Soortelijk Gewicht '[ton / m3']]])/$H$1164)*(S$1164)</f>
        <v>0.18203933032491099</v>
      </c>
      <c r="Y1035" s="55">
        <f>((1/Database_Productkaarten[[#This Row],[Soortelijk Gewicht '[ton / m3']]])/$H$1164)*(T$1164)</f>
        <v>1.4302775905211417E-3</v>
      </c>
      <c r="Z1035" s="55"/>
      <c r="AA1035" s="55"/>
      <c r="AB1035" s="55"/>
      <c r="AC1035" s="55"/>
      <c r="AD1035" s="55"/>
      <c r="AE1035" s="55"/>
      <c r="AF1035" s="55"/>
      <c r="AG1035" s="55"/>
      <c r="AH1035" s="55"/>
      <c r="AI1035" s="55"/>
      <c r="AJ1035" s="55"/>
      <c r="AK1035" s="55"/>
      <c r="AL1035" s="55"/>
      <c r="AM1035" s="55"/>
      <c r="AN1035" s="55"/>
      <c r="AO1035" s="55"/>
      <c r="AP1035" s="55"/>
      <c r="AQ1035" s="55"/>
      <c r="AR1035" s="55"/>
      <c r="AS1035" s="55"/>
      <c r="AT1035" s="55"/>
      <c r="AU1035" s="55">
        <f>((1/Database_Productkaarten[[#This Row],[Soortelijk Gewicht '[ton / m3']]])/$H$1164)*(AP$1164)</f>
        <v>3.1456856835489578E-8</v>
      </c>
      <c r="AV1035" s="55"/>
      <c r="AW1035" s="55"/>
      <c r="AX1035" s="55">
        <f>((1/Database_Productkaarten[[#This Row],[Soortelijk Gewicht '[ton / m3']]])/$H$1164)*(AS$1164)</f>
        <v>8.1549075006355082E-3</v>
      </c>
      <c r="AY1035" s="55"/>
      <c r="AZ1035" s="55"/>
      <c r="BA1035" s="55"/>
      <c r="BB1035" s="55">
        <f>((1/Database_Productkaarten[[#This Row],[Soortelijk Gewicht '[ton / m3']]])/$H$1164)*(AW$1164)</f>
        <v>5.9776108671881242E-6</v>
      </c>
      <c r="BC1035" s="55">
        <f>((1/Database_Productkaarten[[#This Row],[Soortelijk Gewicht '[ton / m3']]])/$H$1164)*(AX$1164)</f>
        <v>1.1530331124100664E-4</v>
      </c>
      <c r="BD1035" s="55">
        <f>((1/Database_Productkaarten[[#This Row],[Soortelijk Gewicht '[ton / m3']]])/$H$1164)*(AY$1164)</f>
        <v>3.2799006821667943E-10</v>
      </c>
      <c r="BE1035" s="55">
        <f>((1/Database_Productkaarten[[#This Row],[Soortelijk Gewicht '[ton / m3']]])/$H$1164)*(AZ$1164)</f>
        <v>0</v>
      </c>
      <c r="BF1035" s="55"/>
      <c r="BG1035" s="55"/>
      <c r="BH1035" s="55"/>
      <c r="BI1035" s="55"/>
      <c r="BJ1035" s="55"/>
      <c r="BK1035" s="78">
        <v>0</v>
      </c>
      <c r="BM1035" s="45"/>
    </row>
    <row r="1036" spans="1:65" x14ac:dyDescent="0.35">
      <c r="A1036" s="41" t="str">
        <f>Database_Productkaarten[[#This Row],[Product]]&amp;", "&amp;Database_Productkaarten[[#This Row],[Levensfase]]</f>
        <v>Industriezand, Cascade-leden, C2</v>
      </c>
      <c r="B1036" s="41" t="s">
        <v>162</v>
      </c>
      <c r="C1036" s="41" t="s">
        <v>131</v>
      </c>
      <c r="D1036" s="41" t="s">
        <v>54</v>
      </c>
      <c r="E1036" s="41" t="s">
        <v>91</v>
      </c>
      <c r="F1036" s="41" t="s">
        <v>26</v>
      </c>
      <c r="L1036" s="41">
        <v>1.6</v>
      </c>
      <c r="M1036" s="53">
        <f>G$1051*50</f>
        <v>0.47396919681357996</v>
      </c>
      <c r="N1036" s="41">
        <v>100</v>
      </c>
      <c r="O1036" s="55">
        <f t="shared" ref="O1036:Y1036" si="1174">J$1051*50</f>
        <v>8.1082254999999995E-6</v>
      </c>
      <c r="P1036" s="55">
        <f t="shared" si="1174"/>
        <v>3.1970782499999996E-2</v>
      </c>
      <c r="Q1036" s="55">
        <f t="shared" si="1174"/>
        <v>4.2243894499999994</v>
      </c>
      <c r="R1036" s="55">
        <f t="shared" si="1174"/>
        <v>8.3985024999999995E-7</v>
      </c>
      <c r="S1036" s="55">
        <f t="shared" si="1174"/>
        <v>2.6661339499999999E-3</v>
      </c>
      <c r="T1036" s="55">
        <f t="shared" si="1174"/>
        <v>1.5406751E-2</v>
      </c>
      <c r="U1036" s="55">
        <f t="shared" si="1174"/>
        <v>3.13787795E-3</v>
      </c>
      <c r="V1036" s="55">
        <f t="shared" si="1174"/>
        <v>1.4876886499999999</v>
      </c>
      <c r="W1036" s="55">
        <f t="shared" si="1174"/>
        <v>9.5939509999999992E-2</v>
      </c>
      <c r="X1036" s="55">
        <f t="shared" si="1174"/>
        <v>251.08560500000002</v>
      </c>
      <c r="Y1036" s="55">
        <f t="shared" si="1174"/>
        <v>8.8168090000000001E-3</v>
      </c>
      <c r="Z1036" s="55"/>
      <c r="AA1036" s="55"/>
      <c r="AB1036" s="55"/>
      <c r="AC1036" s="55"/>
      <c r="AD1036" s="55"/>
      <c r="AE1036" s="55"/>
      <c r="AF1036" s="55"/>
      <c r="AG1036" s="55"/>
      <c r="AH1036" s="55"/>
      <c r="AI1036" s="55"/>
      <c r="AJ1036" s="55"/>
      <c r="AK1036" s="55"/>
      <c r="AL1036" s="55"/>
      <c r="AM1036" s="55"/>
      <c r="AN1036" s="55"/>
      <c r="AO1036" s="55"/>
      <c r="AP1036" s="55"/>
      <c r="AQ1036" s="55"/>
      <c r="AR1036" s="55"/>
      <c r="AS1036" s="55"/>
      <c r="AT1036" s="55"/>
      <c r="AU1036" s="55">
        <f>AP$1051*50</f>
        <v>1.14222405</v>
      </c>
      <c r="AV1036" s="55"/>
      <c r="AW1036" s="55"/>
      <c r="AX1036" s="55">
        <f>AS$1051*50</f>
        <v>73.033640000000005</v>
      </c>
      <c r="AY1036" s="55"/>
      <c r="AZ1036" s="55"/>
      <c r="BA1036" s="55"/>
      <c r="BB1036" s="55">
        <f>AW$1051*50</f>
        <v>1.4826382499999999E-2</v>
      </c>
      <c r="BC1036" s="55">
        <f>AX$1051*50</f>
        <v>5.1738344999999999E-4</v>
      </c>
      <c r="BD1036" s="55">
        <f>AY$1051*50</f>
        <v>6.0308634999999997</v>
      </c>
      <c r="BE1036" s="55">
        <f>AZ$1051*50</f>
        <v>0</v>
      </c>
      <c r="BF1036" s="55"/>
      <c r="BG1036" s="55"/>
      <c r="BH1036" s="55"/>
      <c r="BI1036" s="55"/>
      <c r="BJ1036" s="55"/>
      <c r="BK1036" s="78">
        <v>0</v>
      </c>
      <c r="BM1036" s="45"/>
    </row>
    <row r="1037" spans="1:65" x14ac:dyDescent="0.35">
      <c r="A1037" s="41" t="str">
        <f>Database_Productkaarten[[#This Row],[Product]]&amp;", "&amp;Database_Productkaarten[[#This Row],[Levensfase]]</f>
        <v>Industriezand, Cascade-leden, C3</v>
      </c>
      <c r="B1037" s="41" t="s">
        <v>162</v>
      </c>
      <c r="C1037" s="41" t="s">
        <v>131</v>
      </c>
      <c r="D1037" s="41" t="s">
        <v>54</v>
      </c>
      <c r="E1037" s="41" t="s">
        <v>91</v>
      </c>
      <c r="F1037" s="41" t="s">
        <v>27</v>
      </c>
      <c r="L1037" s="41">
        <v>1.6</v>
      </c>
      <c r="M1037" s="53">
        <v>0</v>
      </c>
      <c r="N1037" s="41">
        <v>100</v>
      </c>
      <c r="O1037" s="55"/>
      <c r="P1037" s="55"/>
      <c r="Q1037" s="55"/>
      <c r="R1037" s="55"/>
      <c r="S1037" s="55"/>
      <c r="T1037" s="55"/>
      <c r="U1037" s="55"/>
      <c r="V1037" s="55"/>
      <c r="W1037" s="55"/>
      <c r="X1037" s="55"/>
      <c r="Y1037" s="55"/>
      <c r="Z1037" s="55"/>
      <c r="AA1037" s="55"/>
      <c r="AB1037" s="55"/>
      <c r="AC1037" s="55"/>
      <c r="AD1037" s="55"/>
      <c r="AE1037" s="55"/>
      <c r="AF1037" s="55"/>
      <c r="AG1037" s="55"/>
      <c r="AH1037" s="55"/>
      <c r="AI1037" s="55"/>
      <c r="AJ1037" s="55"/>
      <c r="AK1037" s="55"/>
      <c r="AL1037" s="55"/>
      <c r="AM1037" s="55"/>
      <c r="AN1037" s="55"/>
      <c r="AO1037" s="55"/>
      <c r="AP1037" s="55"/>
      <c r="AQ1037" s="55"/>
      <c r="AR1037" s="55"/>
      <c r="AS1037" s="55"/>
      <c r="AT1037" s="55"/>
      <c r="AU1037" s="55"/>
      <c r="AV1037" s="55"/>
      <c r="AW1037" s="55"/>
      <c r="AX1037" s="55"/>
      <c r="AY1037" s="55"/>
      <c r="AZ1037" s="55"/>
      <c r="BA1037" s="55"/>
      <c r="BB1037" s="55"/>
      <c r="BC1037" s="55"/>
      <c r="BD1037" s="55"/>
      <c r="BE1037" s="55"/>
      <c r="BF1037" s="55"/>
      <c r="BG1037" s="55"/>
      <c r="BH1037" s="55"/>
      <c r="BI1037" s="55"/>
      <c r="BJ1037" s="55"/>
      <c r="BK1037" s="78">
        <v>0</v>
      </c>
      <c r="BM1037" s="45"/>
    </row>
    <row r="1038" spans="1:65" x14ac:dyDescent="0.35">
      <c r="A1038" s="41" t="str">
        <f>Database_Productkaarten[[#This Row],[Product]]&amp;", "&amp;Database_Productkaarten[[#This Row],[Levensfase]]</f>
        <v>Industriezand, Cascade-leden, C4</v>
      </c>
      <c r="B1038" s="41" t="s">
        <v>162</v>
      </c>
      <c r="C1038" s="41" t="s">
        <v>131</v>
      </c>
      <c r="D1038" s="41" t="s">
        <v>54</v>
      </c>
      <c r="E1038" s="41" t="s">
        <v>91</v>
      </c>
      <c r="F1038" s="41" t="s">
        <v>28</v>
      </c>
      <c r="L1038" s="41">
        <v>1.6</v>
      </c>
      <c r="M1038" s="53">
        <v>0</v>
      </c>
      <c r="N1038" s="41">
        <v>100</v>
      </c>
      <c r="O1038" s="55"/>
      <c r="P1038" s="55"/>
      <c r="Q1038" s="55"/>
      <c r="R1038" s="55"/>
      <c r="S1038" s="55"/>
      <c r="T1038" s="55"/>
      <c r="U1038" s="55"/>
      <c r="V1038" s="55"/>
      <c r="W1038" s="55"/>
      <c r="X1038" s="55"/>
      <c r="Y1038" s="55"/>
      <c r="Z1038" s="55"/>
      <c r="AA1038" s="55"/>
      <c r="AB1038" s="55"/>
      <c r="AC1038" s="55"/>
      <c r="AD1038" s="55"/>
      <c r="AE1038" s="55"/>
      <c r="AF1038" s="55"/>
      <c r="AG1038" s="55"/>
      <c r="AH1038" s="55"/>
      <c r="AI1038" s="55"/>
      <c r="AJ1038" s="55"/>
      <c r="AK1038" s="55"/>
      <c r="AL1038" s="55"/>
      <c r="AM1038" s="55"/>
      <c r="AN1038" s="55"/>
      <c r="AO1038" s="55"/>
      <c r="AP1038" s="55"/>
      <c r="AQ1038" s="55"/>
      <c r="AR1038" s="55"/>
      <c r="AS1038" s="55"/>
      <c r="AT1038" s="55"/>
      <c r="AU1038" s="55"/>
      <c r="AV1038" s="55"/>
      <c r="AW1038" s="55"/>
      <c r="AX1038" s="55"/>
      <c r="AY1038" s="55"/>
      <c r="AZ1038" s="55"/>
      <c r="BA1038" s="55"/>
      <c r="BB1038" s="55"/>
      <c r="BC1038" s="55"/>
      <c r="BD1038" s="55"/>
      <c r="BE1038" s="55"/>
      <c r="BF1038" s="55"/>
      <c r="BG1038" s="55"/>
      <c r="BH1038" s="55"/>
      <c r="BI1038" s="55"/>
      <c r="BJ1038" s="55"/>
      <c r="BK1038" s="78">
        <v>0</v>
      </c>
      <c r="BM1038" s="45"/>
    </row>
    <row r="1039" spans="1:65" x14ac:dyDescent="0.35">
      <c r="A1039" s="41" t="str">
        <f>Database_Productkaarten[[#This Row],[Product]]&amp;", "&amp;Database_Productkaarten[[#This Row],[Levensfase]]</f>
        <v>Industriezand, Cascade-leden, D1</v>
      </c>
      <c r="B1039" s="41" t="s">
        <v>162</v>
      </c>
      <c r="C1039" s="41" t="s">
        <v>131</v>
      </c>
      <c r="D1039" s="41" t="s">
        <v>54</v>
      </c>
      <c r="E1039" s="41" t="s">
        <v>91</v>
      </c>
      <c r="F1039" s="41" t="s">
        <v>51</v>
      </c>
      <c r="L1039" s="41">
        <v>1.6</v>
      </c>
      <c r="M1039" s="53">
        <v>0</v>
      </c>
      <c r="N1039" s="41">
        <v>100</v>
      </c>
      <c r="O1039" s="55"/>
      <c r="P1039" s="55"/>
      <c r="Q1039" s="55"/>
      <c r="R1039" s="55"/>
      <c r="S1039" s="55"/>
      <c r="T1039" s="55"/>
      <c r="U1039" s="55"/>
      <c r="V1039" s="55"/>
      <c r="W1039" s="55"/>
      <c r="X1039" s="55"/>
      <c r="Y1039" s="55"/>
      <c r="Z1039" s="55"/>
      <c r="AA1039" s="55"/>
      <c r="AB1039" s="55"/>
      <c r="AC1039" s="55"/>
      <c r="AD1039" s="55"/>
      <c r="AE1039" s="55"/>
      <c r="AF1039" s="55"/>
      <c r="AG1039" s="55"/>
      <c r="AH1039" s="55"/>
      <c r="AI1039" s="55"/>
      <c r="AJ1039" s="55"/>
      <c r="AK1039" s="55"/>
      <c r="AL1039" s="55"/>
      <c r="AM1039" s="55"/>
      <c r="AN1039" s="55"/>
      <c r="AO1039" s="55"/>
      <c r="AP1039" s="55"/>
      <c r="AQ1039" s="55"/>
      <c r="AR1039" s="55"/>
      <c r="AS1039" s="55"/>
      <c r="AT1039" s="55"/>
      <c r="AU1039" s="55"/>
      <c r="AV1039" s="55"/>
      <c r="AW1039" s="55"/>
      <c r="AX1039" s="55"/>
      <c r="AY1039" s="55"/>
      <c r="AZ1039" s="55"/>
      <c r="BA1039" s="55"/>
      <c r="BB1039" s="55"/>
      <c r="BC1039" s="55"/>
      <c r="BD1039" s="55"/>
      <c r="BE1039" s="55"/>
      <c r="BF1039" s="55"/>
      <c r="BG1039" s="55"/>
      <c r="BH1039" s="55"/>
      <c r="BI1039" s="55"/>
      <c r="BJ1039" s="55"/>
      <c r="BK1039" s="78">
        <v>0</v>
      </c>
      <c r="BM1039" s="45"/>
    </row>
    <row r="1040" spans="1:65" x14ac:dyDescent="0.35">
      <c r="A1040" s="41" t="str">
        <f>Database_Productkaarten[[#This Row],[Product]]&amp;", "&amp;Database_Productkaarten[[#This Row],[Levensfase]]</f>
        <v>Industriezand, Cascade-leden, D2</v>
      </c>
      <c r="B1040" s="41" t="s">
        <v>162</v>
      </c>
      <c r="C1040" s="41" t="s">
        <v>131</v>
      </c>
      <c r="D1040" s="41" t="s">
        <v>54</v>
      </c>
      <c r="E1040" s="41" t="s">
        <v>91</v>
      </c>
      <c r="F1040" s="41" t="s">
        <v>52</v>
      </c>
      <c r="L1040" s="41">
        <v>1.6</v>
      </c>
      <c r="M1040" s="53">
        <v>0</v>
      </c>
      <c r="N1040" s="41">
        <v>100</v>
      </c>
      <c r="O1040" s="55"/>
      <c r="P1040" s="55"/>
      <c r="Q1040" s="55"/>
      <c r="R1040" s="55"/>
      <c r="S1040" s="55"/>
      <c r="T1040" s="55"/>
      <c r="U1040" s="55"/>
      <c r="V1040" s="55"/>
      <c r="W1040" s="55"/>
      <c r="X1040" s="55"/>
      <c r="Y1040" s="55"/>
      <c r="Z1040" s="55"/>
      <c r="AA1040" s="55"/>
      <c r="AB1040" s="55"/>
      <c r="AC1040" s="55"/>
      <c r="AD1040" s="55"/>
      <c r="AE1040" s="55"/>
      <c r="AF1040" s="55"/>
      <c r="AG1040" s="55"/>
      <c r="AH1040" s="55"/>
      <c r="AI1040" s="55"/>
      <c r="AJ1040" s="55"/>
      <c r="AK1040" s="55"/>
      <c r="AL1040" s="55"/>
      <c r="AM1040" s="55"/>
      <c r="AN1040" s="55"/>
      <c r="AO1040" s="55"/>
      <c r="AP1040" s="55"/>
      <c r="AQ1040" s="55"/>
      <c r="AR1040" s="55"/>
      <c r="AS1040" s="55"/>
      <c r="AT1040" s="55"/>
      <c r="AU1040" s="55"/>
      <c r="AV1040" s="55"/>
      <c r="AW1040" s="55"/>
      <c r="AX1040" s="55"/>
      <c r="AY1040" s="55"/>
      <c r="AZ1040" s="55"/>
      <c r="BA1040" s="55"/>
      <c r="BB1040" s="55"/>
      <c r="BC1040" s="55"/>
      <c r="BD1040" s="55"/>
      <c r="BE1040" s="55"/>
      <c r="BF1040" s="55"/>
      <c r="BG1040" s="55"/>
      <c r="BH1040" s="55"/>
      <c r="BI1040" s="55"/>
      <c r="BJ1040" s="55"/>
      <c r="BK1040" s="78">
        <v>0</v>
      </c>
      <c r="BM1040" s="45"/>
    </row>
    <row r="1041" spans="1:59" x14ac:dyDescent="0.35">
      <c r="H1041" s="53"/>
      <c r="AB1041" s="78"/>
    </row>
    <row r="1042" spans="1:59" x14ac:dyDescent="0.35">
      <c r="H1042" s="53"/>
      <c r="AB1042" s="78"/>
    </row>
    <row r="1043" spans="1:59" x14ac:dyDescent="0.35">
      <c r="H1043" s="53"/>
      <c r="AB1043" s="78"/>
    </row>
    <row r="1044" spans="1:59" x14ac:dyDescent="0.35">
      <c r="H1044" s="53"/>
      <c r="AB1044" s="78"/>
    </row>
    <row r="1045" spans="1:59" x14ac:dyDescent="0.35">
      <c r="H1045" s="53"/>
      <c r="AB1045" s="78"/>
    </row>
    <row r="1047" spans="1:59" x14ac:dyDescent="0.35">
      <c r="A1047" s="41" t="s">
        <v>64</v>
      </c>
    </row>
    <row r="1048" spans="1:59" ht="15.5" x14ac:dyDescent="0.35">
      <c r="A1048" s="41" t="s">
        <v>56</v>
      </c>
      <c r="B1048" s="41" t="s">
        <v>57</v>
      </c>
      <c r="C1048" s="41" t="s">
        <v>5</v>
      </c>
      <c r="D1048" s="41" t="s">
        <v>442</v>
      </c>
      <c r="E1048" s="41" t="s">
        <v>58</v>
      </c>
      <c r="F1048" s="41" t="s">
        <v>275</v>
      </c>
      <c r="G1048" s="41" t="s">
        <v>7</v>
      </c>
      <c r="H1048" s="41" t="s">
        <v>60</v>
      </c>
      <c r="I1048" s="41" t="s">
        <v>204</v>
      </c>
      <c r="J1048" s="234" t="s">
        <v>627</v>
      </c>
      <c r="K1048" s="235" t="s">
        <v>628</v>
      </c>
      <c r="L1048" s="235" t="s">
        <v>629</v>
      </c>
      <c r="M1048" s="235" t="s">
        <v>630</v>
      </c>
      <c r="N1048" s="236" t="s">
        <v>631</v>
      </c>
      <c r="O1048" s="235" t="s">
        <v>632</v>
      </c>
      <c r="P1048" s="235" t="s">
        <v>633</v>
      </c>
      <c r="Q1048" s="235" t="s">
        <v>634</v>
      </c>
      <c r="R1048" s="235" t="s">
        <v>635</v>
      </c>
      <c r="S1048" s="235" t="s">
        <v>636</v>
      </c>
      <c r="T1048" s="235" t="s">
        <v>637</v>
      </c>
      <c r="U1048" s="235" t="s">
        <v>638</v>
      </c>
      <c r="V1048" s="235" t="s">
        <v>639</v>
      </c>
      <c r="W1048" s="235" t="s">
        <v>640</v>
      </c>
      <c r="X1048" s="236" t="s">
        <v>641</v>
      </c>
      <c r="Y1048" s="236" t="s">
        <v>642</v>
      </c>
      <c r="Z1048" s="235" t="s">
        <v>643</v>
      </c>
      <c r="AA1048" s="235" t="s">
        <v>644</v>
      </c>
      <c r="AB1048" s="236" t="s">
        <v>645</v>
      </c>
      <c r="AC1048" s="235" t="s">
        <v>646</v>
      </c>
      <c r="AD1048" s="235" t="s">
        <v>647</v>
      </c>
      <c r="AE1048" s="236" t="s">
        <v>648</v>
      </c>
      <c r="AF1048" s="236" t="s">
        <v>649</v>
      </c>
      <c r="AG1048" s="236" t="s">
        <v>650</v>
      </c>
      <c r="AH1048" s="236" t="s">
        <v>651</v>
      </c>
      <c r="AI1048" s="236" t="s">
        <v>652</v>
      </c>
      <c r="AJ1048" s="236" t="s">
        <v>653</v>
      </c>
      <c r="AK1048" s="236" t="s">
        <v>654</v>
      </c>
      <c r="AL1048" s="236" t="s">
        <v>655</v>
      </c>
      <c r="AM1048" s="236" t="s">
        <v>656</v>
      </c>
      <c r="AN1048" s="236" t="s">
        <v>657</v>
      </c>
      <c r="AO1048" s="235" t="s">
        <v>658</v>
      </c>
      <c r="AP1048" s="235" t="s">
        <v>659</v>
      </c>
      <c r="AQ1048" s="235" t="s">
        <v>660</v>
      </c>
      <c r="AR1048" s="235" t="s">
        <v>661</v>
      </c>
      <c r="AS1048" s="236" t="s">
        <v>662</v>
      </c>
      <c r="AT1048" s="236" t="s">
        <v>663</v>
      </c>
      <c r="AU1048" s="236" t="s">
        <v>664</v>
      </c>
      <c r="AV1048" s="236" t="s">
        <v>665</v>
      </c>
      <c r="AW1048" s="236" t="s">
        <v>666</v>
      </c>
      <c r="AX1048" s="236" t="s">
        <v>667</v>
      </c>
      <c r="AY1048" s="236" t="s">
        <v>668</v>
      </c>
      <c r="AZ1048" s="236" t="s">
        <v>669</v>
      </c>
      <c r="BA1048" s="236" t="s">
        <v>670</v>
      </c>
      <c r="BB1048" s="236" t="s">
        <v>671</v>
      </c>
      <c r="BC1048" s="236" t="s">
        <v>672</v>
      </c>
      <c r="BD1048" s="236" t="s">
        <v>673</v>
      </c>
      <c r="BE1048" s="237" t="s">
        <v>674</v>
      </c>
      <c r="BF1048" s="41" t="s">
        <v>59</v>
      </c>
      <c r="BG1048" s="41" t="s">
        <v>61</v>
      </c>
    </row>
    <row r="1049" spans="1:59" x14ac:dyDescent="0.35">
      <c r="A1049" s="45" t="s">
        <v>318</v>
      </c>
      <c r="B1049" s="41" t="s">
        <v>63</v>
      </c>
      <c r="C1049" s="41" t="s">
        <v>64</v>
      </c>
      <c r="E1049" s="41" t="s">
        <v>65</v>
      </c>
      <c r="F1049" s="45">
        <v>0</v>
      </c>
      <c r="G1049" s="54">
        <v>0</v>
      </c>
      <c r="H1049" s="41">
        <v>0</v>
      </c>
      <c r="I1049" s="107">
        <v>0</v>
      </c>
      <c r="J1049" s="41">
        <v>0</v>
      </c>
      <c r="K1049" s="41">
        <v>0</v>
      </c>
      <c r="L1049" s="41">
        <v>0</v>
      </c>
      <c r="M1049" s="41">
        <v>0</v>
      </c>
      <c r="N1049" s="41">
        <v>0</v>
      </c>
      <c r="O1049" s="41">
        <v>0</v>
      </c>
      <c r="P1049" s="41">
        <v>0</v>
      </c>
      <c r="Q1049" s="41">
        <v>0</v>
      </c>
      <c r="R1049" s="41">
        <v>0</v>
      </c>
      <c r="S1049" s="41">
        <v>0</v>
      </c>
      <c r="T1049" s="41">
        <v>0</v>
      </c>
      <c r="AP1049" s="41">
        <v>0</v>
      </c>
      <c r="AS1049" s="41">
        <v>0</v>
      </c>
      <c r="AW1049" s="41">
        <v>0</v>
      </c>
      <c r="AX1049" s="41">
        <v>0</v>
      </c>
      <c r="AY1049" s="41">
        <v>0</v>
      </c>
      <c r="AZ1049" s="41">
        <v>0</v>
      </c>
      <c r="BF1049" s="45"/>
      <c r="BG1049" s="45"/>
    </row>
    <row r="1050" spans="1:59" ht="15.5" x14ac:dyDescent="0.45">
      <c r="A1050" s="41" t="s">
        <v>62</v>
      </c>
      <c r="B1050" s="41" t="s">
        <v>63</v>
      </c>
      <c r="C1050" s="41" t="s">
        <v>64</v>
      </c>
      <c r="D1050" s="41" t="s">
        <v>446</v>
      </c>
      <c r="E1050" s="41" t="s">
        <v>65</v>
      </c>
      <c r="G1050" s="53">
        <v>1.0881935667582001E-2</v>
      </c>
      <c r="H1050" s="41">
        <v>0.84</v>
      </c>
      <c r="I1050" s="108">
        <v>35.9</v>
      </c>
      <c r="J1050" s="41">
        <v>1.6826795000000001E-7</v>
      </c>
      <c r="K1050" s="41">
        <v>6.8374330999999996E-4</v>
      </c>
      <c r="L1050" s="41">
        <v>8.9084036000000005E-2</v>
      </c>
      <c r="M1050" s="41">
        <v>1.7241377E-8</v>
      </c>
      <c r="N1050" s="41">
        <v>5.5759847000000003E-5</v>
      </c>
      <c r="O1050" s="41">
        <v>3.4963807999999999E-4</v>
      </c>
      <c r="P1050" s="41">
        <v>6.8541201000000003E-5</v>
      </c>
      <c r="Q1050" s="41">
        <v>4.1268493000000003E-2</v>
      </c>
      <c r="R1050" s="41">
        <v>1.1083848000000001E-3</v>
      </c>
      <c r="S1050" s="41">
        <v>4.3578945999999998</v>
      </c>
      <c r="T1050" s="41">
        <v>1.2737628E-4</v>
      </c>
      <c r="AP1050" s="41">
        <v>1.5202688000000001E-2</v>
      </c>
      <c r="AS1050" s="41">
        <v>1.5238096999999999</v>
      </c>
      <c r="AW1050" s="41">
        <v>2.8599655999999999E-4</v>
      </c>
      <c r="AX1050" s="41">
        <v>8.3171562000000003E-7</v>
      </c>
      <c r="AY1050" s="41">
        <v>0.12210637000000001</v>
      </c>
      <c r="AZ1050" s="41">
        <v>9.7538697999999996E-6</v>
      </c>
      <c r="BF1050" s="41" t="s">
        <v>66</v>
      </c>
    </row>
    <row r="1051" spans="1:59" ht="15.5" x14ac:dyDescent="0.45">
      <c r="A1051" s="41" t="s">
        <v>67</v>
      </c>
      <c r="B1051" s="41" t="s">
        <v>63</v>
      </c>
      <c r="C1051" s="41" t="s">
        <v>64</v>
      </c>
      <c r="D1051" s="41" t="s">
        <v>446</v>
      </c>
      <c r="E1051" s="41" t="s">
        <v>65</v>
      </c>
      <c r="F1051" s="41">
        <v>2.2821428571428572E-2</v>
      </c>
      <c r="G1051" s="53">
        <v>9.4793839362715994E-3</v>
      </c>
      <c r="H1051" s="41">
        <v>0.84</v>
      </c>
      <c r="I1051" s="108">
        <v>35.9</v>
      </c>
      <c r="J1051" s="41">
        <v>1.6216450999999999E-7</v>
      </c>
      <c r="K1051" s="41">
        <v>6.3941564999999995E-4</v>
      </c>
      <c r="L1051" s="41">
        <v>8.4487788999999994E-2</v>
      </c>
      <c r="M1051" s="41">
        <v>1.6797005E-8</v>
      </c>
      <c r="N1051" s="41">
        <v>5.3322678999999999E-5</v>
      </c>
      <c r="O1051" s="41">
        <v>3.0813501999999999E-4</v>
      </c>
      <c r="P1051" s="41">
        <v>6.2757558999999998E-5</v>
      </c>
      <c r="Q1051" s="41">
        <v>2.9753773000000001E-2</v>
      </c>
      <c r="R1051" s="41">
        <v>1.9187901999999999E-3</v>
      </c>
      <c r="S1051" s="41">
        <v>5.0217121000000002</v>
      </c>
      <c r="T1051" s="41">
        <v>1.7633618000000001E-4</v>
      </c>
      <c r="AP1051" s="41">
        <v>2.2844481E-2</v>
      </c>
      <c r="AS1051" s="41">
        <v>1.4606728</v>
      </c>
      <c r="AW1051" s="41">
        <v>2.9652764999999999E-4</v>
      </c>
      <c r="AX1051" s="41">
        <v>1.0347668999999999E-5</v>
      </c>
      <c r="AY1051" s="41">
        <v>0.12061727</v>
      </c>
      <c r="AZ1051" s="41">
        <v>0</v>
      </c>
      <c r="BF1051" s="41" t="s">
        <v>68</v>
      </c>
      <c r="BG1051" s="41" t="s">
        <v>69</v>
      </c>
    </row>
    <row r="1052" spans="1:59" ht="15.5" x14ac:dyDescent="0.45">
      <c r="A1052" s="41" t="s">
        <v>70</v>
      </c>
      <c r="B1052" s="41" t="s">
        <v>63</v>
      </c>
      <c r="C1052" s="41" t="s">
        <v>64</v>
      </c>
      <c r="D1052" s="41" t="s">
        <v>446</v>
      </c>
      <c r="E1052" s="41" t="s">
        <v>65</v>
      </c>
      <c r="F1052" s="41">
        <v>2.1883561643835616E-2</v>
      </c>
      <c r="G1052" s="53">
        <v>8.1476826419163983E-3</v>
      </c>
      <c r="H1052" s="41">
        <v>0.876</v>
      </c>
      <c r="I1052" s="108">
        <v>33.1</v>
      </c>
      <c r="J1052" s="41">
        <v>1.9280534E-7</v>
      </c>
      <c r="K1052" s="41">
        <v>2.7040928000000001E-4</v>
      </c>
      <c r="L1052" s="41">
        <v>3.6055587E-2</v>
      </c>
      <c r="M1052" s="41">
        <v>5.6800754000000003E-9</v>
      </c>
      <c r="N1052" s="41">
        <v>4.9400848999999997E-5</v>
      </c>
      <c r="O1052" s="41">
        <v>3.5204801E-4</v>
      </c>
      <c r="P1052" s="41">
        <v>1.3691174999999999E-4</v>
      </c>
      <c r="Q1052" s="41">
        <v>2.6536790000000001E-2</v>
      </c>
      <c r="R1052" s="41">
        <v>1.3809693E-2</v>
      </c>
      <c r="S1052" s="41">
        <v>4.3312749000000004</v>
      </c>
      <c r="T1052" s="41">
        <v>5.4417948000000001E-3</v>
      </c>
      <c r="AP1052" s="41">
        <v>0.18410164000000001</v>
      </c>
      <c r="AS1052" s="41">
        <v>0.61123994000000004</v>
      </c>
      <c r="AW1052" s="41">
        <v>1.5013381999999999E-3</v>
      </c>
      <c r="AX1052" s="41">
        <v>4.0607574999999997E-6</v>
      </c>
      <c r="AY1052" s="41">
        <v>0.1110115</v>
      </c>
      <c r="AZ1052" s="41">
        <v>0</v>
      </c>
      <c r="BF1052" s="41" t="s">
        <v>71</v>
      </c>
      <c r="BG1052" s="41" t="s">
        <v>72</v>
      </c>
    </row>
    <row r="1053" spans="1:59" ht="15.5" x14ac:dyDescent="0.45">
      <c r="A1053" s="41" t="s">
        <v>73</v>
      </c>
      <c r="B1053" s="41" t="s">
        <v>63</v>
      </c>
      <c r="C1053" s="41" t="s">
        <v>64</v>
      </c>
      <c r="D1053" s="41" t="s">
        <v>446</v>
      </c>
      <c r="E1053" s="41" t="s">
        <v>65</v>
      </c>
      <c r="F1053" s="41">
        <v>2.4608472400513476E-2</v>
      </c>
      <c r="G1053" s="53">
        <v>9.5089113748679996E-3</v>
      </c>
      <c r="H1053" s="41">
        <v>0.77900000000000003</v>
      </c>
      <c r="I1053" s="108">
        <v>34.299999999999997</v>
      </c>
      <c r="J1053" s="41">
        <v>2.5161425000000003E-7</v>
      </c>
      <c r="K1053" s="41">
        <v>8.3360191000000005E-4</v>
      </c>
      <c r="L1053" s="41">
        <v>9.4491259999999994E-2</v>
      </c>
      <c r="M1053" s="41">
        <v>4.4160395999999999E-9</v>
      </c>
      <c r="N1053" s="41">
        <v>4.5967395999999999E-5</v>
      </c>
      <c r="O1053" s="41">
        <v>2.4806821999999999E-4</v>
      </c>
      <c r="P1053" s="41">
        <v>5.4564956000000003E-5</v>
      </c>
      <c r="Q1053" s="41">
        <v>2.8608328999999998E-2</v>
      </c>
      <c r="R1053" s="41">
        <v>1.7218533000000001E-3</v>
      </c>
      <c r="S1053" s="41">
        <v>4.3812661000000004</v>
      </c>
      <c r="T1053" s="41">
        <v>1.8292058E-4</v>
      </c>
      <c r="AP1053" s="41">
        <v>2.5146991E-2</v>
      </c>
      <c r="AS1053" s="41">
        <v>1.8228359000000001</v>
      </c>
      <c r="AW1053" s="41">
        <v>2.5824274000000002E-4</v>
      </c>
      <c r="AX1053" s="41">
        <v>4.5129723999999997E-6</v>
      </c>
      <c r="AY1053" s="41">
        <v>0.12481418</v>
      </c>
      <c r="AZ1053" s="41">
        <v>0</v>
      </c>
      <c r="BF1053" s="41" t="s">
        <v>74</v>
      </c>
      <c r="BG1053" s="41" t="s">
        <v>75</v>
      </c>
    </row>
    <row r="1054" spans="1:59" ht="15.5" x14ac:dyDescent="0.45">
      <c r="A1054" s="41" t="s">
        <v>76</v>
      </c>
      <c r="B1054" s="41" t="s">
        <v>63</v>
      </c>
      <c r="C1054" s="41" t="s">
        <v>64</v>
      </c>
      <c r="D1054" s="41" t="s">
        <v>446</v>
      </c>
      <c r="E1054" s="41" t="s">
        <v>65</v>
      </c>
      <c r="F1054" s="41">
        <v>2.4545454545454544E-2</v>
      </c>
      <c r="G1054" s="53">
        <v>7.8646374435248009E-3</v>
      </c>
      <c r="H1054" s="41">
        <v>0.78100000000000003</v>
      </c>
      <c r="I1054" s="108">
        <v>34.5</v>
      </c>
      <c r="J1054" s="41">
        <v>1.8115208000000001E-7</v>
      </c>
      <c r="K1054" s="41">
        <v>2.3594261999999999E-4</v>
      </c>
      <c r="L1054" s="41">
        <v>3.9208148999999998E-2</v>
      </c>
      <c r="M1054" s="41">
        <v>5.2465663999999997E-9</v>
      </c>
      <c r="N1054" s="41">
        <v>5.2355797999999999E-5</v>
      </c>
      <c r="O1054" s="41">
        <v>2.6664789999999999E-4</v>
      </c>
      <c r="P1054" s="41">
        <v>8.9961054999999999E-5</v>
      </c>
      <c r="Q1054" s="41">
        <v>2.9537757000000001E-2</v>
      </c>
      <c r="R1054" s="41">
        <v>1.4089251000000001E-2</v>
      </c>
      <c r="S1054" s="41">
        <v>4.6644274000000001</v>
      </c>
      <c r="T1054" s="41">
        <v>5.6303617000000002E-3</v>
      </c>
      <c r="AP1054" s="41">
        <v>7.5033656000000004E-2</v>
      </c>
      <c r="AS1054" s="41">
        <v>0.54322979000000005</v>
      </c>
      <c r="AW1054" s="41">
        <v>6.6603417999999996E-4</v>
      </c>
      <c r="AX1054" s="41">
        <v>3.6518727000000002E-6</v>
      </c>
      <c r="AY1054" s="41">
        <v>0.12857160000000001</v>
      </c>
      <c r="AZ1054" s="41">
        <v>0</v>
      </c>
      <c r="BF1054" s="41" t="s">
        <v>77</v>
      </c>
      <c r="BG1054" s="41" t="s">
        <v>78</v>
      </c>
    </row>
    <row r="1055" spans="1:59" ht="15.5" x14ac:dyDescent="0.45">
      <c r="A1055" s="41" t="s">
        <v>174</v>
      </c>
      <c r="B1055" s="41" t="s">
        <v>63</v>
      </c>
      <c r="C1055" s="41" t="s">
        <v>64</v>
      </c>
      <c r="D1055" s="41" t="s">
        <v>446</v>
      </c>
      <c r="E1055" s="41" t="s">
        <v>65</v>
      </c>
      <c r="F1055" s="47">
        <v>2.4576923076923076E-2</v>
      </c>
      <c r="G1055" s="54">
        <v>6.5627018230074033E-3</v>
      </c>
      <c r="H1055" s="46">
        <v>0.78</v>
      </c>
      <c r="I1055" s="108">
        <v>34.4</v>
      </c>
      <c r="J1055" s="45">
        <v>2.0830772E-7</v>
      </c>
      <c r="K1055" s="45">
        <v>2.2155564702999999E-4</v>
      </c>
      <c r="L1055" s="45">
        <v>1.9990401453419997E-2</v>
      </c>
      <c r="M1055" s="45">
        <v>4.6152900000000001E-9</v>
      </c>
      <c r="N1055" s="45">
        <v>4.2780131819999998E-5</v>
      </c>
      <c r="O1055" s="45">
        <v>2.1803462087E-4</v>
      </c>
      <c r="P1055" s="45">
        <v>4.9158951579999997E-5</v>
      </c>
      <c r="Q1055" s="45">
        <v>3.8548230064839997E-2</v>
      </c>
      <c r="R1055" s="45">
        <v>2.9588668019799999E-3</v>
      </c>
      <c r="S1055" s="45">
        <v>5.4439347777280496</v>
      </c>
      <c r="T1055" s="45">
        <v>4.1552599781000002E-4</v>
      </c>
      <c r="U1055" s="45"/>
      <c r="V1055" s="45"/>
      <c r="W1055" s="45"/>
      <c r="X1055" s="45"/>
      <c r="Y1055" s="45"/>
      <c r="Z1055" s="45"/>
      <c r="AA1055" s="45"/>
      <c r="AB1055" s="45"/>
      <c r="AC1055" s="45"/>
      <c r="AD1055" s="45"/>
      <c r="AE1055" s="45"/>
      <c r="AF1055" s="45"/>
      <c r="AG1055" s="45"/>
      <c r="AH1055" s="45"/>
      <c r="AI1055" s="45"/>
      <c r="AJ1055" s="45"/>
      <c r="AK1055" s="45"/>
      <c r="AL1055" s="45"/>
      <c r="AM1055" s="45"/>
      <c r="AN1055" s="45"/>
      <c r="AO1055" s="45"/>
      <c r="AP1055" s="45">
        <v>2.3584932256440001E-2</v>
      </c>
      <c r="AQ1055" s="45"/>
      <c r="AR1055" s="45"/>
      <c r="AS1055" s="45">
        <v>0.50616850035334005</v>
      </c>
      <c r="AT1055" s="45"/>
      <c r="AU1055" s="45"/>
      <c r="AV1055" s="45"/>
      <c r="AW1055" s="45">
        <v>2.5534151662E-4</v>
      </c>
      <c r="AX1055" s="45">
        <v>3.2288906300000002E-6</v>
      </c>
      <c r="AY1055" s="45">
        <v>0.12226914164627001</v>
      </c>
      <c r="AZ1055" s="45">
        <v>2.6593097699999998E-6</v>
      </c>
      <c r="BA1055" s="45"/>
      <c r="BB1055" s="45"/>
      <c r="BC1055" s="45"/>
      <c r="BD1055" s="45"/>
      <c r="BE1055" s="45"/>
      <c r="BF1055" s="8" t="s">
        <v>172</v>
      </c>
      <c r="BG1055" s="45"/>
    </row>
    <row r="1056" spans="1:59" x14ac:dyDescent="0.35">
      <c r="A1056" t="s">
        <v>183</v>
      </c>
      <c r="B1056" s="41" t="s">
        <v>63</v>
      </c>
      <c r="C1056" s="41" t="s">
        <v>64</v>
      </c>
      <c r="D1056" s="41" t="s">
        <v>446</v>
      </c>
      <c r="E1056" s="41" t="s">
        <v>65</v>
      </c>
      <c r="F1056" s="45"/>
      <c r="G1056" s="58">
        <v>1.09E-2</v>
      </c>
      <c r="H1056" s="45">
        <v>0.83750000000000002</v>
      </c>
      <c r="I1056" s="60">
        <v>35.995750000000001</v>
      </c>
      <c r="J1056" s="45"/>
      <c r="K1056" s="45"/>
      <c r="L1056" s="45"/>
      <c r="M1056" s="45"/>
      <c r="N1056" s="45"/>
      <c r="O1056" s="45"/>
      <c r="P1056" s="45"/>
      <c r="Q1056" s="45"/>
      <c r="R1056" s="45"/>
      <c r="S1056" s="45"/>
      <c r="T1056" s="45"/>
      <c r="U1056" s="45"/>
      <c r="V1056" s="45"/>
      <c r="W1056" s="45"/>
      <c r="X1056" s="45"/>
      <c r="Y1056" s="45"/>
      <c r="Z1056" s="45"/>
      <c r="AA1056" s="45"/>
      <c r="AB1056" s="45"/>
      <c r="AC1056" s="45"/>
      <c r="AD1056" s="45"/>
      <c r="AE1056" s="45"/>
      <c r="AF1056" s="45"/>
      <c r="AG1056" s="45"/>
      <c r="AH1056" s="45"/>
      <c r="AI1056" s="45"/>
      <c r="AJ1056" s="45"/>
      <c r="AK1056" s="45"/>
      <c r="AL1056" s="45"/>
      <c r="AM1056" s="45"/>
      <c r="AN1056" s="45"/>
      <c r="AO1056" s="45"/>
      <c r="AP1056" s="45"/>
      <c r="AQ1056" s="45"/>
      <c r="AR1056" s="45"/>
      <c r="AS1056" s="45"/>
      <c r="AT1056" s="45"/>
      <c r="AU1056" s="45"/>
      <c r="AV1056" s="45"/>
      <c r="AW1056" s="45"/>
      <c r="AX1056" s="45"/>
      <c r="AY1056" s="45"/>
      <c r="AZ1056" s="45"/>
      <c r="BA1056" s="45"/>
      <c r="BB1056" s="45"/>
      <c r="BC1056" s="45"/>
      <c r="BD1056" s="45"/>
      <c r="BE1056" s="45"/>
      <c r="BF1056" t="s">
        <v>193</v>
      </c>
      <c r="BG1056" s="45"/>
    </row>
    <row r="1057" spans="1:59" x14ac:dyDescent="0.35">
      <c r="A1057" t="s">
        <v>184</v>
      </c>
      <c r="B1057" s="41" t="s">
        <v>63</v>
      </c>
      <c r="C1057" s="41" t="s">
        <v>64</v>
      </c>
      <c r="D1057" s="41" t="s">
        <v>446</v>
      </c>
      <c r="E1057" s="41" t="s">
        <v>65</v>
      </c>
      <c r="F1057" s="45"/>
      <c r="G1057" s="58">
        <v>1.04E-2</v>
      </c>
      <c r="H1057" s="45">
        <v>0.83479999999999999</v>
      </c>
      <c r="I1057" s="60">
        <v>35.829093</v>
      </c>
      <c r="J1057" s="45"/>
      <c r="K1057" s="45"/>
      <c r="L1057" s="45"/>
      <c r="M1057" s="45"/>
      <c r="N1057" s="45"/>
      <c r="O1057" s="45"/>
      <c r="P1057" s="45"/>
      <c r="Q1057" s="45"/>
      <c r="R1057" s="45"/>
      <c r="S1057" s="45"/>
      <c r="T1057" s="45"/>
      <c r="U1057" s="45"/>
      <c r="V1057" s="45"/>
      <c r="W1057" s="45"/>
      <c r="X1057" s="45"/>
      <c r="Y1057" s="45"/>
      <c r="Z1057" s="45"/>
      <c r="AA1057" s="45"/>
      <c r="AB1057" s="45"/>
      <c r="AC1057" s="45"/>
      <c r="AD1057" s="45"/>
      <c r="AE1057" s="45"/>
      <c r="AF1057" s="45"/>
      <c r="AG1057" s="45"/>
      <c r="AH1057" s="45"/>
      <c r="AI1057" s="45"/>
      <c r="AJ1057" s="45"/>
      <c r="AK1057" s="45"/>
      <c r="AL1057" s="45"/>
      <c r="AM1057" s="45"/>
      <c r="AN1057" s="45"/>
      <c r="AO1057" s="45"/>
      <c r="AP1057" s="45"/>
      <c r="AQ1057" s="45"/>
      <c r="AR1057" s="45"/>
      <c r="AS1057" s="45"/>
      <c r="AT1057" s="45"/>
      <c r="AU1057" s="45"/>
      <c r="AV1057" s="45"/>
      <c r="AW1057" s="45"/>
      <c r="AX1057" s="45"/>
      <c r="AY1057" s="45"/>
      <c r="AZ1057" s="45"/>
      <c r="BA1057" s="45"/>
      <c r="BB1057" s="45"/>
      <c r="BC1057" s="45"/>
      <c r="BD1057" s="45"/>
      <c r="BE1057" s="45"/>
      <c r="BF1057" t="s">
        <v>193</v>
      </c>
      <c r="BG1057" s="45"/>
    </row>
    <row r="1058" spans="1:59" x14ac:dyDescent="0.35">
      <c r="A1058" t="s">
        <v>185</v>
      </c>
      <c r="B1058" s="41" t="s">
        <v>63</v>
      </c>
      <c r="C1058" s="41" t="s">
        <v>64</v>
      </c>
      <c r="D1058" s="41" t="s">
        <v>446</v>
      </c>
      <c r="E1058" s="41" t="s">
        <v>65</v>
      </c>
      <c r="F1058" s="45"/>
      <c r="G1058" s="58">
        <v>1.01E-2</v>
      </c>
      <c r="H1058" s="45">
        <v>0.83169999999999999</v>
      </c>
      <c r="I1058" s="60">
        <v>35.829093</v>
      </c>
      <c r="J1058" s="45"/>
      <c r="K1058" s="45"/>
      <c r="L1058" s="45"/>
      <c r="M1058" s="45"/>
      <c r="N1058" s="45"/>
      <c r="O1058" s="45"/>
      <c r="P1058" s="45"/>
      <c r="Q1058" s="45"/>
      <c r="R1058" s="45"/>
      <c r="S1058" s="45"/>
      <c r="T1058" s="45"/>
      <c r="U1058" s="45"/>
      <c r="V1058" s="45"/>
      <c r="W1058" s="45"/>
      <c r="X1058" s="45"/>
      <c r="Y1058" s="45"/>
      <c r="Z1058" s="45"/>
      <c r="AA1058" s="45"/>
      <c r="AB1058" s="45"/>
      <c r="AC1058" s="45"/>
      <c r="AD1058" s="45"/>
      <c r="AE1058" s="45"/>
      <c r="AF1058" s="45"/>
      <c r="AG1058" s="45"/>
      <c r="AH1058" s="45"/>
      <c r="AI1058" s="45"/>
      <c r="AJ1058" s="45"/>
      <c r="AK1058" s="45"/>
      <c r="AL1058" s="45"/>
      <c r="AM1058" s="45"/>
      <c r="AN1058" s="45"/>
      <c r="AO1058" s="45"/>
      <c r="AP1058" s="45"/>
      <c r="AQ1058" s="45"/>
      <c r="AR1058" s="45"/>
      <c r="AS1058" s="45"/>
      <c r="AT1058" s="45"/>
      <c r="AU1058" s="45"/>
      <c r="AV1058" s="45"/>
      <c r="AW1058" s="45"/>
      <c r="AX1058" s="45"/>
      <c r="AY1058" s="45"/>
      <c r="AZ1058" s="45"/>
      <c r="BA1058" s="45"/>
      <c r="BB1058" s="45"/>
      <c r="BC1058" s="45"/>
      <c r="BD1058" s="45"/>
      <c r="BE1058" s="45"/>
      <c r="BF1058" t="s">
        <v>193</v>
      </c>
      <c r="BG1058" s="45"/>
    </row>
    <row r="1059" spans="1:59" x14ac:dyDescent="0.35">
      <c r="A1059" t="s">
        <v>186</v>
      </c>
      <c r="B1059" s="41" t="s">
        <v>63</v>
      </c>
      <c r="C1059" s="41" t="s">
        <v>64</v>
      </c>
      <c r="D1059" s="41" t="s">
        <v>446</v>
      </c>
      <c r="E1059" s="41" t="s">
        <v>65</v>
      </c>
      <c r="F1059" s="45"/>
      <c r="G1059" s="58">
        <v>9.9699999999999997E-3</v>
      </c>
      <c r="H1059" s="45">
        <v>0.82899999999999996</v>
      </c>
      <c r="I1059" s="60">
        <v>35.662436</v>
      </c>
      <c r="J1059" s="45"/>
      <c r="K1059" s="45"/>
      <c r="L1059" s="45"/>
      <c r="M1059" s="45"/>
      <c r="N1059" s="45"/>
      <c r="O1059" s="45"/>
      <c r="P1059" s="45"/>
      <c r="Q1059" s="45"/>
      <c r="R1059" s="45"/>
      <c r="S1059" s="45"/>
      <c r="T1059" s="45"/>
      <c r="U1059" s="45"/>
      <c r="V1059" s="45"/>
      <c r="W1059" s="45"/>
      <c r="X1059" s="45"/>
      <c r="Y1059" s="45"/>
      <c r="Z1059" s="45"/>
      <c r="AA1059" s="45"/>
      <c r="AB1059" s="45"/>
      <c r="AC1059" s="45"/>
      <c r="AD1059" s="45"/>
      <c r="AE1059" s="45"/>
      <c r="AF1059" s="45"/>
      <c r="AG1059" s="45"/>
      <c r="AH1059" s="45"/>
      <c r="AI1059" s="45"/>
      <c r="AJ1059" s="45"/>
      <c r="AK1059" s="45"/>
      <c r="AL1059" s="45"/>
      <c r="AM1059" s="45"/>
      <c r="AN1059" s="45"/>
      <c r="AO1059" s="45"/>
      <c r="AP1059" s="45"/>
      <c r="AQ1059" s="45"/>
      <c r="AR1059" s="45"/>
      <c r="AS1059" s="45"/>
      <c r="AT1059" s="45"/>
      <c r="AU1059" s="45"/>
      <c r="AV1059" s="45"/>
      <c r="AW1059" s="45"/>
      <c r="AX1059" s="45"/>
      <c r="AY1059" s="45"/>
      <c r="AZ1059" s="45"/>
      <c r="BA1059" s="45"/>
      <c r="BB1059" s="45"/>
      <c r="BC1059" s="45"/>
      <c r="BD1059" s="45"/>
      <c r="BE1059" s="45"/>
      <c r="BF1059" t="s">
        <v>193</v>
      </c>
      <c r="BG1059" s="45"/>
    </row>
    <row r="1060" spans="1:59" x14ac:dyDescent="0.35">
      <c r="A1060" t="s">
        <v>187</v>
      </c>
      <c r="B1060" s="41" t="s">
        <v>63</v>
      </c>
      <c r="C1060" s="41" t="s">
        <v>64</v>
      </c>
      <c r="D1060" s="41" t="s">
        <v>446</v>
      </c>
      <c r="E1060" s="41" t="s">
        <v>65</v>
      </c>
      <c r="F1060" s="45"/>
      <c r="G1060" s="58">
        <v>9.7000000000000003E-3</v>
      </c>
      <c r="H1060" s="45">
        <v>0.82589999999999997</v>
      </c>
      <c r="I1060" s="60">
        <v>35.662436</v>
      </c>
      <c r="J1060" s="45"/>
      <c r="K1060" s="45"/>
      <c r="L1060" s="45"/>
      <c r="M1060" s="45"/>
      <c r="N1060" s="45"/>
      <c r="O1060" s="45"/>
      <c r="P1060" s="45"/>
      <c r="Q1060" s="45"/>
      <c r="R1060" s="45"/>
      <c r="S1060" s="45"/>
      <c r="T1060" s="45"/>
      <c r="U1060" s="45"/>
      <c r="V1060" s="45"/>
      <c r="W1060" s="45"/>
      <c r="X1060" s="45"/>
      <c r="Y1060" s="45"/>
      <c r="Z1060" s="45"/>
      <c r="AA1060" s="45"/>
      <c r="AB1060" s="45"/>
      <c r="AC1060" s="45"/>
      <c r="AD1060" s="45"/>
      <c r="AE1060" s="45"/>
      <c r="AF1060" s="45"/>
      <c r="AG1060" s="45"/>
      <c r="AH1060" s="45"/>
      <c r="AI1060" s="45"/>
      <c r="AJ1060" s="45"/>
      <c r="AK1060" s="45"/>
      <c r="AL1060" s="45"/>
      <c r="AM1060" s="45"/>
      <c r="AN1060" s="45"/>
      <c r="AO1060" s="45"/>
      <c r="AP1060" s="45"/>
      <c r="AQ1060" s="45"/>
      <c r="AR1060" s="45"/>
      <c r="AS1060" s="45"/>
      <c r="AT1060" s="45"/>
      <c r="AU1060" s="45"/>
      <c r="AV1060" s="45"/>
      <c r="AW1060" s="45"/>
      <c r="AX1060" s="45"/>
      <c r="AY1060" s="45"/>
      <c r="AZ1060" s="45"/>
      <c r="BA1060" s="45"/>
      <c r="BB1060" s="45"/>
      <c r="BC1060" s="45"/>
      <c r="BD1060" s="45"/>
      <c r="BE1060" s="45"/>
      <c r="BF1060" t="s">
        <v>193</v>
      </c>
      <c r="BG1060" s="45"/>
    </row>
    <row r="1061" spans="1:59" x14ac:dyDescent="0.35">
      <c r="A1061" t="s">
        <v>188</v>
      </c>
      <c r="B1061" s="41" t="s">
        <v>63</v>
      </c>
      <c r="C1061" s="41" t="s">
        <v>64</v>
      </c>
      <c r="D1061" s="41" t="s">
        <v>446</v>
      </c>
      <c r="E1061" s="41" t="s">
        <v>65</v>
      </c>
      <c r="F1061" s="45"/>
      <c r="G1061" s="58">
        <v>9.5300000000000003E-3</v>
      </c>
      <c r="H1061" s="45">
        <v>0.82320000000000004</v>
      </c>
      <c r="I1061" s="60">
        <v>35.495778999999999</v>
      </c>
      <c r="J1061" s="45"/>
      <c r="K1061" s="45"/>
      <c r="L1061" s="45"/>
      <c r="M1061" s="45"/>
      <c r="N1061" s="45"/>
      <c r="O1061" s="45"/>
      <c r="P1061" s="45"/>
      <c r="Q1061" s="45"/>
      <c r="R1061" s="45"/>
      <c r="S1061" s="45"/>
      <c r="T1061" s="45"/>
      <c r="U1061" s="45"/>
      <c r="V1061" s="45"/>
      <c r="W1061" s="45"/>
      <c r="X1061" s="45"/>
      <c r="Y1061" s="45"/>
      <c r="Z1061" s="45"/>
      <c r="AA1061" s="45"/>
      <c r="AB1061" s="45"/>
      <c r="AC1061" s="45"/>
      <c r="AD1061" s="45"/>
      <c r="AE1061" s="45"/>
      <c r="AF1061" s="45"/>
      <c r="AG1061" s="45"/>
      <c r="AH1061" s="45"/>
      <c r="AI1061" s="45"/>
      <c r="AJ1061" s="45"/>
      <c r="AK1061" s="45"/>
      <c r="AL1061" s="45"/>
      <c r="AM1061" s="45"/>
      <c r="AN1061" s="45"/>
      <c r="AO1061" s="45"/>
      <c r="AP1061" s="45"/>
      <c r="AQ1061" s="45"/>
      <c r="AR1061" s="45"/>
      <c r="AS1061" s="45"/>
      <c r="AT1061" s="45"/>
      <c r="AU1061" s="45"/>
      <c r="AV1061" s="45"/>
      <c r="AW1061" s="45"/>
      <c r="AX1061" s="45"/>
      <c r="AY1061" s="45"/>
      <c r="AZ1061" s="45"/>
      <c r="BA1061" s="45"/>
      <c r="BB1061" s="45"/>
      <c r="BC1061" s="45"/>
      <c r="BD1061" s="45"/>
      <c r="BE1061" s="45"/>
      <c r="BF1061" t="s">
        <v>193</v>
      </c>
      <c r="BG1061" s="45"/>
    </row>
    <row r="1062" spans="1:59" x14ac:dyDescent="0.35">
      <c r="A1062" t="s">
        <v>189</v>
      </c>
      <c r="B1062" s="41" t="s">
        <v>63</v>
      </c>
      <c r="C1062" s="41" t="s">
        <v>64</v>
      </c>
      <c r="D1062" s="41" t="s">
        <v>446</v>
      </c>
      <c r="E1062" s="41" t="s">
        <v>65</v>
      </c>
      <c r="F1062" s="45"/>
      <c r="G1062" s="58">
        <v>9.2599999999999991E-3</v>
      </c>
      <c r="H1062" s="45">
        <v>0.82010000000000005</v>
      </c>
      <c r="I1062" s="60">
        <v>35.495778999999999</v>
      </c>
      <c r="J1062" s="45"/>
      <c r="K1062" s="45"/>
      <c r="L1062" s="45"/>
      <c r="M1062" s="45"/>
      <c r="N1062" s="45"/>
      <c r="O1062" s="45"/>
      <c r="P1062" s="45"/>
      <c r="Q1062" s="45"/>
      <c r="R1062" s="45"/>
      <c r="S1062" s="45"/>
      <c r="T1062" s="45"/>
      <c r="U1062" s="45"/>
      <c r="V1062" s="45"/>
      <c r="W1062" s="45"/>
      <c r="X1062" s="45"/>
      <c r="Y1062" s="45"/>
      <c r="Z1062" s="45"/>
      <c r="AA1062" s="45"/>
      <c r="AB1062" s="45"/>
      <c r="AC1062" s="45"/>
      <c r="AD1062" s="45"/>
      <c r="AE1062" s="45"/>
      <c r="AF1062" s="45"/>
      <c r="AG1062" s="45"/>
      <c r="AH1062" s="45"/>
      <c r="AI1062" s="45"/>
      <c r="AJ1062" s="45"/>
      <c r="AK1062" s="45"/>
      <c r="AL1062" s="45"/>
      <c r="AM1062" s="45"/>
      <c r="AN1062" s="45"/>
      <c r="AO1062" s="45"/>
      <c r="AP1062" s="45"/>
      <c r="AQ1062" s="45"/>
      <c r="AR1062" s="45"/>
      <c r="AS1062" s="45"/>
      <c r="AT1062" s="45"/>
      <c r="AU1062" s="45"/>
      <c r="AV1062" s="45"/>
      <c r="AW1062" s="45"/>
      <c r="AX1062" s="45"/>
      <c r="AY1062" s="45"/>
      <c r="AZ1062" s="45"/>
      <c r="BA1062" s="45"/>
      <c r="BB1062" s="45"/>
      <c r="BC1062" s="45"/>
      <c r="BD1062" s="45"/>
      <c r="BE1062" s="45"/>
      <c r="BF1062" t="s">
        <v>193</v>
      </c>
      <c r="BG1062" s="45"/>
    </row>
    <row r="1063" spans="1:59" x14ac:dyDescent="0.35">
      <c r="A1063" t="s">
        <v>190</v>
      </c>
      <c r="B1063" s="41" t="s">
        <v>63</v>
      </c>
      <c r="C1063" s="41" t="s">
        <v>64</v>
      </c>
      <c r="D1063" s="41" t="s">
        <v>446</v>
      </c>
      <c r="E1063" s="41" t="s">
        <v>65</v>
      </c>
      <c r="F1063" s="45"/>
      <c r="G1063" s="58">
        <v>8.6300000000000005E-3</v>
      </c>
      <c r="H1063" s="45">
        <v>0.81159999999999999</v>
      </c>
      <c r="I1063" s="60">
        <v>35.162464999999997</v>
      </c>
      <c r="J1063" s="45"/>
      <c r="K1063" s="45"/>
      <c r="L1063" s="45"/>
      <c r="M1063" s="45"/>
      <c r="N1063" s="45"/>
      <c r="O1063" s="45"/>
      <c r="P1063" s="45"/>
      <c r="Q1063" s="45"/>
      <c r="R1063" s="45"/>
      <c r="S1063" s="45"/>
      <c r="T1063" s="45"/>
      <c r="U1063" s="45"/>
      <c r="V1063" s="45"/>
      <c r="W1063" s="45"/>
      <c r="X1063" s="45"/>
      <c r="Y1063" s="45"/>
      <c r="Z1063" s="45"/>
      <c r="AA1063" s="45"/>
      <c r="AB1063" s="45"/>
      <c r="AC1063" s="45"/>
      <c r="AD1063" s="45"/>
      <c r="AE1063" s="45"/>
      <c r="AF1063" s="45"/>
      <c r="AG1063" s="45"/>
      <c r="AH1063" s="45"/>
      <c r="AI1063" s="45"/>
      <c r="AJ1063" s="45"/>
      <c r="AK1063" s="45"/>
      <c r="AL1063" s="45"/>
      <c r="AM1063" s="45"/>
      <c r="AN1063" s="45"/>
      <c r="AO1063" s="45"/>
      <c r="AP1063" s="45"/>
      <c r="AQ1063" s="45"/>
      <c r="AR1063" s="45"/>
      <c r="AS1063" s="45"/>
      <c r="AT1063" s="45"/>
      <c r="AU1063" s="45"/>
      <c r="AV1063" s="45"/>
      <c r="AW1063" s="45"/>
      <c r="AX1063" s="45"/>
      <c r="AY1063" s="45"/>
      <c r="AZ1063" s="45"/>
      <c r="BA1063" s="45"/>
      <c r="BB1063" s="45"/>
      <c r="BC1063" s="45"/>
      <c r="BD1063" s="45"/>
      <c r="BE1063" s="45"/>
      <c r="BF1063" t="s">
        <v>193</v>
      </c>
      <c r="BG1063" s="45"/>
    </row>
    <row r="1064" spans="1:59" x14ac:dyDescent="0.35">
      <c r="A1064" t="s">
        <v>191</v>
      </c>
      <c r="B1064" s="41" t="s">
        <v>63</v>
      </c>
      <c r="C1064" s="41" t="s">
        <v>64</v>
      </c>
      <c r="D1064" s="41" t="s">
        <v>446</v>
      </c>
      <c r="E1064" s="41" t="s">
        <v>65</v>
      </c>
      <c r="F1064" s="45"/>
      <c r="G1064" s="58">
        <v>8.3700000000000007E-3</v>
      </c>
      <c r="H1064" s="45">
        <v>0.8085</v>
      </c>
      <c r="I1064" s="60">
        <v>35.162464999999997</v>
      </c>
      <c r="J1064" s="45"/>
      <c r="K1064" s="45"/>
      <c r="L1064" s="45"/>
      <c r="M1064" s="45"/>
      <c r="N1064" s="45"/>
      <c r="O1064" s="45"/>
      <c r="P1064" s="45"/>
      <c r="Q1064" s="45"/>
      <c r="R1064" s="45"/>
      <c r="S1064" s="45"/>
      <c r="T1064" s="45"/>
      <c r="U1064" s="45"/>
      <c r="V1064" s="45"/>
      <c r="W1064" s="45"/>
      <c r="X1064" s="45"/>
      <c r="Y1064" s="45"/>
      <c r="Z1064" s="45"/>
      <c r="AA1064" s="45"/>
      <c r="AB1064" s="45"/>
      <c r="AC1064" s="45"/>
      <c r="AD1064" s="45"/>
      <c r="AE1064" s="45"/>
      <c r="AF1064" s="45"/>
      <c r="AG1064" s="45"/>
      <c r="AH1064" s="45"/>
      <c r="AI1064" s="45"/>
      <c r="AJ1064" s="45"/>
      <c r="AK1064" s="45"/>
      <c r="AL1064" s="45"/>
      <c r="AM1064" s="45"/>
      <c r="AN1064" s="45"/>
      <c r="AO1064" s="45"/>
      <c r="AP1064" s="45"/>
      <c r="AQ1064" s="45"/>
      <c r="AR1064" s="45"/>
      <c r="AS1064" s="45"/>
      <c r="AT1064" s="45"/>
      <c r="AU1064" s="45"/>
      <c r="AV1064" s="45"/>
      <c r="AW1064" s="45"/>
      <c r="AX1064" s="45"/>
      <c r="AY1064" s="45"/>
      <c r="AZ1064" s="45"/>
      <c r="BA1064" s="45"/>
      <c r="BB1064" s="45"/>
      <c r="BC1064" s="45"/>
      <c r="BD1064" s="45"/>
      <c r="BE1064" s="45"/>
      <c r="BF1064" t="s">
        <v>193</v>
      </c>
      <c r="BG1064" s="45"/>
    </row>
    <row r="1065" spans="1:59" x14ac:dyDescent="0.35">
      <c r="A1065" t="s">
        <v>192</v>
      </c>
      <c r="B1065" s="41" t="s">
        <v>63</v>
      </c>
      <c r="C1065" s="41" t="s">
        <v>64</v>
      </c>
      <c r="D1065" s="41" t="s">
        <v>446</v>
      </c>
      <c r="E1065" s="41" t="s">
        <v>65</v>
      </c>
      <c r="F1065" s="45"/>
      <c r="G1065" s="58">
        <v>6.3600000000000002E-3</v>
      </c>
      <c r="H1065" s="45">
        <v>0.77949999999999997</v>
      </c>
      <c r="I1065" s="60">
        <v>34.329180000000001</v>
      </c>
      <c r="J1065" s="45"/>
      <c r="K1065" s="45"/>
      <c r="L1065" s="45"/>
      <c r="M1065" s="45"/>
      <c r="N1065" s="45"/>
      <c r="O1065" s="45"/>
      <c r="P1065" s="45"/>
      <c r="Q1065" s="45"/>
      <c r="R1065" s="45"/>
      <c r="S1065" s="45"/>
      <c r="T1065" s="45"/>
      <c r="U1065" s="45"/>
      <c r="V1065" s="45"/>
      <c r="W1065" s="45"/>
      <c r="X1065" s="45"/>
      <c r="Y1065" s="45"/>
      <c r="Z1065" s="45"/>
      <c r="AA1065" s="45"/>
      <c r="AB1065" s="45"/>
      <c r="AC1065" s="45"/>
      <c r="AD1065" s="45"/>
      <c r="AE1065" s="45"/>
      <c r="AF1065" s="45"/>
      <c r="AG1065" s="45"/>
      <c r="AH1065" s="45"/>
      <c r="AI1065" s="45"/>
      <c r="AJ1065" s="45"/>
      <c r="AK1065" s="45"/>
      <c r="AL1065" s="45"/>
      <c r="AM1065" s="45"/>
      <c r="AN1065" s="45"/>
      <c r="AO1065" s="45"/>
      <c r="AP1065" s="45"/>
      <c r="AQ1065" s="45"/>
      <c r="AR1065" s="45"/>
      <c r="AS1065" s="45"/>
      <c r="AT1065" s="45"/>
      <c r="AU1065" s="45"/>
      <c r="AV1065" s="45"/>
      <c r="AW1065" s="45"/>
      <c r="AX1065" s="45"/>
      <c r="AY1065" s="45"/>
      <c r="AZ1065" s="45"/>
      <c r="BA1065" s="45"/>
      <c r="BB1065" s="45"/>
      <c r="BC1065" s="45"/>
      <c r="BD1065" s="45"/>
      <c r="BE1065" s="45"/>
      <c r="BF1065" t="s">
        <v>193</v>
      </c>
      <c r="BG1065" s="45"/>
    </row>
    <row r="1066" spans="1:59" ht="15.5" x14ac:dyDescent="0.45">
      <c r="A1066" s="41" t="s">
        <v>79</v>
      </c>
      <c r="B1066" s="41" t="s">
        <v>63</v>
      </c>
      <c r="C1066" s="41" t="s">
        <v>64</v>
      </c>
      <c r="D1066" s="41" t="s">
        <v>446</v>
      </c>
      <c r="E1066" s="41" t="s">
        <v>65</v>
      </c>
      <c r="F1066" s="41">
        <v>2.2845238095238096E-2</v>
      </c>
      <c r="G1066" s="53">
        <v>8.9086434734823999E-3</v>
      </c>
      <c r="H1066" s="41">
        <v>0.84</v>
      </c>
      <c r="I1066" s="108">
        <v>35.9</v>
      </c>
      <c r="J1066" s="41">
        <v>1.6543014E-7</v>
      </c>
      <c r="K1066" s="41">
        <v>6.4611615000000002E-4</v>
      </c>
      <c r="L1066" s="41">
        <v>8.5143924999999995E-2</v>
      </c>
      <c r="M1066" s="41">
        <v>1.6921262000000001E-8</v>
      </c>
      <c r="N1066" s="41">
        <v>5.2340565000000003E-5</v>
      </c>
      <c r="O1066" s="41">
        <v>2.1276421E-4</v>
      </c>
      <c r="P1066" s="41">
        <v>3.7500960999999999E-5</v>
      </c>
      <c r="Q1066" s="41">
        <v>2.9796702000000001E-2</v>
      </c>
      <c r="R1066" s="41">
        <v>1.9197017E-3</v>
      </c>
      <c r="S1066" s="41">
        <v>5.0436420999999996</v>
      </c>
      <c r="T1066" s="41">
        <v>1.7715788000000001E-4</v>
      </c>
      <c r="AP1066" s="41">
        <v>2.3108845999999999E-2</v>
      </c>
      <c r="AS1066" s="41">
        <v>1.4755339999999999</v>
      </c>
      <c r="AW1066" s="41">
        <v>2.9803468000000002E-4</v>
      </c>
      <c r="AX1066" s="41">
        <v>1.0407673999999999E-5</v>
      </c>
      <c r="AY1066" s="41">
        <v>0.12062252</v>
      </c>
      <c r="AZ1066" s="41">
        <v>0</v>
      </c>
      <c r="BF1066" s="41" t="s">
        <v>80</v>
      </c>
      <c r="BG1066" s="41" t="s">
        <v>81</v>
      </c>
    </row>
    <row r="1067" spans="1:59" ht="15.5" x14ac:dyDescent="0.45">
      <c r="A1067" s="41" t="s">
        <v>82</v>
      </c>
      <c r="B1067" s="41" t="s">
        <v>63</v>
      </c>
      <c r="C1067" s="41" t="s">
        <v>64</v>
      </c>
      <c r="D1067" s="41" t="s">
        <v>446</v>
      </c>
      <c r="E1067" s="41" t="s">
        <v>65</v>
      </c>
      <c r="F1067" s="41">
        <v>2.1906392694063925E-2</v>
      </c>
      <c r="G1067" s="53">
        <v>7.5299935304524003E-3</v>
      </c>
      <c r="H1067" s="41">
        <v>0.876</v>
      </c>
      <c r="I1067" s="108">
        <v>33.1</v>
      </c>
      <c r="J1067" s="41">
        <v>1.9574589000000001E-7</v>
      </c>
      <c r="K1067" s="41">
        <v>2.7603684999999998E-4</v>
      </c>
      <c r="L1067" s="41">
        <v>3.6592643000000001E-2</v>
      </c>
      <c r="M1067" s="41">
        <v>5.7806369999999999E-9</v>
      </c>
      <c r="N1067" s="41">
        <v>4.8918814999999998E-5</v>
      </c>
      <c r="O1067" s="41">
        <v>2.4975873E-4</v>
      </c>
      <c r="P1067" s="41">
        <v>1.0997270000000001E-4</v>
      </c>
      <c r="Q1067" s="41">
        <v>2.6585774999999999E-2</v>
      </c>
      <c r="R1067" s="41">
        <v>1.3823406999999999E-2</v>
      </c>
      <c r="S1067" s="41">
        <v>4.3505799999999999</v>
      </c>
      <c r="T1067" s="41">
        <v>5.4480656000000004E-3</v>
      </c>
      <c r="AP1067" s="41">
        <v>0.18450773000000001</v>
      </c>
      <c r="AS1067" s="41">
        <v>0.62369629999999998</v>
      </c>
      <c r="AW1067" s="41">
        <v>1.5039802999999999E-3</v>
      </c>
      <c r="AX1067" s="41">
        <v>4.1086973000000001E-6</v>
      </c>
      <c r="AY1067" s="41">
        <v>0.11103074</v>
      </c>
      <c r="AZ1067" s="41">
        <v>0</v>
      </c>
      <c r="BF1067" s="41" t="s">
        <v>83</v>
      </c>
      <c r="BG1067" s="41" t="s">
        <v>84</v>
      </c>
    </row>
    <row r="1068" spans="1:59" ht="15.5" x14ac:dyDescent="0.45">
      <c r="A1068" s="41" t="s">
        <v>85</v>
      </c>
      <c r="B1068" s="41" t="s">
        <v>63</v>
      </c>
      <c r="C1068" s="41" t="s">
        <v>64</v>
      </c>
      <c r="D1068" s="41" t="s">
        <v>446</v>
      </c>
      <c r="E1068" s="41" t="s">
        <v>65</v>
      </c>
      <c r="F1068" s="41">
        <v>2.4634146341463412E-2</v>
      </c>
      <c r="G1068" s="53">
        <v>9.0376817903114019E-3</v>
      </c>
      <c r="H1068" s="41">
        <v>0.77900000000000003</v>
      </c>
      <c r="I1068" s="108">
        <v>34.299999999999997</v>
      </c>
      <c r="J1068" s="41">
        <v>2.5506934000000001E-7</v>
      </c>
      <c r="K1068" s="41">
        <v>8.4070057E-4</v>
      </c>
      <c r="L1068" s="41">
        <v>9.5176142000000005E-2</v>
      </c>
      <c r="M1068" s="41">
        <v>4.5309338999999998E-9</v>
      </c>
      <c r="N1068" s="41">
        <v>4.5393587999999999E-5</v>
      </c>
      <c r="O1068" s="41">
        <v>1.6658695999999999E-4</v>
      </c>
      <c r="P1068" s="41">
        <v>3.2913634000000002E-5</v>
      </c>
      <c r="Q1068" s="41">
        <v>2.8753422000000001E-2</v>
      </c>
      <c r="R1068" s="41">
        <v>1.7228415999999999E-3</v>
      </c>
      <c r="S1068" s="41">
        <v>4.4030673</v>
      </c>
      <c r="T1068" s="41">
        <v>1.8380299999999999E-4</v>
      </c>
      <c r="AP1068" s="41">
        <v>2.5422622999999998E-2</v>
      </c>
      <c r="AS1068" s="41">
        <v>1.8385098</v>
      </c>
      <c r="AW1068" s="41">
        <v>2.5976564000000001E-4</v>
      </c>
      <c r="AX1068" s="41">
        <v>4.5685995000000001E-6</v>
      </c>
      <c r="AY1068" s="41">
        <v>0.12483187</v>
      </c>
      <c r="AZ1068" s="41">
        <v>0</v>
      </c>
      <c r="BF1068" s="41" t="s">
        <v>86</v>
      </c>
      <c r="BG1068" s="41" t="s">
        <v>87</v>
      </c>
    </row>
    <row r="1069" spans="1:59" ht="15.5" x14ac:dyDescent="0.45">
      <c r="A1069" s="41" t="s">
        <v>88</v>
      </c>
      <c r="B1069" s="41" t="s">
        <v>63</v>
      </c>
      <c r="C1069" s="41" t="s">
        <v>64</v>
      </c>
      <c r="D1069" s="41" t="s">
        <v>446</v>
      </c>
      <c r="E1069" s="41" t="s">
        <v>65</v>
      </c>
      <c r="F1069" s="41">
        <v>2.457106274007682E-2</v>
      </c>
      <c r="G1069" s="53">
        <v>7.3866470010331992E-3</v>
      </c>
      <c r="H1069" s="41">
        <v>0.78100000000000003</v>
      </c>
      <c r="I1069" s="108">
        <v>34.5</v>
      </c>
      <c r="J1069" s="41">
        <v>1.8454367000000001E-7</v>
      </c>
      <c r="K1069" s="41">
        <v>2.4243803E-4</v>
      </c>
      <c r="L1069" s="41">
        <v>3.9832939999999997E-2</v>
      </c>
      <c r="M1069" s="41">
        <v>5.3627082000000002E-9</v>
      </c>
      <c r="N1069" s="41">
        <v>5.1786634999999999E-5</v>
      </c>
      <c r="O1069" s="41">
        <v>1.8442221000000001E-4</v>
      </c>
      <c r="P1069" s="41">
        <v>6.8146613999999994E-5</v>
      </c>
      <c r="Q1069" s="41">
        <v>2.9682999000000002E-2</v>
      </c>
      <c r="R1069" s="41">
        <v>1.4103139000000001E-2</v>
      </c>
      <c r="S1069" s="41">
        <v>4.6865800999999996</v>
      </c>
      <c r="T1069" s="41">
        <v>5.6369297000000004E-3</v>
      </c>
      <c r="AP1069" s="41">
        <v>7.5362147000000004E-2</v>
      </c>
      <c r="AS1069" s="41">
        <v>0.55761349999999998</v>
      </c>
      <c r="AW1069" s="41">
        <v>6.6798664999999998E-4</v>
      </c>
      <c r="AX1069" s="41">
        <v>3.7067905000000001E-6</v>
      </c>
      <c r="AY1069" s="41">
        <v>0.12859284000000001</v>
      </c>
      <c r="AZ1069" s="41">
        <v>0</v>
      </c>
      <c r="BF1069" s="41" t="s">
        <v>89</v>
      </c>
      <c r="BG1069" s="41" t="s">
        <v>90</v>
      </c>
    </row>
    <row r="1070" spans="1:59" ht="15.5" x14ac:dyDescent="0.45">
      <c r="A1070" s="41" t="s">
        <v>175</v>
      </c>
      <c r="B1070" s="41" t="s">
        <v>63</v>
      </c>
      <c r="C1070" s="41" t="s">
        <v>64</v>
      </c>
      <c r="D1070" s="41" t="s">
        <v>446</v>
      </c>
      <c r="E1070" s="41" t="s">
        <v>65</v>
      </c>
      <c r="F1070" s="47">
        <v>2.46025641025641E-2</v>
      </c>
      <c r="G1070" s="54">
        <v>5.2569652077082496E-3</v>
      </c>
      <c r="H1070" s="46">
        <v>0.78</v>
      </c>
      <c r="I1070" s="108">
        <v>34.4</v>
      </c>
      <c r="J1070" s="45">
        <v>2.0830772E-7</v>
      </c>
      <c r="K1070" s="45">
        <v>2.2155564702999999E-4</v>
      </c>
      <c r="L1070" s="45">
        <v>1.9873225296819997E-2</v>
      </c>
      <c r="M1070" s="45">
        <v>4.6152900000000001E-9</v>
      </c>
      <c r="N1070" s="45">
        <v>4.1918697679999996E-5</v>
      </c>
      <c r="O1070" s="45">
        <v>1.2813644508E-4</v>
      </c>
      <c r="P1070" s="45">
        <v>2.5527624010000002E-5</v>
      </c>
      <c r="Q1070" s="45">
        <v>3.3812208539660001E-2</v>
      </c>
      <c r="R1070" s="45">
        <v>7.8947336869000003E-4</v>
      </c>
      <c r="S1070" s="45">
        <v>3.2722088730855101</v>
      </c>
      <c r="T1070" s="45">
        <v>1.2579337830999999E-4</v>
      </c>
      <c r="U1070" s="45"/>
      <c r="V1070" s="45"/>
      <c r="W1070" s="45"/>
      <c r="X1070" s="45"/>
      <c r="Y1070" s="45"/>
      <c r="Z1070" s="45"/>
      <c r="AA1070" s="45"/>
      <c r="AB1070" s="45"/>
      <c r="AC1070" s="45"/>
      <c r="AD1070" s="45"/>
      <c r="AE1070" s="45"/>
      <c r="AF1070" s="45"/>
      <c r="AG1070" s="45"/>
      <c r="AH1070" s="45"/>
      <c r="AI1070" s="45"/>
      <c r="AJ1070" s="45"/>
      <c r="AK1070" s="45"/>
      <c r="AL1070" s="45"/>
      <c r="AM1070" s="45"/>
      <c r="AN1070" s="45"/>
      <c r="AO1070" s="45"/>
      <c r="AP1070" s="45">
        <v>2.3584932256440001E-2</v>
      </c>
      <c r="AQ1070" s="45"/>
      <c r="AR1070" s="45"/>
      <c r="AS1070" s="45">
        <v>0.50616850035334005</v>
      </c>
      <c r="AT1070" s="45"/>
      <c r="AU1070" s="45"/>
      <c r="AV1070" s="45"/>
      <c r="AW1070" s="45">
        <v>2.5534151662E-4</v>
      </c>
      <c r="AX1070" s="45">
        <v>3.2288906300000002E-6</v>
      </c>
      <c r="AY1070" s="45">
        <v>0.12226914164627001</v>
      </c>
      <c r="AZ1070" s="45">
        <v>2.6593097699999998E-6</v>
      </c>
      <c r="BA1070" s="45"/>
      <c r="BB1070" s="45"/>
      <c r="BC1070" s="45"/>
      <c r="BD1070" s="45"/>
      <c r="BE1070" s="45"/>
      <c r="BF1070" s="8" t="s">
        <v>173</v>
      </c>
      <c r="BG1070" s="45"/>
    </row>
    <row r="1071" spans="1:59" x14ac:dyDescent="0.35">
      <c r="A1071" s="45" t="s">
        <v>194</v>
      </c>
      <c r="B1071" s="41" t="s">
        <v>63</v>
      </c>
      <c r="C1071" s="41" t="s">
        <v>64</v>
      </c>
      <c r="D1071" s="41" t="s">
        <v>446</v>
      </c>
      <c r="E1071" s="41" t="s">
        <v>65</v>
      </c>
      <c r="F1071" s="45"/>
      <c r="G1071" s="58">
        <v>1.03E-2</v>
      </c>
      <c r="H1071" s="45">
        <v>0.83750000000000002</v>
      </c>
      <c r="I1071" s="60">
        <v>35.995750000000001</v>
      </c>
      <c r="J1071" s="45"/>
      <c r="K1071" s="45"/>
      <c r="L1071" s="45"/>
      <c r="M1071" s="45"/>
      <c r="N1071" s="45"/>
      <c r="O1071" s="45"/>
      <c r="P1071" s="45"/>
      <c r="Q1071" s="45"/>
      <c r="R1071" s="45"/>
      <c r="S1071" s="45"/>
      <c r="T1071" s="45"/>
      <c r="U1071" s="45"/>
      <c r="V1071" s="45"/>
      <c r="W1071" s="45"/>
      <c r="X1071" s="45"/>
      <c r="Y1071" s="45"/>
      <c r="Z1071" s="45"/>
      <c r="AA1071" s="45"/>
      <c r="AB1071" s="45"/>
      <c r="AC1071" s="45"/>
      <c r="AD1071" s="45"/>
      <c r="AE1071" s="45"/>
      <c r="AF1071" s="45"/>
      <c r="AG1071" s="45"/>
      <c r="AH1071" s="45"/>
      <c r="AI1071" s="45"/>
      <c r="AJ1071" s="45"/>
      <c r="AK1071" s="45"/>
      <c r="AL1071" s="45"/>
      <c r="AM1071" s="45"/>
      <c r="AN1071" s="45"/>
      <c r="AO1071" s="45"/>
      <c r="AP1071" s="45"/>
      <c r="AQ1071" s="45"/>
      <c r="AR1071" s="45"/>
      <c r="AS1071" s="45"/>
      <c r="AT1071" s="45"/>
      <c r="AU1071" s="45"/>
      <c r="AV1071" s="45"/>
      <c r="AW1071" s="45"/>
      <c r="AX1071" s="45"/>
      <c r="AY1071" s="45"/>
      <c r="AZ1071" s="45"/>
      <c r="BA1071" s="45"/>
      <c r="BB1071" s="45"/>
      <c r="BC1071" s="45"/>
      <c r="BD1071" s="45"/>
      <c r="BE1071" s="45"/>
      <c r="BF1071" t="s">
        <v>193</v>
      </c>
      <c r="BG1071" s="45"/>
    </row>
    <row r="1072" spans="1:59" x14ac:dyDescent="0.35">
      <c r="A1072" s="45" t="s">
        <v>195</v>
      </c>
      <c r="B1072" s="41" t="s">
        <v>63</v>
      </c>
      <c r="C1072" s="41" t="s">
        <v>64</v>
      </c>
      <c r="D1072" s="41" t="s">
        <v>446</v>
      </c>
      <c r="E1072" s="41" t="s">
        <v>65</v>
      </c>
      <c r="F1072" s="45"/>
      <c r="G1072" s="58">
        <v>9.8499999999999994E-3</v>
      </c>
      <c r="H1072" s="45">
        <v>0.83479999999999999</v>
      </c>
      <c r="I1072" s="60">
        <v>35.829093</v>
      </c>
      <c r="J1072" s="45"/>
      <c r="K1072" s="45"/>
      <c r="L1072" s="45"/>
      <c r="M1072" s="45"/>
      <c r="N1072" s="45"/>
      <c r="O1072" s="45"/>
      <c r="P1072" s="45"/>
      <c r="Q1072" s="45"/>
      <c r="R1072" s="45"/>
      <c r="S1072" s="45"/>
      <c r="T1072" s="45"/>
      <c r="U1072" s="45"/>
      <c r="V1072" s="45"/>
      <c r="W1072" s="45"/>
      <c r="X1072" s="45"/>
      <c r="Y1072" s="45"/>
      <c r="Z1072" s="45"/>
      <c r="AA1072" s="45"/>
      <c r="AB1072" s="45"/>
      <c r="AC1072" s="45"/>
      <c r="AD1072" s="45"/>
      <c r="AE1072" s="45"/>
      <c r="AF1072" s="45"/>
      <c r="AG1072" s="45"/>
      <c r="AH1072" s="45"/>
      <c r="AI1072" s="45"/>
      <c r="AJ1072" s="45"/>
      <c r="AK1072" s="45"/>
      <c r="AL1072" s="45"/>
      <c r="AM1072" s="45"/>
      <c r="AN1072" s="45"/>
      <c r="AO1072" s="45"/>
      <c r="AP1072" s="45"/>
      <c r="AQ1072" s="45"/>
      <c r="AR1072" s="45"/>
      <c r="AS1072" s="45"/>
      <c r="AT1072" s="45"/>
      <c r="AU1072" s="45"/>
      <c r="AV1072" s="45"/>
      <c r="AW1072" s="45"/>
      <c r="AX1072" s="45"/>
      <c r="AY1072" s="45"/>
      <c r="AZ1072" s="45"/>
      <c r="BA1072" s="45"/>
      <c r="BB1072" s="45"/>
      <c r="BC1072" s="45"/>
      <c r="BD1072" s="45"/>
      <c r="BE1072" s="45"/>
      <c r="BF1072" t="s">
        <v>193</v>
      </c>
      <c r="BG1072" s="45"/>
    </row>
    <row r="1073" spans="1:62" x14ac:dyDescent="0.35">
      <c r="A1073" s="45" t="s">
        <v>196</v>
      </c>
      <c r="B1073" s="41" t="s">
        <v>63</v>
      </c>
      <c r="C1073" s="41" t="s">
        <v>64</v>
      </c>
      <c r="D1073" s="41" t="s">
        <v>446</v>
      </c>
      <c r="E1073" s="41" t="s">
        <v>65</v>
      </c>
      <c r="F1073" s="45"/>
      <c r="G1073" s="58">
        <v>9.5899999999999996E-3</v>
      </c>
      <c r="H1073" s="45">
        <v>0.83169999999999999</v>
      </c>
      <c r="I1073" s="60">
        <v>35.829093</v>
      </c>
      <c r="J1073" s="45"/>
      <c r="K1073" s="45"/>
      <c r="L1073" s="45"/>
      <c r="M1073" s="45"/>
      <c r="N1073" s="45"/>
      <c r="O1073" s="45"/>
      <c r="P1073" s="45"/>
      <c r="Q1073" s="45"/>
      <c r="R1073" s="45"/>
      <c r="S1073" s="45"/>
      <c r="T1073" s="45"/>
      <c r="U1073" s="45"/>
      <c r="V1073" s="45"/>
      <c r="W1073" s="45"/>
      <c r="X1073" s="45"/>
      <c r="Y1073" s="45"/>
      <c r="Z1073" s="45"/>
      <c r="AA1073" s="45"/>
      <c r="AB1073" s="45"/>
      <c r="AC1073" s="45"/>
      <c r="AD1073" s="45"/>
      <c r="AE1073" s="45"/>
      <c r="AF1073" s="45"/>
      <c r="AG1073" s="45"/>
      <c r="AH1073" s="45"/>
      <c r="AI1073" s="45"/>
      <c r="AJ1073" s="45"/>
      <c r="AK1073" s="45"/>
      <c r="AL1073" s="45"/>
      <c r="AM1073" s="45"/>
      <c r="AN1073" s="45"/>
      <c r="AO1073" s="45"/>
      <c r="AP1073" s="45"/>
      <c r="AQ1073" s="45"/>
      <c r="AR1073" s="45"/>
      <c r="AS1073" s="45"/>
      <c r="AT1073" s="45"/>
      <c r="AU1073" s="45"/>
      <c r="AV1073" s="45"/>
      <c r="AW1073" s="45"/>
      <c r="AX1073" s="45"/>
      <c r="AY1073" s="45"/>
      <c r="AZ1073" s="45"/>
      <c r="BA1073" s="45"/>
      <c r="BB1073" s="45"/>
      <c r="BC1073" s="45"/>
      <c r="BD1073" s="45"/>
      <c r="BE1073" s="45"/>
      <c r="BF1073" t="s">
        <v>193</v>
      </c>
      <c r="BG1073" s="45"/>
    </row>
    <row r="1074" spans="1:62" x14ac:dyDescent="0.35">
      <c r="A1074" s="45" t="s">
        <v>197</v>
      </c>
      <c r="B1074" s="41" t="s">
        <v>63</v>
      </c>
      <c r="C1074" s="41" t="s">
        <v>64</v>
      </c>
      <c r="D1074" s="41" t="s">
        <v>446</v>
      </c>
      <c r="E1074" s="41" t="s">
        <v>65</v>
      </c>
      <c r="F1074" s="45"/>
      <c r="G1074" s="58">
        <v>9.4400000000000005E-3</v>
      </c>
      <c r="H1074" s="45">
        <v>0.82899999999999996</v>
      </c>
      <c r="I1074" s="60">
        <v>35.662436</v>
      </c>
      <c r="J1074" s="45"/>
      <c r="K1074" s="45"/>
      <c r="L1074" s="45"/>
      <c r="M1074" s="45"/>
      <c r="N1074" s="45"/>
      <c r="O1074" s="45"/>
      <c r="P1074" s="45"/>
      <c r="Q1074" s="45"/>
      <c r="R1074" s="45"/>
      <c r="S1074" s="45"/>
      <c r="T1074" s="45"/>
      <c r="U1074" s="45"/>
      <c r="V1074" s="45"/>
      <c r="W1074" s="45"/>
      <c r="X1074" s="45"/>
      <c r="Y1074" s="45"/>
      <c r="Z1074" s="45"/>
      <c r="AA1074" s="45"/>
      <c r="AB1074" s="45"/>
      <c r="AC1074" s="45"/>
      <c r="AD1074" s="45"/>
      <c r="AE1074" s="45"/>
      <c r="AF1074" s="45"/>
      <c r="AG1074" s="45"/>
      <c r="AH1074" s="45"/>
      <c r="AI1074" s="45"/>
      <c r="AJ1074" s="45"/>
      <c r="AK1074" s="45"/>
      <c r="AL1074" s="45"/>
      <c r="AM1074" s="45"/>
      <c r="AN1074" s="45"/>
      <c r="AO1074" s="45"/>
      <c r="AP1074" s="45"/>
      <c r="AQ1074" s="45"/>
      <c r="AR1074" s="45"/>
      <c r="AS1074" s="45"/>
      <c r="AT1074" s="45"/>
      <c r="AU1074" s="45"/>
      <c r="AV1074" s="45"/>
      <c r="AW1074" s="45"/>
      <c r="AX1074" s="45"/>
      <c r="AY1074" s="45"/>
      <c r="AZ1074" s="45"/>
      <c r="BA1074" s="45"/>
      <c r="BB1074" s="45"/>
      <c r="BC1074" s="45"/>
      <c r="BD1074" s="45"/>
      <c r="BE1074" s="45"/>
      <c r="BF1074" t="s">
        <v>193</v>
      </c>
      <c r="BG1074" s="45"/>
    </row>
    <row r="1075" spans="1:62" x14ac:dyDescent="0.35">
      <c r="A1075" s="45" t="s">
        <v>198</v>
      </c>
      <c r="B1075" s="41" t="s">
        <v>63</v>
      </c>
      <c r="C1075" s="41" t="s">
        <v>64</v>
      </c>
      <c r="D1075" s="41" t="s">
        <v>446</v>
      </c>
      <c r="E1075" s="41" t="s">
        <v>65</v>
      </c>
      <c r="F1075" s="45"/>
      <c r="G1075" s="58">
        <v>9.1800000000000007E-3</v>
      </c>
      <c r="H1075" s="45">
        <v>0.82589999999999997</v>
      </c>
      <c r="I1075" s="60">
        <v>35.662436</v>
      </c>
      <c r="J1075" s="45"/>
      <c r="K1075" s="45"/>
      <c r="L1075" s="45"/>
      <c r="M1075" s="45"/>
      <c r="N1075" s="45"/>
      <c r="O1075" s="45"/>
      <c r="P1075" s="45"/>
      <c r="Q1075" s="45"/>
      <c r="R1075" s="45"/>
      <c r="S1075" s="45"/>
      <c r="T1075" s="45"/>
      <c r="U1075" s="45"/>
      <c r="V1075" s="45"/>
      <c r="W1075" s="45"/>
      <c r="X1075" s="45"/>
      <c r="Y1075" s="45"/>
      <c r="Z1075" s="45"/>
      <c r="AA1075" s="45"/>
      <c r="AB1075" s="45"/>
      <c r="AC1075" s="45"/>
      <c r="AD1075" s="45"/>
      <c r="AE1075" s="45"/>
      <c r="AF1075" s="45"/>
      <c r="AG1075" s="45"/>
      <c r="AH1075" s="45"/>
      <c r="AI1075" s="45"/>
      <c r="AJ1075" s="45"/>
      <c r="AK1075" s="45"/>
      <c r="AL1075" s="45"/>
      <c r="AM1075" s="45"/>
      <c r="AN1075" s="45"/>
      <c r="AO1075" s="45"/>
      <c r="AP1075" s="45"/>
      <c r="AQ1075" s="45"/>
      <c r="AR1075" s="45"/>
      <c r="AS1075" s="45"/>
      <c r="AT1075" s="45"/>
      <c r="AU1075" s="45"/>
      <c r="AV1075" s="45"/>
      <c r="AW1075" s="45"/>
      <c r="AX1075" s="45"/>
      <c r="AY1075" s="45"/>
      <c r="AZ1075" s="45"/>
      <c r="BA1075" s="45"/>
      <c r="BB1075" s="45"/>
      <c r="BC1075" s="45"/>
      <c r="BD1075" s="45"/>
      <c r="BE1075" s="45"/>
      <c r="BF1075" t="s">
        <v>193</v>
      </c>
      <c r="BG1075" s="45"/>
    </row>
    <row r="1076" spans="1:62" x14ac:dyDescent="0.35">
      <c r="A1076" s="45" t="s">
        <v>199</v>
      </c>
      <c r="B1076" s="41" t="s">
        <v>63</v>
      </c>
      <c r="C1076" s="41" t="s">
        <v>64</v>
      </c>
      <c r="D1076" s="41" t="s">
        <v>446</v>
      </c>
      <c r="E1076" s="41" t="s">
        <v>65</v>
      </c>
      <c r="F1076" s="45"/>
      <c r="G1076" s="58">
        <v>9.0299999999999998E-3</v>
      </c>
      <c r="H1076" s="45">
        <v>0.82320000000000004</v>
      </c>
      <c r="I1076" s="60">
        <v>35.495778999999999</v>
      </c>
      <c r="J1076" s="45"/>
      <c r="K1076" s="45"/>
      <c r="L1076" s="45"/>
      <c r="M1076" s="45"/>
      <c r="N1076" s="45"/>
      <c r="O1076" s="45"/>
      <c r="P1076" s="45"/>
      <c r="Q1076" s="45"/>
      <c r="R1076" s="45"/>
      <c r="S1076" s="45"/>
      <c r="T1076" s="45"/>
      <c r="U1076" s="45"/>
      <c r="V1076" s="45"/>
      <c r="W1076" s="45"/>
      <c r="X1076" s="45"/>
      <c r="Y1076" s="45"/>
      <c r="Z1076" s="45"/>
      <c r="AA1076" s="45"/>
      <c r="AB1076" s="45"/>
      <c r="AC1076" s="45"/>
      <c r="AD1076" s="45"/>
      <c r="AE1076" s="45"/>
      <c r="AF1076" s="45"/>
      <c r="AG1076" s="45"/>
      <c r="AH1076" s="45"/>
      <c r="AI1076" s="45"/>
      <c r="AJ1076" s="45"/>
      <c r="AK1076" s="45"/>
      <c r="AL1076" s="45"/>
      <c r="AM1076" s="45"/>
      <c r="AN1076" s="45"/>
      <c r="AO1076" s="45"/>
      <c r="AP1076" s="45"/>
      <c r="AQ1076" s="45"/>
      <c r="AR1076" s="45"/>
      <c r="AS1076" s="45"/>
      <c r="AT1076" s="45"/>
      <c r="AU1076" s="45"/>
      <c r="AV1076" s="45"/>
      <c r="AW1076" s="45"/>
      <c r="AX1076" s="45"/>
      <c r="AY1076" s="45"/>
      <c r="AZ1076" s="45"/>
      <c r="BA1076" s="45"/>
      <c r="BB1076" s="45"/>
      <c r="BC1076" s="45"/>
      <c r="BD1076" s="45"/>
      <c r="BE1076" s="45"/>
      <c r="BF1076" t="s">
        <v>193</v>
      </c>
      <c r="BG1076" s="45"/>
    </row>
    <row r="1077" spans="1:62" x14ac:dyDescent="0.35">
      <c r="A1077" s="45" t="s">
        <v>200</v>
      </c>
      <c r="B1077" s="41" t="s">
        <v>63</v>
      </c>
      <c r="C1077" s="41" t="s">
        <v>64</v>
      </c>
      <c r="D1077" s="41" t="s">
        <v>446</v>
      </c>
      <c r="E1077" s="41" t="s">
        <v>65</v>
      </c>
      <c r="F1077" s="45"/>
      <c r="G1077" s="58">
        <v>8.7600000000000004E-3</v>
      </c>
      <c r="H1077" s="45">
        <v>0.82010000000000005</v>
      </c>
      <c r="I1077" s="60">
        <v>35.495778999999999</v>
      </c>
      <c r="J1077" s="45"/>
      <c r="K1077" s="45"/>
      <c r="L1077" s="45"/>
      <c r="M1077" s="45"/>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c r="AJ1077" s="45"/>
      <c r="AK1077" s="45"/>
      <c r="AL1077" s="45"/>
      <c r="AM1077" s="45"/>
      <c r="AN1077" s="45"/>
      <c r="AO1077" s="45"/>
      <c r="AP1077" s="45"/>
      <c r="AQ1077" s="45"/>
      <c r="AR1077" s="45"/>
      <c r="AS1077" s="45"/>
      <c r="AT1077" s="45"/>
      <c r="AU1077" s="45"/>
      <c r="AV1077" s="45"/>
      <c r="AW1077" s="45"/>
      <c r="AX1077" s="45"/>
      <c r="AY1077" s="45"/>
      <c r="AZ1077" s="45"/>
      <c r="BA1077" s="45"/>
      <c r="BB1077" s="45"/>
      <c r="BC1077" s="45"/>
      <c r="BD1077" s="45"/>
      <c r="BE1077" s="45"/>
      <c r="BF1077" t="s">
        <v>193</v>
      </c>
      <c r="BG1077" s="45"/>
    </row>
    <row r="1078" spans="1:62" x14ac:dyDescent="0.35">
      <c r="A1078" s="45" t="s">
        <v>201</v>
      </c>
      <c r="B1078" s="41" t="s">
        <v>63</v>
      </c>
      <c r="C1078" s="41" t="s">
        <v>64</v>
      </c>
      <c r="D1078" s="41" t="s">
        <v>446</v>
      </c>
      <c r="E1078" s="41" t="s">
        <v>65</v>
      </c>
      <c r="F1078" s="45"/>
      <c r="G1078" s="58">
        <v>8.1899999999999994E-3</v>
      </c>
      <c r="H1078" s="45">
        <v>0.81159999999999999</v>
      </c>
      <c r="I1078" s="60">
        <v>35.162464999999997</v>
      </c>
      <c r="J1078" s="45"/>
      <c r="K1078" s="45"/>
      <c r="L1078" s="45"/>
      <c r="M1078" s="45"/>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c r="AJ1078" s="45"/>
      <c r="AK1078" s="45"/>
      <c r="AL1078" s="45"/>
      <c r="AM1078" s="45"/>
      <c r="AN1078" s="45"/>
      <c r="AO1078" s="45"/>
      <c r="AP1078" s="45"/>
      <c r="AQ1078" s="45"/>
      <c r="AR1078" s="45"/>
      <c r="AS1078" s="45"/>
      <c r="AT1078" s="45"/>
      <c r="AU1078" s="45"/>
      <c r="AV1078" s="45"/>
      <c r="AW1078" s="45"/>
      <c r="AX1078" s="45"/>
      <c r="AY1078" s="45"/>
      <c r="AZ1078" s="45"/>
      <c r="BA1078" s="45"/>
      <c r="BB1078" s="45"/>
      <c r="BC1078" s="45"/>
      <c r="BD1078" s="45"/>
      <c r="BE1078" s="45"/>
      <c r="BF1078" t="s">
        <v>193</v>
      </c>
      <c r="BG1078" s="45"/>
    </row>
    <row r="1079" spans="1:62" x14ac:dyDescent="0.35">
      <c r="A1079" s="45" t="s">
        <v>202</v>
      </c>
      <c r="B1079" s="41" t="s">
        <v>63</v>
      </c>
      <c r="C1079" s="41" t="s">
        <v>64</v>
      </c>
      <c r="D1079" s="41" t="s">
        <v>446</v>
      </c>
      <c r="E1079" s="41" t="s">
        <v>65</v>
      </c>
      <c r="F1079" s="45"/>
      <c r="G1079" s="58">
        <v>7.9299999999999995E-3</v>
      </c>
      <c r="H1079" s="45">
        <v>0.8085</v>
      </c>
      <c r="I1079" s="60">
        <v>35.162464999999997</v>
      </c>
      <c r="J1079" s="45"/>
      <c r="K1079" s="45"/>
      <c r="L1079" s="45"/>
      <c r="M1079" s="45"/>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c r="AJ1079" s="45"/>
      <c r="AK1079" s="45"/>
      <c r="AL1079" s="45"/>
      <c r="AM1079" s="45"/>
      <c r="AN1079" s="45"/>
      <c r="AO1079" s="45"/>
      <c r="AP1079" s="45"/>
      <c r="AQ1079" s="45"/>
      <c r="AR1079" s="45"/>
      <c r="AS1079" s="45"/>
      <c r="AT1079" s="45"/>
      <c r="AU1079" s="45"/>
      <c r="AV1079" s="45"/>
      <c r="AW1079" s="45"/>
      <c r="AX1079" s="45"/>
      <c r="AY1079" s="45"/>
      <c r="AZ1079" s="45"/>
      <c r="BA1079" s="45"/>
      <c r="BB1079" s="45"/>
      <c r="BC1079" s="45"/>
      <c r="BD1079" s="45"/>
      <c r="BE1079" s="45"/>
      <c r="BF1079" t="s">
        <v>193</v>
      </c>
      <c r="BG1079" s="45"/>
    </row>
    <row r="1080" spans="1:62" x14ac:dyDescent="0.35">
      <c r="A1080" s="45" t="s">
        <v>203</v>
      </c>
      <c r="B1080" s="41" t="s">
        <v>63</v>
      </c>
      <c r="C1080" s="41" t="s">
        <v>64</v>
      </c>
      <c r="D1080" s="41" t="s">
        <v>446</v>
      </c>
      <c r="E1080" s="41" t="s">
        <v>65</v>
      </c>
      <c r="F1080" s="45"/>
      <c r="G1080" s="58">
        <v>6.0699999999999999E-3</v>
      </c>
      <c r="H1080" s="45">
        <v>0.77949999999999997</v>
      </c>
      <c r="I1080" s="60">
        <v>34.329180000000001</v>
      </c>
      <c r="J1080" s="45"/>
      <c r="K1080" s="45"/>
      <c r="L1080" s="45"/>
      <c r="M1080" s="45"/>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c r="AJ1080" s="45"/>
      <c r="AK1080" s="45"/>
      <c r="AL1080" s="45"/>
      <c r="AM1080" s="45"/>
      <c r="AN1080" s="45"/>
      <c r="AO1080" s="45"/>
      <c r="AP1080" s="45"/>
      <c r="AQ1080" s="45"/>
      <c r="AR1080" s="45"/>
      <c r="AS1080" s="45"/>
      <c r="AT1080" s="45"/>
      <c r="AU1080" s="45"/>
      <c r="AV1080" s="45"/>
      <c r="AW1080" s="45"/>
      <c r="AX1080" s="45"/>
      <c r="AY1080" s="45"/>
      <c r="AZ1080" s="45"/>
      <c r="BA1080" s="45"/>
      <c r="BB1080" s="45"/>
      <c r="BC1080" s="45"/>
      <c r="BD1080" s="45"/>
      <c r="BE1080" s="45"/>
      <c r="BF1080" t="s">
        <v>193</v>
      </c>
      <c r="BG1080" s="45"/>
    </row>
    <row r="1081" spans="1:62" x14ac:dyDescent="0.35">
      <c r="A1081" s="45" t="s">
        <v>288</v>
      </c>
      <c r="B1081" s="45" t="s">
        <v>63</v>
      </c>
      <c r="C1081" s="41" t="s">
        <v>64</v>
      </c>
      <c r="D1081" s="41" t="s">
        <v>446</v>
      </c>
      <c r="E1081" s="41" t="s">
        <v>65</v>
      </c>
      <c r="F1081" s="45">
        <f>1/13.5</f>
        <v>7.407407407407407E-2</v>
      </c>
      <c r="G1081" s="163">
        <v>0</v>
      </c>
      <c r="H1081" s="45"/>
      <c r="I1081" s="60">
        <v>3.6</v>
      </c>
      <c r="J1081" s="132">
        <v>0</v>
      </c>
      <c r="K1081" s="132">
        <v>0</v>
      </c>
      <c r="L1081" s="132">
        <v>0</v>
      </c>
      <c r="M1081" s="132">
        <v>0</v>
      </c>
      <c r="N1081" s="132">
        <v>0</v>
      </c>
      <c r="O1081" s="132">
        <v>0</v>
      </c>
      <c r="P1081" s="132">
        <v>0</v>
      </c>
      <c r="Q1081" s="132">
        <v>0</v>
      </c>
      <c r="R1081" s="132">
        <v>0</v>
      </c>
      <c r="S1081" s="132">
        <v>0</v>
      </c>
      <c r="T1081" s="132">
        <v>0</v>
      </c>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v>0</v>
      </c>
      <c r="AQ1081" s="132"/>
      <c r="AR1081" s="132"/>
      <c r="AS1081" s="132">
        <v>0</v>
      </c>
      <c r="AT1081" s="132"/>
      <c r="AU1081" s="132"/>
      <c r="AV1081" s="132"/>
      <c r="AW1081" s="132">
        <v>0</v>
      </c>
      <c r="AX1081" s="132">
        <v>0</v>
      </c>
      <c r="AY1081" s="132">
        <v>0</v>
      </c>
      <c r="AZ1081" s="132">
        <v>0</v>
      </c>
      <c r="BA1081" s="132"/>
      <c r="BB1081" s="132"/>
      <c r="BC1081" s="132"/>
      <c r="BD1081" s="132"/>
      <c r="BE1081" s="132"/>
      <c r="BF1081" s="45"/>
      <c r="BG1081" s="45"/>
    </row>
    <row r="1082" spans="1:62" x14ac:dyDescent="0.35">
      <c r="A1082" s="45" t="s">
        <v>289</v>
      </c>
      <c r="B1082" s="45" t="s">
        <v>63</v>
      </c>
      <c r="C1082" s="41" t="s">
        <v>64</v>
      </c>
      <c r="D1082" s="41" t="s">
        <v>446</v>
      </c>
      <c r="E1082" s="41" t="s">
        <v>65</v>
      </c>
      <c r="F1082" s="45">
        <f>1/13.5</f>
        <v>7.407407407407407E-2</v>
      </c>
      <c r="G1082" s="163">
        <v>0</v>
      </c>
      <c r="H1082" s="45"/>
      <c r="I1082" s="60">
        <v>3.6</v>
      </c>
      <c r="J1082" s="132">
        <v>0</v>
      </c>
      <c r="K1082" s="132">
        <v>0</v>
      </c>
      <c r="L1082" s="132">
        <v>0</v>
      </c>
      <c r="M1082" s="132">
        <v>0</v>
      </c>
      <c r="N1082" s="132">
        <v>0</v>
      </c>
      <c r="O1082" s="132">
        <v>0</v>
      </c>
      <c r="P1082" s="132">
        <v>0</v>
      </c>
      <c r="Q1082" s="132">
        <v>0</v>
      </c>
      <c r="R1082" s="132">
        <v>0</v>
      </c>
      <c r="S1082" s="132">
        <v>0</v>
      </c>
      <c r="T1082" s="132">
        <v>0</v>
      </c>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v>0</v>
      </c>
      <c r="AQ1082" s="132"/>
      <c r="AR1082" s="132"/>
      <c r="AS1082" s="132">
        <v>0</v>
      </c>
      <c r="AT1082" s="132"/>
      <c r="AU1082" s="132"/>
      <c r="AV1082" s="132"/>
      <c r="AW1082" s="132">
        <v>0</v>
      </c>
      <c r="AX1082" s="132">
        <v>0</v>
      </c>
      <c r="AY1082" s="132">
        <v>0</v>
      </c>
      <c r="AZ1082" s="132">
        <v>0</v>
      </c>
      <c r="BA1082" s="132"/>
      <c r="BB1082" s="132"/>
      <c r="BC1082" s="132"/>
      <c r="BD1082" s="132"/>
      <c r="BE1082" s="132"/>
      <c r="BF1082" s="45"/>
      <c r="BG1082" s="45"/>
    </row>
    <row r="1083" spans="1:62" x14ac:dyDescent="0.35">
      <c r="A1083" s="45"/>
      <c r="B1083" s="45"/>
      <c r="C1083" s="45"/>
      <c r="D1083" s="45"/>
      <c r="E1083" s="54"/>
      <c r="F1083" s="45"/>
      <c r="G1083" s="45"/>
      <c r="H1083" s="45"/>
      <c r="I1083" s="45"/>
      <c r="J1083" s="45"/>
      <c r="K1083" s="45"/>
      <c r="L1083" s="45"/>
      <c r="M1083" s="45"/>
      <c r="N1083" s="45"/>
      <c r="O1083" s="45"/>
      <c r="P1083" s="45"/>
      <c r="Q1083" s="45"/>
      <c r="R1083" s="45"/>
      <c r="S1083" s="45"/>
      <c r="T1083" s="45"/>
      <c r="U1083" s="45"/>
      <c r="V1083" s="45"/>
      <c r="W1083" s="45"/>
      <c r="X1083" s="45"/>
      <c r="Y1083" s="45"/>
      <c r="Z1083" s="45"/>
      <c r="AA1083" s="45"/>
    </row>
    <row r="1084" spans="1:62" ht="15.5" x14ac:dyDescent="0.35">
      <c r="J1084" s="221"/>
      <c r="K1084" s="220"/>
      <c r="L1084" s="221"/>
      <c r="M1084" s="220"/>
      <c r="N1084" s="221"/>
      <c r="O1084" s="221"/>
      <c r="P1084" s="220"/>
      <c r="Q1084" s="220"/>
      <c r="R1084" s="221"/>
      <c r="S1084" s="220"/>
      <c r="T1084" s="221"/>
      <c r="U1084" s="221"/>
      <c r="V1084" s="221"/>
      <c r="W1084" s="220"/>
      <c r="X1084" s="221"/>
      <c r="Y1084" s="221"/>
      <c r="Z1084" s="220"/>
      <c r="AA1084" s="221"/>
      <c r="AB1084" s="221"/>
      <c r="AC1084" s="220"/>
      <c r="AD1084" s="220"/>
      <c r="AE1084" s="221"/>
      <c r="AF1084" s="221"/>
      <c r="AG1084" s="221"/>
      <c r="AH1084" s="221"/>
      <c r="AI1084" s="221"/>
      <c r="AJ1084" s="221"/>
      <c r="AK1084" s="221"/>
      <c r="AL1084" s="221"/>
      <c r="AM1084" s="221"/>
      <c r="AN1084" s="221"/>
      <c r="AO1084" s="221"/>
      <c r="AP1084" s="220"/>
      <c r="AQ1084" s="221"/>
      <c r="AR1084" s="220"/>
      <c r="AS1084" s="221"/>
      <c r="AT1084" s="221"/>
      <c r="AU1084" s="221"/>
      <c r="AV1084" s="221"/>
      <c r="AW1084" s="221"/>
      <c r="AX1084" s="221"/>
      <c r="AY1084" s="221"/>
      <c r="AZ1084" s="221"/>
      <c r="BA1084" s="221"/>
      <c r="BB1084" s="221"/>
      <c r="BC1084" s="221"/>
      <c r="BD1084" s="221"/>
      <c r="BE1084" s="221"/>
      <c r="BF1084" s="240"/>
      <c r="BG1084" s="240"/>
      <c r="BH1084" s="240"/>
    </row>
    <row r="1085" spans="1:62" ht="15.5" x14ac:dyDescent="0.35">
      <c r="A1085" s="41" t="s">
        <v>116</v>
      </c>
      <c r="J1085" s="234"/>
      <c r="K1085" s="235"/>
      <c r="L1085" s="235"/>
      <c r="M1085" s="235"/>
      <c r="N1085" s="236"/>
      <c r="O1085" s="235"/>
      <c r="P1085" s="235"/>
      <c r="Q1085" s="235"/>
      <c r="R1085" s="235"/>
      <c r="S1085" s="235"/>
      <c r="T1085" s="235"/>
      <c r="U1085" s="235"/>
      <c r="V1085" s="235"/>
      <c r="W1085" s="235"/>
      <c r="X1085" s="236"/>
      <c r="Y1085" s="236"/>
      <c r="Z1085" s="235"/>
      <c r="AA1085" s="235"/>
      <c r="AB1085" s="236"/>
      <c r="AC1085" s="235"/>
      <c r="AD1085" s="235"/>
      <c r="AE1085" s="236"/>
      <c r="AF1085" s="236"/>
      <c r="AG1085" s="236"/>
      <c r="AH1085" s="236"/>
      <c r="AI1085" s="236"/>
      <c r="AJ1085" s="236"/>
      <c r="AK1085" s="236"/>
      <c r="AL1085" s="236"/>
      <c r="AM1085" s="236"/>
      <c r="AN1085" s="236"/>
      <c r="AO1085" s="235"/>
      <c r="AP1085" s="235"/>
      <c r="AQ1085" s="235"/>
      <c r="AR1085" s="235"/>
      <c r="AS1085" s="236"/>
      <c r="AT1085" s="236"/>
      <c r="AU1085" s="236"/>
      <c r="AV1085" s="236"/>
      <c r="AW1085" s="236"/>
      <c r="AX1085" s="236"/>
      <c r="AY1085" s="236"/>
      <c r="AZ1085" s="236"/>
      <c r="BA1085" s="236"/>
      <c r="BB1085" s="236"/>
      <c r="BC1085" s="236"/>
      <c r="BD1085" s="236"/>
      <c r="BE1085" s="237"/>
    </row>
    <row r="1086" spans="1:62" ht="15.5" x14ac:dyDescent="0.35">
      <c r="A1086" s="41" t="s">
        <v>56</v>
      </c>
      <c r="B1086" s="41" t="s">
        <v>57</v>
      </c>
      <c r="C1086" s="41" t="s">
        <v>5</v>
      </c>
      <c r="D1086" s="41" t="s">
        <v>442</v>
      </c>
      <c r="E1086" s="41" t="s">
        <v>58</v>
      </c>
      <c r="F1086" s="41" t="s">
        <v>275</v>
      </c>
      <c r="G1086" s="41" t="s">
        <v>7</v>
      </c>
      <c r="H1086" s="41" t="s">
        <v>60</v>
      </c>
      <c r="I1086" s="41" t="s">
        <v>204</v>
      </c>
      <c r="J1086" s="234" t="s">
        <v>627</v>
      </c>
      <c r="K1086" s="235" t="s">
        <v>628</v>
      </c>
      <c r="L1086" s="235" t="s">
        <v>629</v>
      </c>
      <c r="M1086" s="235" t="s">
        <v>630</v>
      </c>
      <c r="N1086" s="236" t="s">
        <v>631</v>
      </c>
      <c r="O1086" s="235" t="s">
        <v>632</v>
      </c>
      <c r="P1086" s="235" t="s">
        <v>633</v>
      </c>
      <c r="Q1086" s="235" t="s">
        <v>634</v>
      </c>
      <c r="R1086" s="235" t="s">
        <v>635</v>
      </c>
      <c r="S1086" s="235" t="s">
        <v>636</v>
      </c>
      <c r="T1086" s="235" t="s">
        <v>637</v>
      </c>
      <c r="U1086" s="235" t="s">
        <v>638</v>
      </c>
      <c r="V1086" s="235" t="s">
        <v>639</v>
      </c>
      <c r="W1086" s="235" t="s">
        <v>640</v>
      </c>
      <c r="X1086" s="236" t="s">
        <v>641</v>
      </c>
      <c r="Y1086" s="236" t="s">
        <v>642</v>
      </c>
      <c r="Z1086" s="235" t="s">
        <v>643</v>
      </c>
      <c r="AA1086" s="235" t="s">
        <v>644</v>
      </c>
      <c r="AB1086" s="236" t="s">
        <v>645</v>
      </c>
      <c r="AC1086" s="235" t="s">
        <v>646</v>
      </c>
      <c r="AD1086" s="235" t="s">
        <v>647</v>
      </c>
      <c r="AE1086" s="236" t="s">
        <v>648</v>
      </c>
      <c r="AF1086" s="236" t="s">
        <v>649</v>
      </c>
      <c r="AG1086" s="236" t="s">
        <v>650</v>
      </c>
      <c r="AH1086" s="236" t="s">
        <v>651</v>
      </c>
      <c r="AI1086" s="236" t="s">
        <v>652</v>
      </c>
      <c r="AJ1086" s="236" t="s">
        <v>653</v>
      </c>
      <c r="AK1086" s="236" t="s">
        <v>654</v>
      </c>
      <c r="AL1086" s="236" t="s">
        <v>655</v>
      </c>
      <c r="AM1086" s="236" t="s">
        <v>656</v>
      </c>
      <c r="AN1086" s="236" t="s">
        <v>657</v>
      </c>
      <c r="AO1086" s="235" t="s">
        <v>658</v>
      </c>
      <c r="AP1086" s="235" t="s">
        <v>659</v>
      </c>
      <c r="AQ1086" s="235" t="s">
        <v>660</v>
      </c>
      <c r="AR1086" s="235" t="s">
        <v>661</v>
      </c>
      <c r="AS1086" s="236" t="s">
        <v>662</v>
      </c>
      <c r="AT1086" s="236" t="s">
        <v>663</v>
      </c>
      <c r="AU1086" s="236" t="s">
        <v>664</v>
      </c>
      <c r="AV1086" s="236" t="s">
        <v>665</v>
      </c>
      <c r="AW1086" s="236" t="s">
        <v>666</v>
      </c>
      <c r="AX1086" s="236" t="s">
        <v>667</v>
      </c>
      <c r="AY1086" s="236" t="s">
        <v>668</v>
      </c>
      <c r="AZ1086" s="236" t="s">
        <v>669</v>
      </c>
      <c r="BA1086" s="236" t="s">
        <v>670</v>
      </c>
      <c r="BB1086" s="236" t="s">
        <v>671</v>
      </c>
      <c r="BC1086" s="236" t="s">
        <v>672</v>
      </c>
      <c r="BD1086" s="236" t="s">
        <v>673</v>
      </c>
      <c r="BE1086" s="237" t="s">
        <v>674</v>
      </c>
      <c r="BF1086" s="41" t="s">
        <v>59</v>
      </c>
      <c r="BG1086" s="41" t="s">
        <v>61</v>
      </c>
      <c r="BH1086" s="45" t="s">
        <v>274</v>
      </c>
      <c r="BJ1086" s="41" t="s">
        <v>96</v>
      </c>
    </row>
    <row r="1087" spans="1:62" x14ac:dyDescent="0.35">
      <c r="A1087" s="45" t="s">
        <v>318</v>
      </c>
      <c r="B1087" s="41" t="s">
        <v>93</v>
      </c>
      <c r="C1087" s="41" t="s">
        <v>447</v>
      </c>
      <c r="D1087" s="41" t="s">
        <v>449</v>
      </c>
      <c r="E1087" s="41" t="s">
        <v>65</v>
      </c>
      <c r="F1087" s="45">
        <v>0</v>
      </c>
      <c r="G1087" s="54">
        <v>0</v>
      </c>
      <c r="H1087" s="41">
        <v>0</v>
      </c>
      <c r="I1087" s="41">
        <v>0</v>
      </c>
      <c r="J1087" s="41">
        <v>0</v>
      </c>
      <c r="K1087" s="41">
        <v>0</v>
      </c>
      <c r="L1087" s="41">
        <v>0</v>
      </c>
      <c r="M1087" s="41">
        <v>0</v>
      </c>
      <c r="N1087" s="41">
        <v>0</v>
      </c>
      <c r="O1087" s="41">
        <v>0</v>
      </c>
      <c r="P1087" s="41">
        <v>0</v>
      </c>
      <c r="Q1087" s="41">
        <v>0</v>
      </c>
      <c r="R1087" s="41">
        <v>0</v>
      </c>
      <c r="S1087" s="41">
        <v>0</v>
      </c>
      <c r="T1087" s="41">
        <v>0</v>
      </c>
      <c r="AP1087" s="41">
        <v>0</v>
      </c>
      <c r="AS1087" s="41">
        <v>0</v>
      </c>
      <c r="AW1087" s="41">
        <v>0</v>
      </c>
      <c r="AX1087" s="41">
        <v>0</v>
      </c>
      <c r="AY1087" s="41">
        <v>0</v>
      </c>
      <c r="AZ1087" s="41">
        <v>0</v>
      </c>
      <c r="BF1087" s="45"/>
      <c r="BG1087" s="45"/>
      <c r="BH1087" s="45"/>
    </row>
    <row r="1088" spans="1:62" ht="15.5" x14ac:dyDescent="0.45">
      <c r="A1088" s="41" t="s">
        <v>114</v>
      </c>
      <c r="B1088" s="41" t="s">
        <v>93</v>
      </c>
      <c r="C1088" s="41" t="s">
        <v>447</v>
      </c>
      <c r="D1088" s="41" t="s">
        <v>449</v>
      </c>
      <c r="E1088" s="41" t="s">
        <v>65</v>
      </c>
      <c r="F1088" s="41">
        <v>0.57999999999999996</v>
      </c>
      <c r="G1088" s="56">
        <v>0.26127051720916966</v>
      </c>
      <c r="H1088" s="41">
        <v>0.84</v>
      </c>
      <c r="I1088" s="46">
        <v>35.9</v>
      </c>
      <c r="J1088" s="41">
        <v>6.4425856000000004E-7</v>
      </c>
      <c r="K1088" s="41">
        <v>1.3213694999999999E-2</v>
      </c>
      <c r="L1088" s="41">
        <v>2.5529294999999999</v>
      </c>
      <c r="M1088" s="41">
        <v>3.4639106E-7</v>
      </c>
      <c r="N1088" s="41">
        <v>9.5517594999999995E-4</v>
      </c>
      <c r="O1088" s="41">
        <v>1.0768784E-2</v>
      </c>
      <c r="P1088" s="41">
        <v>2.4323385999999998E-3</v>
      </c>
      <c r="Q1088" s="41">
        <v>0.67825634000000001</v>
      </c>
      <c r="R1088" s="41">
        <v>9.5708474000000005E-3</v>
      </c>
      <c r="S1088" s="41">
        <v>32.243735000000001</v>
      </c>
      <c r="T1088" s="41">
        <v>1.1375229000000001E-3</v>
      </c>
      <c r="AP1088" s="41">
        <v>0.16412406000000002</v>
      </c>
      <c r="AS1088" s="41">
        <v>29.643218999999998</v>
      </c>
      <c r="AW1088" s="41">
        <v>3.8411689999999997E-3</v>
      </c>
      <c r="AX1088" s="41">
        <v>1.2428052000000001E-5</v>
      </c>
      <c r="AY1088" s="41">
        <v>2.9755680999999999E-2</v>
      </c>
      <c r="AZ1088" s="41">
        <v>1.9408612000000001E-4</v>
      </c>
      <c r="BF1088" s="41" t="s">
        <v>94</v>
      </c>
      <c r="BG1088" s="41" t="s">
        <v>95</v>
      </c>
      <c r="BH1088" s="45">
        <v>400</v>
      </c>
      <c r="BJ1088" s="41" t="s">
        <v>96</v>
      </c>
    </row>
    <row r="1089" spans="1:62" ht="15.5" x14ac:dyDescent="0.45">
      <c r="A1089" s="41" t="s">
        <v>110</v>
      </c>
      <c r="B1089" s="41" t="s">
        <v>93</v>
      </c>
      <c r="C1089" s="41" t="s">
        <v>447</v>
      </c>
      <c r="D1089" s="41" t="s">
        <v>449</v>
      </c>
      <c r="E1089" s="41" t="s">
        <v>65</v>
      </c>
      <c r="F1089" s="41">
        <v>0.32</v>
      </c>
      <c r="G1089" s="56">
        <v>0.14263888068078001</v>
      </c>
      <c r="H1089" s="41">
        <v>0.84</v>
      </c>
      <c r="I1089" s="46">
        <v>35.9</v>
      </c>
      <c r="J1089" s="41">
        <v>3.55453E-7</v>
      </c>
      <c r="K1089" s="41">
        <v>7.2903144999999997E-3</v>
      </c>
      <c r="L1089" s="41">
        <v>1.4085128</v>
      </c>
      <c r="M1089" s="41">
        <v>1.9111231000000001E-7</v>
      </c>
      <c r="N1089" s="41">
        <v>5.2427148000000002E-4</v>
      </c>
      <c r="O1089" s="41">
        <v>5.7118258999999992E-3</v>
      </c>
      <c r="P1089" s="41">
        <v>1.2822911000000001E-3</v>
      </c>
      <c r="Q1089" s="41">
        <v>0.37366109999999997</v>
      </c>
      <c r="R1089" s="41">
        <v>5.2804675999999998E-3</v>
      </c>
      <c r="S1089" s="41">
        <v>17.789646999999999</v>
      </c>
      <c r="T1089" s="41">
        <v>6.2759885000000001E-4</v>
      </c>
      <c r="AP1089" s="41">
        <v>9.0551208000000008E-2</v>
      </c>
      <c r="AS1089" s="41">
        <v>16.354879999999998</v>
      </c>
      <c r="AW1089" s="41">
        <v>2.1192656999999998E-3</v>
      </c>
      <c r="AX1089" s="41">
        <v>6.8568560999999999E-6</v>
      </c>
      <c r="AY1089" s="41">
        <v>1.6416927999999997E-2</v>
      </c>
      <c r="AZ1089" s="41">
        <v>1.07082E-4</v>
      </c>
      <c r="BF1089" s="41" t="s">
        <v>97</v>
      </c>
      <c r="BG1089" s="41" t="s">
        <v>95</v>
      </c>
      <c r="BH1089" s="45">
        <v>1000</v>
      </c>
      <c r="BJ1089" s="41" t="s">
        <v>96</v>
      </c>
    </row>
    <row r="1090" spans="1:62" ht="15.5" x14ac:dyDescent="0.45">
      <c r="A1090" s="41" t="s">
        <v>111</v>
      </c>
      <c r="B1090" s="41" t="s">
        <v>93</v>
      </c>
      <c r="C1090" s="41" t="s">
        <v>447</v>
      </c>
      <c r="D1090" s="41" t="s">
        <v>449</v>
      </c>
      <c r="E1090" s="41" t="s">
        <v>65</v>
      </c>
      <c r="F1090" s="41">
        <v>0.27</v>
      </c>
      <c r="G1090" s="56">
        <v>0.11581852468725519</v>
      </c>
      <c r="H1090" s="41">
        <v>0.84</v>
      </c>
      <c r="I1090" s="46">
        <v>35.9</v>
      </c>
      <c r="J1090" s="41">
        <v>2.9991346999999998E-7</v>
      </c>
      <c r="K1090" s="41">
        <v>6.1512028999999996E-3</v>
      </c>
      <c r="L1090" s="41">
        <v>1.1884326999999999</v>
      </c>
      <c r="M1090" s="41">
        <v>1.6125100999999998E-7</v>
      </c>
      <c r="N1090" s="41">
        <v>4.042146E-4</v>
      </c>
      <c r="O1090" s="41">
        <v>4.1397031000000003E-3</v>
      </c>
      <c r="P1090" s="41">
        <v>9.0522412E-4</v>
      </c>
      <c r="Q1090" s="41">
        <v>0.31363464000000002</v>
      </c>
      <c r="R1090" s="41">
        <v>4.4553944999999994E-3</v>
      </c>
      <c r="S1090" s="41">
        <v>15.010014</v>
      </c>
      <c r="T1090" s="41">
        <v>5.2953652999999999E-4</v>
      </c>
      <c r="AP1090" s="41">
        <v>7.6402581999999997E-2</v>
      </c>
      <c r="AS1090" s="41">
        <v>13.799429999999999</v>
      </c>
      <c r="AW1090" s="41">
        <v>1.7881304000000001E-3</v>
      </c>
      <c r="AX1090" s="41">
        <v>5.7854722999999998E-6</v>
      </c>
      <c r="AY1090" s="41">
        <v>1.3851782999999999E-2</v>
      </c>
      <c r="AZ1090" s="41">
        <v>9.0350436999999989E-5</v>
      </c>
      <c r="BF1090" s="41" t="s">
        <v>98</v>
      </c>
      <c r="BG1090" s="41" t="s">
        <v>95</v>
      </c>
      <c r="BH1090" s="45">
        <v>2000</v>
      </c>
      <c r="BJ1090" s="41" t="s">
        <v>100</v>
      </c>
    </row>
    <row r="1091" spans="1:62" ht="15.5" x14ac:dyDescent="0.45">
      <c r="A1091" s="41" t="s">
        <v>115</v>
      </c>
      <c r="B1091" s="41" t="s">
        <v>93</v>
      </c>
      <c r="C1091" s="41" t="s">
        <v>447</v>
      </c>
      <c r="D1091" s="41" t="s">
        <v>449</v>
      </c>
      <c r="E1091" s="41" t="s">
        <v>65</v>
      </c>
      <c r="F1091" s="41">
        <v>0.57999999999999996</v>
      </c>
      <c r="G1091" s="56">
        <v>0.23687183007923182</v>
      </c>
      <c r="H1091" s="41">
        <v>0.84</v>
      </c>
      <c r="I1091" s="46">
        <v>35.9</v>
      </c>
      <c r="J1091" s="41">
        <v>6.4425856642033593E-7</v>
      </c>
      <c r="K1091" s="41">
        <v>1.3213695029882013E-2</v>
      </c>
      <c r="L1091" s="41">
        <v>2.5529294814534005</v>
      </c>
      <c r="M1091" s="41">
        <v>3.463910534822666E-7</v>
      </c>
      <c r="N1091" s="41">
        <v>8.2283180369771038E-4</v>
      </c>
      <c r="O1091" s="41">
        <v>7.0874843140985404E-3</v>
      </c>
      <c r="P1091" s="41">
        <v>1.4752006348841495E-3</v>
      </c>
      <c r="Q1091" s="41">
        <v>0.66942792442326204</v>
      </c>
      <c r="R1091" s="41">
        <v>9.570847205089399E-3</v>
      </c>
      <c r="S1091" s="41">
        <v>32.243734235632999</v>
      </c>
      <c r="T1091" s="41">
        <v>1.1375228874850821E-3</v>
      </c>
      <c r="AP1091" s="41">
        <v>0.16412406602287699</v>
      </c>
      <c r="AS1091" s="41">
        <v>29.643218725649522</v>
      </c>
      <c r="AW1091" s="41">
        <v>3.841168985666E-3</v>
      </c>
      <c r="AX1091" s="41">
        <v>1.24280516996244E-5</v>
      </c>
      <c r="AY1091" s="41">
        <v>2.9755681268562002E-2</v>
      </c>
      <c r="AZ1091" s="41">
        <v>1.9408612013958784E-4</v>
      </c>
      <c r="BF1091" s="41" t="s">
        <v>99</v>
      </c>
      <c r="BG1091" s="41" t="s">
        <v>95</v>
      </c>
      <c r="BH1091" s="45">
        <v>400</v>
      </c>
      <c r="BJ1091" s="41" t="s">
        <v>100</v>
      </c>
    </row>
    <row r="1092" spans="1:62" ht="15.5" x14ac:dyDescent="0.45">
      <c r="A1092" s="41" t="s">
        <v>112</v>
      </c>
      <c r="B1092" s="41" t="s">
        <v>93</v>
      </c>
      <c r="C1092" s="41" t="s">
        <v>447</v>
      </c>
      <c r="D1092" s="41" t="s">
        <v>449</v>
      </c>
      <c r="E1092" s="41" t="s">
        <v>65</v>
      </c>
      <c r="F1092" s="41">
        <v>0.32</v>
      </c>
      <c r="G1092" s="56">
        <v>0.12951060964713479</v>
      </c>
      <c r="H1092" s="41">
        <v>0.84</v>
      </c>
      <c r="I1092" s="46">
        <v>35.9</v>
      </c>
      <c r="J1092" s="41">
        <v>3.5545300216294395E-7</v>
      </c>
      <c r="K1092" s="41">
        <v>7.2903144992452484E-3</v>
      </c>
      <c r="L1092" s="41">
        <v>1.4085128173536001</v>
      </c>
      <c r="M1092" s="41">
        <v>1.911123053695264E-7</v>
      </c>
      <c r="N1092" s="41">
        <v>4.582701345090816E-4</v>
      </c>
      <c r="O1092" s="41">
        <v>3.7294258284681601E-3</v>
      </c>
      <c r="P1092" s="41">
        <v>7.6686710890159983E-4</v>
      </c>
      <c r="Q1092" s="41">
        <v>0.368907178385248</v>
      </c>
      <c r="R1092" s="41">
        <v>5.2804674234975995E-3</v>
      </c>
      <c r="S1092" s="41">
        <v>17.789646474831997</v>
      </c>
      <c r="T1092" s="41">
        <v>6.2759883447452804E-4</v>
      </c>
      <c r="AP1092" s="41">
        <v>9.0551208840208008E-2</v>
      </c>
      <c r="AS1092" s="41">
        <v>16.354879296910081</v>
      </c>
      <c r="AW1092" s="41">
        <v>2.1192656472640002E-3</v>
      </c>
      <c r="AX1092" s="41">
        <v>6.8568561101376003E-6</v>
      </c>
      <c r="AY1092" s="41">
        <v>1.6416927596448E-2</v>
      </c>
      <c r="AZ1092" s="41">
        <v>1.0708199731839329E-4</v>
      </c>
      <c r="BF1092" s="41" t="s">
        <v>101</v>
      </c>
      <c r="BG1092" s="41" t="s">
        <v>95</v>
      </c>
      <c r="BH1092" s="45">
        <v>1000</v>
      </c>
      <c r="BJ1092" s="41" t="s">
        <v>100</v>
      </c>
    </row>
    <row r="1093" spans="1:62" ht="15.5" x14ac:dyDescent="0.45">
      <c r="A1093" s="41" t="s">
        <v>113</v>
      </c>
      <c r="B1093" s="41" t="s">
        <v>93</v>
      </c>
      <c r="C1093" s="41" t="s">
        <v>447</v>
      </c>
      <c r="D1093" s="41" t="s">
        <v>449</v>
      </c>
      <c r="E1093" s="41" t="s">
        <v>65</v>
      </c>
      <c r="F1093" s="41">
        <v>0.27</v>
      </c>
      <c r="G1093" s="56">
        <v>0.10846771729987</v>
      </c>
      <c r="H1093" s="41">
        <v>0.84</v>
      </c>
      <c r="I1093" s="46">
        <v>35.9</v>
      </c>
      <c r="J1093" s="41">
        <v>2.99913470574984E-7</v>
      </c>
      <c r="K1093" s="41">
        <v>6.1512028587381784E-3</v>
      </c>
      <c r="L1093" s="41">
        <v>1.1884326896421</v>
      </c>
      <c r="M1093" s="41">
        <v>1.612510076555379E-7</v>
      </c>
      <c r="N1093" s="41">
        <v>3.6272999004203756E-4</v>
      </c>
      <c r="O1093" s="41">
        <v>3.03110304277001E-3</v>
      </c>
      <c r="P1093" s="41">
        <v>6.1698812313572477E-4</v>
      </c>
      <c r="Q1093" s="41">
        <v>0.31097560156255305</v>
      </c>
      <c r="R1093" s="41">
        <v>4.4553943885760989E-3</v>
      </c>
      <c r="S1093" s="41">
        <v>15.010014213139499</v>
      </c>
      <c r="T1093" s="41">
        <v>5.2953651658788309E-4</v>
      </c>
      <c r="AP1093" s="41">
        <v>7.6402582458925505E-2</v>
      </c>
      <c r="AS1093" s="41">
        <v>13.799429406767882</v>
      </c>
      <c r="AW1093" s="41">
        <v>1.7881303898790001E-3</v>
      </c>
      <c r="AX1093" s="41">
        <v>5.7854723429286003E-6</v>
      </c>
      <c r="AY1093" s="41">
        <v>1.3851782659503001E-2</v>
      </c>
      <c r="AZ1093" s="41">
        <v>9.035043523739433E-5</v>
      </c>
      <c r="BF1093" s="41" t="s">
        <v>102</v>
      </c>
      <c r="BG1093" s="41" t="s">
        <v>95</v>
      </c>
      <c r="BH1093" s="45">
        <v>2000</v>
      </c>
    </row>
    <row r="1094" spans="1:62" ht="15.5" x14ac:dyDescent="0.45">
      <c r="A1094" s="45" t="s">
        <v>259</v>
      </c>
      <c r="B1094" s="45" t="s">
        <v>93</v>
      </c>
      <c r="C1094" s="41" t="s">
        <v>447</v>
      </c>
      <c r="D1094" s="41" t="s">
        <v>449</v>
      </c>
      <c r="E1094" s="45" t="s">
        <v>65</v>
      </c>
      <c r="F1094" s="60">
        <f>$F$1091*($I$1091/Database_Asfalt_Aanlegset[[#This Row],[Stookwaarde '[MJ/liter']]])</f>
        <v>0.62906344410876125</v>
      </c>
      <c r="G1094" s="57">
        <f>Database_Asfalt_Aanlegset[[#This Row],[Verbruik '[liter/kWh/kg per uur']]]*G$1276</f>
        <v>0.16374871170886826</v>
      </c>
      <c r="H1094" s="41">
        <v>0.876</v>
      </c>
      <c r="I1094" s="59">
        <v>33.1</v>
      </c>
      <c r="J1094" s="55">
        <f>Database_Asfalt_Aanlegset[[#This Row],[Verbruik '[liter/kWh/kg per uur']]]*J$1276</f>
        <v>3.2170367438066463E-6</v>
      </c>
      <c r="K1094" s="55">
        <f>Database_Asfalt_Aanlegset[[#This Row],[Verbruik '[liter/kWh/kg per uur']]]*K$1276</f>
        <v>1.8757999434501509E-2</v>
      </c>
      <c r="L1094" s="55">
        <f>Database_Asfalt_Aanlegset[[#This Row],[Verbruik '[liter/kWh/kg per uur']]]*L$1276</f>
        <v>2.311843573371601</v>
      </c>
      <c r="M1094" s="55">
        <f>Database_Asfalt_Aanlegset[[#This Row],[Verbruik '[liter/kWh/kg per uur']]]*M$1276</f>
        <v>3.3442333722054374E-8</v>
      </c>
      <c r="N1094" s="55">
        <f>Database_Asfalt_Aanlegset[[#This Row],[Verbruik '[liter/kWh/kg per uur']]]*N$1276</f>
        <v>4.6844215867069481E-4</v>
      </c>
      <c r="O1094" s="55">
        <f>Database_Asfalt_Aanlegset[[#This Row],[Verbruik '[liter/kWh/kg per uur']]]*O$1276</f>
        <v>2.6668012398791542E-3</v>
      </c>
      <c r="P1094" s="55">
        <f>Database_Asfalt_Aanlegset[[#This Row],[Verbruik '[liter/kWh/kg per uur']]]*P$1276</f>
        <v>4.7119242404833827E-4</v>
      </c>
      <c r="Q1094" s="55">
        <f>Database_Asfalt_Aanlegset[[#This Row],[Verbruik '[liter/kWh/kg per uur']]]*Q$1276</f>
        <v>0.46426388153111781</v>
      </c>
      <c r="R1094" s="55">
        <f>Database_Asfalt_Aanlegset[[#This Row],[Verbruik '[liter/kWh/kg per uur']]]*R$1276</f>
        <v>3.7430300297885189E-3</v>
      </c>
      <c r="S1094" s="55">
        <f>Database_Asfalt_Aanlegset[[#This Row],[Verbruik '[liter/kWh/kg per uur']]]*S$1276</f>
        <v>14.220741578972808</v>
      </c>
      <c r="T1094" s="55">
        <f>Database_Asfalt_Aanlegset[[#This Row],[Verbruik '[liter/kWh/kg per uur']]]*T$1276</f>
        <v>1.8785690178247734E-3</v>
      </c>
      <c r="U1094" s="55"/>
      <c r="V1094" s="55"/>
      <c r="W1094" s="55"/>
      <c r="X1094" s="55"/>
      <c r="Y1094" s="55"/>
      <c r="Z1094" s="55"/>
      <c r="AA1094" s="55"/>
      <c r="AB1094" s="55"/>
      <c r="AC1094" s="55"/>
      <c r="AD1094" s="55"/>
      <c r="AE1094" s="55"/>
      <c r="AF1094" s="55"/>
      <c r="AG1094" s="55"/>
      <c r="AH1094" s="55"/>
      <c r="AI1094" s="55"/>
      <c r="AJ1094" s="55"/>
      <c r="AK1094" s="55"/>
      <c r="AL1094" s="55"/>
      <c r="AM1094" s="55"/>
      <c r="AN1094" s="55"/>
      <c r="AO1094" s="55"/>
      <c r="AP1094" s="55">
        <f>Database_Asfalt_Aanlegset[[#This Row],[Verbruik '[liter/kWh/kg per uur']]]*AP$1276</f>
        <v>0.27812190734743203</v>
      </c>
      <c r="AQ1094" s="55"/>
      <c r="AR1094" s="55"/>
      <c r="AS1094" s="55">
        <f>Database_Asfalt_Aanlegset[[#This Row],[Verbruik '[liter/kWh/kg per uur']]]*AS$1276</f>
        <v>40.018677456314194</v>
      </c>
      <c r="AT1094" s="55"/>
      <c r="AU1094" s="55"/>
      <c r="AV1094" s="55"/>
      <c r="AW1094" s="55">
        <f>Database_Asfalt_Aanlegset[[#This Row],[Verbruik '[liter/kWh/kg per uur']]]*AW$1276</f>
        <v>1.8099092591540786E-3</v>
      </c>
      <c r="AX1094" s="55">
        <f>Database_Asfalt_Aanlegset[[#This Row],[Verbruik '[liter/kWh/kg per uur']]]*AX$1276</f>
        <v>6.1871912483383684E-5</v>
      </c>
      <c r="AY1094" s="55">
        <f>Database_Asfalt_Aanlegset[[#This Row],[Verbruik '[liter/kWh/kg per uur']]]*AY$1276</f>
        <v>6.806458916495467E-2</v>
      </c>
      <c r="AZ1094" s="55">
        <f>Database_Asfalt_Aanlegset[[#This Row],[Verbruik '[liter/kWh/kg per uur']]]*AZ$1276</f>
        <v>0</v>
      </c>
      <c r="BA1094" s="55"/>
      <c r="BB1094" s="55"/>
      <c r="BC1094" s="55"/>
      <c r="BD1094" s="55"/>
      <c r="BE1094" s="55"/>
      <c r="BF1094" s="45"/>
      <c r="BG1094" s="45" t="s">
        <v>271</v>
      </c>
      <c r="BH1094" s="45">
        <v>400</v>
      </c>
    </row>
    <row r="1095" spans="1:62" ht="15.5" x14ac:dyDescent="0.45">
      <c r="A1095" s="45" t="s">
        <v>260</v>
      </c>
      <c r="B1095" s="45" t="s">
        <v>93</v>
      </c>
      <c r="C1095" s="41" t="s">
        <v>447</v>
      </c>
      <c r="D1095" s="41" t="s">
        <v>449</v>
      </c>
      <c r="E1095" s="45" t="s">
        <v>65</v>
      </c>
      <c r="F1095" s="60">
        <f>$F$1092*($I$1092/Database_Asfalt_Aanlegset[[#This Row],[Stookwaarde '[MJ/liter']]])</f>
        <v>0.34706948640483382</v>
      </c>
      <c r="G1095" s="57">
        <f>Database_Asfalt_Aanlegset[[#This Row],[Verbruik '[liter/kWh/kg per uur']]]*G$1276</f>
        <v>9.0344116804892849E-2</v>
      </c>
      <c r="H1095" s="41">
        <v>0.876</v>
      </c>
      <c r="I1095" s="59">
        <v>33.1</v>
      </c>
      <c r="J1095" s="55">
        <f>Database_Asfalt_Aanlegset[[#This Row],[Verbruik '[liter/kWh/kg per uur']]]*J$1276</f>
        <v>1.7749168241691842E-6</v>
      </c>
      <c r="K1095" s="55">
        <f>Database_Asfalt_Aanlegset[[#This Row],[Verbruik '[liter/kWh/kg per uur']]]*K$1276</f>
        <v>1.0349241067311178E-2</v>
      </c>
      <c r="L1095" s="55">
        <f>Database_Asfalt_Aanlegset[[#This Row],[Verbruik '[liter/kWh/kg per uur']]]*L$1276</f>
        <v>1.2754999025498488</v>
      </c>
      <c r="M1095" s="55">
        <f>Database_Asfalt_Aanlegset[[#This Row],[Verbruik '[liter/kWh/kg per uur']]]*M$1276</f>
        <v>1.8450942743202413E-8</v>
      </c>
      <c r="N1095" s="55">
        <f>Database_Asfalt_Aanlegset[[#This Row],[Verbruik '[liter/kWh/kg per uur']]]*N$1276</f>
        <v>2.5845084616314202E-4</v>
      </c>
      <c r="O1095" s="55">
        <f>Database_Asfalt_Aanlegset[[#This Row],[Verbruik '[liter/kWh/kg per uur']]]*O$1276</f>
        <v>1.4713386151057402E-3</v>
      </c>
      <c r="P1095" s="55">
        <f>Database_Asfalt_Aanlegset[[#This Row],[Verbruik '[liter/kWh/kg per uur']]]*P$1276</f>
        <v>2.5996823395770387E-4</v>
      </c>
      <c r="Q1095" s="55">
        <f>Database_Asfalt_Aanlegset[[#This Row],[Verbruik '[liter/kWh/kg per uur']]]*Q$1276</f>
        <v>0.25614558981027191</v>
      </c>
      <c r="R1095" s="55">
        <f>Database_Asfalt_Aanlegset[[#This Row],[Verbruik '[liter/kWh/kg per uur']]]*R$1276</f>
        <v>2.0651200164350449E-3</v>
      </c>
      <c r="S1095" s="55">
        <f>Database_Asfalt_Aanlegset[[#This Row],[Verbruik '[liter/kWh/kg per uur']]]*S$1276</f>
        <v>7.8459263883987909</v>
      </c>
      <c r="T1095" s="55">
        <f>Database_Asfalt_Aanlegset[[#This Row],[Verbruik '[liter/kWh/kg per uur']]]*T$1276</f>
        <v>1.0364518719033233E-3</v>
      </c>
      <c r="U1095" s="55"/>
      <c r="V1095" s="55"/>
      <c r="W1095" s="55"/>
      <c r="X1095" s="55"/>
      <c r="Y1095" s="55"/>
      <c r="Z1095" s="55"/>
      <c r="AA1095" s="55"/>
      <c r="AB1095" s="55"/>
      <c r="AC1095" s="55"/>
      <c r="AD1095" s="55"/>
      <c r="AE1095" s="55"/>
      <c r="AF1095" s="55"/>
      <c r="AG1095" s="55"/>
      <c r="AH1095" s="55"/>
      <c r="AI1095" s="55"/>
      <c r="AJ1095" s="55"/>
      <c r="AK1095" s="55"/>
      <c r="AL1095" s="55"/>
      <c r="AM1095" s="55"/>
      <c r="AN1095" s="55"/>
      <c r="AO1095" s="55"/>
      <c r="AP1095" s="55">
        <f>Database_Asfalt_Aanlegset[[#This Row],[Verbruik '[liter/kWh/kg per uur']]]*AP$1276</f>
        <v>0.15344656957099698</v>
      </c>
      <c r="AQ1095" s="55"/>
      <c r="AR1095" s="55"/>
      <c r="AS1095" s="55">
        <f>Database_Asfalt_Aanlegset[[#This Row],[Verbruik '[liter/kWh/kg per uur']]]*AS$1276</f>
        <v>22.079270320725072</v>
      </c>
      <c r="AT1095" s="55"/>
      <c r="AU1095" s="55"/>
      <c r="AV1095" s="55"/>
      <c r="AW1095" s="55">
        <f>Database_Asfalt_Aanlegset[[#This Row],[Verbruik '[liter/kWh/kg per uur']]]*AW$1276</f>
        <v>9.985706257401813E-4</v>
      </c>
      <c r="AX1095" s="55">
        <f>Database_Asfalt_Aanlegset[[#This Row],[Verbruik '[liter/kWh/kg per uur']]]*AX$1276</f>
        <v>3.4136227577039272E-5</v>
      </c>
      <c r="AY1095" s="55">
        <f>Database_Asfalt_Aanlegset[[#This Row],[Verbruik '[liter/kWh/kg per uur']]]*AY$1276</f>
        <v>3.755287678066465E-2</v>
      </c>
      <c r="AZ1095" s="55">
        <f>Database_Asfalt_Aanlegset[[#This Row],[Verbruik '[liter/kWh/kg per uur']]]*AZ$1276</f>
        <v>0</v>
      </c>
      <c r="BA1095" s="55"/>
      <c r="BB1095" s="55"/>
      <c r="BC1095" s="55"/>
      <c r="BD1095" s="55"/>
      <c r="BE1095" s="55"/>
      <c r="BF1095" s="45"/>
      <c r="BG1095" s="45" t="s">
        <v>271</v>
      </c>
      <c r="BH1095" s="45">
        <v>1000</v>
      </c>
    </row>
    <row r="1096" spans="1:62" ht="15.5" x14ac:dyDescent="0.45">
      <c r="A1096" s="45" t="s">
        <v>261</v>
      </c>
      <c r="B1096" s="45" t="s">
        <v>93</v>
      </c>
      <c r="C1096" s="41" t="s">
        <v>447</v>
      </c>
      <c r="D1096" s="41" t="s">
        <v>449</v>
      </c>
      <c r="E1096" s="45" t="s">
        <v>65</v>
      </c>
      <c r="F1096" s="60">
        <f>$F$1093*($I$1093/Database_Asfalt_Aanlegset[[#This Row],[Stookwaarde '[MJ/liter']]])</f>
        <v>0.29283987915407855</v>
      </c>
      <c r="G1096" s="57">
        <f>Database_Asfalt_Aanlegset[[#This Row],[Verbruik '[liter/kWh/kg per uur']]]*G$1276</f>
        <v>7.6227848554128341E-2</v>
      </c>
      <c r="H1096" s="41">
        <v>0.876</v>
      </c>
      <c r="I1096" s="59">
        <v>33.1</v>
      </c>
      <c r="J1096" s="55">
        <f>Database_Asfalt_Aanlegset[[#This Row],[Verbruik '[liter/kWh/kg per uur']]]*J$1276</f>
        <v>1.4975860703927494E-6</v>
      </c>
      <c r="K1096" s="55">
        <f>Database_Asfalt_Aanlegset[[#This Row],[Verbruik '[liter/kWh/kg per uur']]]*K$1276</f>
        <v>8.7321721505438064E-3</v>
      </c>
      <c r="L1096" s="55">
        <f>Database_Asfalt_Aanlegset[[#This Row],[Verbruik '[liter/kWh/kg per uur']]]*L$1276</f>
        <v>1.0762030427764351</v>
      </c>
      <c r="M1096" s="55">
        <f>Database_Asfalt_Aanlegset[[#This Row],[Verbruik '[liter/kWh/kg per uur']]]*M$1276</f>
        <v>1.5567982939577039E-8</v>
      </c>
      <c r="N1096" s="55">
        <f>Database_Asfalt_Aanlegset[[#This Row],[Verbruik '[liter/kWh/kg per uur']]]*N$1276</f>
        <v>2.1806790145015108E-4</v>
      </c>
      <c r="O1096" s="55">
        <f>Database_Asfalt_Aanlegset[[#This Row],[Verbruik '[liter/kWh/kg per uur']]]*O$1276</f>
        <v>1.2414419564954684E-3</v>
      </c>
      <c r="P1096" s="55">
        <f>Database_Asfalt_Aanlegset[[#This Row],[Verbruik '[liter/kWh/kg per uur']]]*P$1276</f>
        <v>2.1934819740181268E-4</v>
      </c>
      <c r="Q1096" s="55">
        <f>Database_Asfalt_Aanlegset[[#This Row],[Verbruik '[liter/kWh/kg per uur']]]*Q$1276</f>
        <v>0.21612284140241694</v>
      </c>
      <c r="R1096" s="55">
        <f>Database_Asfalt_Aanlegset[[#This Row],[Verbruik '[liter/kWh/kg per uur']]]*R$1276</f>
        <v>1.7424450138670694E-3</v>
      </c>
      <c r="S1096" s="55">
        <f>Database_Asfalt_Aanlegset[[#This Row],[Verbruik '[liter/kWh/kg per uur']]]*S$1276</f>
        <v>6.6200003902114801</v>
      </c>
      <c r="T1096" s="55">
        <f>Database_Asfalt_Aanlegset[[#This Row],[Verbruik '[liter/kWh/kg per uur']]]*T$1276</f>
        <v>8.7450626691842914E-4</v>
      </c>
      <c r="U1096" s="55"/>
      <c r="V1096" s="55"/>
      <c r="W1096" s="55"/>
      <c r="X1096" s="55"/>
      <c r="Y1096" s="55"/>
      <c r="Z1096" s="55"/>
      <c r="AA1096" s="55"/>
      <c r="AB1096" s="55"/>
      <c r="AC1096" s="55"/>
      <c r="AD1096" s="55"/>
      <c r="AE1096" s="55"/>
      <c r="AF1096" s="55"/>
      <c r="AG1096" s="55"/>
      <c r="AH1096" s="55"/>
      <c r="AI1096" s="55"/>
      <c r="AJ1096" s="55"/>
      <c r="AK1096" s="55"/>
      <c r="AL1096" s="55"/>
      <c r="AM1096" s="55"/>
      <c r="AN1096" s="55"/>
      <c r="AO1096" s="55"/>
      <c r="AP1096" s="55">
        <f>Database_Asfalt_Aanlegset[[#This Row],[Verbruik '[liter/kWh/kg per uur']]]*AP$1276</f>
        <v>0.12947054307552872</v>
      </c>
      <c r="AQ1096" s="55"/>
      <c r="AR1096" s="55"/>
      <c r="AS1096" s="55">
        <f>Database_Asfalt_Aanlegset[[#This Row],[Verbruik '[liter/kWh/kg per uur']]]*AS$1276</f>
        <v>18.629384333111783</v>
      </c>
      <c r="AT1096" s="55"/>
      <c r="AU1096" s="55"/>
      <c r="AV1096" s="55"/>
      <c r="AW1096" s="55">
        <f>Database_Asfalt_Aanlegset[[#This Row],[Verbruik '[liter/kWh/kg per uur']]]*AW$1276</f>
        <v>8.4254396546827809E-4</v>
      </c>
      <c r="AX1096" s="55">
        <f>Database_Asfalt_Aanlegset[[#This Row],[Verbruik '[liter/kWh/kg per uur']]]*AX$1276</f>
        <v>2.880244201812689E-5</v>
      </c>
      <c r="AY1096" s="55">
        <f>Database_Asfalt_Aanlegset[[#This Row],[Verbruik '[liter/kWh/kg per uur']]]*AY$1276</f>
        <v>3.1685239783685801E-2</v>
      </c>
      <c r="AZ1096" s="55">
        <f>Database_Asfalt_Aanlegset[[#This Row],[Verbruik '[liter/kWh/kg per uur']]]*AZ$1276</f>
        <v>0</v>
      </c>
      <c r="BA1096" s="55"/>
      <c r="BB1096" s="55"/>
      <c r="BC1096" s="55"/>
      <c r="BD1096" s="55"/>
      <c r="BE1096" s="55"/>
      <c r="BF1096" s="45"/>
      <c r="BG1096" s="45" t="s">
        <v>271</v>
      </c>
      <c r="BH1096" s="45">
        <v>2000</v>
      </c>
    </row>
    <row r="1097" spans="1:62" ht="15.5" x14ac:dyDescent="0.45">
      <c r="A1097" s="45" t="s">
        <v>262</v>
      </c>
      <c r="B1097" s="45" t="s">
        <v>93</v>
      </c>
      <c r="C1097" s="41" t="s">
        <v>447</v>
      </c>
      <c r="D1097" s="41" t="s">
        <v>449</v>
      </c>
      <c r="E1097" s="45" t="s">
        <v>65</v>
      </c>
      <c r="F1097" s="60">
        <f>$F$1091*($I$1091/Database_Asfalt_Aanlegset[[#This Row],[Stookwaarde '[MJ/liter']]])</f>
        <v>0.6070553935860058</v>
      </c>
      <c r="G1097" s="57">
        <f>Database_Asfalt_Aanlegset[[#This Row],[Verbruik '[liter/kWh/kg per uur']]]*G$1277</f>
        <v>0.12956527096364009</v>
      </c>
      <c r="H1097" s="41">
        <v>0.77900000000000003</v>
      </c>
      <c r="I1097" s="59">
        <v>34.299999999999997</v>
      </c>
      <c r="J1097" s="55">
        <f>Database_Asfalt_Aanlegset[[#This Row],[Verbruik '[liter/kWh/kg per uur']]]*J$1277</f>
        <v>2.3545068379008744E-6</v>
      </c>
      <c r="K1097" s="55">
        <f>Database_Asfalt_Aanlegset[[#This Row],[Verbruik '[liter/kWh/kg per uur']]]*K$1277</f>
        <v>5.1253450128862978E-3</v>
      </c>
      <c r="L1097" s="55">
        <f>Database_Asfalt_Aanlegset[[#This Row],[Verbruik '[liter/kWh/kg per uur']]]*L$1277</f>
        <v>0.87392683960932938</v>
      </c>
      <c r="M1097" s="55">
        <f>Database_Asfalt_Aanlegset[[#This Row],[Verbruik '[liter/kWh/kg per uur']]]*M$1277</f>
        <v>8.3583635976676384E-8</v>
      </c>
      <c r="N1097" s="55">
        <f>Database_Asfalt_Aanlegset[[#This Row],[Verbruik '[liter/kWh/kg per uur']]]*N$1277</f>
        <v>7.1235279393586006E-4</v>
      </c>
      <c r="O1097" s="55">
        <f>Database_Asfalt_Aanlegset[[#This Row],[Verbruik '[liter/kWh/kg per uur']]]*O$1277</f>
        <v>5.4608414608163262E-3</v>
      </c>
      <c r="P1097" s="55">
        <f>Database_Asfalt_Aanlegset[[#This Row],[Verbruik '[liter/kWh/kg per uur']]]*P$1277</f>
        <v>2.7082040206413993E-3</v>
      </c>
      <c r="Q1097" s="55">
        <f>Database_Asfalt_Aanlegset[[#This Row],[Verbruik '[liter/kWh/kg per uur']]]*Q$1277</f>
        <v>0.48534057470262387</v>
      </c>
      <c r="R1097" s="55">
        <f>Database_Asfalt_Aanlegset[[#This Row],[Verbruik '[liter/kWh/kg per uur']]]*R$1277</f>
        <v>0.34558040290728859</v>
      </c>
      <c r="S1097" s="55">
        <f>Database_Asfalt_Aanlegset[[#This Row],[Verbruik '[liter/kWh/kg per uur']]]*S$1277</f>
        <v>29.095455973877549</v>
      </c>
      <c r="T1097" s="55">
        <f>Database_Asfalt_Aanlegset[[#This Row],[Verbruik '[liter/kWh/kg per uur']]]*T$1277</f>
        <v>0.14835163252303207</v>
      </c>
      <c r="U1097" s="55"/>
      <c r="V1097" s="55"/>
      <c r="W1097" s="55"/>
      <c r="X1097" s="55"/>
      <c r="Y1097" s="55"/>
      <c r="Z1097" s="55"/>
      <c r="AA1097" s="55"/>
      <c r="AB1097" s="55"/>
      <c r="AC1097" s="55"/>
      <c r="AD1097" s="55"/>
      <c r="AE1097" s="55"/>
      <c r="AF1097" s="55"/>
      <c r="AG1097" s="55"/>
      <c r="AH1097" s="55"/>
      <c r="AI1097" s="55"/>
      <c r="AJ1097" s="55"/>
      <c r="AK1097" s="55"/>
      <c r="AL1097" s="55"/>
      <c r="AM1097" s="55"/>
      <c r="AN1097" s="55"/>
      <c r="AO1097" s="55"/>
      <c r="AP1097" s="55">
        <f>Database_Asfalt_Aanlegset[[#This Row],[Verbruik '[liter/kWh/kg per uur']]]*AP$1277</f>
        <v>4.7673896400874636</v>
      </c>
      <c r="AQ1097" s="55"/>
      <c r="AR1097" s="55"/>
      <c r="AS1097" s="55">
        <f>Database_Asfalt_Aanlegset[[#This Row],[Verbruik '[liter/kWh/kg per uur']]]*AS$1277</f>
        <v>10.829921035393586</v>
      </c>
      <c r="AT1097" s="55"/>
      <c r="AU1097" s="55"/>
      <c r="AV1097" s="55"/>
      <c r="AW1097" s="55">
        <f>Database_Asfalt_Aanlegset[[#This Row],[Verbruik '[liter/kWh/kg per uur']]]*AW$1277</f>
        <v>3.7185375427113698E-2</v>
      </c>
      <c r="AX1097" s="55">
        <f>Database_Asfalt_Aanlegset[[#This Row],[Verbruik '[liter/kWh/kg per uur']]]*AX$1277</f>
        <v>6.2830840291545187E-5</v>
      </c>
      <c r="AY1097" s="55">
        <f>Database_Asfalt_Aanlegset[[#This Row],[Verbruik '[liter/kWh/kg per uur']]]*AY$1277</f>
        <v>0.17160599421516035</v>
      </c>
      <c r="AZ1097" s="55">
        <f>Database_Asfalt_Aanlegset[[#This Row],[Verbruik '[liter/kWh/kg per uur']]]*AZ$1277</f>
        <v>0</v>
      </c>
      <c r="BA1097" s="55"/>
      <c r="BB1097" s="55"/>
      <c r="BC1097" s="55"/>
      <c r="BD1097" s="55"/>
      <c r="BE1097" s="55"/>
      <c r="BF1097" s="45"/>
      <c r="BG1097" s="45" t="s">
        <v>271</v>
      </c>
      <c r="BH1097" s="45">
        <v>400</v>
      </c>
    </row>
    <row r="1098" spans="1:62" ht="15.5" x14ac:dyDescent="0.45">
      <c r="A1098" s="45" t="s">
        <v>263</v>
      </c>
      <c r="B1098" s="45" t="s">
        <v>93</v>
      </c>
      <c r="C1098" s="41" t="s">
        <v>447</v>
      </c>
      <c r="D1098" s="41" t="s">
        <v>449</v>
      </c>
      <c r="E1098" s="45" t="s">
        <v>65</v>
      </c>
      <c r="F1098" s="60">
        <f>$F$1092*($I$1092/Database_Asfalt_Aanlegset[[#This Row],[Stookwaarde '[MJ/liter']]])</f>
        <v>0.3349271137026239</v>
      </c>
      <c r="G1098" s="57">
        <f>Database_Asfalt_Aanlegset[[#This Row],[Verbruik '[liter/kWh/kg per uur']]]*G$1277</f>
        <v>7.1484287428215221E-2</v>
      </c>
      <c r="H1098" s="41">
        <v>0.77900000000000003</v>
      </c>
      <c r="I1098" s="59">
        <v>34.299999999999997</v>
      </c>
      <c r="J1098" s="55">
        <f>Database_Asfalt_Aanlegset[[#This Row],[Verbruik '[liter/kWh/kg per uur']]]*J$1277</f>
        <v>1.2990382553935861E-6</v>
      </c>
      <c r="K1098" s="55">
        <f>Database_Asfalt_Aanlegset[[#This Row],[Verbruik '[liter/kWh/kg per uur']]]*K$1277</f>
        <v>2.8277765588338192E-3</v>
      </c>
      <c r="L1098" s="55">
        <f>Database_Asfalt_Aanlegset[[#This Row],[Verbruik '[liter/kWh/kg per uur']]]*L$1277</f>
        <v>0.48216653219825073</v>
      </c>
      <c r="M1098" s="55">
        <f>Database_Asfalt_Aanlegset[[#This Row],[Verbruik '[liter/kWh/kg per uur']]]*M$1277</f>
        <v>4.6115109504373178E-8</v>
      </c>
      <c r="N1098" s="55">
        <f>Database_Asfalt_Aanlegset[[#This Row],[Verbruik '[liter/kWh/kg per uur']]]*N$1277</f>
        <v>3.9302223113702622E-4</v>
      </c>
      <c r="O1098" s="55">
        <f>Database_Asfalt_Aanlegset[[#This Row],[Verbruik '[liter/kWh/kg per uur']]]*O$1277</f>
        <v>3.0128780473469385E-3</v>
      </c>
      <c r="P1098" s="55">
        <f>Database_Asfalt_Aanlegset[[#This Row],[Verbruik '[liter/kWh/kg per uur']]]*P$1277</f>
        <v>1.4941815286297374E-3</v>
      </c>
      <c r="Q1098" s="55">
        <f>Database_Asfalt_Aanlegset[[#This Row],[Verbruik '[liter/kWh/kg per uur']]]*Q$1277</f>
        <v>0.26777411018075803</v>
      </c>
      <c r="R1098" s="55">
        <f>Database_Asfalt_Aanlegset[[#This Row],[Verbruik '[liter/kWh/kg per uur']]]*R$1277</f>
        <v>0.19066504987988339</v>
      </c>
      <c r="S1098" s="55">
        <f>Database_Asfalt_Aanlegset[[#This Row],[Verbruik '[liter/kWh/kg per uur']]]*S$1277</f>
        <v>16.052665364897958</v>
      </c>
      <c r="T1098" s="55">
        <f>Database_Asfalt_Aanlegset[[#This Row],[Verbruik '[liter/kWh/kg per uur']]]*T$1277</f>
        <v>8.1849176564431483E-2</v>
      </c>
      <c r="U1098" s="55"/>
      <c r="V1098" s="55"/>
      <c r="W1098" s="55"/>
      <c r="X1098" s="55"/>
      <c r="Y1098" s="55"/>
      <c r="Z1098" s="55"/>
      <c r="AA1098" s="55"/>
      <c r="AB1098" s="55"/>
      <c r="AC1098" s="55"/>
      <c r="AD1098" s="55"/>
      <c r="AE1098" s="55"/>
      <c r="AF1098" s="55"/>
      <c r="AG1098" s="55"/>
      <c r="AH1098" s="55"/>
      <c r="AI1098" s="55"/>
      <c r="AJ1098" s="55"/>
      <c r="AK1098" s="55"/>
      <c r="AL1098" s="55"/>
      <c r="AM1098" s="55"/>
      <c r="AN1098" s="55"/>
      <c r="AO1098" s="55"/>
      <c r="AP1098" s="55">
        <f>Database_Asfalt_Aanlegset[[#This Row],[Verbruik '[liter/kWh/kg per uur']]]*AP$1277</f>
        <v>2.6302839393586006</v>
      </c>
      <c r="AQ1098" s="55"/>
      <c r="AR1098" s="55"/>
      <c r="AS1098" s="55">
        <f>Database_Asfalt_Aanlegset[[#This Row],[Verbruik '[liter/kWh/kg per uur']]]*AS$1277</f>
        <v>5.9751288471137025</v>
      </c>
      <c r="AT1098" s="55"/>
      <c r="AU1098" s="55"/>
      <c r="AV1098" s="55"/>
      <c r="AW1098" s="55">
        <f>Database_Asfalt_Aanlegset[[#This Row],[Verbruik '[liter/kWh/kg per uur']]]*AW$1277</f>
        <v>2.0516069201166179E-2</v>
      </c>
      <c r="AX1098" s="55">
        <f>Database_Asfalt_Aanlegset[[#This Row],[Verbruik '[liter/kWh/kg per uur']]]*AX$1277</f>
        <v>3.4665291195335275E-5</v>
      </c>
      <c r="AY1098" s="55">
        <f>Database_Asfalt_Aanlegset[[#This Row],[Verbruik '[liter/kWh/kg per uur']]]*AY$1277</f>
        <v>9.4679169222157425E-2</v>
      </c>
      <c r="AZ1098" s="55">
        <f>Database_Asfalt_Aanlegset[[#This Row],[Verbruik '[liter/kWh/kg per uur']]]*AZ$1277</f>
        <v>0</v>
      </c>
      <c r="BA1098" s="55"/>
      <c r="BB1098" s="55"/>
      <c r="BC1098" s="55"/>
      <c r="BD1098" s="55"/>
      <c r="BE1098" s="55"/>
      <c r="BF1098" s="45"/>
      <c r="BG1098" s="45" t="s">
        <v>271</v>
      </c>
      <c r="BH1098" s="45">
        <v>1000</v>
      </c>
    </row>
    <row r="1099" spans="1:62" ht="15.5" x14ac:dyDescent="0.45">
      <c r="A1099" s="45" t="s">
        <v>264</v>
      </c>
      <c r="B1099" s="45" t="s">
        <v>93</v>
      </c>
      <c r="C1099" s="41" t="s">
        <v>447</v>
      </c>
      <c r="D1099" s="41" t="s">
        <v>449</v>
      </c>
      <c r="E1099" s="45" t="s">
        <v>65</v>
      </c>
      <c r="F1099" s="60">
        <f>$F$1093*($I$1093/Database_Asfalt_Aanlegset[[#This Row],[Stookwaarde '[MJ/liter']]])</f>
        <v>0.28259475218658897</v>
      </c>
      <c r="G1099" s="57">
        <f>Database_Asfalt_Aanlegset[[#This Row],[Verbruik '[liter/kWh/kg per uur']]]*G$1277</f>
        <v>6.0314867517556603E-2</v>
      </c>
      <c r="H1099" s="41">
        <v>0.77900000000000003</v>
      </c>
      <c r="I1099" s="59">
        <v>34.299999999999997</v>
      </c>
      <c r="J1099" s="55">
        <f>Database_Asfalt_Aanlegset[[#This Row],[Verbruik '[liter/kWh/kg per uur']]]*J$1277</f>
        <v>1.0960635279883385E-6</v>
      </c>
      <c r="K1099" s="55">
        <f>Database_Asfalt_Aanlegset[[#This Row],[Verbruik '[liter/kWh/kg per uur']]]*K$1277</f>
        <v>2.3859364715160354E-3</v>
      </c>
      <c r="L1099" s="55">
        <f>Database_Asfalt_Aanlegset[[#This Row],[Verbruik '[liter/kWh/kg per uur']]]*L$1277</f>
        <v>0.4068280115422741</v>
      </c>
      <c r="M1099" s="55">
        <f>Database_Asfalt_Aanlegset[[#This Row],[Verbruik '[liter/kWh/kg per uur']]]*M$1277</f>
        <v>3.8909623644314879E-8</v>
      </c>
      <c r="N1099" s="55">
        <f>Database_Asfalt_Aanlegset[[#This Row],[Verbruik '[liter/kWh/kg per uur']]]*N$1277</f>
        <v>3.3161250752186596E-4</v>
      </c>
      <c r="O1099" s="55">
        <f>Database_Asfalt_Aanlegset[[#This Row],[Verbruik '[liter/kWh/kg per uur']]]*O$1277</f>
        <v>2.5421158524489801E-3</v>
      </c>
      <c r="P1099" s="55">
        <f>Database_Asfalt_Aanlegset[[#This Row],[Verbruik '[liter/kWh/kg per uur']]]*P$1277</f>
        <v>1.2607156647813412E-3</v>
      </c>
      <c r="Q1099" s="55">
        <f>Database_Asfalt_Aanlegset[[#This Row],[Verbruik '[liter/kWh/kg per uur']]]*Q$1277</f>
        <v>0.22593440546501461</v>
      </c>
      <c r="R1099" s="55">
        <f>Database_Asfalt_Aanlegset[[#This Row],[Verbruik '[liter/kWh/kg per uur']]]*R$1277</f>
        <v>0.16087363583615163</v>
      </c>
      <c r="S1099" s="55">
        <f>Database_Asfalt_Aanlegset[[#This Row],[Verbruik '[liter/kWh/kg per uur']]]*S$1277</f>
        <v>13.544436401632655</v>
      </c>
      <c r="T1099" s="55">
        <f>Database_Asfalt_Aanlegset[[#This Row],[Verbruik '[liter/kWh/kg per uur']]]*T$1277</f>
        <v>6.9060242726239077E-2</v>
      </c>
      <c r="U1099" s="55"/>
      <c r="V1099" s="55"/>
      <c r="W1099" s="55"/>
      <c r="X1099" s="55"/>
      <c r="Y1099" s="55"/>
      <c r="Z1099" s="55"/>
      <c r="AA1099" s="55"/>
      <c r="AB1099" s="55"/>
      <c r="AC1099" s="55"/>
      <c r="AD1099" s="55"/>
      <c r="AE1099" s="55"/>
      <c r="AF1099" s="55"/>
      <c r="AG1099" s="55"/>
      <c r="AH1099" s="55"/>
      <c r="AI1099" s="55"/>
      <c r="AJ1099" s="55"/>
      <c r="AK1099" s="55"/>
      <c r="AL1099" s="55"/>
      <c r="AM1099" s="55"/>
      <c r="AN1099" s="55"/>
      <c r="AO1099" s="55"/>
      <c r="AP1099" s="55">
        <f>Database_Asfalt_Aanlegset[[#This Row],[Verbruik '[liter/kWh/kg per uur']]]*AP$1277</f>
        <v>2.2193020738338194</v>
      </c>
      <c r="AQ1099" s="55"/>
      <c r="AR1099" s="55"/>
      <c r="AS1099" s="55">
        <f>Database_Asfalt_Aanlegset[[#This Row],[Verbruik '[liter/kWh/kg per uur']]]*AS$1277</f>
        <v>5.0415149647521877</v>
      </c>
      <c r="AT1099" s="55"/>
      <c r="AU1099" s="55"/>
      <c r="AV1099" s="55"/>
      <c r="AW1099" s="55">
        <f>Database_Asfalt_Aanlegset[[#This Row],[Verbruik '[liter/kWh/kg per uur']]]*AW$1277</f>
        <v>1.7310433388483967E-2</v>
      </c>
      <c r="AX1099" s="55">
        <f>Database_Asfalt_Aanlegset[[#This Row],[Verbruik '[liter/kWh/kg per uur']]]*AX$1277</f>
        <v>2.9248839446064145E-5</v>
      </c>
      <c r="AY1099" s="55">
        <f>Database_Asfalt_Aanlegset[[#This Row],[Verbruik '[liter/kWh/kg per uur']]]*AY$1277</f>
        <v>7.9885549031195352E-2</v>
      </c>
      <c r="AZ1099" s="55">
        <f>Database_Asfalt_Aanlegset[[#This Row],[Verbruik '[liter/kWh/kg per uur']]]*AZ$1277</f>
        <v>0</v>
      </c>
      <c r="BA1099" s="55"/>
      <c r="BB1099" s="55"/>
      <c r="BC1099" s="55"/>
      <c r="BD1099" s="55"/>
      <c r="BE1099" s="55"/>
      <c r="BF1099" s="45"/>
      <c r="BG1099" s="45" t="s">
        <v>271</v>
      </c>
      <c r="BH1099" s="45">
        <v>2000</v>
      </c>
    </row>
    <row r="1100" spans="1:62" ht="15.5" x14ac:dyDescent="0.45">
      <c r="A1100" s="45" t="s">
        <v>265</v>
      </c>
      <c r="B1100" s="45" t="s">
        <v>93</v>
      </c>
      <c r="C1100" s="41" t="s">
        <v>447</v>
      </c>
      <c r="D1100" s="41" t="s">
        <v>449</v>
      </c>
      <c r="E1100" s="45" t="s">
        <v>65</v>
      </c>
      <c r="F1100" s="60">
        <f>$F$1091*($I$1091/Database_Asfalt_Aanlegset[[#This Row],[Stookwaarde '[MJ/liter']]])</f>
        <v>0.60353623188405792</v>
      </c>
      <c r="G1100" s="57">
        <f>Database_Asfalt_Aanlegset[[#This Row],[Verbruik '[liter/kWh/kg per uur']]]*G$1278</f>
        <v>0.17065268682514298</v>
      </c>
      <c r="H1100" s="41">
        <v>0.78100000000000003</v>
      </c>
      <c r="I1100" s="59">
        <v>34.5</v>
      </c>
      <c r="J1100" s="55">
        <f>Database_Asfalt_Aanlegset[[#This Row],[Verbruik '[liter/kWh/kg per uur']]]*J$1278</f>
        <v>1.3517582046376811E-6</v>
      </c>
      <c r="K1100" s="55">
        <f>Database_Asfalt_Aanlegset[[#This Row],[Verbruik '[liter/kWh/kg per uur']]]*K$1278</f>
        <v>3.3394685721739128E-3</v>
      </c>
      <c r="L1100" s="55">
        <f>Database_Asfalt_Aanlegset[[#This Row],[Verbruik '[liter/kWh/kg per uur']]]*L$1278</f>
        <v>0.83323137879420284</v>
      </c>
      <c r="M1100" s="55">
        <f>Database_Asfalt_Aanlegset[[#This Row],[Verbruik '[liter/kWh/kg per uur']]]*M$1278</f>
        <v>5.2340532991304339E-8</v>
      </c>
      <c r="N1100" s="55">
        <f>Database_Asfalt_Aanlegset[[#This Row],[Verbruik '[liter/kWh/kg per uur']]]*N$1278</f>
        <v>6.0545547710144925E-4</v>
      </c>
      <c r="O1100" s="55">
        <f>Database_Asfalt_Aanlegset[[#This Row],[Verbruik '[liter/kWh/kg per uur']]]*O$1278</f>
        <v>2.9951958135652169E-3</v>
      </c>
      <c r="P1100" s="55">
        <f>Database_Asfalt_Aanlegset[[#This Row],[Verbruik '[liter/kWh/kg per uur']]]*P$1278</f>
        <v>1.3167005955362317E-3</v>
      </c>
      <c r="Q1100" s="55">
        <f>Database_Asfalt_Aanlegset[[#This Row],[Verbruik '[liter/kWh/kg per uur']]]*Q$1278</f>
        <v>0.46854802669333323</v>
      </c>
      <c r="R1100" s="55">
        <f>Database_Asfalt_Aanlegset[[#This Row],[Verbruik '[liter/kWh/kg per uur']]]*R$1278</f>
        <v>0.30757018133043479</v>
      </c>
      <c r="S1100" s="55">
        <f>Database_Asfalt_Aanlegset[[#This Row],[Verbruik '[liter/kWh/kg per uur']]]*S$1278</f>
        <v>20.335063950434783</v>
      </c>
      <c r="T1100" s="55">
        <f>Database_Asfalt_Aanlegset[[#This Row],[Verbruik '[liter/kWh/kg per uur']]]*T$1278</f>
        <v>0.13574268583420288</v>
      </c>
      <c r="U1100" s="55"/>
      <c r="V1100" s="55"/>
      <c r="W1100" s="55"/>
      <c r="X1100" s="55"/>
      <c r="Y1100" s="55"/>
      <c r="Z1100" s="55"/>
      <c r="AA1100" s="55"/>
      <c r="AB1100" s="55"/>
      <c r="AC1100" s="55"/>
      <c r="AD1100" s="55"/>
      <c r="AE1100" s="55"/>
      <c r="AF1100" s="55"/>
      <c r="AG1100" s="55"/>
      <c r="AH1100" s="55"/>
      <c r="AI1100" s="55"/>
      <c r="AJ1100" s="55"/>
      <c r="AK1100" s="55"/>
      <c r="AL1100" s="55"/>
      <c r="AM1100" s="55"/>
      <c r="AN1100" s="55"/>
      <c r="AO1100" s="55"/>
      <c r="AP1100" s="55">
        <f>Database_Asfalt_Aanlegset[[#This Row],[Verbruik '[liter/kWh/kg per uur']]]*AP$1278</f>
        <v>1.4930178513797101</v>
      </c>
      <c r="AQ1100" s="55"/>
      <c r="AR1100" s="55"/>
      <c r="AS1100" s="55">
        <f>Database_Asfalt_Aanlegset[[#This Row],[Verbruik '[liter/kWh/kg per uur']]]*AS$1278</f>
        <v>7.0090962081739114</v>
      </c>
      <c r="AT1100" s="55"/>
      <c r="AU1100" s="55"/>
      <c r="AV1100" s="55"/>
      <c r="AW1100" s="55">
        <f>Database_Asfalt_Aanlegset[[#This Row],[Verbruik '[liter/kWh/kg per uur']]]*AW$1278</f>
        <v>1.175290487211594E-2</v>
      </c>
      <c r="AX1100" s="55">
        <f>Database_Asfalt_Aanlegset[[#This Row],[Verbruik '[liter/kWh/kg per uur']]]*AX$1278</f>
        <v>3.817342525217391E-5</v>
      </c>
      <c r="AY1100" s="55">
        <f>Database_Asfalt_Aanlegset[[#This Row],[Verbruik '[liter/kWh/kg per uur']]]*AY$1278</f>
        <v>0.14808243674724636</v>
      </c>
      <c r="AZ1100" s="55">
        <f>Database_Asfalt_Aanlegset[[#This Row],[Verbruik '[liter/kWh/kg per uur']]]*AZ$1278</f>
        <v>0</v>
      </c>
      <c r="BA1100" s="55"/>
      <c r="BB1100" s="55"/>
      <c r="BC1100" s="55"/>
      <c r="BD1100" s="55"/>
      <c r="BE1100" s="55"/>
      <c r="BF1100" s="45"/>
      <c r="BG1100" s="45" t="s">
        <v>271</v>
      </c>
      <c r="BH1100" s="45">
        <v>400</v>
      </c>
    </row>
    <row r="1101" spans="1:62" ht="15.5" x14ac:dyDescent="0.45">
      <c r="A1101" s="45" t="s">
        <v>266</v>
      </c>
      <c r="B1101" s="45" t="s">
        <v>93</v>
      </c>
      <c r="C1101" s="41" t="s">
        <v>447</v>
      </c>
      <c r="D1101" s="41" t="s">
        <v>449</v>
      </c>
      <c r="E1101" s="45" t="s">
        <v>65</v>
      </c>
      <c r="F1101" s="60">
        <f>$F$1092*($I$1092/Database_Asfalt_Aanlegset[[#This Row],[Stookwaarde '[MJ/liter']]])</f>
        <v>0.33298550724637677</v>
      </c>
      <c r="G1101" s="57">
        <f>Database_Asfalt_Aanlegset[[#This Row],[Verbruik '[liter/kWh/kg per uur']]]*G$1278</f>
        <v>9.4153206524216826E-2</v>
      </c>
      <c r="H1101" s="41">
        <v>0.78100000000000003</v>
      </c>
      <c r="I1101" s="59">
        <v>34.5</v>
      </c>
      <c r="J1101" s="55">
        <f>Database_Asfalt_Aanlegset[[#This Row],[Verbruik '[liter/kWh/kg per uur']]]*J$1278</f>
        <v>7.4579763014492744E-7</v>
      </c>
      <c r="K1101" s="55">
        <f>Database_Asfalt_Aanlegset[[#This Row],[Verbruik '[liter/kWh/kg per uur']]]*K$1278</f>
        <v>1.8424654191304347E-3</v>
      </c>
      <c r="L1101" s="55">
        <f>Database_Asfalt_Aanlegset[[#This Row],[Verbruik '[liter/kWh/kg per uur']]]*L$1278</f>
        <v>0.4597138641623188</v>
      </c>
      <c r="M1101" s="55">
        <f>Database_Asfalt_Aanlegset[[#This Row],[Verbruik '[liter/kWh/kg per uur']]]*M$1278</f>
        <v>2.8877535443478254E-8</v>
      </c>
      <c r="N1101" s="55">
        <f>Database_Asfalt_Aanlegset[[#This Row],[Verbruik '[liter/kWh/kg per uur']]]*N$1278</f>
        <v>3.3404440115942022E-4</v>
      </c>
      <c r="O1101" s="55">
        <f>Database_Asfalt_Aanlegset[[#This Row],[Verbruik '[liter/kWh/kg per uur']]]*O$1278</f>
        <v>1.6525218281739128E-3</v>
      </c>
      <c r="P1101" s="55">
        <f>Database_Asfalt_Aanlegset[[#This Row],[Verbruik '[liter/kWh/kg per uur']]]*P$1278</f>
        <v>7.2645550098550719E-4</v>
      </c>
      <c r="Q1101" s="55">
        <f>Database_Asfalt_Aanlegset[[#This Row],[Verbruik '[liter/kWh/kg per uur']]]*Q$1278</f>
        <v>0.25850925610666659</v>
      </c>
      <c r="R1101" s="55">
        <f>Database_Asfalt_Aanlegset[[#This Row],[Verbruik '[liter/kWh/kg per uur']]]*R$1278</f>
        <v>0.16969389314782607</v>
      </c>
      <c r="S1101" s="55">
        <f>Database_Asfalt_Aanlegset[[#This Row],[Verbruik '[liter/kWh/kg per uur']]]*S$1278</f>
        <v>11.219345627826087</v>
      </c>
      <c r="T1101" s="55">
        <f>Database_Asfalt_Aanlegset[[#This Row],[Verbruik '[liter/kWh/kg per uur']]]*T$1278</f>
        <v>7.4892516322318831E-2</v>
      </c>
      <c r="U1101" s="55"/>
      <c r="V1101" s="55"/>
      <c r="W1101" s="55"/>
      <c r="X1101" s="55"/>
      <c r="Y1101" s="55"/>
      <c r="Z1101" s="55"/>
      <c r="AA1101" s="55"/>
      <c r="AB1101" s="55"/>
      <c r="AC1101" s="55"/>
      <c r="AD1101" s="55"/>
      <c r="AE1101" s="55"/>
      <c r="AF1101" s="55"/>
      <c r="AG1101" s="55"/>
      <c r="AH1101" s="55"/>
      <c r="AI1101" s="55"/>
      <c r="AJ1101" s="55"/>
      <c r="AK1101" s="55"/>
      <c r="AL1101" s="55"/>
      <c r="AM1101" s="55"/>
      <c r="AN1101" s="55"/>
      <c r="AO1101" s="55"/>
      <c r="AP1101" s="55">
        <f>Database_Asfalt_Aanlegset[[#This Row],[Verbruik '[liter/kWh/kg per uur']]]*AP$1278</f>
        <v>0.82373398696811584</v>
      </c>
      <c r="AQ1101" s="55"/>
      <c r="AR1101" s="55"/>
      <c r="AS1101" s="55">
        <f>Database_Asfalt_Aanlegset[[#This Row],[Verbruik '[liter/kWh/kg per uur']]]*AS$1278</f>
        <v>3.867087563130434</v>
      </c>
      <c r="AT1101" s="55"/>
      <c r="AU1101" s="55"/>
      <c r="AV1101" s="55"/>
      <c r="AW1101" s="55">
        <f>Database_Asfalt_Aanlegset[[#This Row],[Verbruik '[liter/kWh/kg per uur']]]*AW$1278</f>
        <v>6.4843613087536226E-3</v>
      </c>
      <c r="AX1101" s="55">
        <f>Database_Asfalt_Aanlegset[[#This Row],[Verbruik '[liter/kWh/kg per uur']]]*AX$1278</f>
        <v>2.1061200139130434E-5</v>
      </c>
      <c r="AY1101" s="55">
        <f>Database_Asfalt_Aanlegset[[#This Row],[Verbruik '[liter/kWh/kg per uur']]]*AY$1278</f>
        <v>8.1700654757101435E-2</v>
      </c>
      <c r="AZ1101" s="55">
        <f>Database_Asfalt_Aanlegset[[#This Row],[Verbruik '[liter/kWh/kg per uur']]]*AZ$1278</f>
        <v>0</v>
      </c>
      <c r="BA1101" s="55"/>
      <c r="BB1101" s="55"/>
      <c r="BC1101" s="55"/>
      <c r="BD1101" s="55"/>
      <c r="BE1101" s="55"/>
      <c r="BF1101" s="45"/>
      <c r="BG1101" s="45" t="s">
        <v>271</v>
      </c>
      <c r="BH1101" s="45">
        <v>1000</v>
      </c>
    </row>
    <row r="1102" spans="1:62" ht="15.5" x14ac:dyDescent="0.45">
      <c r="A1102" s="45" t="s">
        <v>267</v>
      </c>
      <c r="B1102" s="45" t="s">
        <v>93</v>
      </c>
      <c r="C1102" s="41" t="s">
        <v>447</v>
      </c>
      <c r="D1102" s="41" t="s">
        <v>449</v>
      </c>
      <c r="E1102" s="45" t="s">
        <v>65</v>
      </c>
      <c r="F1102" s="60">
        <f>$F$1093*($I$1093/Database_Asfalt_Aanlegset[[#This Row],[Stookwaarde '[MJ/liter']]])</f>
        <v>0.28095652173913044</v>
      </c>
      <c r="G1102" s="57">
        <f>Database_Asfalt_Aanlegset[[#This Row],[Verbruik '[liter/kWh/kg per uur']]]*G$1278</f>
        <v>7.9441768004807956E-2</v>
      </c>
      <c r="H1102" s="41">
        <v>0.78100000000000003</v>
      </c>
      <c r="I1102" s="59">
        <v>34.5</v>
      </c>
      <c r="J1102" s="55">
        <f>Database_Asfalt_Aanlegset[[#This Row],[Verbruik '[liter/kWh/kg per uur']]]*J$1278</f>
        <v>6.2926675043478258E-7</v>
      </c>
      <c r="K1102" s="55">
        <f>Database_Asfalt_Aanlegset[[#This Row],[Verbruik '[liter/kWh/kg per uur']]]*K$1278</f>
        <v>1.5545801973913045E-3</v>
      </c>
      <c r="L1102" s="55">
        <f>Database_Asfalt_Aanlegset[[#This Row],[Verbruik '[liter/kWh/kg per uur']]]*L$1278</f>
        <v>0.38788357288695657</v>
      </c>
      <c r="M1102" s="55">
        <f>Database_Asfalt_Aanlegset[[#This Row],[Verbruik '[liter/kWh/kg per uur']]]*M$1278</f>
        <v>2.4365420530434781E-8</v>
      </c>
      <c r="N1102" s="55">
        <f>Database_Asfalt_Aanlegset[[#This Row],[Verbruik '[liter/kWh/kg per uur']]]*N$1278</f>
        <v>2.8184996347826086E-4</v>
      </c>
      <c r="O1102" s="55">
        <f>Database_Asfalt_Aanlegset[[#This Row],[Verbruik '[liter/kWh/kg per uur']]]*O$1278</f>
        <v>1.3943152925217392E-3</v>
      </c>
      <c r="P1102" s="55">
        <f>Database_Asfalt_Aanlegset[[#This Row],[Verbruik '[liter/kWh/kg per uur']]]*P$1278</f>
        <v>6.1294682895652176E-4</v>
      </c>
      <c r="Q1102" s="55">
        <f>Database_Asfalt_Aanlegset[[#This Row],[Verbruik '[liter/kWh/kg per uur']]]*Q$1278</f>
        <v>0.21811718483999998</v>
      </c>
      <c r="R1102" s="55">
        <f>Database_Asfalt_Aanlegset[[#This Row],[Verbruik '[liter/kWh/kg per uur']]]*R$1278</f>
        <v>0.14317922234347827</v>
      </c>
      <c r="S1102" s="55">
        <f>Database_Asfalt_Aanlegset[[#This Row],[Verbruik '[liter/kWh/kg per uur']]]*S$1278</f>
        <v>9.4663228734782621</v>
      </c>
      <c r="T1102" s="55">
        <f>Database_Asfalt_Aanlegset[[#This Row],[Verbruik '[liter/kWh/kg per uur']]]*T$1278</f>
        <v>6.3190560646956523E-2</v>
      </c>
      <c r="U1102" s="55"/>
      <c r="V1102" s="55"/>
      <c r="W1102" s="55"/>
      <c r="X1102" s="55"/>
      <c r="Y1102" s="55"/>
      <c r="Z1102" s="55"/>
      <c r="AA1102" s="55"/>
      <c r="AB1102" s="55"/>
      <c r="AC1102" s="55"/>
      <c r="AD1102" s="55"/>
      <c r="AE1102" s="55"/>
      <c r="AF1102" s="55"/>
      <c r="AG1102" s="55"/>
      <c r="AH1102" s="55"/>
      <c r="AI1102" s="55"/>
      <c r="AJ1102" s="55"/>
      <c r="AK1102" s="55"/>
      <c r="AL1102" s="55"/>
      <c r="AM1102" s="55"/>
      <c r="AN1102" s="55"/>
      <c r="AO1102" s="55"/>
      <c r="AP1102" s="55">
        <f>Database_Asfalt_Aanlegset[[#This Row],[Verbruik '[liter/kWh/kg per uur']]]*AP$1278</f>
        <v>0.69502555150434786</v>
      </c>
      <c r="AQ1102" s="55"/>
      <c r="AR1102" s="55"/>
      <c r="AS1102" s="55">
        <f>Database_Asfalt_Aanlegset[[#This Row],[Verbruik '[liter/kWh/kg per uur']]]*AS$1278</f>
        <v>3.2628551313913041</v>
      </c>
      <c r="AT1102" s="55"/>
      <c r="AU1102" s="55"/>
      <c r="AV1102" s="55"/>
      <c r="AW1102" s="55">
        <f>Database_Asfalt_Aanlegset[[#This Row],[Verbruik '[liter/kWh/kg per uur']]]*AW$1278</f>
        <v>5.4711798542608691E-3</v>
      </c>
      <c r="AX1102" s="55">
        <f>Database_Asfalt_Aanlegset[[#This Row],[Verbruik '[liter/kWh/kg per uur']]]*AX$1278</f>
        <v>1.7770387617391307E-5</v>
      </c>
      <c r="AY1102" s="55">
        <f>Database_Asfalt_Aanlegset[[#This Row],[Verbruik '[liter/kWh/kg per uur']]]*AY$1278</f>
        <v>6.8934927451304348E-2</v>
      </c>
      <c r="AZ1102" s="55">
        <f>Database_Asfalt_Aanlegset[[#This Row],[Verbruik '[liter/kWh/kg per uur']]]*AZ$1278</f>
        <v>0</v>
      </c>
      <c r="BA1102" s="55"/>
      <c r="BB1102" s="55"/>
      <c r="BC1102" s="55"/>
      <c r="BD1102" s="55"/>
      <c r="BE1102" s="55"/>
      <c r="BF1102" s="45"/>
      <c r="BG1102" s="45" t="s">
        <v>271</v>
      </c>
      <c r="BH1102" s="45">
        <v>2000</v>
      </c>
    </row>
    <row r="1103" spans="1:62" ht="15.5" x14ac:dyDescent="0.45">
      <c r="A1103" s="45" t="s">
        <v>268</v>
      </c>
      <c r="B1103" s="45" t="s">
        <v>93</v>
      </c>
      <c r="C1103" s="41" t="s">
        <v>447</v>
      </c>
      <c r="D1103" s="41" t="s">
        <v>449</v>
      </c>
      <c r="E1103" s="45" t="s">
        <v>65</v>
      </c>
      <c r="F1103" s="60">
        <f>$F$1091*($I$1091/Database_Asfalt_Aanlegset[[#This Row],[Stookwaarde '[MJ/liter']]])</f>
        <v>0.60529069767441857</v>
      </c>
      <c r="G1103" s="57">
        <f>Database_Asfalt_Aanlegset[[#This Row],[Verbruik '[liter/kWh/kg per uur']]]*G$1279</f>
        <v>4.1702562036473399E-2</v>
      </c>
      <c r="H1103" s="46">
        <v>0.78</v>
      </c>
      <c r="I1103" s="59">
        <v>34.4</v>
      </c>
      <c r="J1103" s="55">
        <f>Database_Asfalt_Aanlegset[[#This Row],[Verbruik '[liter/kWh/kg per uur']]]*J$1279</f>
        <v>8.2772853430058138E-7</v>
      </c>
      <c r="K1103" s="55">
        <f>Database_Asfalt_Aanlegset[[#This Row],[Verbruik '[liter/kWh/kg per uur']]]*K$1279</f>
        <v>2.270631380110336E-3</v>
      </c>
      <c r="L1103" s="55">
        <f>Database_Asfalt_Aanlegset[[#This Row],[Verbruik '[liter/kWh/kg per uur']]]*L$1279</f>
        <v>0.24161707229814092</v>
      </c>
      <c r="M1103" s="55">
        <f>Database_Asfalt_Aanlegset[[#This Row],[Verbruik '[liter/kWh/kg per uur']]]*M$1279</f>
        <v>3.1175824240697671E-8</v>
      </c>
      <c r="N1103" s="55">
        <f>Database_Asfalt_Aanlegset[[#This Row],[Verbruik '[liter/kWh/kg per uur']]]*N$1279</f>
        <v>2.6667724573926915E-4</v>
      </c>
      <c r="O1103" s="55">
        <f>Database_Asfalt_Aanlegset[[#This Row],[Verbruik '[liter/kWh/kg per uur']]]*O$1279</f>
        <v>1.2354742057309191E-3</v>
      </c>
      <c r="P1103" s="55">
        <f>Database_Asfalt_Aanlegset[[#This Row],[Verbruik '[liter/kWh/kg per uur']]]*P$1279</f>
        <v>2.2395098443438896E-4</v>
      </c>
      <c r="Q1103" s="55">
        <f>Database_Asfalt_Aanlegset[[#This Row],[Verbruik '[liter/kWh/kg per uur']]]*Q$1279</f>
        <v>0.23408412173851684</v>
      </c>
      <c r="R1103" s="55">
        <f>Database_Asfalt_Aanlegset[[#This Row],[Verbruik '[liter/kWh/kg per uur']]]*R$1279</f>
        <v>1.6921146013870749E-3</v>
      </c>
      <c r="S1103" s="55">
        <f>Database_Asfalt_Aanlegset[[#This Row],[Verbruik '[liter/kWh/kg per uur']]]*S$1279</f>
        <v>5.8235264110795937</v>
      </c>
      <c r="T1103" s="55">
        <f>Database_Asfalt_Aanlegset[[#This Row],[Verbruik '[liter/kWh/kg per uur']]]*T$1279</f>
        <v>1.097374656896997E-3</v>
      </c>
      <c r="U1103" s="55"/>
      <c r="V1103" s="55"/>
      <c r="W1103" s="55"/>
      <c r="X1103" s="55"/>
      <c r="Y1103" s="55"/>
      <c r="Z1103" s="55"/>
      <c r="AA1103" s="55"/>
      <c r="AB1103" s="55"/>
      <c r="AC1103" s="55"/>
      <c r="AD1103" s="55"/>
      <c r="AE1103" s="55"/>
      <c r="AF1103" s="55"/>
      <c r="AG1103" s="55"/>
      <c r="AH1103" s="55"/>
      <c r="AI1103" s="55"/>
      <c r="AJ1103" s="55"/>
      <c r="AK1103" s="55"/>
      <c r="AL1103" s="55"/>
      <c r="AM1103" s="55"/>
      <c r="AN1103" s="55"/>
      <c r="AO1103" s="55"/>
      <c r="AP1103" s="55">
        <f>Database_Asfalt_Aanlegset[[#This Row],[Verbruik '[liter/kWh/kg per uur']]]*AP$1279</f>
        <v>0.15611893613152869</v>
      </c>
      <c r="AQ1103" s="55"/>
      <c r="AR1103" s="55"/>
      <c r="AS1103" s="55">
        <f>Database_Asfalt_Aanlegset[[#This Row],[Verbruik '[liter/kWh/kg per uur']]]*AS$1279</f>
        <v>4.7856676310116901</v>
      </c>
      <c r="AT1103" s="55"/>
      <c r="AU1103" s="55"/>
      <c r="AV1103" s="55"/>
      <c r="AW1103" s="55">
        <f>Database_Asfalt_Aanlegset[[#This Row],[Verbruik '[liter/kWh/kg per uur']]]*AW$1279</f>
        <v>1.2021493541528401E-3</v>
      </c>
      <c r="AX1103" s="55">
        <f>Database_Asfalt_Aanlegset[[#This Row],[Verbruik '[liter/kWh/kg per uur']]]*AX$1279</f>
        <v>1.9406981580718023E-5</v>
      </c>
      <c r="AY1103" s="55">
        <f>Database_Asfalt_Aanlegset[[#This Row],[Verbruik '[liter/kWh/kg per uur']]]*AY$1279</f>
        <v>4.5449612232378735E-2</v>
      </c>
      <c r="AZ1103" s="55">
        <f>Database_Asfalt_Aanlegset[[#This Row],[Verbruik '[liter/kWh/kg per uur']]]*AZ$1279</f>
        <v>1.1656515021616278E-5</v>
      </c>
      <c r="BA1103" s="55"/>
      <c r="BB1103" s="55"/>
      <c r="BC1103" s="55"/>
      <c r="BD1103" s="55"/>
      <c r="BE1103" s="55"/>
      <c r="BF1103" s="45"/>
      <c r="BG1103" s="45" t="s">
        <v>271</v>
      </c>
      <c r="BH1103" s="45">
        <v>400</v>
      </c>
    </row>
    <row r="1104" spans="1:62" ht="15.5" x14ac:dyDescent="0.45">
      <c r="A1104" s="45" t="s">
        <v>269</v>
      </c>
      <c r="B1104" s="45" t="s">
        <v>93</v>
      </c>
      <c r="C1104" s="41" t="s">
        <v>447</v>
      </c>
      <c r="D1104" s="41" t="s">
        <v>449</v>
      </c>
      <c r="E1104" s="45" t="s">
        <v>65</v>
      </c>
      <c r="F1104" s="60">
        <f>$F$1092*($I$1092/Database_Asfalt_Aanlegset[[#This Row],[Stookwaarde '[MJ/liter']]])</f>
        <v>0.33395348837209304</v>
      </c>
      <c r="G1104" s="57">
        <f>Database_Asfalt_Aanlegset[[#This Row],[Verbruik '[liter/kWh/kg per uur']]]*G$1279</f>
        <v>2.3008310089088775E-2</v>
      </c>
      <c r="H1104" s="46">
        <v>0.78</v>
      </c>
      <c r="I1104" s="59">
        <v>34.4</v>
      </c>
      <c r="J1104" s="55">
        <f>Database_Asfalt_Aanlegset[[#This Row],[Verbruik '[liter/kWh/kg per uur']]]*J$1279</f>
        <v>4.5667781202790702E-7</v>
      </c>
      <c r="K1104" s="55">
        <f>Database_Asfalt_Aanlegset[[#This Row],[Verbruik '[liter/kWh/kg per uur']]]*K$1279</f>
        <v>1.2527621407505303E-3</v>
      </c>
      <c r="L1104" s="55">
        <f>Database_Asfalt_Aanlegset[[#This Row],[Verbruik '[liter/kWh/kg per uur']]]*L$1279</f>
        <v>0.13330597092311225</v>
      </c>
      <c r="M1104" s="55">
        <f>Database_Asfalt_Aanlegset[[#This Row],[Verbruik '[liter/kWh/kg per uur']]]*M$1279</f>
        <v>1.7200454753488373E-8</v>
      </c>
      <c r="N1104" s="55">
        <f>Database_Asfalt_Aanlegset[[#This Row],[Verbruik '[liter/kWh/kg per uur']]]*N$1279</f>
        <v>1.4713227351132095E-4</v>
      </c>
      <c r="O1104" s="55">
        <f>Database_Asfalt_Aanlegset[[#This Row],[Verbruik '[liter/kWh/kg per uur']]]*O$1279</f>
        <v>6.81640941092921E-4</v>
      </c>
      <c r="P1104" s="55">
        <f>Database_Asfalt_Aanlegset[[#This Row],[Verbruik '[liter/kWh/kg per uur']]]*P$1279</f>
        <v>1.2355916382586978E-4</v>
      </c>
      <c r="Q1104" s="55">
        <f>Database_Asfalt_Aanlegset[[#This Row],[Verbruik '[liter/kWh/kg per uur']]]*Q$1279</f>
        <v>0.12914986026952655</v>
      </c>
      <c r="R1104" s="55">
        <f>Database_Asfalt_Aanlegset[[#This Row],[Verbruik '[liter/kWh/kg per uur']]]*R$1279</f>
        <v>9.3358046973080009E-4</v>
      </c>
      <c r="S1104" s="55">
        <f>Database_Asfalt_Aanlegset[[#This Row],[Verbruik '[liter/kWh/kg per uur']]]*S$1279</f>
        <v>3.2129800888715003</v>
      </c>
      <c r="T1104" s="55">
        <f>Database_Asfalt_Aanlegset[[#This Row],[Verbruik '[liter/kWh/kg per uur']]]*T$1279</f>
        <v>6.0544808656386043E-4</v>
      </c>
      <c r="U1104" s="55"/>
      <c r="V1104" s="55"/>
      <c r="W1104" s="55"/>
      <c r="X1104" s="55"/>
      <c r="Y1104" s="55"/>
      <c r="Z1104" s="55"/>
      <c r="AA1104" s="55"/>
      <c r="AB1104" s="55"/>
      <c r="AC1104" s="55"/>
      <c r="AD1104" s="55"/>
      <c r="AE1104" s="55"/>
      <c r="AF1104" s="55"/>
      <c r="AG1104" s="55"/>
      <c r="AH1104" s="55"/>
      <c r="AI1104" s="55"/>
      <c r="AJ1104" s="55"/>
      <c r="AK1104" s="55"/>
      <c r="AL1104" s="55"/>
      <c r="AM1104" s="55"/>
      <c r="AN1104" s="55"/>
      <c r="AO1104" s="55"/>
      <c r="AP1104" s="55">
        <f>Database_Asfalt_Aanlegset[[#This Row],[Verbruik '[liter/kWh/kg per uur']]]*AP$1279</f>
        <v>8.613458545187791E-2</v>
      </c>
      <c r="AQ1104" s="55"/>
      <c r="AR1104" s="55"/>
      <c r="AS1104" s="55">
        <f>Database_Asfalt_Aanlegset[[#This Row],[Verbruik '[liter/kWh/kg per uur']]]*AS$1279</f>
        <v>2.6403683481443814</v>
      </c>
      <c r="AT1104" s="55"/>
      <c r="AU1104" s="55"/>
      <c r="AV1104" s="55"/>
      <c r="AW1104" s="55">
        <f>Database_Asfalt_Aanlegset[[#This Row],[Verbruik '[liter/kWh/kg per uur']]]*AW$1279</f>
        <v>6.6325481608432561E-4</v>
      </c>
      <c r="AX1104" s="55">
        <f>Database_Asfalt_Aanlegset[[#This Row],[Verbruik '[liter/kWh/kg per uur']]]*AX$1279</f>
        <v>1.0707300182465118E-5</v>
      </c>
      <c r="AY1104" s="55">
        <f>Database_Asfalt_Aanlegset[[#This Row],[Verbruik '[liter/kWh/kg per uur']]]*AY$1279</f>
        <v>2.507564812820896E-2</v>
      </c>
      <c r="AZ1104" s="55">
        <f>Database_Asfalt_Aanlegset[[#This Row],[Verbruik '[liter/kWh/kg per uur']]]*AZ$1279</f>
        <v>6.4311807015813955E-6</v>
      </c>
      <c r="BA1104" s="55"/>
      <c r="BB1104" s="55"/>
      <c r="BC1104" s="55"/>
      <c r="BD1104" s="55"/>
      <c r="BE1104" s="55"/>
      <c r="BF1104" s="45"/>
      <c r="BG1104" s="45" t="s">
        <v>271</v>
      </c>
      <c r="BH1104" s="45">
        <v>1000</v>
      </c>
    </row>
    <row r="1105" spans="1:63" ht="15.5" x14ac:dyDescent="0.45">
      <c r="A1105" s="45" t="s">
        <v>270</v>
      </c>
      <c r="B1105" s="45" t="s">
        <v>93</v>
      </c>
      <c r="C1105" s="41" t="s">
        <v>447</v>
      </c>
      <c r="D1105" s="41" t="s">
        <v>449</v>
      </c>
      <c r="E1105" s="45" t="s">
        <v>65</v>
      </c>
      <c r="F1105" s="60">
        <f>$F$1093*($I$1093/Database_Asfalt_Aanlegset[[#This Row],[Stookwaarde '[MJ/liter']]])</f>
        <v>0.28177325581395352</v>
      </c>
      <c r="G1105" s="57">
        <f>Database_Asfalt_Aanlegset[[#This Row],[Verbruik '[liter/kWh/kg per uur']]]*G$1279</f>
        <v>1.9413261637668655E-2</v>
      </c>
      <c r="H1105" s="46">
        <v>0.78</v>
      </c>
      <c r="I1105" s="59">
        <v>34.4</v>
      </c>
      <c r="J1105" s="55">
        <f>Database_Asfalt_Aanlegset[[#This Row],[Verbruik '[liter/kWh/kg per uur']]]*J$1279</f>
        <v>3.8532190389854656E-7</v>
      </c>
      <c r="K1105" s="55">
        <f>Database_Asfalt_Aanlegset[[#This Row],[Verbruik '[liter/kWh/kg per uur']]]*K$1279</f>
        <v>1.05701805625826E-3</v>
      </c>
      <c r="L1105" s="55">
        <f>Database_Asfalt_Aanlegset[[#This Row],[Verbruik '[liter/kWh/kg per uur']]]*L$1279</f>
        <v>0.11247691296637596</v>
      </c>
      <c r="M1105" s="55">
        <f>Database_Asfalt_Aanlegset[[#This Row],[Verbruik '[liter/kWh/kg per uur']]]*M$1279</f>
        <v>1.4512883698255815E-8</v>
      </c>
      <c r="N1105" s="55">
        <f>Database_Asfalt_Aanlegset[[#This Row],[Verbruik '[liter/kWh/kg per uur']]]*N$1279</f>
        <v>1.2414285577517703E-4</v>
      </c>
      <c r="O1105" s="55">
        <f>Database_Asfalt_Aanlegset[[#This Row],[Verbruik '[liter/kWh/kg per uur']]]*O$1279</f>
        <v>5.751345440471521E-4</v>
      </c>
      <c r="P1105" s="55">
        <f>Database_Asfalt_Aanlegset[[#This Row],[Verbruik '[liter/kWh/kg per uur']]]*P$1279</f>
        <v>1.0425304447807764E-4</v>
      </c>
      <c r="Q1105" s="55">
        <f>Database_Asfalt_Aanlegset[[#This Row],[Verbruik '[liter/kWh/kg per uur']]]*Q$1279</f>
        <v>0.10897019460241303</v>
      </c>
      <c r="R1105" s="55">
        <f>Database_Asfalt_Aanlegset[[#This Row],[Verbruik '[liter/kWh/kg per uur']]]*R$1279</f>
        <v>7.877085213353626E-4</v>
      </c>
      <c r="S1105" s="55">
        <f>Database_Asfalt_Aanlegset[[#This Row],[Verbruik '[liter/kWh/kg per uur']]]*S$1279</f>
        <v>2.7109519499853283</v>
      </c>
      <c r="T1105" s="55">
        <f>Database_Asfalt_Aanlegset[[#This Row],[Verbruik '[liter/kWh/kg per uur']]]*T$1279</f>
        <v>5.1084682303825725E-4</v>
      </c>
      <c r="U1105" s="55"/>
      <c r="V1105" s="55"/>
      <c r="W1105" s="55"/>
      <c r="X1105" s="55"/>
      <c r="Y1105" s="55"/>
      <c r="Z1105" s="55"/>
      <c r="AA1105" s="55"/>
      <c r="AB1105" s="55"/>
      <c r="AC1105" s="55"/>
      <c r="AD1105" s="55"/>
      <c r="AE1105" s="55"/>
      <c r="AF1105" s="55"/>
      <c r="AG1105" s="55"/>
      <c r="AH1105" s="55"/>
      <c r="AI1105" s="55"/>
      <c r="AJ1105" s="55"/>
      <c r="AK1105" s="55"/>
      <c r="AL1105" s="55"/>
      <c r="AM1105" s="55"/>
      <c r="AN1105" s="55"/>
      <c r="AO1105" s="55"/>
      <c r="AP1105" s="55">
        <f>Database_Asfalt_Aanlegset[[#This Row],[Verbruik '[liter/kWh/kg per uur']]]*AP$1279</f>
        <v>7.2676056475021983E-2</v>
      </c>
      <c r="AQ1105" s="55"/>
      <c r="AR1105" s="55"/>
      <c r="AS1105" s="55">
        <f>Database_Asfalt_Aanlegset[[#This Row],[Verbruik '[liter/kWh/kg per uur']]]*AS$1279</f>
        <v>2.2278107937468219</v>
      </c>
      <c r="AT1105" s="55"/>
      <c r="AU1105" s="55"/>
      <c r="AV1105" s="55"/>
      <c r="AW1105" s="55">
        <f>Database_Asfalt_Aanlegset[[#This Row],[Verbruik '[liter/kWh/kg per uur']]]*AW$1279</f>
        <v>5.5962125107114971E-4</v>
      </c>
      <c r="AX1105" s="55">
        <f>Database_Asfalt_Aanlegset[[#This Row],[Verbruik '[liter/kWh/kg per uur']]]*AX$1279</f>
        <v>9.0342845289549439E-6</v>
      </c>
      <c r="AY1105" s="55">
        <f>Database_Asfalt_Aanlegset[[#This Row],[Verbruik '[liter/kWh/kg per uur']]]*AY$1279</f>
        <v>2.1157578108176311E-2</v>
      </c>
      <c r="AZ1105" s="55">
        <f>Database_Asfalt_Aanlegset[[#This Row],[Verbruik '[liter/kWh/kg per uur']]]*AZ$1279</f>
        <v>5.4263087169593028E-6</v>
      </c>
      <c r="BA1105" s="55"/>
      <c r="BB1105" s="55"/>
      <c r="BC1105" s="55"/>
      <c r="BD1105" s="55"/>
      <c r="BE1105" s="55"/>
      <c r="BF1105" s="45"/>
      <c r="BG1105" s="45" t="s">
        <v>271</v>
      </c>
      <c r="BH1105" s="45">
        <v>2000</v>
      </c>
    </row>
    <row r="1106" spans="1:63" ht="15.5" x14ac:dyDescent="0.45">
      <c r="A1106" s="45" t="s">
        <v>285</v>
      </c>
      <c r="B1106" s="45" t="s">
        <v>93</v>
      </c>
      <c r="C1106" s="41" t="s">
        <v>447</v>
      </c>
      <c r="D1106" s="41" t="s">
        <v>449</v>
      </c>
      <c r="E1106" s="45" t="s">
        <v>65</v>
      </c>
      <c r="F1106" s="45">
        <f t="shared" ref="F1106:F1111" si="1175">F1088*3.1</f>
        <v>1.7979999999999998</v>
      </c>
      <c r="G1106" s="57">
        <f>Database_Asfalt_Aanlegset[[#This Row],[Verbruik '[liter/kWh/kg per uur']]]*G1285</f>
        <v>0.11686270371599999</v>
      </c>
      <c r="H1106" s="45"/>
      <c r="I1106" s="59">
        <v>3.6</v>
      </c>
      <c r="J1106" s="55">
        <f>Database_Asfalt_Aanlegset[[#This Row],[Verbruik '[liter/kWh/kg per uur']]]*J1285</f>
        <v>3.2184200000000003E-5</v>
      </c>
      <c r="K1106" s="55">
        <f>Database_Asfalt_Aanlegset[[#This Row],[Verbruik '[liter/kWh/kg per uur']]]*K1285</f>
        <v>2.8228599999999995E-3</v>
      </c>
      <c r="L1106" s="55">
        <f>Database_Asfalt_Aanlegset[[#This Row],[Verbruik '[liter/kWh/kg per uur']]]*L1285</f>
        <v>0.40454999999999997</v>
      </c>
      <c r="M1106" s="55">
        <f>Database_Asfalt_Aanlegset[[#This Row],[Verbruik '[liter/kWh/kg per uur']]]*M1285</f>
        <v>4.0634799999999995E-8</v>
      </c>
      <c r="N1106" s="55">
        <f>Database_Asfalt_Aanlegset[[#This Row],[Verbruik '[liter/kWh/kg per uur']]]*N1285</f>
        <v>5.2681400000000001E-4</v>
      </c>
      <c r="O1106" s="55">
        <f>Database_Asfalt_Aanlegset[[#This Row],[Verbruik '[liter/kWh/kg per uur']]]*O1285</f>
        <v>3.8656999999999997E-3</v>
      </c>
      <c r="P1106" s="55">
        <f>Database_Asfalt_Aanlegset[[#This Row],[Verbruik '[liter/kWh/kg per uur']]]*P1285</f>
        <v>5.4659199999999993E-4</v>
      </c>
      <c r="Q1106" s="55">
        <f>Database_Asfalt_Aanlegset[[#This Row],[Verbruik '[liter/kWh/kg per uur']]]*Q1285</f>
        <v>0.76414999999999988</v>
      </c>
      <c r="R1106" s="55">
        <f>Database_Asfalt_Aanlegset[[#This Row],[Verbruik '[liter/kWh/kg per uur']]]*R1285</f>
        <v>1.265792E-2</v>
      </c>
      <c r="S1106" s="55">
        <f>Database_Asfalt_Aanlegset[[#This Row],[Verbruik '[liter/kWh/kg per uur']]]*S1285</f>
        <v>41.533799999999999</v>
      </c>
      <c r="T1106" s="55">
        <f>Database_Asfalt_Aanlegset[[#This Row],[Verbruik '[liter/kWh/kg per uur']]]*T1285</f>
        <v>2.3913399999999998E-2</v>
      </c>
      <c r="U1106" s="55"/>
      <c r="V1106" s="55"/>
      <c r="W1106" s="55"/>
      <c r="X1106" s="55"/>
      <c r="Y1106" s="55"/>
      <c r="Z1106" s="55"/>
      <c r="AA1106" s="55"/>
      <c r="AB1106" s="55"/>
      <c r="AC1106" s="55"/>
      <c r="AD1106" s="55"/>
      <c r="AE1106" s="55"/>
      <c r="AF1106" s="55"/>
      <c r="AG1106" s="55"/>
      <c r="AH1106" s="55"/>
      <c r="AI1106" s="55"/>
      <c r="AJ1106" s="55"/>
      <c r="AK1106" s="55"/>
      <c r="AL1106" s="55"/>
      <c r="AM1106" s="55"/>
      <c r="AN1106" s="55"/>
      <c r="AO1106" s="55"/>
      <c r="AP1106" s="55">
        <f>Database_Asfalt_Aanlegset[[#This Row],[Verbruik '[liter/kWh/kg per uur']]]*AP1285</f>
        <v>15.642599999999996</v>
      </c>
      <c r="AQ1106" s="55"/>
      <c r="AR1106" s="55"/>
      <c r="AS1106" s="55">
        <f>Database_Asfalt_Aanlegset[[#This Row],[Verbruik '[liter/kWh/kg per uur']]]*AS1285</f>
        <v>5.5198599999999995</v>
      </c>
      <c r="AT1106" s="55"/>
      <c r="AU1106" s="55"/>
      <c r="AV1106" s="55"/>
      <c r="AW1106" s="55">
        <f>Database_Asfalt_Aanlegset[[#This Row],[Verbruik '[liter/kWh/kg per uur']]]*AW1285</f>
        <v>15.642599999999996</v>
      </c>
      <c r="AX1106" s="55">
        <f>Database_Asfalt_Aanlegset[[#This Row],[Verbruik '[liter/kWh/kg per uur']]]*AX1285</f>
        <v>7.3717999999999988E-5</v>
      </c>
      <c r="AY1106" s="55">
        <f>Database_Asfalt_Aanlegset[[#This Row],[Verbruik '[liter/kWh/kg per uur']]]*AY1285</f>
        <v>0.1368278</v>
      </c>
      <c r="AZ1106" s="55">
        <f>Database_Asfalt_Aanlegset[[#This Row],[Verbruik '[liter/kWh/kg per uur']]]*AZ1285</f>
        <v>1.6217959999999997E-5</v>
      </c>
      <c r="BA1106" s="55"/>
      <c r="BB1106" s="55"/>
      <c r="BC1106" s="55"/>
      <c r="BD1106" s="55"/>
      <c r="BE1106" s="55"/>
      <c r="BF1106" s="45" t="s">
        <v>277</v>
      </c>
      <c r="BG1106" s="45" t="s">
        <v>276</v>
      </c>
      <c r="BH1106" s="45">
        <v>400</v>
      </c>
    </row>
    <row r="1107" spans="1:63" ht="15.5" x14ac:dyDescent="0.45">
      <c r="A1107" s="45" t="s">
        <v>286</v>
      </c>
      <c r="B1107" s="45" t="s">
        <v>93</v>
      </c>
      <c r="C1107" s="41" t="s">
        <v>447</v>
      </c>
      <c r="D1107" s="41" t="s">
        <v>449</v>
      </c>
      <c r="E1107" s="45" t="s">
        <v>65</v>
      </c>
      <c r="F1107" s="45">
        <f t="shared" si="1175"/>
        <v>0.9920000000000001</v>
      </c>
      <c r="G1107" s="57">
        <f>Database_Asfalt_Aanlegset[[#This Row],[Verbruik '[liter/kWh/kg per uur']]]*G1285</f>
        <v>6.447597446400001E-2</v>
      </c>
      <c r="H1107" s="45"/>
      <c r="I1107" s="59">
        <v>3.6</v>
      </c>
      <c r="J1107" s="55">
        <f>Database_Asfalt_Aanlegset[[#This Row],[Verbruik '[liter/kWh/kg per uur']]]*J1285</f>
        <v>1.7756800000000003E-5</v>
      </c>
      <c r="K1107" s="55">
        <f>Database_Asfalt_Aanlegset[[#This Row],[Verbruik '[liter/kWh/kg per uur']]]*K1285</f>
        <v>1.5574400000000002E-3</v>
      </c>
      <c r="L1107" s="55">
        <f>Database_Asfalt_Aanlegset[[#This Row],[Verbruik '[liter/kWh/kg per uur']]]*L1285</f>
        <v>0.22320000000000004</v>
      </c>
      <c r="M1107" s="55">
        <f>Database_Asfalt_Aanlegset[[#This Row],[Verbruik '[liter/kWh/kg per uur']]]*M1285</f>
        <v>2.2419200000000001E-8</v>
      </c>
      <c r="N1107" s="55">
        <f>Database_Asfalt_Aanlegset[[#This Row],[Verbruik '[liter/kWh/kg per uur']]]*N1285</f>
        <v>2.9065600000000003E-4</v>
      </c>
      <c r="O1107" s="55">
        <f>Database_Asfalt_Aanlegset[[#This Row],[Verbruik '[liter/kWh/kg per uur']]]*O1285</f>
        <v>2.1328000000000002E-3</v>
      </c>
      <c r="P1107" s="55">
        <f>Database_Asfalt_Aanlegset[[#This Row],[Verbruik '[liter/kWh/kg per uur']]]*P1285</f>
        <v>3.0156800000000005E-4</v>
      </c>
      <c r="Q1107" s="55">
        <f>Database_Asfalt_Aanlegset[[#This Row],[Verbruik '[liter/kWh/kg per uur']]]*Q1285</f>
        <v>0.42160000000000003</v>
      </c>
      <c r="R1107" s="55">
        <f>Database_Asfalt_Aanlegset[[#This Row],[Verbruik '[liter/kWh/kg per uur']]]*R1285</f>
        <v>6.9836800000000008E-3</v>
      </c>
      <c r="S1107" s="55">
        <f>Database_Asfalt_Aanlegset[[#This Row],[Verbruik '[liter/kWh/kg per uur']]]*S1285</f>
        <v>22.915200000000002</v>
      </c>
      <c r="T1107" s="55">
        <f>Database_Asfalt_Aanlegset[[#This Row],[Verbruik '[liter/kWh/kg per uur']]]*T1285</f>
        <v>1.3193600000000002E-2</v>
      </c>
      <c r="U1107" s="55"/>
      <c r="V1107" s="55"/>
      <c r="W1107" s="55"/>
      <c r="X1107" s="55"/>
      <c r="Y1107" s="55"/>
      <c r="Z1107" s="55"/>
      <c r="AA1107" s="55"/>
      <c r="AB1107" s="55"/>
      <c r="AC1107" s="55"/>
      <c r="AD1107" s="55"/>
      <c r="AE1107" s="55"/>
      <c r="AF1107" s="55"/>
      <c r="AG1107" s="55"/>
      <c r="AH1107" s="55"/>
      <c r="AI1107" s="55"/>
      <c r="AJ1107" s="55"/>
      <c r="AK1107" s="55"/>
      <c r="AL1107" s="55"/>
      <c r="AM1107" s="55"/>
      <c r="AN1107" s="55"/>
      <c r="AO1107" s="55"/>
      <c r="AP1107" s="55">
        <f>Database_Asfalt_Aanlegset[[#This Row],[Verbruik '[liter/kWh/kg per uur']]]*AP1285</f>
        <v>8.6303999999999998</v>
      </c>
      <c r="AQ1107" s="55"/>
      <c r="AR1107" s="55"/>
      <c r="AS1107" s="55">
        <f>Database_Asfalt_Aanlegset[[#This Row],[Verbruik '[liter/kWh/kg per uur']]]*AS1285</f>
        <v>3.0454400000000001</v>
      </c>
      <c r="AT1107" s="55"/>
      <c r="AU1107" s="55"/>
      <c r="AV1107" s="55"/>
      <c r="AW1107" s="55">
        <f>Database_Asfalt_Aanlegset[[#This Row],[Verbruik '[liter/kWh/kg per uur']]]*AW1285</f>
        <v>8.6303999999999998</v>
      </c>
      <c r="AX1107" s="55">
        <f>Database_Asfalt_Aanlegset[[#This Row],[Verbruik '[liter/kWh/kg per uur']]]*AX1285</f>
        <v>4.0672000000000006E-5</v>
      </c>
      <c r="AY1107" s="55">
        <f>Database_Asfalt_Aanlegset[[#This Row],[Verbruik '[liter/kWh/kg per uur']]]*AY1285</f>
        <v>7.5491200000000008E-2</v>
      </c>
      <c r="AZ1107" s="55">
        <f>Database_Asfalt_Aanlegset[[#This Row],[Verbruik '[liter/kWh/kg per uur']]]*AZ1285</f>
        <v>8.9478400000000004E-6</v>
      </c>
      <c r="BA1107" s="55"/>
      <c r="BB1107" s="55"/>
      <c r="BC1107" s="55"/>
      <c r="BD1107" s="55"/>
      <c r="BE1107" s="55"/>
      <c r="BF1107" s="45" t="s">
        <v>277</v>
      </c>
      <c r="BG1107" s="45" t="s">
        <v>276</v>
      </c>
      <c r="BH1107" s="45">
        <v>1000</v>
      </c>
    </row>
    <row r="1108" spans="1:63" ht="15.5" x14ac:dyDescent="0.45">
      <c r="A1108" s="45" t="s">
        <v>287</v>
      </c>
      <c r="B1108" s="45" t="s">
        <v>93</v>
      </c>
      <c r="C1108" s="41" t="s">
        <v>447</v>
      </c>
      <c r="D1108" s="41" t="s">
        <v>449</v>
      </c>
      <c r="E1108" s="45" t="s">
        <v>65</v>
      </c>
      <c r="F1108" s="45">
        <f t="shared" si="1175"/>
        <v>0.83700000000000008</v>
      </c>
      <c r="G1108" s="57">
        <f>Database_Asfalt_Aanlegset[[#This Row],[Verbruik '[liter/kWh/kg per uur']]]*G1285</f>
        <v>5.4401603454000004E-2</v>
      </c>
      <c r="H1108" s="45"/>
      <c r="I1108" s="59">
        <v>3.6</v>
      </c>
      <c r="J1108" s="55">
        <f>Database_Asfalt_Aanlegset[[#This Row],[Verbruik '[liter/kWh/kg per uur']]]*J1285</f>
        <v>1.4982300000000002E-5</v>
      </c>
      <c r="K1108" s="55">
        <f>Database_Asfalt_Aanlegset[[#This Row],[Verbruik '[liter/kWh/kg per uur']]]*K1285</f>
        <v>1.3140900000000002E-3</v>
      </c>
      <c r="L1108" s="55">
        <f>Database_Asfalt_Aanlegset[[#This Row],[Verbruik '[liter/kWh/kg per uur']]]*L1285</f>
        <v>0.18832500000000002</v>
      </c>
      <c r="M1108" s="55">
        <f>Database_Asfalt_Aanlegset[[#This Row],[Verbruik '[liter/kWh/kg per uur']]]*M1285</f>
        <v>1.8916200000000003E-8</v>
      </c>
      <c r="N1108" s="55">
        <f>Database_Asfalt_Aanlegset[[#This Row],[Verbruik '[liter/kWh/kg per uur']]]*N1285</f>
        <v>2.4524100000000005E-4</v>
      </c>
      <c r="O1108" s="55">
        <f>Database_Asfalt_Aanlegset[[#This Row],[Verbruik '[liter/kWh/kg per uur']]]*O1285</f>
        <v>1.7995500000000002E-3</v>
      </c>
      <c r="P1108" s="55">
        <f>Database_Asfalt_Aanlegset[[#This Row],[Verbruik '[liter/kWh/kg per uur']]]*P1285</f>
        <v>2.5444800000000005E-4</v>
      </c>
      <c r="Q1108" s="55">
        <f>Database_Asfalt_Aanlegset[[#This Row],[Verbruik '[liter/kWh/kg per uur']]]*Q1285</f>
        <v>0.35572500000000001</v>
      </c>
      <c r="R1108" s="55">
        <f>Database_Asfalt_Aanlegset[[#This Row],[Verbruik '[liter/kWh/kg per uur']]]*R1285</f>
        <v>5.8924800000000012E-3</v>
      </c>
      <c r="S1108" s="55">
        <f>Database_Asfalt_Aanlegset[[#This Row],[Verbruik '[liter/kWh/kg per uur']]]*S1285</f>
        <v>19.334700000000002</v>
      </c>
      <c r="T1108" s="55">
        <f>Database_Asfalt_Aanlegset[[#This Row],[Verbruik '[liter/kWh/kg per uur']]]*T1285</f>
        <v>1.1132100000000001E-2</v>
      </c>
      <c r="U1108" s="55"/>
      <c r="V1108" s="55"/>
      <c r="W1108" s="55"/>
      <c r="X1108" s="55"/>
      <c r="Y1108" s="55"/>
      <c r="Z1108" s="55"/>
      <c r="AA1108" s="55"/>
      <c r="AB1108" s="55"/>
      <c r="AC1108" s="55"/>
      <c r="AD1108" s="55"/>
      <c r="AE1108" s="55"/>
      <c r="AF1108" s="55"/>
      <c r="AG1108" s="55"/>
      <c r="AH1108" s="55"/>
      <c r="AI1108" s="55"/>
      <c r="AJ1108" s="55"/>
      <c r="AK1108" s="55"/>
      <c r="AL1108" s="55"/>
      <c r="AM1108" s="55"/>
      <c r="AN1108" s="55"/>
      <c r="AO1108" s="55"/>
      <c r="AP1108" s="55">
        <f>Database_Asfalt_Aanlegset[[#This Row],[Verbruik '[liter/kWh/kg per uur']]]*AP1285</f>
        <v>7.2819000000000003</v>
      </c>
      <c r="AQ1108" s="55"/>
      <c r="AR1108" s="55"/>
      <c r="AS1108" s="55">
        <f>Database_Asfalt_Aanlegset[[#This Row],[Verbruik '[liter/kWh/kg per uur']]]*AS1285</f>
        <v>2.5695900000000003</v>
      </c>
      <c r="AT1108" s="55"/>
      <c r="AU1108" s="55"/>
      <c r="AV1108" s="55"/>
      <c r="AW1108" s="55">
        <f>Database_Asfalt_Aanlegset[[#This Row],[Verbruik '[liter/kWh/kg per uur']]]*AW1285</f>
        <v>7.2819000000000003</v>
      </c>
      <c r="AX1108" s="55">
        <f>Database_Asfalt_Aanlegset[[#This Row],[Verbruik '[liter/kWh/kg per uur']]]*AX1285</f>
        <v>3.4317000000000004E-5</v>
      </c>
      <c r="AY1108" s="55">
        <f>Database_Asfalt_Aanlegset[[#This Row],[Verbruik '[liter/kWh/kg per uur']]]*AY1285</f>
        <v>6.3695700000000008E-2</v>
      </c>
      <c r="AZ1108" s="55">
        <f>Database_Asfalt_Aanlegset[[#This Row],[Verbruik '[liter/kWh/kg per uur']]]*AZ1285</f>
        <v>7.549740000000001E-6</v>
      </c>
      <c r="BA1108" s="55"/>
      <c r="BB1108" s="55"/>
      <c r="BC1108" s="55"/>
      <c r="BD1108" s="55"/>
      <c r="BE1108" s="55"/>
      <c r="BF1108" s="45" t="s">
        <v>277</v>
      </c>
      <c r="BG1108" s="45" t="s">
        <v>276</v>
      </c>
      <c r="BH1108" s="45">
        <v>2000</v>
      </c>
    </row>
    <row r="1109" spans="1:63" ht="15.5" x14ac:dyDescent="0.45">
      <c r="A1109" s="45" t="s">
        <v>282</v>
      </c>
      <c r="B1109" s="45" t="s">
        <v>93</v>
      </c>
      <c r="C1109" s="41" t="s">
        <v>447</v>
      </c>
      <c r="D1109" s="41" t="s">
        <v>449</v>
      </c>
      <c r="E1109" s="45" t="s">
        <v>65</v>
      </c>
      <c r="F1109" s="45">
        <f t="shared" si="1175"/>
        <v>1.7979999999999998</v>
      </c>
      <c r="G1109" s="57">
        <f>Database_Asfalt_Aanlegset[[#This Row],[Verbruik '[liter/kWh/kg per uur']]]*G1286</f>
        <v>0.14993937517799999</v>
      </c>
      <c r="H1109" s="45"/>
      <c r="I1109" s="59">
        <v>3.6</v>
      </c>
      <c r="J1109" s="55">
        <f>Database_Asfalt_Aanlegset[[#This Row],[Verbruik '[liter/kWh/kg per uur']]]*J1286</f>
        <v>2.53518E-5</v>
      </c>
      <c r="K1109" s="55">
        <f>Database_Asfalt_Aanlegset[[#This Row],[Verbruik '[liter/kWh/kg per uur']]]*K1286</f>
        <v>1.048234E-2</v>
      </c>
      <c r="L1109" s="55">
        <f>Database_Asfalt_Aanlegset[[#This Row],[Verbruik '[liter/kWh/kg per uur']]]*L1286</f>
        <v>1.2460139999999997</v>
      </c>
      <c r="M1109" s="55">
        <f>Database_Asfalt_Aanlegset[[#This Row],[Verbruik '[liter/kWh/kg per uur']]]*M1286</f>
        <v>8.720299999999999E-8</v>
      </c>
      <c r="N1109" s="55">
        <f>Database_Asfalt_Aanlegset[[#This Row],[Verbruik '[liter/kWh/kg per uur']]]*N1286</f>
        <v>4.7107600000000001E-4</v>
      </c>
      <c r="O1109" s="55">
        <f>Database_Asfalt_Aanlegset[[#This Row],[Verbruik '[liter/kWh/kg per uur']]]*O1286</f>
        <v>3.7398399999999995E-3</v>
      </c>
      <c r="P1109" s="55">
        <f>Database_Asfalt_Aanlegset[[#This Row],[Verbruik '[liter/kWh/kg per uur']]]*P1286</f>
        <v>4.4770199999999991E-4</v>
      </c>
      <c r="Q1109" s="55">
        <f>Database_Asfalt_Aanlegset[[#This Row],[Verbruik '[liter/kWh/kg per uur']]]*Q1286</f>
        <v>0.67065399999999997</v>
      </c>
      <c r="R1109" s="55">
        <f>Database_Asfalt_Aanlegset[[#This Row],[Verbruik '[liter/kWh/kg per uur']]]*R1286</f>
        <v>1.0716079999999999E-2</v>
      </c>
      <c r="S1109" s="55">
        <f>Database_Asfalt_Aanlegset[[#This Row],[Verbruik '[liter/kWh/kg per uur']]]*S1286</f>
        <v>39.196399999999997</v>
      </c>
      <c r="T1109" s="55">
        <f>Database_Asfalt_Aanlegset[[#This Row],[Verbruik '[liter/kWh/kg per uur']]]*T1286</f>
        <v>2.3733599999999997E-2</v>
      </c>
      <c r="U1109" s="55"/>
      <c r="V1109" s="55"/>
      <c r="W1109" s="55"/>
      <c r="X1109" s="55"/>
      <c r="Y1109" s="55"/>
      <c r="Z1109" s="55"/>
      <c r="AA1109" s="55"/>
      <c r="AB1109" s="55"/>
      <c r="AC1109" s="55"/>
      <c r="AD1109" s="55"/>
      <c r="AE1109" s="55"/>
      <c r="AF1109" s="55"/>
      <c r="AG1109" s="55"/>
      <c r="AH1109" s="55"/>
      <c r="AI1109" s="55"/>
      <c r="AJ1109" s="55"/>
      <c r="AK1109" s="55"/>
      <c r="AL1109" s="55"/>
      <c r="AM1109" s="55"/>
      <c r="AN1109" s="55"/>
      <c r="AO1109" s="55"/>
      <c r="AP1109" s="55">
        <f>Database_Asfalt_Aanlegset[[#This Row],[Verbruik '[liter/kWh/kg per uur']]]*AP1286</f>
        <v>0.42972199999999994</v>
      </c>
      <c r="AQ1109" s="55"/>
      <c r="AR1109" s="55"/>
      <c r="AS1109" s="55">
        <f>Database_Asfalt_Aanlegset[[#This Row],[Verbruik '[liter/kWh/kg per uur']]]*AS1286</f>
        <v>19.598199999999999</v>
      </c>
      <c r="AT1109" s="55"/>
      <c r="AU1109" s="55"/>
      <c r="AV1109" s="55"/>
      <c r="AW1109" s="55">
        <f>Database_Asfalt_Aanlegset[[#This Row],[Verbruik '[liter/kWh/kg per uur']]]*AW1286</f>
        <v>0.42972199999999994</v>
      </c>
      <c r="AX1109" s="55">
        <f>Database_Asfalt_Aanlegset[[#This Row],[Verbruik '[liter/kWh/kg per uur']]]*AX1286</f>
        <v>5.7895599999999988E-5</v>
      </c>
      <c r="AY1109" s="55">
        <f>Database_Asfalt_Aanlegset[[#This Row],[Verbruik '[liter/kWh/kg per uur']]]*AY1286</f>
        <v>0.10194659999999998</v>
      </c>
      <c r="AZ1109" s="55">
        <f>Database_Asfalt_Aanlegset[[#This Row],[Verbruik '[liter/kWh/kg per uur']]]*AZ1286</f>
        <v>1.6649479999999996E-5</v>
      </c>
      <c r="BA1109" s="55"/>
      <c r="BB1109" s="55"/>
      <c r="BC1109" s="55"/>
      <c r="BD1109" s="55"/>
      <c r="BE1109" s="55"/>
      <c r="BF1109" s="45" t="s">
        <v>277</v>
      </c>
      <c r="BG1109" s="45" t="s">
        <v>276</v>
      </c>
      <c r="BH1109" s="45">
        <v>400</v>
      </c>
    </row>
    <row r="1110" spans="1:63" ht="15.5" x14ac:dyDescent="0.45">
      <c r="A1110" s="45" t="s">
        <v>283</v>
      </c>
      <c r="B1110" s="45" t="s">
        <v>93</v>
      </c>
      <c r="C1110" s="41" t="s">
        <v>447</v>
      </c>
      <c r="D1110" s="41" t="s">
        <v>449</v>
      </c>
      <c r="E1110" s="45" t="s">
        <v>65</v>
      </c>
      <c r="F1110" s="45">
        <f t="shared" si="1175"/>
        <v>0.9920000000000001</v>
      </c>
      <c r="G1110" s="57">
        <f>Database_Asfalt_Aanlegset[[#This Row],[Verbruik '[liter/kWh/kg per uur']]]*G1286</f>
        <v>8.2725172512000011E-2</v>
      </c>
      <c r="H1110" s="45"/>
      <c r="I1110" s="59">
        <v>3.6</v>
      </c>
      <c r="J1110" s="55">
        <f>Database_Asfalt_Aanlegset[[#This Row],[Verbruik '[liter/kWh/kg per uur']]]*J1286</f>
        <v>1.3987200000000002E-5</v>
      </c>
      <c r="K1110" s="55">
        <f>Database_Asfalt_Aanlegset[[#This Row],[Verbruik '[liter/kWh/kg per uur']]]*K1286</f>
        <v>5.7833600000000004E-3</v>
      </c>
      <c r="L1110" s="55">
        <f>Database_Asfalt_Aanlegset[[#This Row],[Verbruik '[liter/kWh/kg per uur']]]*L1286</f>
        <v>0.68745600000000007</v>
      </c>
      <c r="M1110" s="55">
        <f>Database_Asfalt_Aanlegset[[#This Row],[Verbruik '[liter/kWh/kg per uur']]]*M1286</f>
        <v>4.8112000000000001E-8</v>
      </c>
      <c r="N1110" s="55">
        <f>Database_Asfalt_Aanlegset[[#This Row],[Verbruik '[liter/kWh/kg per uur']]]*N1286</f>
        <v>2.5990400000000004E-4</v>
      </c>
      <c r="O1110" s="55">
        <f>Database_Asfalt_Aanlegset[[#This Row],[Verbruik '[liter/kWh/kg per uur']]]*O1286</f>
        <v>2.0633600000000002E-3</v>
      </c>
      <c r="P1110" s="55">
        <f>Database_Asfalt_Aanlegset[[#This Row],[Verbruik '[liter/kWh/kg per uur']]]*P1286</f>
        <v>2.47008E-4</v>
      </c>
      <c r="Q1110" s="55">
        <f>Database_Asfalt_Aanlegset[[#This Row],[Verbruik '[liter/kWh/kg per uur']]]*Q1286</f>
        <v>0.37001600000000001</v>
      </c>
      <c r="R1110" s="55">
        <f>Database_Asfalt_Aanlegset[[#This Row],[Verbruik '[liter/kWh/kg per uur']]]*R1286</f>
        <v>5.9123200000000004E-3</v>
      </c>
      <c r="S1110" s="55">
        <f>Database_Asfalt_Aanlegset[[#This Row],[Verbruik '[liter/kWh/kg per uur']]]*S1286</f>
        <v>21.625600000000002</v>
      </c>
      <c r="T1110" s="55">
        <f>Database_Asfalt_Aanlegset[[#This Row],[Verbruik '[liter/kWh/kg per uur']]]*T1286</f>
        <v>1.3094400000000001E-2</v>
      </c>
      <c r="U1110" s="55"/>
      <c r="V1110" s="55"/>
      <c r="W1110" s="55"/>
      <c r="X1110" s="55"/>
      <c r="Y1110" s="55"/>
      <c r="Z1110" s="55"/>
      <c r="AA1110" s="55"/>
      <c r="AB1110" s="55"/>
      <c r="AC1110" s="55"/>
      <c r="AD1110" s="55"/>
      <c r="AE1110" s="55"/>
      <c r="AF1110" s="55"/>
      <c r="AG1110" s="55"/>
      <c r="AH1110" s="55"/>
      <c r="AI1110" s="55"/>
      <c r="AJ1110" s="55"/>
      <c r="AK1110" s="55"/>
      <c r="AL1110" s="55"/>
      <c r="AM1110" s="55"/>
      <c r="AN1110" s="55"/>
      <c r="AO1110" s="55"/>
      <c r="AP1110" s="55">
        <f>Database_Asfalt_Aanlegset[[#This Row],[Verbruik '[liter/kWh/kg per uur']]]*AP1286</f>
        <v>0.23708800000000002</v>
      </c>
      <c r="AQ1110" s="55"/>
      <c r="AR1110" s="55"/>
      <c r="AS1110" s="55">
        <f>Database_Asfalt_Aanlegset[[#This Row],[Verbruik '[liter/kWh/kg per uur']]]*AS1286</f>
        <v>10.812800000000001</v>
      </c>
      <c r="AT1110" s="55"/>
      <c r="AU1110" s="55"/>
      <c r="AV1110" s="55"/>
      <c r="AW1110" s="55">
        <f>Database_Asfalt_Aanlegset[[#This Row],[Verbruik '[liter/kWh/kg per uur']]]*AW1286</f>
        <v>0.23708800000000002</v>
      </c>
      <c r="AX1110" s="55">
        <f>Database_Asfalt_Aanlegset[[#This Row],[Verbruik '[liter/kWh/kg per uur']]]*AX1286</f>
        <v>3.1942400000000001E-5</v>
      </c>
      <c r="AY1110" s="55">
        <f>Database_Asfalt_Aanlegset[[#This Row],[Verbruik '[liter/kWh/kg per uur']]]*AY1286</f>
        <v>5.6246400000000009E-2</v>
      </c>
      <c r="AZ1110" s="55">
        <f>Database_Asfalt_Aanlegset[[#This Row],[Verbruik '[liter/kWh/kg per uur']]]*AZ1286</f>
        <v>9.185920000000001E-6</v>
      </c>
      <c r="BA1110" s="55"/>
      <c r="BB1110" s="55"/>
      <c r="BC1110" s="55"/>
      <c r="BD1110" s="55"/>
      <c r="BE1110" s="55"/>
      <c r="BF1110" s="45" t="s">
        <v>277</v>
      </c>
      <c r="BG1110" s="45" t="s">
        <v>276</v>
      </c>
      <c r="BH1110" s="45">
        <v>1000</v>
      </c>
    </row>
    <row r="1111" spans="1:63" ht="15.5" x14ac:dyDescent="0.45">
      <c r="A1111" s="45" t="s">
        <v>284</v>
      </c>
      <c r="B1111" s="45" t="s">
        <v>93</v>
      </c>
      <c r="C1111" s="41" t="s">
        <v>447</v>
      </c>
      <c r="D1111" s="41" t="s">
        <v>449</v>
      </c>
      <c r="E1111" s="45" t="s">
        <v>65</v>
      </c>
      <c r="F1111" s="45">
        <f t="shared" si="1175"/>
        <v>0.83700000000000008</v>
      </c>
      <c r="G1111" s="57">
        <f>Database_Asfalt_Aanlegset[[#This Row],[Verbruik '[liter/kWh/kg per uur']]]*G1286</f>
        <v>6.9799364306999997E-2</v>
      </c>
      <c r="H1111" s="45"/>
      <c r="I1111" s="59">
        <v>3.6</v>
      </c>
      <c r="J1111" s="55">
        <f>Database_Asfalt_Aanlegset[[#This Row],[Verbruik '[liter/kWh/kg per uur']]]*J1286</f>
        <v>1.1801700000000001E-5</v>
      </c>
      <c r="K1111" s="55">
        <f>Database_Asfalt_Aanlegset[[#This Row],[Verbruik '[liter/kWh/kg per uur']]]*K1286</f>
        <v>4.8797100000000006E-3</v>
      </c>
      <c r="L1111" s="55">
        <f>Database_Asfalt_Aanlegset[[#This Row],[Verbruik '[liter/kWh/kg per uur']]]*L1286</f>
        <v>0.58004100000000003</v>
      </c>
      <c r="M1111" s="55">
        <f>Database_Asfalt_Aanlegset[[#This Row],[Verbruik '[liter/kWh/kg per uur']]]*M1286</f>
        <v>4.05945E-8</v>
      </c>
      <c r="N1111" s="55">
        <f>Database_Asfalt_Aanlegset[[#This Row],[Verbruik '[liter/kWh/kg per uur']]]*N1286</f>
        <v>2.1929400000000003E-4</v>
      </c>
      <c r="O1111" s="55">
        <f>Database_Asfalt_Aanlegset[[#This Row],[Verbruik '[liter/kWh/kg per uur']]]*O1286</f>
        <v>1.7409599999999999E-3</v>
      </c>
      <c r="P1111" s="55">
        <f>Database_Asfalt_Aanlegset[[#This Row],[Verbruik '[liter/kWh/kg per uur']]]*P1286</f>
        <v>2.0841300000000001E-4</v>
      </c>
      <c r="Q1111" s="55">
        <f>Database_Asfalt_Aanlegset[[#This Row],[Verbruik '[liter/kWh/kg per uur']]]*Q1286</f>
        <v>0.31220100000000001</v>
      </c>
      <c r="R1111" s="55">
        <f>Database_Asfalt_Aanlegset[[#This Row],[Verbruik '[liter/kWh/kg per uur']]]*R1286</f>
        <v>4.9885200000000006E-3</v>
      </c>
      <c r="S1111" s="55">
        <f>Database_Asfalt_Aanlegset[[#This Row],[Verbruik '[liter/kWh/kg per uur']]]*S1286</f>
        <v>18.246600000000001</v>
      </c>
      <c r="T1111" s="55">
        <f>Database_Asfalt_Aanlegset[[#This Row],[Verbruik '[liter/kWh/kg per uur']]]*T1286</f>
        <v>1.1048400000000002E-2</v>
      </c>
      <c r="U1111" s="55"/>
      <c r="V1111" s="55"/>
      <c r="W1111" s="55"/>
      <c r="X1111" s="55"/>
      <c r="Y1111" s="55"/>
      <c r="Z1111" s="55"/>
      <c r="AA1111" s="55"/>
      <c r="AB1111" s="55"/>
      <c r="AC1111" s="55"/>
      <c r="AD1111" s="55"/>
      <c r="AE1111" s="55"/>
      <c r="AF1111" s="55"/>
      <c r="AG1111" s="55"/>
      <c r="AH1111" s="55"/>
      <c r="AI1111" s="55"/>
      <c r="AJ1111" s="55"/>
      <c r="AK1111" s="55"/>
      <c r="AL1111" s="55"/>
      <c r="AM1111" s="55"/>
      <c r="AN1111" s="55"/>
      <c r="AO1111" s="55"/>
      <c r="AP1111" s="55">
        <f>Database_Asfalt_Aanlegset[[#This Row],[Verbruik '[liter/kWh/kg per uur']]]*AP1286</f>
        <v>0.200043</v>
      </c>
      <c r="AQ1111" s="55"/>
      <c r="AR1111" s="55"/>
      <c r="AS1111" s="55">
        <f>Database_Asfalt_Aanlegset[[#This Row],[Verbruik '[liter/kWh/kg per uur']]]*AS1286</f>
        <v>9.1233000000000004</v>
      </c>
      <c r="AT1111" s="55"/>
      <c r="AU1111" s="55"/>
      <c r="AV1111" s="55"/>
      <c r="AW1111" s="55">
        <f>Database_Asfalt_Aanlegset[[#This Row],[Verbruik '[liter/kWh/kg per uur']]]*AW1286</f>
        <v>0.200043</v>
      </c>
      <c r="AX1111" s="55">
        <f>Database_Asfalt_Aanlegset[[#This Row],[Verbruik '[liter/kWh/kg per uur']]]*AX1286</f>
        <v>2.6951400000000001E-5</v>
      </c>
      <c r="AY1111" s="55">
        <f>Database_Asfalt_Aanlegset[[#This Row],[Verbruik '[liter/kWh/kg per uur']]]*AY1286</f>
        <v>4.7457900000000004E-2</v>
      </c>
      <c r="AZ1111" s="55">
        <f>Database_Asfalt_Aanlegset[[#This Row],[Verbruik '[liter/kWh/kg per uur']]]*AZ1286</f>
        <v>7.7506199999999997E-6</v>
      </c>
      <c r="BA1111" s="55"/>
      <c r="BB1111" s="55"/>
      <c r="BC1111" s="55"/>
      <c r="BD1111" s="55"/>
      <c r="BE1111" s="55"/>
      <c r="BF1111" s="45" t="s">
        <v>277</v>
      </c>
      <c r="BG1111" s="45" t="s">
        <v>276</v>
      </c>
      <c r="BH1111" s="45">
        <v>2000</v>
      </c>
    </row>
    <row r="1112" spans="1:63" ht="15.5" x14ac:dyDescent="0.45">
      <c r="A1112" s="45"/>
      <c r="B1112" s="45"/>
      <c r="C1112" s="45"/>
      <c r="D1112" s="45"/>
      <c r="E1112" s="57"/>
      <c r="F1112" s="45"/>
      <c r="G1112" s="59"/>
      <c r="H1112" s="45"/>
      <c r="I1112" s="45"/>
      <c r="J1112" s="45"/>
      <c r="K1112" s="45"/>
      <c r="L1112" s="45"/>
      <c r="M1112" s="45"/>
      <c r="N1112" s="45"/>
      <c r="O1112" s="45"/>
      <c r="P1112" s="45"/>
      <c r="Q1112" s="45"/>
      <c r="R1112" s="45"/>
      <c r="S1112" s="45"/>
      <c r="T1112" s="45"/>
      <c r="U1112" s="45"/>
      <c r="V1112" s="45"/>
      <c r="W1112" s="45"/>
      <c r="X1112" s="45"/>
      <c r="Y1112" s="45"/>
      <c r="Z1112" s="45"/>
      <c r="AA1112" s="45"/>
    </row>
    <row r="1113" spans="1:63" ht="15.5" x14ac:dyDescent="0.45">
      <c r="A1113" s="45"/>
      <c r="B1113" s="45"/>
      <c r="C1113" s="45"/>
      <c r="D1113" s="45"/>
      <c r="E1113" s="57"/>
      <c r="F1113" s="45"/>
      <c r="G1113" s="59"/>
      <c r="H1113" s="45"/>
      <c r="I1113" s="45"/>
      <c r="J1113" s="45"/>
      <c r="K1113" s="45"/>
      <c r="L1113" s="45"/>
      <c r="M1113" s="45"/>
      <c r="N1113" s="45"/>
      <c r="O1113" s="45"/>
      <c r="P1113" s="45"/>
      <c r="Q1113" s="45"/>
      <c r="R1113" s="45"/>
      <c r="S1113" s="45"/>
      <c r="T1113" s="45"/>
      <c r="U1113" s="45"/>
      <c r="V1113" s="45"/>
      <c r="W1113" s="45"/>
      <c r="X1113" s="45"/>
      <c r="Y1113" s="45"/>
      <c r="Z1113" s="45"/>
      <c r="AA1113" s="45"/>
    </row>
    <row r="1114" spans="1:63" ht="16.5" x14ac:dyDescent="0.45">
      <c r="A1114" s="45"/>
      <c r="B1114" s="45"/>
      <c r="C1114" s="45"/>
      <c r="D1114" s="45"/>
      <c r="E1114" s="57"/>
      <c r="F1114" s="45"/>
      <c r="G1114" s="59"/>
      <c r="H1114" s="45"/>
      <c r="I1114" s="45"/>
      <c r="J1114" s="221"/>
      <c r="K1114" s="220"/>
      <c r="L1114" s="221"/>
      <c r="M1114" s="220"/>
      <c r="N1114" s="221"/>
      <c r="O1114" s="221"/>
      <c r="P1114" s="220"/>
      <c r="Q1114" s="220"/>
      <c r="R1114" s="221"/>
      <c r="S1114" s="220"/>
      <c r="T1114" s="221"/>
      <c r="U1114" s="221"/>
      <c r="V1114" s="221"/>
      <c r="W1114" s="220"/>
      <c r="X1114" s="221"/>
      <c r="Y1114" s="221"/>
      <c r="Z1114" s="220"/>
      <c r="AA1114" s="221"/>
      <c r="AB1114" s="221"/>
      <c r="AC1114" s="220"/>
      <c r="AD1114" s="220"/>
      <c r="AE1114" s="221"/>
      <c r="AF1114" s="221"/>
      <c r="AG1114" s="221"/>
      <c r="AH1114" s="221"/>
      <c r="AI1114" s="221"/>
      <c r="AJ1114" s="221"/>
      <c r="AK1114" s="221"/>
      <c r="AL1114" s="221"/>
      <c r="AM1114" s="221"/>
      <c r="AN1114" s="221"/>
      <c r="AO1114" s="221"/>
      <c r="AP1114" s="220"/>
      <c r="AQ1114" s="221"/>
      <c r="AR1114" s="220"/>
      <c r="AS1114" s="221"/>
      <c r="AT1114" s="221"/>
      <c r="AU1114" s="221"/>
      <c r="AV1114" s="221"/>
      <c r="AW1114" s="221"/>
      <c r="AX1114" s="221"/>
      <c r="AY1114" s="221"/>
      <c r="AZ1114" s="221"/>
      <c r="BA1114" s="221"/>
      <c r="BB1114" s="221"/>
      <c r="BC1114" s="221"/>
      <c r="BD1114" s="221"/>
      <c r="BE1114" s="221"/>
      <c r="BF1114" s="240"/>
      <c r="BG1114" s="240"/>
      <c r="BH1114" s="240"/>
    </row>
    <row r="1115" spans="1:63" ht="15.5" x14ac:dyDescent="0.35">
      <c r="A1115" s="41" t="s">
        <v>117</v>
      </c>
      <c r="J1115" s="234"/>
      <c r="K1115" s="235"/>
      <c r="L1115" s="235"/>
      <c r="M1115" s="235"/>
      <c r="N1115" s="236"/>
      <c r="O1115" s="235"/>
      <c r="P1115" s="235"/>
      <c r="Q1115" s="235"/>
      <c r="R1115" s="235"/>
      <c r="S1115" s="235"/>
      <c r="T1115" s="235"/>
      <c r="U1115" s="235"/>
      <c r="V1115" s="235"/>
      <c r="W1115" s="235"/>
      <c r="X1115" s="236"/>
      <c r="Y1115" s="236"/>
      <c r="Z1115" s="235"/>
      <c r="AA1115" s="235"/>
      <c r="AB1115" s="236"/>
      <c r="AC1115" s="235"/>
      <c r="AD1115" s="235"/>
      <c r="AE1115" s="236"/>
      <c r="AF1115" s="236"/>
      <c r="AG1115" s="236"/>
      <c r="AH1115" s="236"/>
      <c r="AI1115" s="236"/>
      <c r="AJ1115" s="236"/>
      <c r="AK1115" s="236"/>
      <c r="AL1115" s="236"/>
      <c r="AM1115" s="236"/>
      <c r="AN1115" s="236"/>
      <c r="AO1115" s="235"/>
      <c r="AP1115" s="235"/>
      <c r="AQ1115" s="235"/>
      <c r="AR1115" s="235"/>
      <c r="AS1115" s="236"/>
      <c r="AT1115" s="236"/>
      <c r="AU1115" s="236"/>
      <c r="AV1115" s="236"/>
      <c r="AW1115" s="236"/>
      <c r="AX1115" s="236"/>
      <c r="AY1115" s="236"/>
      <c r="AZ1115" s="236"/>
      <c r="BA1115" s="236"/>
      <c r="BB1115" s="236"/>
      <c r="BC1115" s="236"/>
      <c r="BD1115" s="236"/>
      <c r="BE1115" s="237"/>
    </row>
    <row r="1116" spans="1:63" ht="16" thickBot="1" x14ac:dyDescent="0.4">
      <c r="A1116" s="41" t="s">
        <v>56</v>
      </c>
      <c r="B1116" s="41" t="s">
        <v>57</v>
      </c>
      <c r="C1116" s="41" t="s">
        <v>5</v>
      </c>
      <c r="D1116" s="41" t="s">
        <v>442</v>
      </c>
      <c r="E1116" s="41" t="s">
        <v>58</v>
      </c>
      <c r="F1116" s="41" t="s">
        <v>275</v>
      </c>
      <c r="G1116" s="41" t="s">
        <v>7</v>
      </c>
      <c r="H1116" s="41" t="s">
        <v>60</v>
      </c>
      <c r="I1116" s="41" t="s">
        <v>204</v>
      </c>
      <c r="J1116" s="234" t="s">
        <v>627</v>
      </c>
      <c r="K1116" s="235" t="s">
        <v>628</v>
      </c>
      <c r="L1116" s="235" t="s">
        <v>629</v>
      </c>
      <c r="M1116" s="235" t="s">
        <v>630</v>
      </c>
      <c r="N1116" s="236" t="s">
        <v>631</v>
      </c>
      <c r="O1116" s="235" t="s">
        <v>632</v>
      </c>
      <c r="P1116" s="235" t="s">
        <v>633</v>
      </c>
      <c r="Q1116" s="235" t="s">
        <v>634</v>
      </c>
      <c r="R1116" s="235" t="s">
        <v>635</v>
      </c>
      <c r="S1116" s="235" t="s">
        <v>636</v>
      </c>
      <c r="T1116" s="235" t="s">
        <v>637</v>
      </c>
      <c r="U1116" s="235" t="s">
        <v>638</v>
      </c>
      <c r="V1116" s="235" t="s">
        <v>639</v>
      </c>
      <c r="W1116" s="235" t="s">
        <v>640</v>
      </c>
      <c r="X1116" s="236" t="s">
        <v>641</v>
      </c>
      <c r="Y1116" s="236" t="s">
        <v>642</v>
      </c>
      <c r="Z1116" s="235" t="s">
        <v>643</v>
      </c>
      <c r="AA1116" s="235" t="s">
        <v>644</v>
      </c>
      <c r="AB1116" s="236" t="s">
        <v>645</v>
      </c>
      <c r="AC1116" s="235" t="s">
        <v>646</v>
      </c>
      <c r="AD1116" s="235" t="s">
        <v>647</v>
      </c>
      <c r="AE1116" s="236" t="s">
        <v>648</v>
      </c>
      <c r="AF1116" s="236" t="s">
        <v>649</v>
      </c>
      <c r="AG1116" s="236" t="s">
        <v>650</v>
      </c>
      <c r="AH1116" s="236" t="s">
        <v>651</v>
      </c>
      <c r="AI1116" s="236" t="s">
        <v>652</v>
      </c>
      <c r="AJ1116" s="236" t="s">
        <v>653</v>
      </c>
      <c r="AK1116" s="236" t="s">
        <v>654</v>
      </c>
      <c r="AL1116" s="236" t="s">
        <v>655</v>
      </c>
      <c r="AM1116" s="236" t="s">
        <v>656</v>
      </c>
      <c r="AN1116" s="236" t="s">
        <v>657</v>
      </c>
      <c r="AO1116" s="235" t="s">
        <v>658</v>
      </c>
      <c r="AP1116" s="235" t="s">
        <v>659</v>
      </c>
      <c r="AQ1116" s="235" t="s">
        <v>660</v>
      </c>
      <c r="AR1116" s="235" t="s">
        <v>661</v>
      </c>
      <c r="AS1116" s="236" t="s">
        <v>662</v>
      </c>
      <c r="AT1116" s="236" t="s">
        <v>663</v>
      </c>
      <c r="AU1116" s="236" t="s">
        <v>664</v>
      </c>
      <c r="AV1116" s="236" t="s">
        <v>665</v>
      </c>
      <c r="AW1116" s="236" t="s">
        <v>666</v>
      </c>
      <c r="AX1116" s="236" t="s">
        <v>667</v>
      </c>
      <c r="AY1116" s="236" t="s">
        <v>668</v>
      </c>
      <c r="AZ1116" s="236" t="s">
        <v>669</v>
      </c>
      <c r="BA1116" s="236" t="s">
        <v>670</v>
      </c>
      <c r="BB1116" s="236" t="s">
        <v>671</v>
      </c>
      <c r="BC1116" s="236" t="s">
        <v>672</v>
      </c>
      <c r="BD1116" s="236" t="s">
        <v>673</v>
      </c>
      <c r="BE1116" s="237" t="s">
        <v>674</v>
      </c>
      <c r="BF1116" s="41" t="s">
        <v>59</v>
      </c>
      <c r="BG1116" s="41" t="s">
        <v>61</v>
      </c>
      <c r="BH1116" s="148" t="s">
        <v>274</v>
      </c>
      <c r="BJ1116" s="41" t="s">
        <v>96</v>
      </c>
    </row>
    <row r="1117" spans="1:63" ht="15" thickTop="1" x14ac:dyDescent="0.35">
      <c r="A1117" s="100" t="s">
        <v>318</v>
      </c>
      <c r="B1117" s="101" t="s">
        <v>93</v>
      </c>
      <c r="E1117" s="101" t="s">
        <v>65</v>
      </c>
      <c r="F1117" s="101">
        <v>0</v>
      </c>
      <c r="G1117" s="103" t="s">
        <v>319</v>
      </c>
      <c r="H1117" s="101">
        <v>0</v>
      </c>
      <c r="I1117" s="101">
        <v>0</v>
      </c>
      <c r="J1117" s="101">
        <v>0</v>
      </c>
      <c r="K1117" s="101">
        <v>0</v>
      </c>
      <c r="L1117" s="101">
        <v>0</v>
      </c>
      <c r="M1117" s="101">
        <v>0</v>
      </c>
      <c r="N1117" s="101">
        <v>0</v>
      </c>
      <c r="O1117" s="101">
        <v>0</v>
      </c>
      <c r="P1117" s="101">
        <v>0</v>
      </c>
      <c r="Q1117" s="101">
        <v>0</v>
      </c>
      <c r="R1117" s="101">
        <v>0</v>
      </c>
      <c r="S1117" s="101">
        <v>0</v>
      </c>
      <c r="T1117" s="101">
        <v>0</v>
      </c>
      <c r="U1117" s="101"/>
      <c r="V1117" s="101"/>
      <c r="W1117" s="101"/>
      <c r="X1117" s="101"/>
      <c r="Y1117" s="101"/>
      <c r="Z1117" s="101"/>
      <c r="AA1117" s="101"/>
      <c r="AB1117" s="101"/>
      <c r="AC1117" s="101"/>
      <c r="AD1117" s="101"/>
      <c r="AE1117" s="101"/>
      <c r="AF1117" s="101"/>
      <c r="AG1117" s="101"/>
      <c r="AH1117" s="101"/>
      <c r="AI1117" s="101"/>
      <c r="AJ1117" s="101"/>
      <c r="AK1117" s="101"/>
      <c r="AL1117" s="101"/>
      <c r="AM1117" s="101"/>
      <c r="AN1117" s="101"/>
      <c r="AO1117" s="101"/>
      <c r="AP1117" s="101">
        <v>0</v>
      </c>
      <c r="AQ1117" s="101"/>
      <c r="AR1117" s="101"/>
      <c r="AS1117" s="101">
        <v>0</v>
      </c>
      <c r="AT1117" s="101"/>
      <c r="AU1117" s="101"/>
      <c r="AV1117" s="101"/>
      <c r="AW1117" s="101">
        <v>0</v>
      </c>
      <c r="AX1117" s="101">
        <v>0</v>
      </c>
      <c r="AY1117" s="101">
        <v>0</v>
      </c>
      <c r="AZ1117" s="101">
        <v>0</v>
      </c>
      <c r="BA1117" s="101"/>
      <c r="BB1117" s="101"/>
      <c r="BC1117" s="101"/>
      <c r="BD1117" s="101"/>
      <c r="BE1117" s="101"/>
      <c r="BF1117" s="101"/>
      <c r="BG1117" s="104"/>
      <c r="BH1117" s="102"/>
      <c r="BI1117" s="102"/>
      <c r="BJ1117" s="102"/>
      <c r="BK1117" s="102"/>
    </row>
    <row r="1118" spans="1:63" ht="15.5" x14ac:dyDescent="0.45">
      <c r="A1118" s="41" t="s">
        <v>114</v>
      </c>
      <c r="B1118" s="41" t="s">
        <v>93</v>
      </c>
      <c r="C1118" s="41" t="s">
        <v>447</v>
      </c>
      <c r="D1118" s="41" t="s">
        <v>450</v>
      </c>
      <c r="E1118" s="41" t="s">
        <v>65</v>
      </c>
      <c r="F1118" s="41">
        <v>0.33</v>
      </c>
      <c r="G1118" s="56">
        <v>0.13541602817878401</v>
      </c>
      <c r="H1118" s="41">
        <v>0.84</v>
      </c>
      <c r="I1118" s="46">
        <v>35.9</v>
      </c>
      <c r="J1118" s="41">
        <v>1.6635524E-6</v>
      </c>
      <c r="K1118" s="41">
        <v>7.0767184999999998E-3</v>
      </c>
      <c r="L1118" s="41">
        <v>1.4392149000000001</v>
      </c>
      <c r="M1118" s="41">
        <v>1.8598176000000001E-7</v>
      </c>
      <c r="N1118" s="41">
        <v>4.7349882999999998E-4</v>
      </c>
      <c r="O1118" s="41">
        <v>4.1086088999999996E-3</v>
      </c>
      <c r="P1118" s="41">
        <v>8.8311374000000001E-4</v>
      </c>
      <c r="Q1118" s="41">
        <v>0.38738646999999998</v>
      </c>
      <c r="R1118" s="41">
        <v>5.5203761999999997E-3</v>
      </c>
      <c r="S1118" s="41">
        <v>19.180873999999999</v>
      </c>
      <c r="T1118" s="41">
        <v>6.5374485999999997E-4</v>
      </c>
      <c r="AP1118" s="41">
        <v>8.2071100999999994E-2</v>
      </c>
      <c r="AS1118" s="41">
        <v>15.856652</v>
      </c>
      <c r="AW1118" s="41">
        <v>7.7185668999999997E-4</v>
      </c>
      <c r="AX1118" s="41">
        <v>4.0662309999999999E-5</v>
      </c>
      <c r="AY1118" s="41">
        <v>1.7667955999999999E-2</v>
      </c>
      <c r="AZ1118" s="41">
        <v>1.0377434E-4</v>
      </c>
      <c r="BF1118" s="41" t="s">
        <v>103</v>
      </c>
      <c r="BH1118" s="149">
        <v>400</v>
      </c>
    </row>
    <row r="1119" spans="1:63" ht="15.5" x14ac:dyDescent="0.45">
      <c r="A1119" s="41" t="s">
        <v>110</v>
      </c>
      <c r="B1119" s="41" t="s">
        <v>93</v>
      </c>
      <c r="C1119" s="41" t="s">
        <v>447</v>
      </c>
      <c r="D1119" s="41" t="s">
        <v>450</v>
      </c>
      <c r="E1119" s="41" t="s">
        <v>65</v>
      </c>
      <c r="F1119" s="41">
        <v>0.77</v>
      </c>
      <c r="G1119" s="56">
        <v>0.31586755438505204</v>
      </c>
      <c r="H1119" s="41">
        <v>0.84</v>
      </c>
      <c r="I1119" s="46">
        <v>35.9</v>
      </c>
      <c r="J1119" s="41">
        <v>3.8816222000000003E-6</v>
      </c>
      <c r="K1119" s="41">
        <v>1.6512342999999999E-2</v>
      </c>
      <c r="L1119" s="41">
        <v>3.3581680999999999</v>
      </c>
      <c r="M1119" s="41">
        <v>4.3395745000000002E-7</v>
      </c>
      <c r="N1119" s="41">
        <v>1.1037773999999999E-3</v>
      </c>
      <c r="O1119" s="41">
        <v>9.5713375000000007E-3</v>
      </c>
      <c r="P1119" s="41">
        <v>2.0565904000000002E-3</v>
      </c>
      <c r="Q1119" s="41">
        <v>0.90386476000000004</v>
      </c>
      <c r="R1119" s="41">
        <v>1.2880878E-2</v>
      </c>
      <c r="S1119" s="41">
        <v>44.755372999999999</v>
      </c>
      <c r="T1119" s="41">
        <v>1.5254047E-3</v>
      </c>
      <c r="AP1119" s="41">
        <v>0.19149922999999999</v>
      </c>
      <c r="AS1119" s="41">
        <v>36.998856000000004</v>
      </c>
      <c r="AW1119" s="41">
        <v>1.8009988999999999E-3</v>
      </c>
      <c r="AX1119" s="41">
        <v>9.4878723000000006E-5</v>
      </c>
      <c r="AY1119" s="41">
        <v>4.1225230000000002E-2</v>
      </c>
      <c r="AZ1119" s="41">
        <v>2.4214011999999999E-4</v>
      </c>
      <c r="BF1119" s="41" t="s">
        <v>104</v>
      </c>
      <c r="BH1119" s="150">
        <v>1000</v>
      </c>
    </row>
    <row r="1120" spans="1:63" ht="15.5" x14ac:dyDescent="0.45">
      <c r="A1120" s="41" t="s">
        <v>111</v>
      </c>
      <c r="B1120" s="41" t="s">
        <v>93</v>
      </c>
      <c r="C1120" s="41" t="s">
        <v>447</v>
      </c>
      <c r="D1120" s="41" t="s">
        <v>450</v>
      </c>
      <c r="E1120" s="41" t="s">
        <v>65</v>
      </c>
      <c r="F1120" s="41">
        <v>0.43</v>
      </c>
      <c r="G1120" s="56">
        <v>0.176272969400772</v>
      </c>
      <c r="H1120" s="41">
        <v>0.84</v>
      </c>
      <c r="I1120" s="46">
        <v>35.9</v>
      </c>
      <c r="J1120" s="41">
        <v>2.1676591999999998E-6</v>
      </c>
      <c r="K1120" s="41">
        <v>9.2211787000000007E-3</v>
      </c>
      <c r="L1120" s="41">
        <v>1.8753405999999999</v>
      </c>
      <c r="M1120" s="41">
        <v>2.4233986999999999E-7</v>
      </c>
      <c r="N1120" s="41">
        <v>6.1516415000000002E-4</v>
      </c>
      <c r="O1120" s="41">
        <v>5.3270130999999998E-3</v>
      </c>
      <c r="P1120" s="41">
        <v>1.1438004999999999E-3</v>
      </c>
      <c r="Q1120" s="41">
        <v>0.50471239000000001</v>
      </c>
      <c r="R1120" s="41">
        <v>7.1932174999999998E-3</v>
      </c>
      <c r="S1120" s="41">
        <v>24.993259999999999</v>
      </c>
      <c r="T1120" s="41">
        <v>8.5184937000000005E-4</v>
      </c>
      <c r="AP1120" s="41">
        <v>0.10694113</v>
      </c>
      <c r="AS1120" s="41">
        <v>20.661698999999999</v>
      </c>
      <c r="AW1120" s="41">
        <v>1.0057527E-3</v>
      </c>
      <c r="AX1120" s="41">
        <v>5.2984222E-5</v>
      </c>
      <c r="AY1120" s="41">
        <v>2.3021882E-2</v>
      </c>
      <c r="AZ1120" s="41">
        <v>1.3522111000000001E-4</v>
      </c>
      <c r="BF1120" s="41" t="s">
        <v>105</v>
      </c>
      <c r="BH1120" s="149">
        <v>2000</v>
      </c>
    </row>
    <row r="1121" spans="1:60" ht="15.5" x14ac:dyDescent="0.45">
      <c r="A1121" s="41" t="s">
        <v>115</v>
      </c>
      <c r="B1121" s="41" t="s">
        <v>93</v>
      </c>
      <c r="C1121" s="41" t="s">
        <v>447</v>
      </c>
      <c r="D1121" s="41" t="s">
        <v>450</v>
      </c>
      <c r="E1121" s="41" t="s">
        <v>65</v>
      </c>
      <c r="F1121" s="41">
        <v>0.33</v>
      </c>
      <c r="G1121" s="56">
        <v>0.12767761744838399</v>
      </c>
      <c r="H1121" s="41">
        <v>0.84</v>
      </c>
      <c r="I1121" s="46">
        <v>35.9</v>
      </c>
      <c r="J1121" s="41">
        <v>1.6635524E-6</v>
      </c>
      <c r="K1121" s="41">
        <v>7.0767186000000003E-3</v>
      </c>
      <c r="L1121" s="41">
        <v>1.4392149000000001</v>
      </c>
      <c r="M1121" s="41">
        <v>1.8598176000000001E-7</v>
      </c>
      <c r="N1121" s="41">
        <v>3.9450835999999998E-4</v>
      </c>
      <c r="O1121" s="41">
        <v>2.9523588999999999E-3</v>
      </c>
      <c r="P1121" s="41">
        <v>5.8248874999999997E-4</v>
      </c>
      <c r="Q1121" s="41">
        <v>0.38461086</v>
      </c>
      <c r="R1121" s="41">
        <v>5.5203763000000001E-3</v>
      </c>
      <c r="S1121" s="41">
        <v>19.180873999999999</v>
      </c>
      <c r="T1121" s="41">
        <v>6.5374487000000004E-4</v>
      </c>
      <c r="AP1121" s="41">
        <v>8.2071100999999994E-2</v>
      </c>
      <c r="AS1121" s="41">
        <v>15.856653</v>
      </c>
      <c r="AW1121" s="41">
        <v>7.7185670000000004E-4</v>
      </c>
      <c r="AX1121" s="41">
        <v>4.0662309999999999E-5</v>
      </c>
      <c r="AY1121" s="41">
        <v>1.7667955999999999E-2</v>
      </c>
      <c r="AZ1121" s="41">
        <v>1.0377434E-4</v>
      </c>
      <c r="BF1121" s="41" t="s">
        <v>106</v>
      </c>
      <c r="BH1121" s="150">
        <v>400</v>
      </c>
    </row>
    <row r="1122" spans="1:60" ht="15.5" x14ac:dyDescent="0.45">
      <c r="A1122" s="41" t="s">
        <v>112</v>
      </c>
      <c r="B1122" s="41" t="s">
        <v>93</v>
      </c>
      <c r="C1122" s="41" t="s">
        <v>447</v>
      </c>
      <c r="D1122" s="41" t="s">
        <v>450</v>
      </c>
      <c r="E1122" s="41" t="s">
        <v>65</v>
      </c>
      <c r="F1122" s="41">
        <v>0.77</v>
      </c>
      <c r="G1122" s="56">
        <v>0.29791444092505204</v>
      </c>
      <c r="H1122" s="41">
        <v>0.84</v>
      </c>
      <c r="I1122" s="46">
        <v>35.9</v>
      </c>
      <c r="J1122" s="41">
        <v>3.8816222000000003E-6</v>
      </c>
      <c r="K1122" s="41">
        <v>1.6512342999999999E-2</v>
      </c>
      <c r="L1122" s="41">
        <v>3.3581680999999999</v>
      </c>
      <c r="M1122" s="41">
        <v>4.3395745000000002E-7</v>
      </c>
      <c r="N1122" s="41">
        <v>9.2051952000000005E-4</v>
      </c>
      <c r="O1122" s="41">
        <v>6.8888374999999998E-3</v>
      </c>
      <c r="P1122" s="41">
        <v>1.3591403999999999E-3</v>
      </c>
      <c r="Q1122" s="41">
        <v>0.89742533999999996</v>
      </c>
      <c r="R1122" s="41">
        <v>1.2880878E-2</v>
      </c>
      <c r="S1122" s="41">
        <v>44.755374000000003</v>
      </c>
      <c r="T1122" s="41">
        <v>1.5254047E-3</v>
      </c>
      <c r="AP1122" s="41">
        <v>0.19149923999999999</v>
      </c>
      <c r="AS1122" s="41">
        <v>36.998856000000004</v>
      </c>
      <c r="AW1122" s="41">
        <v>1.800999E-3</v>
      </c>
      <c r="AX1122" s="41">
        <v>9.4878724000000002E-5</v>
      </c>
      <c r="AY1122" s="41">
        <v>4.1225230000000002E-2</v>
      </c>
      <c r="AZ1122" s="41">
        <v>2.4214011999999999E-4</v>
      </c>
      <c r="BF1122" s="41" t="s">
        <v>107</v>
      </c>
      <c r="BH1122" s="149">
        <v>1000</v>
      </c>
    </row>
    <row r="1123" spans="1:60" ht="15.5" x14ac:dyDescent="0.45">
      <c r="A1123" s="41" t="s">
        <v>113</v>
      </c>
      <c r="B1123" s="41" t="s">
        <v>93</v>
      </c>
      <c r="C1123" s="41" t="s">
        <v>447</v>
      </c>
      <c r="D1123" s="41" t="s">
        <v>450</v>
      </c>
      <c r="E1123" s="41" t="s">
        <v>65</v>
      </c>
      <c r="F1123" s="41">
        <v>0.43</v>
      </c>
      <c r="G1123" s="56">
        <v>0.16636780362767201</v>
      </c>
      <c r="H1123" s="41">
        <v>0.84</v>
      </c>
      <c r="I1123" s="46">
        <v>35.9</v>
      </c>
      <c r="J1123" s="41">
        <v>2.1676591999999998E-6</v>
      </c>
      <c r="K1123" s="41">
        <v>9.2211788000000003E-3</v>
      </c>
      <c r="L1123" s="41">
        <v>1.8753405999999999</v>
      </c>
      <c r="M1123" s="41">
        <v>2.4233988000000003E-7</v>
      </c>
      <c r="N1123" s="41">
        <v>5.1405635000000005E-4</v>
      </c>
      <c r="O1123" s="41">
        <v>3.8470130999999999E-3</v>
      </c>
      <c r="P1123" s="41">
        <v>7.5900049000000001E-4</v>
      </c>
      <c r="Q1123" s="41">
        <v>0.50115960999999998</v>
      </c>
      <c r="R1123" s="41">
        <v>7.1932174999999998E-3</v>
      </c>
      <c r="S1123" s="41">
        <v>24.993261</v>
      </c>
      <c r="T1123" s="41">
        <v>8.5184938000000001E-4</v>
      </c>
      <c r="AP1123" s="41">
        <v>0.10694113</v>
      </c>
      <c r="AS1123" s="41">
        <v>20.661698999999999</v>
      </c>
      <c r="AW1123" s="41">
        <v>1.0057527E-3</v>
      </c>
      <c r="AX1123" s="41">
        <v>5.2984222E-5</v>
      </c>
      <c r="AY1123" s="41">
        <v>2.3021882E-2</v>
      </c>
      <c r="AZ1123" s="41">
        <v>1.3522111000000001E-4</v>
      </c>
      <c r="BF1123" s="41" t="s">
        <v>108</v>
      </c>
      <c r="BH1123" s="150">
        <v>2000</v>
      </c>
    </row>
    <row r="1124" spans="1:60" x14ac:dyDescent="0.35">
      <c r="A1124" s="45" t="s">
        <v>259</v>
      </c>
      <c r="B1124" s="41" t="s">
        <v>93</v>
      </c>
      <c r="C1124" s="41" t="s">
        <v>447</v>
      </c>
      <c r="D1124" s="41" t="s">
        <v>450</v>
      </c>
      <c r="E1124" s="41" t="s">
        <v>65</v>
      </c>
      <c r="F1124" s="48">
        <f>$F$1121*($I$1121/Database_Asfalt_Verwijderset[[#This Row],[Stookwaarde '[MJ/liter']]])</f>
        <v>0.35791540785498488</v>
      </c>
      <c r="G1124" s="57">
        <f>Database_Asfalt_Verwijderset[[#This Row],[Verbruik '[liter/kWh/kg per uur']]]*G$1276</f>
        <v>9.316737045504575E-2</v>
      </c>
      <c r="H1124" s="41">
        <v>0.876</v>
      </c>
      <c r="I1124" s="45">
        <v>33.1</v>
      </c>
      <c r="J1124" s="55">
        <f>Database_Asfalt_Verwijderset[[#This Row],[Verbruik '[liter/kWh/kg per uur']]]*J$1276</f>
        <v>1.8303829749244714E-6</v>
      </c>
      <c r="K1124" s="55">
        <f>Database_Asfalt_Verwijderset[[#This Row],[Verbruik '[liter/kWh/kg per uur']]]*K$1276</f>
        <v>1.0672654850664652E-2</v>
      </c>
      <c r="L1124" s="55">
        <f>Database_Asfalt_Verwijderset[[#This Row],[Verbruik '[liter/kWh/kg per uur']]]*L$1276</f>
        <v>1.3153592745045317</v>
      </c>
      <c r="M1124" s="55">
        <f>Database_Asfalt_Verwijderset[[#This Row],[Verbruik '[liter/kWh/kg per uur']]]*M$1276</f>
        <v>1.9027534703927489E-8</v>
      </c>
      <c r="N1124" s="55">
        <f>Database_Asfalt_Verwijderset[[#This Row],[Verbruik '[liter/kWh/kg per uur']]]*N$1276</f>
        <v>2.6652743510574019E-4</v>
      </c>
      <c r="O1124" s="55">
        <f>Database_Asfalt_Verwijderset[[#This Row],[Verbruik '[liter/kWh/kg per uur']]]*O$1276</f>
        <v>1.5173179468277946E-3</v>
      </c>
      <c r="P1124" s="55">
        <f>Database_Asfalt_Verwijderset[[#This Row],[Verbruik '[liter/kWh/kg per uur']]]*P$1276</f>
        <v>2.6809224126888215E-4</v>
      </c>
      <c r="Q1124" s="55">
        <f>Database_Asfalt_Verwijderset[[#This Row],[Verbruik '[liter/kWh/kg per uur']]]*Q$1276</f>
        <v>0.26415013949184291</v>
      </c>
      <c r="R1124" s="55">
        <f>Database_Asfalt_Verwijderset[[#This Row],[Verbruik '[liter/kWh/kg per uur']]]*R$1276</f>
        <v>2.1296550169486402E-3</v>
      </c>
      <c r="S1124" s="55">
        <f>Database_Asfalt_Verwijderset[[#This Row],[Verbruik '[liter/kWh/kg per uur']]]*S$1276</f>
        <v>8.0911115880362541</v>
      </c>
      <c r="T1124" s="55">
        <f>Database_Asfalt_Verwijderset[[#This Row],[Verbruik '[liter/kWh/kg per uur']]]*T$1276</f>
        <v>1.0688409929003023E-3</v>
      </c>
      <c r="U1124" s="55"/>
      <c r="V1124" s="55"/>
      <c r="W1124" s="55"/>
      <c r="X1124" s="55"/>
      <c r="Y1124" s="55"/>
      <c r="Z1124" s="55"/>
      <c r="AA1124" s="55"/>
      <c r="AB1124" s="55"/>
      <c r="AC1124" s="55"/>
      <c r="AD1124" s="55"/>
      <c r="AE1124" s="55"/>
      <c r="AF1124" s="55"/>
      <c r="AG1124" s="55"/>
      <c r="AH1124" s="55"/>
      <c r="AI1124" s="55"/>
      <c r="AJ1124" s="55"/>
      <c r="AK1124" s="55"/>
      <c r="AL1124" s="55"/>
      <c r="AM1124" s="55"/>
      <c r="AN1124" s="55"/>
      <c r="AO1124" s="55"/>
      <c r="AP1124" s="55">
        <f>Database_Asfalt_Verwijderset[[#This Row],[Verbruik '[liter/kWh/kg per uur']]]*AP$1276</f>
        <v>0.15824177487009064</v>
      </c>
      <c r="AQ1124" s="55"/>
      <c r="AR1124" s="55"/>
      <c r="AS1124" s="55">
        <f>Database_Asfalt_Verwijderset[[#This Row],[Verbruik '[liter/kWh/kg per uur']]]*AS$1276</f>
        <v>22.769247518247731</v>
      </c>
      <c r="AT1124" s="55"/>
      <c r="AU1124" s="55"/>
      <c r="AV1124" s="55"/>
      <c r="AW1124" s="55">
        <f>Database_Asfalt_Verwijderset[[#This Row],[Verbruik '[liter/kWh/kg per uur']]]*AW$1276</f>
        <v>1.0297759577945619E-3</v>
      </c>
      <c r="AX1124" s="55">
        <f>Database_Asfalt_Verwijderset[[#This Row],[Verbruik '[liter/kWh/kg per uur']]]*AX$1276</f>
        <v>3.5202984688821753E-5</v>
      </c>
      <c r="AY1124" s="55">
        <f>Database_Asfalt_Verwijderset[[#This Row],[Verbruik '[liter/kWh/kg per uur']]]*AY$1276</f>
        <v>3.8726404180060424E-2</v>
      </c>
      <c r="AZ1124" s="55">
        <f>Database_Asfalt_Verwijderset[[#This Row],[Verbruik '[liter/kWh/kg per uur']]]*AZ$1276</f>
        <v>0</v>
      </c>
      <c r="BA1124" s="55"/>
      <c r="BB1124" s="55"/>
      <c r="BC1124" s="55"/>
      <c r="BD1124" s="55"/>
      <c r="BE1124" s="55"/>
      <c r="BF1124" s="45"/>
      <c r="BG1124" s="41" t="s">
        <v>271</v>
      </c>
      <c r="BH1124" s="149">
        <v>400</v>
      </c>
    </row>
    <row r="1125" spans="1:60" x14ac:dyDescent="0.35">
      <c r="A1125" s="45" t="s">
        <v>260</v>
      </c>
      <c r="B1125" s="41" t="s">
        <v>93</v>
      </c>
      <c r="C1125" s="41" t="s">
        <v>447</v>
      </c>
      <c r="D1125" s="41" t="s">
        <v>450</v>
      </c>
      <c r="E1125" s="41" t="s">
        <v>65</v>
      </c>
      <c r="F1125" s="48">
        <f>$F$1122*($I$1122/Database_Asfalt_Verwijderset[[#This Row],[Stookwaarde '[MJ/liter']]])</f>
        <v>0.83513595166163146</v>
      </c>
      <c r="G1125" s="57">
        <f>Database_Asfalt_Verwijderset[[#This Row],[Verbruik '[liter/kWh/kg per uur']]]*G$1276</f>
        <v>0.21739053106177345</v>
      </c>
      <c r="H1125" s="41">
        <v>0.876</v>
      </c>
      <c r="I1125" s="45">
        <v>33.1</v>
      </c>
      <c r="J1125" s="55">
        <f>Database_Asfalt_Verwijderset[[#This Row],[Verbruik '[liter/kWh/kg per uur']]]*J$1276</f>
        <v>4.2708936081570998E-6</v>
      </c>
      <c r="K1125" s="55">
        <f>Database_Asfalt_Verwijderset[[#This Row],[Verbruik '[liter/kWh/kg per uur']]]*K$1276</f>
        <v>2.4902861318217524E-2</v>
      </c>
      <c r="L1125" s="55">
        <f>Database_Asfalt_Verwijderset[[#This Row],[Verbruik '[liter/kWh/kg per uur']]]*L$1276</f>
        <v>3.0691716405105742</v>
      </c>
      <c r="M1125" s="55">
        <f>Database_Asfalt_Verwijderset[[#This Row],[Verbruik '[liter/kWh/kg per uur']]]*M$1276</f>
        <v>4.4397580975830815E-8</v>
      </c>
      <c r="N1125" s="55">
        <f>Database_Asfalt_Verwijderset[[#This Row],[Verbruik '[liter/kWh/kg per uur']]]*N$1276</f>
        <v>6.2189734858006049E-4</v>
      </c>
      <c r="O1125" s="55">
        <f>Database_Asfalt_Verwijderset[[#This Row],[Verbruik '[liter/kWh/kg per uur']]]*O$1276</f>
        <v>3.5404085425981878E-3</v>
      </c>
      <c r="P1125" s="55">
        <f>Database_Asfalt_Verwijderset[[#This Row],[Verbruik '[liter/kWh/kg per uur']]]*P$1276</f>
        <v>6.255485629607251E-4</v>
      </c>
      <c r="Q1125" s="55">
        <f>Database_Asfalt_Verwijderset[[#This Row],[Verbruik '[liter/kWh/kg per uur']]]*Q$1276</f>
        <v>0.6163503254809668</v>
      </c>
      <c r="R1125" s="55">
        <f>Database_Asfalt_Verwijderset[[#This Row],[Verbruik '[liter/kWh/kg per uur']]]*R$1276</f>
        <v>4.9691950395468277E-3</v>
      </c>
      <c r="S1125" s="55">
        <f>Database_Asfalt_Verwijderset[[#This Row],[Verbruik '[liter/kWh/kg per uur']]]*S$1276</f>
        <v>18.879260372084591</v>
      </c>
      <c r="T1125" s="55">
        <f>Database_Asfalt_Verwijderset[[#This Row],[Verbruik '[liter/kWh/kg per uur']]]*T$1276</f>
        <v>2.4939623167673721E-3</v>
      </c>
      <c r="U1125" s="55"/>
      <c r="V1125" s="55"/>
      <c r="W1125" s="55"/>
      <c r="X1125" s="55"/>
      <c r="Y1125" s="55"/>
      <c r="Z1125" s="55"/>
      <c r="AA1125" s="55"/>
      <c r="AB1125" s="55"/>
      <c r="AC1125" s="55"/>
      <c r="AD1125" s="55"/>
      <c r="AE1125" s="55"/>
      <c r="AF1125" s="55"/>
      <c r="AG1125" s="55"/>
      <c r="AH1125" s="55"/>
      <c r="AI1125" s="55"/>
      <c r="AJ1125" s="55"/>
      <c r="AK1125" s="55"/>
      <c r="AL1125" s="55"/>
      <c r="AM1125" s="55"/>
      <c r="AN1125" s="55"/>
      <c r="AO1125" s="55"/>
      <c r="AP1125" s="55">
        <f>Database_Asfalt_Verwijderset[[#This Row],[Verbruik '[liter/kWh/kg per uur']]]*AP$1276</f>
        <v>0.36923080803021152</v>
      </c>
      <c r="AQ1125" s="55"/>
      <c r="AR1125" s="55"/>
      <c r="AS1125" s="55">
        <f>Database_Asfalt_Verwijderset[[#This Row],[Verbruik '[liter/kWh/kg per uur']]]*AS$1276</f>
        <v>53.128244209244713</v>
      </c>
      <c r="AT1125" s="55"/>
      <c r="AU1125" s="55"/>
      <c r="AV1125" s="55"/>
      <c r="AW1125" s="55">
        <f>Database_Asfalt_Verwijderset[[#This Row],[Verbruik '[liter/kWh/kg per uur']]]*AW$1276</f>
        <v>2.4028105681873115E-3</v>
      </c>
      <c r="AX1125" s="55">
        <f>Database_Asfalt_Verwijderset[[#This Row],[Verbruik '[liter/kWh/kg per uur']]]*AX$1276</f>
        <v>8.2140297607250756E-5</v>
      </c>
      <c r="AY1125" s="55">
        <f>Database_Asfalt_Verwijderset[[#This Row],[Verbruik '[liter/kWh/kg per uur']]]*AY$1276</f>
        <v>9.036160975347432E-2</v>
      </c>
      <c r="AZ1125" s="55">
        <f>Database_Asfalt_Verwijderset[[#This Row],[Verbruik '[liter/kWh/kg per uur']]]*AZ$1276</f>
        <v>0</v>
      </c>
      <c r="BA1125" s="55"/>
      <c r="BB1125" s="55"/>
      <c r="BC1125" s="55"/>
      <c r="BD1125" s="55"/>
      <c r="BE1125" s="55"/>
      <c r="BF1125" s="45"/>
      <c r="BG1125" s="41" t="s">
        <v>271</v>
      </c>
      <c r="BH1125" s="150">
        <v>1000</v>
      </c>
    </row>
    <row r="1126" spans="1:60" x14ac:dyDescent="0.35">
      <c r="A1126" s="45" t="s">
        <v>261</v>
      </c>
      <c r="B1126" s="41" t="s">
        <v>93</v>
      </c>
      <c r="C1126" s="41" t="s">
        <v>447</v>
      </c>
      <c r="D1126" s="41" t="s">
        <v>450</v>
      </c>
      <c r="E1126" s="41" t="s">
        <v>65</v>
      </c>
      <c r="F1126" s="48">
        <f>$F$1123*($I$1123/Database_Asfalt_Verwijderset[[#This Row],[Stookwaarde '[MJ/liter']]])</f>
        <v>0.46637462235649546</v>
      </c>
      <c r="G1126" s="57">
        <f>Database_Asfalt_Verwijderset[[#This Row],[Verbruik '[liter/kWh/kg per uur']]]*G$1276</f>
        <v>0.12139990695657477</v>
      </c>
      <c r="H1126" s="41">
        <v>0.876</v>
      </c>
      <c r="I1126" s="45">
        <v>33.1</v>
      </c>
      <c r="J1126" s="55">
        <f>Database_Asfalt_Verwijderset[[#This Row],[Verbruik '[liter/kWh/kg per uur']]]*J$1276</f>
        <v>2.3850444824773414E-6</v>
      </c>
      <c r="K1126" s="55">
        <f>Database_Asfalt_Verwijderset[[#This Row],[Verbruik '[liter/kWh/kg per uur']]]*K$1276</f>
        <v>1.3906792684199396E-2</v>
      </c>
      <c r="L1126" s="55">
        <f>Database_Asfalt_Verwijderset[[#This Row],[Verbruik '[liter/kWh/kg per uur']]]*L$1276</f>
        <v>1.7139529940513596</v>
      </c>
      <c r="M1126" s="55">
        <f>Database_Asfalt_Verwijderset[[#This Row],[Verbruik '[liter/kWh/kg per uur']]]*M$1276</f>
        <v>2.4793454311178244E-8</v>
      </c>
      <c r="N1126" s="55">
        <f>Database_Asfalt_Verwijderset[[#This Row],[Verbruik '[liter/kWh/kg per uur']]]*N$1276</f>
        <v>3.4729332453172206E-4</v>
      </c>
      <c r="O1126" s="55">
        <f>Database_Asfalt_Verwijderset[[#This Row],[Verbruik '[liter/kWh/kg per uur']]]*O$1276</f>
        <v>1.9771112640483385E-3</v>
      </c>
      <c r="P1126" s="55">
        <f>Database_Asfalt_Verwijderset[[#This Row],[Verbruik '[liter/kWh/kg per uur']]]*P$1276</f>
        <v>3.4933231438066462E-4</v>
      </c>
      <c r="Q1126" s="55">
        <f>Database_Asfalt_Verwijderset[[#This Row],[Verbruik '[liter/kWh/kg per uur']]]*Q$1276</f>
        <v>0.3441956363075529</v>
      </c>
      <c r="R1126" s="55">
        <f>Database_Asfalt_Verwijderset[[#This Row],[Verbruik '[liter/kWh/kg per uur']]]*R$1276</f>
        <v>2.7750050220845921E-3</v>
      </c>
      <c r="S1126" s="55">
        <f>Database_Asfalt_Verwijderset[[#This Row],[Verbruik '[liter/kWh/kg per uur']]]*S$1276</f>
        <v>10.542963584410876</v>
      </c>
      <c r="T1126" s="55">
        <f>Database_Asfalt_Verwijderset[[#This Row],[Verbruik '[liter/kWh/kg per uur']]]*T$1276</f>
        <v>1.3927322028700908E-3</v>
      </c>
      <c r="U1126" s="55"/>
      <c r="V1126" s="55"/>
      <c r="W1126" s="55"/>
      <c r="X1126" s="55"/>
      <c r="Y1126" s="55"/>
      <c r="Z1126" s="55"/>
      <c r="AA1126" s="55"/>
      <c r="AB1126" s="55"/>
      <c r="AC1126" s="55"/>
      <c r="AD1126" s="55"/>
      <c r="AE1126" s="55"/>
      <c r="AF1126" s="55"/>
      <c r="AG1126" s="55"/>
      <c r="AH1126" s="55"/>
      <c r="AI1126" s="55"/>
      <c r="AJ1126" s="55"/>
      <c r="AK1126" s="55"/>
      <c r="AL1126" s="55"/>
      <c r="AM1126" s="55"/>
      <c r="AN1126" s="55"/>
      <c r="AO1126" s="55"/>
      <c r="AP1126" s="55">
        <f>Database_Asfalt_Verwijderset[[#This Row],[Verbruik '[liter/kWh/kg per uur']]]*AP$1276</f>
        <v>0.20619382786102719</v>
      </c>
      <c r="AQ1126" s="55"/>
      <c r="AR1126" s="55"/>
      <c r="AS1126" s="55">
        <f>Database_Asfalt_Verwijderset[[#This Row],[Verbruik '[liter/kWh/kg per uur']]]*AS$1276</f>
        <v>29.66901949347432</v>
      </c>
      <c r="AT1126" s="55"/>
      <c r="AU1126" s="55"/>
      <c r="AV1126" s="55"/>
      <c r="AW1126" s="55">
        <f>Database_Asfalt_Verwijderset[[#This Row],[Verbruik '[liter/kWh/kg per uur']]]*AW$1276</f>
        <v>1.3418292783383687E-3</v>
      </c>
      <c r="AX1126" s="55">
        <f>Database_Asfalt_Verwijderset[[#This Row],[Verbruik '[liter/kWh/kg per uur']]]*AX$1276</f>
        <v>4.5870555806646529E-5</v>
      </c>
      <c r="AY1126" s="55">
        <f>Database_Asfalt_Verwijderset[[#This Row],[Verbruik '[liter/kWh/kg per uur']]]*AY$1276</f>
        <v>5.0461678174018122E-2</v>
      </c>
      <c r="AZ1126" s="55">
        <f>Database_Asfalt_Verwijderset[[#This Row],[Verbruik '[liter/kWh/kg per uur']]]*AZ$1276</f>
        <v>0</v>
      </c>
      <c r="BA1126" s="55"/>
      <c r="BB1126" s="55"/>
      <c r="BC1126" s="55"/>
      <c r="BD1126" s="55"/>
      <c r="BE1126" s="55"/>
      <c r="BF1126" s="45"/>
      <c r="BG1126" s="41" t="s">
        <v>271</v>
      </c>
      <c r="BH1126" s="149">
        <v>2000</v>
      </c>
    </row>
    <row r="1127" spans="1:60" x14ac:dyDescent="0.35">
      <c r="A1127" s="45" t="s">
        <v>262</v>
      </c>
      <c r="B1127" s="41" t="s">
        <v>93</v>
      </c>
      <c r="C1127" s="41" t="s">
        <v>447</v>
      </c>
      <c r="D1127" s="41" t="s">
        <v>450</v>
      </c>
      <c r="E1127" s="41" t="s">
        <v>65</v>
      </c>
      <c r="F1127" s="48">
        <f>$F$1121*($I$1121/Database_Asfalt_Verwijderset[[#This Row],[Stookwaarde '[MJ/liter']]])</f>
        <v>0.34539358600583092</v>
      </c>
      <c r="G1127" s="57">
        <f>Database_Asfalt_Verwijderset[[#This Row],[Verbruik '[liter/kWh/kg per uur']]]*G$1277</f>
        <v>7.371817141034695E-2</v>
      </c>
      <c r="H1127" s="41">
        <v>0.77900000000000003</v>
      </c>
      <c r="I1127" s="45">
        <v>34.299999999999997</v>
      </c>
      <c r="J1127" s="55">
        <f>Database_Asfalt_Verwijderset[[#This Row],[Verbruik '[liter/kWh/kg per uur']]]*J$1277</f>
        <v>1.3396332008746356E-6</v>
      </c>
      <c r="K1127" s="55">
        <f>Database_Asfalt_Verwijderset[[#This Row],[Verbruik '[liter/kWh/kg per uur']]]*K$1277</f>
        <v>2.9161445762973764E-3</v>
      </c>
      <c r="L1127" s="55">
        <f>Database_Asfalt_Verwijderset[[#This Row],[Verbruik '[liter/kWh/kg per uur']]]*L$1277</f>
        <v>0.49723423632944608</v>
      </c>
      <c r="M1127" s="55">
        <f>Database_Asfalt_Verwijderset[[#This Row],[Verbruik '[liter/kWh/kg per uur']]]*M$1277</f>
        <v>4.7556206676384844E-8</v>
      </c>
      <c r="N1127" s="55">
        <f>Database_Asfalt_Verwijderset[[#This Row],[Verbruik '[liter/kWh/kg per uur']]]*N$1277</f>
        <v>4.0530417586005833E-4</v>
      </c>
      <c r="O1127" s="55">
        <f>Database_Asfalt_Verwijderset[[#This Row],[Verbruik '[liter/kWh/kg per uur']]]*O$1277</f>
        <v>3.1070304863265305E-3</v>
      </c>
      <c r="P1127" s="55">
        <f>Database_Asfalt_Verwijderset[[#This Row],[Verbruik '[liter/kWh/kg per uur']]]*P$1277</f>
        <v>1.5408747013994169E-3</v>
      </c>
      <c r="Q1127" s="55">
        <f>Database_Asfalt_Verwijderset[[#This Row],[Verbruik '[liter/kWh/kg per uur']]]*Q$1277</f>
        <v>0.27614205112390672</v>
      </c>
      <c r="R1127" s="55">
        <f>Database_Asfalt_Verwijderset[[#This Row],[Verbruik '[liter/kWh/kg per uur']]]*R$1277</f>
        <v>0.19662333268862975</v>
      </c>
      <c r="S1127" s="55">
        <f>Database_Asfalt_Verwijderset[[#This Row],[Verbruik '[liter/kWh/kg per uur']]]*S$1277</f>
        <v>16.55431115755102</v>
      </c>
      <c r="T1127" s="55">
        <f>Database_Asfalt_Verwijderset[[#This Row],[Verbruik '[liter/kWh/kg per uur']]]*T$1277</f>
        <v>8.440696333206997E-2</v>
      </c>
      <c r="U1127" s="55"/>
      <c r="V1127" s="55"/>
      <c r="W1127" s="55"/>
      <c r="X1127" s="55"/>
      <c r="Y1127" s="55"/>
      <c r="Z1127" s="55"/>
      <c r="AA1127" s="55"/>
      <c r="AB1127" s="55"/>
      <c r="AC1127" s="55"/>
      <c r="AD1127" s="55"/>
      <c r="AE1127" s="55"/>
      <c r="AF1127" s="55"/>
      <c r="AG1127" s="55"/>
      <c r="AH1127" s="55"/>
      <c r="AI1127" s="55"/>
      <c r="AJ1127" s="55"/>
      <c r="AK1127" s="55"/>
      <c r="AL1127" s="55"/>
      <c r="AM1127" s="55"/>
      <c r="AN1127" s="55"/>
      <c r="AO1127" s="55"/>
      <c r="AP1127" s="55">
        <f>Database_Asfalt_Verwijderset[[#This Row],[Verbruik '[liter/kWh/kg per uur']]]*AP$1277</f>
        <v>2.712480312463557</v>
      </c>
      <c r="AQ1127" s="55"/>
      <c r="AR1127" s="55"/>
      <c r="AS1127" s="55">
        <f>Database_Asfalt_Verwijderset[[#This Row],[Verbruik '[liter/kWh/kg per uur']]]*AS$1277</f>
        <v>6.1618516235860064</v>
      </c>
      <c r="AT1127" s="55"/>
      <c r="AU1127" s="55"/>
      <c r="AV1127" s="55"/>
      <c r="AW1127" s="55">
        <f>Database_Asfalt_Verwijderset[[#This Row],[Verbruik '[liter/kWh/kg per uur']]]*AW$1277</f>
        <v>2.1157196363702623E-2</v>
      </c>
      <c r="AX1127" s="55">
        <f>Database_Asfalt_Verwijderset[[#This Row],[Verbruik '[liter/kWh/kg per uur']]]*AX$1277</f>
        <v>3.5748581545189504E-5</v>
      </c>
      <c r="AY1127" s="55">
        <f>Database_Asfalt_Verwijderset[[#This Row],[Verbruik '[liter/kWh/kg per uur']]]*AY$1277</f>
        <v>9.7637893260349856E-2</v>
      </c>
      <c r="AZ1127" s="55">
        <f>Database_Asfalt_Verwijderset[[#This Row],[Verbruik '[liter/kWh/kg per uur']]]*AZ$1277</f>
        <v>0</v>
      </c>
      <c r="BA1127" s="55"/>
      <c r="BB1127" s="55"/>
      <c r="BC1127" s="55"/>
      <c r="BD1127" s="55"/>
      <c r="BE1127" s="55"/>
      <c r="BF1127" s="45"/>
      <c r="BG1127" s="41" t="s">
        <v>271</v>
      </c>
      <c r="BH1127" s="150">
        <v>400</v>
      </c>
    </row>
    <row r="1128" spans="1:60" x14ac:dyDescent="0.35">
      <c r="A1128" s="45" t="s">
        <v>263</v>
      </c>
      <c r="B1128" s="41" t="s">
        <v>93</v>
      </c>
      <c r="C1128" s="41" t="s">
        <v>447</v>
      </c>
      <c r="D1128" s="41" t="s">
        <v>450</v>
      </c>
      <c r="E1128" s="41" t="s">
        <v>65</v>
      </c>
      <c r="F1128" s="48">
        <f>$F$1122*($I$1122/Database_Asfalt_Verwijderset[[#This Row],[Stookwaarde '[MJ/liter']]])</f>
        <v>0.80591836734693878</v>
      </c>
      <c r="G1128" s="57">
        <f>Database_Asfalt_Verwijderset[[#This Row],[Verbruik '[liter/kWh/kg per uur']]]*G$1277</f>
        <v>0.17200906662414289</v>
      </c>
      <c r="H1128" s="41">
        <v>0.77900000000000003</v>
      </c>
      <c r="I1128" s="45">
        <v>34.299999999999997</v>
      </c>
      <c r="J1128" s="55">
        <f>Database_Asfalt_Verwijderset[[#This Row],[Verbruik '[liter/kWh/kg per uur']]]*J$1277</f>
        <v>3.1258108020408162E-6</v>
      </c>
      <c r="K1128" s="55">
        <f>Database_Asfalt_Verwijderset[[#This Row],[Verbruik '[liter/kWh/kg per uur']]]*K$1277</f>
        <v>6.8043373446938782E-3</v>
      </c>
      <c r="L1128" s="55">
        <f>Database_Asfalt_Verwijderset[[#This Row],[Verbruik '[liter/kWh/kg per uur']]]*L$1277</f>
        <v>1.1602132181020408</v>
      </c>
      <c r="M1128" s="55">
        <f>Database_Asfalt_Verwijderset[[#This Row],[Verbruik '[liter/kWh/kg per uur']]]*M$1277</f>
        <v>1.1096448224489797E-7</v>
      </c>
      <c r="N1128" s="55">
        <f>Database_Asfalt_Verwijderset[[#This Row],[Verbruik '[liter/kWh/kg per uur']]]*N$1277</f>
        <v>9.4570974367346936E-4</v>
      </c>
      <c r="O1128" s="55">
        <f>Database_Asfalt_Verwijderset[[#This Row],[Verbruik '[liter/kWh/kg per uur']]]*O$1277</f>
        <v>7.2497378014285711E-3</v>
      </c>
      <c r="P1128" s="55">
        <f>Database_Asfalt_Verwijderset[[#This Row],[Verbruik '[liter/kWh/kg per uur']]]*P$1277</f>
        <v>3.5953743032653058E-3</v>
      </c>
      <c r="Q1128" s="55">
        <f>Database_Asfalt_Verwijderset[[#This Row],[Verbruik '[liter/kWh/kg per uur']]]*Q$1277</f>
        <v>0.64433145262244895</v>
      </c>
      <c r="R1128" s="55">
        <f>Database_Asfalt_Verwijderset[[#This Row],[Verbruik '[liter/kWh/kg per uur']]]*R$1277</f>
        <v>0.45878777627346939</v>
      </c>
      <c r="S1128" s="55">
        <f>Database_Asfalt_Verwijderset[[#This Row],[Verbruik '[liter/kWh/kg per uur']]]*S$1277</f>
        <v>38.626726034285717</v>
      </c>
      <c r="T1128" s="55">
        <f>Database_Asfalt_Verwijderset[[#This Row],[Verbruik '[liter/kWh/kg per uur']]]*T$1277</f>
        <v>0.19694958110816327</v>
      </c>
      <c r="U1128" s="55"/>
      <c r="V1128" s="55"/>
      <c r="W1128" s="55"/>
      <c r="X1128" s="55"/>
      <c r="Y1128" s="55"/>
      <c r="Z1128" s="55"/>
      <c r="AA1128" s="55"/>
      <c r="AB1128" s="55"/>
      <c r="AC1128" s="55"/>
      <c r="AD1128" s="55"/>
      <c r="AE1128" s="55"/>
      <c r="AF1128" s="55"/>
      <c r="AG1128" s="55"/>
      <c r="AH1128" s="55"/>
      <c r="AI1128" s="55"/>
      <c r="AJ1128" s="55"/>
      <c r="AK1128" s="55"/>
      <c r="AL1128" s="55"/>
      <c r="AM1128" s="55"/>
      <c r="AN1128" s="55"/>
      <c r="AO1128" s="55"/>
      <c r="AP1128" s="55">
        <f>Database_Asfalt_Verwijderset[[#This Row],[Verbruik '[liter/kWh/kg per uur']]]*AP$1277</f>
        <v>6.3291207290816329</v>
      </c>
      <c r="AQ1128" s="55"/>
      <c r="AR1128" s="55"/>
      <c r="AS1128" s="55">
        <f>Database_Asfalt_Verwijderset[[#This Row],[Verbruik '[liter/kWh/kg per uur']]]*AS$1277</f>
        <v>14.377653788367347</v>
      </c>
      <c r="AT1128" s="55"/>
      <c r="AU1128" s="55"/>
      <c r="AV1128" s="55"/>
      <c r="AW1128" s="55">
        <f>Database_Asfalt_Verwijderset[[#This Row],[Verbruik '[liter/kWh/kg per uur']]]*AW$1277</f>
        <v>4.9366791515306124E-2</v>
      </c>
      <c r="AX1128" s="55">
        <f>Database_Asfalt_Verwijderset[[#This Row],[Verbruik '[liter/kWh/kg per uur']]]*AX$1277</f>
        <v>8.3413356938775502E-5</v>
      </c>
      <c r="AY1128" s="55">
        <f>Database_Asfalt_Verwijderset[[#This Row],[Verbruik '[liter/kWh/kg per uur']]]*AY$1277</f>
        <v>0.22782175094081633</v>
      </c>
      <c r="AZ1128" s="55">
        <f>Database_Asfalt_Verwijderset[[#This Row],[Verbruik '[liter/kWh/kg per uur']]]*AZ$1277</f>
        <v>0</v>
      </c>
      <c r="BA1128" s="55"/>
      <c r="BB1128" s="55"/>
      <c r="BC1128" s="55"/>
      <c r="BD1128" s="55"/>
      <c r="BE1128" s="55"/>
      <c r="BF1128" s="45"/>
      <c r="BG1128" s="41" t="s">
        <v>271</v>
      </c>
      <c r="BH1128" s="149">
        <v>1000</v>
      </c>
    </row>
    <row r="1129" spans="1:60" x14ac:dyDescent="0.35">
      <c r="A1129" s="45" t="s">
        <v>264</v>
      </c>
      <c r="B1129" s="41" t="s">
        <v>93</v>
      </c>
      <c r="C1129" s="41" t="s">
        <v>447</v>
      </c>
      <c r="D1129" s="41" t="s">
        <v>450</v>
      </c>
      <c r="E1129" s="41" t="s">
        <v>65</v>
      </c>
      <c r="F1129" s="48">
        <f>$F$1123*($I$1123/Database_Asfalt_Verwijderset[[#This Row],[Stookwaarde '[MJ/liter']]])</f>
        <v>0.45005830903790089</v>
      </c>
      <c r="G1129" s="57">
        <f>Database_Asfalt_Verwijderset[[#This Row],[Verbruik '[liter/kWh/kg per uur']]]*G$1277</f>
        <v>9.6057011231664213E-2</v>
      </c>
      <c r="H1129" s="41">
        <v>0.77900000000000003</v>
      </c>
      <c r="I1129" s="45">
        <v>34.299999999999997</v>
      </c>
      <c r="J1129" s="55">
        <f>Database_Asfalt_Verwijderset[[#This Row],[Verbruik '[liter/kWh/kg per uur']]]*J$1277</f>
        <v>1.7455826556851312E-6</v>
      </c>
      <c r="K1129" s="55">
        <f>Database_Asfalt_Verwijderset[[#This Row],[Verbruik '[liter/kWh/kg per uur']]]*K$1277</f>
        <v>3.799824750932945E-3</v>
      </c>
      <c r="L1129" s="55">
        <f>Database_Asfalt_Verwijderset[[#This Row],[Verbruik '[liter/kWh/kg per uur']]]*L$1277</f>
        <v>0.64791127764139944</v>
      </c>
      <c r="M1129" s="55">
        <f>Database_Asfalt_Verwijderset[[#This Row],[Verbruik '[liter/kWh/kg per uur']]]*M$1277</f>
        <v>6.1967178396501468E-8</v>
      </c>
      <c r="N1129" s="55">
        <f>Database_Asfalt_Verwijderset[[#This Row],[Verbruik '[liter/kWh/kg per uur']]]*N$1277</f>
        <v>5.2812362309037901E-4</v>
      </c>
      <c r="O1129" s="55">
        <f>Database_Asfalt_Verwijderset[[#This Row],[Verbruik '[liter/kWh/kg per uur']]]*O$1277</f>
        <v>4.0485548761224491E-3</v>
      </c>
      <c r="P1129" s="55">
        <f>Database_Asfalt_Verwijderset[[#This Row],[Verbruik '[liter/kWh/kg per uur']]]*P$1277</f>
        <v>2.00780642909621E-3</v>
      </c>
      <c r="Q1129" s="55">
        <f>Database_Asfalt_Verwijderset[[#This Row],[Verbruik '[liter/kWh/kg per uur']]]*Q$1277</f>
        <v>0.3598214605553936</v>
      </c>
      <c r="R1129" s="55">
        <f>Database_Asfalt_Verwijderset[[#This Row],[Verbruik '[liter/kWh/kg per uur']]]*R$1277</f>
        <v>0.25620616077609332</v>
      </c>
      <c r="S1129" s="55">
        <f>Database_Asfalt_Verwijderset[[#This Row],[Verbruik '[liter/kWh/kg per uur']]]*S$1277</f>
        <v>21.570769084081633</v>
      </c>
      <c r="T1129" s="55">
        <f>Database_Asfalt_Verwijderset[[#This Row],[Verbruik '[liter/kWh/kg per uur']]]*T$1277</f>
        <v>0.10998483100845481</v>
      </c>
      <c r="U1129" s="55"/>
      <c r="V1129" s="55"/>
      <c r="W1129" s="55"/>
      <c r="X1129" s="55"/>
      <c r="Y1129" s="55"/>
      <c r="Z1129" s="55"/>
      <c r="AA1129" s="55"/>
      <c r="AB1129" s="55"/>
      <c r="AC1129" s="55"/>
      <c r="AD1129" s="55"/>
      <c r="AE1129" s="55"/>
      <c r="AF1129" s="55"/>
      <c r="AG1129" s="55"/>
      <c r="AH1129" s="55"/>
      <c r="AI1129" s="55"/>
      <c r="AJ1129" s="55"/>
      <c r="AK1129" s="55"/>
      <c r="AL1129" s="55"/>
      <c r="AM1129" s="55"/>
      <c r="AN1129" s="55"/>
      <c r="AO1129" s="55"/>
      <c r="AP1129" s="55">
        <f>Database_Asfalt_Verwijderset[[#This Row],[Verbruik '[liter/kWh/kg per uur']]]*AP$1277</f>
        <v>3.5344440435131195</v>
      </c>
      <c r="AQ1129" s="55"/>
      <c r="AR1129" s="55"/>
      <c r="AS1129" s="55">
        <f>Database_Asfalt_Verwijderset[[#This Row],[Verbruik '[liter/kWh/kg per uur']]]*AS$1277</f>
        <v>8.0290793883090377</v>
      </c>
      <c r="AT1129" s="55"/>
      <c r="AU1129" s="55"/>
      <c r="AV1129" s="55"/>
      <c r="AW1129" s="55">
        <f>Database_Asfalt_Verwijderset[[#This Row],[Verbruik '[liter/kWh/kg per uur']]]*AW$1277</f>
        <v>2.7568467989067057E-2</v>
      </c>
      <c r="AX1129" s="55">
        <f>Database_Asfalt_Verwijderset[[#This Row],[Verbruik '[liter/kWh/kg per uur']]]*AX$1277</f>
        <v>4.6581485043731776E-5</v>
      </c>
      <c r="AY1129" s="55">
        <f>Database_Asfalt_Verwijderset[[#This Row],[Verbruik '[liter/kWh/kg per uur']]]*AY$1277</f>
        <v>0.12722513364227406</v>
      </c>
      <c r="AZ1129" s="55">
        <f>Database_Asfalt_Verwijderset[[#This Row],[Verbruik '[liter/kWh/kg per uur']]]*AZ$1277</f>
        <v>0</v>
      </c>
      <c r="BA1129" s="55"/>
      <c r="BB1129" s="55"/>
      <c r="BC1129" s="55"/>
      <c r="BD1129" s="55"/>
      <c r="BE1129" s="55"/>
      <c r="BF1129" s="45"/>
      <c r="BG1129" s="41" t="s">
        <v>271</v>
      </c>
      <c r="BH1129" s="150">
        <v>2000</v>
      </c>
    </row>
    <row r="1130" spans="1:60" x14ac:dyDescent="0.35">
      <c r="A1130" s="45" t="s">
        <v>265</v>
      </c>
      <c r="B1130" s="41" t="s">
        <v>93</v>
      </c>
      <c r="C1130" s="41" t="s">
        <v>447</v>
      </c>
      <c r="D1130" s="41" t="s">
        <v>450</v>
      </c>
      <c r="E1130" s="41" t="s">
        <v>65</v>
      </c>
      <c r="F1130" s="48">
        <f>$F$1121*($I$1121/Database_Asfalt_Verwijderset[[#This Row],[Stookwaarde '[MJ/liter']]])</f>
        <v>0.34339130434782605</v>
      </c>
      <c r="G1130" s="57">
        <f>Database_Asfalt_Verwijderset[[#This Row],[Verbruik '[liter/kWh/kg per uur']]]*G$1278</f>
        <v>9.70954942280986E-2</v>
      </c>
      <c r="H1130" s="41">
        <v>0.78100000000000003</v>
      </c>
      <c r="I1130" s="45">
        <v>34.5</v>
      </c>
      <c r="J1130" s="55">
        <f>Database_Asfalt_Verwijderset[[#This Row],[Verbruik '[liter/kWh/kg per uur']]]*J$1278</f>
        <v>7.6910380608695642E-7</v>
      </c>
      <c r="K1130" s="55">
        <f>Database_Asfalt_Verwijderset[[#This Row],[Verbruik '[liter/kWh/kg per uur']]]*K$1278</f>
        <v>1.9000424634782608E-3</v>
      </c>
      <c r="L1130" s="55">
        <f>Database_Asfalt_Verwijderset[[#This Row],[Verbruik '[liter/kWh/kg per uur']]]*L$1278</f>
        <v>0.47407992241739128</v>
      </c>
      <c r="M1130" s="55">
        <f>Database_Asfalt_Verwijderset[[#This Row],[Verbruik '[liter/kWh/kg per uur']]]*M$1278</f>
        <v>2.9779958426086953E-8</v>
      </c>
      <c r="N1130" s="55">
        <f>Database_Asfalt_Verwijderset[[#This Row],[Verbruik '[liter/kWh/kg per uur']]]*N$1278</f>
        <v>3.4448328869565216E-4</v>
      </c>
      <c r="O1130" s="55">
        <f>Database_Asfalt_Verwijderset[[#This Row],[Verbruik '[liter/kWh/kg per uur']]]*O$1278</f>
        <v>1.7041631353043477E-3</v>
      </c>
      <c r="P1130" s="55">
        <f>Database_Asfalt_Verwijderset[[#This Row],[Verbruik '[liter/kWh/kg per uur']]]*P$1278</f>
        <v>7.4915723539130429E-4</v>
      </c>
      <c r="Q1130" s="55">
        <f>Database_Asfalt_Verwijderset[[#This Row],[Verbruik '[liter/kWh/kg per uur']]]*Q$1278</f>
        <v>0.26658767035999997</v>
      </c>
      <c r="R1130" s="55">
        <f>Database_Asfalt_Verwijderset[[#This Row],[Verbruik '[liter/kWh/kg per uur']]]*R$1278</f>
        <v>0.17499682730869565</v>
      </c>
      <c r="S1130" s="55">
        <f>Database_Asfalt_Verwijderset[[#This Row],[Verbruik '[liter/kWh/kg per uur']]]*S$1278</f>
        <v>11.569950178695652</v>
      </c>
      <c r="T1130" s="55">
        <f>Database_Asfalt_Verwijderset[[#This Row],[Verbruik '[liter/kWh/kg per uur']]]*T$1278</f>
        <v>7.7232907457391295E-2</v>
      </c>
      <c r="U1130" s="55"/>
      <c r="V1130" s="55"/>
      <c r="W1130" s="55"/>
      <c r="X1130" s="55"/>
      <c r="Y1130" s="55"/>
      <c r="Z1130" s="55"/>
      <c r="AA1130" s="55"/>
      <c r="AB1130" s="55"/>
      <c r="AC1130" s="55"/>
      <c r="AD1130" s="55"/>
      <c r="AE1130" s="55"/>
      <c r="AF1130" s="55"/>
      <c r="AG1130" s="55"/>
      <c r="AH1130" s="55"/>
      <c r="AI1130" s="55"/>
      <c r="AJ1130" s="55"/>
      <c r="AK1130" s="55"/>
      <c r="AL1130" s="55"/>
      <c r="AM1130" s="55"/>
      <c r="AN1130" s="55"/>
      <c r="AO1130" s="55"/>
      <c r="AP1130" s="55">
        <f>Database_Asfalt_Verwijderset[[#This Row],[Verbruik '[liter/kWh/kg per uur']]]*AP$1278</f>
        <v>0.84947567406086955</v>
      </c>
      <c r="AQ1130" s="55"/>
      <c r="AR1130" s="55"/>
      <c r="AS1130" s="55">
        <f>Database_Asfalt_Verwijderset[[#This Row],[Verbruik '[liter/kWh/kg per uur']]]*AS$1278</f>
        <v>3.9879340494782598</v>
      </c>
      <c r="AT1130" s="55"/>
      <c r="AU1130" s="55"/>
      <c r="AV1130" s="55"/>
      <c r="AW1130" s="55">
        <f>Database_Asfalt_Verwijderset[[#This Row],[Verbruik '[liter/kWh/kg per uur']]]*AW$1278</f>
        <v>6.6869975996521735E-3</v>
      </c>
      <c r="AX1130" s="55">
        <f>Database_Asfalt_Verwijderset[[#This Row],[Verbruik '[liter/kWh/kg per uur']]]*AX$1278</f>
        <v>2.1719362643478262E-5</v>
      </c>
      <c r="AY1130" s="55">
        <f>Database_Asfalt_Verwijderset[[#This Row],[Verbruik '[liter/kWh/kg per uur']]]*AY$1278</f>
        <v>8.4253800218260858E-2</v>
      </c>
      <c r="AZ1130" s="55">
        <f>Database_Asfalt_Verwijderset[[#This Row],[Verbruik '[liter/kWh/kg per uur']]]*AZ$1278</f>
        <v>0</v>
      </c>
      <c r="BA1130" s="55"/>
      <c r="BB1130" s="55"/>
      <c r="BC1130" s="55"/>
      <c r="BD1130" s="55"/>
      <c r="BE1130" s="55"/>
      <c r="BF1130" s="45"/>
      <c r="BG1130" s="41" t="s">
        <v>271</v>
      </c>
      <c r="BH1130" s="149">
        <v>400</v>
      </c>
    </row>
    <row r="1131" spans="1:60" x14ac:dyDescent="0.35">
      <c r="A1131" s="45" t="s">
        <v>266</v>
      </c>
      <c r="B1131" s="41" t="s">
        <v>93</v>
      </c>
      <c r="C1131" s="41" t="s">
        <v>447</v>
      </c>
      <c r="D1131" s="41" t="s">
        <v>450</v>
      </c>
      <c r="E1131" s="41" t="s">
        <v>65</v>
      </c>
      <c r="F1131" s="48">
        <f>$F$1122*($I$1122/Database_Asfalt_Verwijderset[[#This Row],[Stookwaarde '[MJ/liter']]])</f>
        <v>0.80124637681159416</v>
      </c>
      <c r="G1131" s="57">
        <f>Database_Asfalt_Verwijderset[[#This Row],[Verbruik '[liter/kWh/kg per uur']]]*G$1278</f>
        <v>0.22655615319889674</v>
      </c>
      <c r="H1131" s="41">
        <v>0.78100000000000003</v>
      </c>
      <c r="I1131" s="45">
        <v>34.5</v>
      </c>
      <c r="J1131" s="55">
        <f>Database_Asfalt_Verwijderset[[#This Row],[Verbruik '[liter/kWh/kg per uur']]]*J$1278</f>
        <v>1.7945755475362316E-6</v>
      </c>
      <c r="K1131" s="55">
        <f>Database_Asfalt_Verwijderset[[#This Row],[Verbruik '[liter/kWh/kg per uur']]]*K$1278</f>
        <v>4.4334324147826086E-3</v>
      </c>
      <c r="L1131" s="55">
        <f>Database_Asfalt_Verwijderset[[#This Row],[Verbruik '[liter/kWh/kg per uur']]]*L$1278</f>
        <v>1.1061864856405796</v>
      </c>
      <c r="M1131" s="55">
        <f>Database_Asfalt_Verwijderset[[#This Row],[Verbruik '[liter/kWh/kg per uur']]]*M$1278</f>
        <v>6.9486569660869562E-8</v>
      </c>
      <c r="N1131" s="55">
        <f>Database_Asfalt_Verwijderset[[#This Row],[Verbruik '[liter/kWh/kg per uur']]]*N$1278</f>
        <v>8.0379434028985503E-4</v>
      </c>
      <c r="O1131" s="55">
        <f>Database_Asfalt_Verwijderset[[#This Row],[Verbruik '[liter/kWh/kg per uur']]]*O$1278</f>
        <v>3.9763806490434777E-3</v>
      </c>
      <c r="P1131" s="55">
        <f>Database_Asfalt_Verwijderset[[#This Row],[Verbruik '[liter/kWh/kg per uur']]]*P$1278</f>
        <v>1.7480335492463769E-3</v>
      </c>
      <c r="Q1131" s="55">
        <f>Database_Asfalt_Verwijderset[[#This Row],[Verbruik '[liter/kWh/kg per uur']]]*Q$1278</f>
        <v>0.6220378975066666</v>
      </c>
      <c r="R1131" s="55">
        <f>Database_Asfalt_Verwijderset[[#This Row],[Verbruik '[liter/kWh/kg per uur']]]*R$1278</f>
        <v>0.40832593038695653</v>
      </c>
      <c r="S1131" s="55">
        <f>Database_Asfalt_Verwijderset[[#This Row],[Verbruik '[liter/kWh/kg per uur']]]*S$1278</f>
        <v>26.996550416956524</v>
      </c>
      <c r="T1131" s="55">
        <f>Database_Asfalt_Verwijderset[[#This Row],[Verbruik '[liter/kWh/kg per uur']]]*T$1278</f>
        <v>0.18021011740057968</v>
      </c>
      <c r="U1131" s="55"/>
      <c r="V1131" s="55"/>
      <c r="W1131" s="55"/>
      <c r="X1131" s="55"/>
      <c r="Y1131" s="55"/>
      <c r="Z1131" s="55"/>
      <c r="AA1131" s="55"/>
      <c r="AB1131" s="55"/>
      <c r="AC1131" s="55"/>
      <c r="AD1131" s="55"/>
      <c r="AE1131" s="55"/>
      <c r="AF1131" s="55"/>
      <c r="AG1131" s="55"/>
      <c r="AH1131" s="55"/>
      <c r="AI1131" s="55"/>
      <c r="AJ1131" s="55"/>
      <c r="AK1131" s="55"/>
      <c r="AL1131" s="55"/>
      <c r="AM1131" s="55"/>
      <c r="AN1131" s="55"/>
      <c r="AO1131" s="55"/>
      <c r="AP1131" s="55">
        <f>Database_Asfalt_Verwijderset[[#This Row],[Verbruik '[liter/kWh/kg per uur']]]*AP$1278</f>
        <v>1.9821099061420289</v>
      </c>
      <c r="AQ1131" s="55"/>
      <c r="AR1131" s="55"/>
      <c r="AS1131" s="55">
        <f>Database_Asfalt_Verwijderset[[#This Row],[Verbruik '[liter/kWh/kg per uur']]]*AS$1278</f>
        <v>9.3051794487826065</v>
      </c>
      <c r="AT1131" s="55"/>
      <c r="AU1131" s="55"/>
      <c r="AV1131" s="55"/>
      <c r="AW1131" s="55">
        <f>Database_Asfalt_Verwijderset[[#This Row],[Verbruik '[liter/kWh/kg per uur']]]*AW$1278</f>
        <v>1.5602994399188405E-2</v>
      </c>
      <c r="AX1131" s="55">
        <f>Database_Asfalt_Verwijderset[[#This Row],[Verbruik '[liter/kWh/kg per uur']]]*AX$1278</f>
        <v>5.0678512834782614E-5</v>
      </c>
      <c r="AY1131" s="55">
        <f>Database_Asfalt_Verwijderset[[#This Row],[Verbruik '[liter/kWh/kg per uur']]]*AY$1278</f>
        <v>0.19659220050927534</v>
      </c>
      <c r="AZ1131" s="55">
        <f>Database_Asfalt_Verwijderset[[#This Row],[Verbruik '[liter/kWh/kg per uur']]]*AZ$1278</f>
        <v>0</v>
      </c>
      <c r="BA1131" s="55"/>
      <c r="BB1131" s="55"/>
      <c r="BC1131" s="55"/>
      <c r="BD1131" s="55"/>
      <c r="BE1131" s="55"/>
      <c r="BF1131" s="45"/>
      <c r="BG1131" s="41" t="s">
        <v>271</v>
      </c>
      <c r="BH1131" s="150">
        <v>1000</v>
      </c>
    </row>
    <row r="1132" spans="1:60" x14ac:dyDescent="0.35">
      <c r="A1132" s="45" t="s">
        <v>267</v>
      </c>
      <c r="B1132" s="41" t="s">
        <v>93</v>
      </c>
      <c r="C1132" s="41" t="s">
        <v>447</v>
      </c>
      <c r="D1132" s="41" t="s">
        <v>450</v>
      </c>
      <c r="E1132" s="41" t="s">
        <v>65</v>
      </c>
      <c r="F1132" s="48">
        <f>$F$1123*($I$1123/Database_Asfalt_Verwijderset[[#This Row],[Stookwaarde '[MJ/liter']]])</f>
        <v>0.44744927536231882</v>
      </c>
      <c r="G1132" s="57">
        <f>Database_Asfalt_Verwijderset[[#This Row],[Verbruik '[liter/kWh/kg per uur']]]*G$1278</f>
        <v>0.12651837126691637</v>
      </c>
      <c r="H1132" s="41">
        <v>0.78100000000000003</v>
      </c>
      <c r="I1132" s="45">
        <v>34.5</v>
      </c>
      <c r="J1132" s="55">
        <f>Database_Asfalt_Verwijderset[[#This Row],[Verbruik '[liter/kWh/kg per uur']]]*J$1278</f>
        <v>1.0021655655072464E-6</v>
      </c>
      <c r="K1132" s="55">
        <f>Database_Asfalt_Verwijderset[[#This Row],[Verbruik '[liter/kWh/kg per uur']]]*K$1278</f>
        <v>2.475812906956522E-3</v>
      </c>
      <c r="L1132" s="55">
        <f>Database_Asfalt_Verwijderset[[#This Row],[Verbruik '[liter/kWh/kg per uur']]]*L$1278</f>
        <v>0.61774050496811594</v>
      </c>
      <c r="M1132" s="55">
        <f>Database_Asfalt_Verwijderset[[#This Row],[Verbruik '[liter/kWh/kg per uur']]]*M$1278</f>
        <v>3.8804188252173906E-8</v>
      </c>
      <c r="N1132" s="55">
        <f>Database_Asfalt_Verwijderset[[#This Row],[Verbruik '[liter/kWh/kg per uur']]]*N$1278</f>
        <v>4.4887216405797099E-4</v>
      </c>
      <c r="O1132" s="55">
        <f>Database_Asfalt_Verwijderset[[#This Row],[Verbruik '[liter/kWh/kg per uur']]]*O$1278</f>
        <v>2.2205762066086956E-3</v>
      </c>
      <c r="P1132" s="55">
        <f>Database_Asfalt_Verwijderset[[#This Row],[Verbruik '[liter/kWh/kg per uur']]]*P$1278</f>
        <v>9.7617457944927535E-4</v>
      </c>
      <c r="Q1132" s="55">
        <f>Database_Asfalt_Verwijderset[[#This Row],[Verbruik '[liter/kWh/kg per uur']]]*Q$1278</f>
        <v>0.3473718128933333</v>
      </c>
      <c r="R1132" s="55">
        <f>Database_Asfalt_Verwijderset[[#This Row],[Verbruik '[liter/kWh/kg per uur']]]*R$1278</f>
        <v>0.2280261689173913</v>
      </c>
      <c r="S1132" s="55">
        <f>Database_Asfalt_Verwijderset[[#This Row],[Verbruik '[liter/kWh/kg per uur']]]*S$1278</f>
        <v>15.075995687391305</v>
      </c>
      <c r="T1132" s="55">
        <f>Database_Asfalt_Verwijderset[[#This Row],[Verbruik '[liter/kWh/kg per uur']]]*T$1278</f>
        <v>0.10063681880811592</v>
      </c>
      <c r="U1132" s="55"/>
      <c r="V1132" s="55"/>
      <c r="W1132" s="55"/>
      <c r="X1132" s="55"/>
      <c r="Y1132" s="55"/>
      <c r="Z1132" s="55"/>
      <c r="AA1132" s="55"/>
      <c r="AB1132" s="55"/>
      <c r="AC1132" s="55"/>
      <c r="AD1132" s="55"/>
      <c r="AE1132" s="55"/>
      <c r="AF1132" s="55"/>
      <c r="AG1132" s="55"/>
      <c r="AH1132" s="55"/>
      <c r="AI1132" s="55"/>
      <c r="AJ1132" s="55"/>
      <c r="AK1132" s="55"/>
      <c r="AL1132" s="55"/>
      <c r="AM1132" s="55"/>
      <c r="AN1132" s="55"/>
      <c r="AO1132" s="55"/>
      <c r="AP1132" s="55">
        <f>Database_Asfalt_Verwijderset[[#This Row],[Verbruik '[liter/kWh/kg per uur']]]*AP$1278</f>
        <v>1.1068925449884057</v>
      </c>
      <c r="AQ1132" s="55"/>
      <c r="AR1132" s="55"/>
      <c r="AS1132" s="55">
        <f>Database_Asfalt_Verwijderset[[#This Row],[Verbruik '[liter/kWh/kg per uur']]]*AS$1278</f>
        <v>5.1963989129565205</v>
      </c>
      <c r="AT1132" s="55"/>
      <c r="AU1132" s="55"/>
      <c r="AV1132" s="55"/>
      <c r="AW1132" s="55">
        <f>Database_Asfalt_Verwijderset[[#This Row],[Verbruik '[liter/kWh/kg per uur']]]*AW$1278</f>
        <v>8.7133605086376804E-3</v>
      </c>
      <c r="AX1132" s="55">
        <f>Database_Asfalt_Verwijderset[[#This Row],[Verbruik '[liter/kWh/kg per uur']]]*AX$1278</f>
        <v>2.8300987686956524E-5</v>
      </c>
      <c r="AY1132" s="55">
        <f>Database_Asfalt_Verwijderset[[#This Row],[Verbruik '[liter/kWh/kg per uur']]]*AY$1278</f>
        <v>0.10978525482985507</v>
      </c>
      <c r="AZ1132" s="55">
        <f>Database_Asfalt_Verwijderset[[#This Row],[Verbruik '[liter/kWh/kg per uur']]]*AZ$1278</f>
        <v>0</v>
      </c>
      <c r="BA1132" s="55"/>
      <c r="BB1132" s="55"/>
      <c r="BC1132" s="55"/>
      <c r="BD1132" s="55"/>
      <c r="BE1132" s="55"/>
      <c r="BF1132" s="45"/>
      <c r="BG1132" s="41" t="s">
        <v>271</v>
      </c>
      <c r="BH1132" s="149">
        <v>2000</v>
      </c>
    </row>
    <row r="1133" spans="1:60" ht="15.5" x14ac:dyDescent="0.45">
      <c r="A1133" s="45" t="s">
        <v>268</v>
      </c>
      <c r="B1133" s="41" t="s">
        <v>93</v>
      </c>
      <c r="C1133" s="41" t="s">
        <v>447</v>
      </c>
      <c r="D1133" s="41" t="s">
        <v>450</v>
      </c>
      <c r="E1133" s="41" t="s">
        <v>65</v>
      </c>
      <c r="F1133" s="48">
        <f>$F$1121*($I$1121/Database_Asfalt_Verwijderset[[#This Row],[Stookwaarde '[MJ/liter']]])</f>
        <v>0.34438953488372098</v>
      </c>
      <c r="G1133" s="57">
        <f>Database_Asfalt_Verwijderset[[#This Row],[Verbruik '[liter/kWh/kg per uur']]]*G$1279</f>
        <v>2.3727319779372799E-2</v>
      </c>
      <c r="H1133" s="46">
        <v>0.78</v>
      </c>
      <c r="I1133" s="45">
        <v>34.4</v>
      </c>
      <c r="J1133" s="55">
        <f>Database_Asfalt_Verwijderset[[#This Row],[Verbruik '[liter/kWh/kg per uur']]]*J$1279</f>
        <v>4.7094899365377917E-7</v>
      </c>
      <c r="K1133" s="55">
        <f>Database_Asfalt_Verwijderset[[#This Row],[Verbruik '[liter/kWh/kg per uur']]]*K$1279</f>
        <v>1.2919109576489845E-3</v>
      </c>
      <c r="L1133" s="55">
        <f>Database_Asfalt_Verwijderset[[#This Row],[Verbruik '[liter/kWh/kg per uur']]]*L$1279</f>
        <v>0.13747178251445952</v>
      </c>
      <c r="M1133" s="55">
        <f>Database_Asfalt_Verwijderset[[#This Row],[Verbruik '[liter/kWh/kg per uur']]]*M$1279</f>
        <v>1.7737968964534886E-8</v>
      </c>
      <c r="N1133" s="55">
        <f>Database_Asfalt_Verwijderset[[#This Row],[Verbruik '[liter/kWh/kg per uur']]]*N$1279</f>
        <v>1.5173015705854972E-4</v>
      </c>
      <c r="O1133" s="55">
        <f>Database_Asfalt_Verwijderset[[#This Row],[Verbruik '[liter/kWh/kg per uur']]]*O$1279</f>
        <v>7.0294222050207484E-4</v>
      </c>
      <c r="P1133" s="55">
        <f>Database_Asfalt_Verwijderset[[#This Row],[Verbruik '[liter/kWh/kg per uur']]]*P$1279</f>
        <v>1.2742038769542822E-4</v>
      </c>
      <c r="Q1133" s="55">
        <f>Database_Asfalt_Verwijderset[[#This Row],[Verbruik '[liter/kWh/kg per uur']]]*Q$1279</f>
        <v>0.13318579340294925</v>
      </c>
      <c r="R1133" s="55">
        <f>Database_Asfalt_Verwijderset[[#This Row],[Verbruik '[liter/kWh/kg per uur']]]*R$1279</f>
        <v>9.6275485940988767E-4</v>
      </c>
      <c r="S1133" s="55">
        <f>Database_Asfalt_Verwijderset[[#This Row],[Verbruik '[liter/kWh/kg per uur']]]*S$1279</f>
        <v>3.3133857166487348</v>
      </c>
      <c r="T1133" s="55">
        <f>Database_Asfalt_Verwijderset[[#This Row],[Verbruik '[liter/kWh/kg per uur']]]*T$1279</f>
        <v>6.2436833926898122E-4</v>
      </c>
      <c r="U1133" s="55"/>
      <c r="V1133" s="55"/>
      <c r="W1133" s="55"/>
      <c r="X1133" s="55"/>
      <c r="Y1133" s="55"/>
      <c r="Z1133" s="55"/>
      <c r="AA1133" s="55"/>
      <c r="AB1133" s="55"/>
      <c r="AC1133" s="55"/>
      <c r="AD1133" s="55"/>
      <c r="AE1133" s="55"/>
      <c r="AF1133" s="55"/>
      <c r="AG1133" s="55"/>
      <c r="AH1133" s="55"/>
      <c r="AI1133" s="55"/>
      <c r="AJ1133" s="55"/>
      <c r="AK1133" s="55"/>
      <c r="AL1133" s="55"/>
      <c r="AM1133" s="55"/>
      <c r="AN1133" s="55"/>
      <c r="AO1133" s="55"/>
      <c r="AP1133" s="55">
        <f>Database_Asfalt_Verwijderset[[#This Row],[Verbruik '[liter/kWh/kg per uur']]]*AP$1279</f>
        <v>8.8826291247249098E-2</v>
      </c>
      <c r="AQ1133" s="55"/>
      <c r="AR1133" s="55"/>
      <c r="AS1133" s="55">
        <f>Database_Asfalt_Verwijderset[[#This Row],[Verbruik '[liter/kWh/kg per uur']]]*AS$1279</f>
        <v>2.7228798590238936</v>
      </c>
      <c r="AT1133" s="55"/>
      <c r="AU1133" s="55"/>
      <c r="AV1133" s="55"/>
      <c r="AW1133" s="55">
        <f>Database_Asfalt_Verwijderset[[#This Row],[Verbruik '[liter/kWh/kg per uur']]]*AW$1279</f>
        <v>6.8398152908696083E-4</v>
      </c>
      <c r="AX1133" s="55">
        <f>Database_Asfalt_Verwijderset[[#This Row],[Verbruik '[liter/kWh/kg per uur']]]*AX$1279</f>
        <v>1.1041903313167154E-5</v>
      </c>
      <c r="AY1133" s="55">
        <f>Database_Asfalt_Verwijderset[[#This Row],[Verbruik '[liter/kWh/kg per uur']]]*AY$1279</f>
        <v>2.5859262132215493E-2</v>
      </c>
      <c r="AZ1133" s="55">
        <f>Database_Asfalt_Verwijderset[[#This Row],[Verbruik '[liter/kWh/kg per uur']]]*AZ$1279</f>
        <v>6.6321550985058144E-6</v>
      </c>
      <c r="BA1133" s="55"/>
      <c r="BB1133" s="55"/>
      <c r="BC1133" s="55"/>
      <c r="BD1133" s="55"/>
      <c r="BE1133" s="55"/>
      <c r="BF1133" s="45"/>
      <c r="BG1133" s="41" t="s">
        <v>271</v>
      </c>
      <c r="BH1133" s="150">
        <v>400</v>
      </c>
    </row>
    <row r="1134" spans="1:60" ht="15.5" x14ac:dyDescent="0.45">
      <c r="A1134" s="45" t="s">
        <v>269</v>
      </c>
      <c r="B1134" s="41" t="s">
        <v>93</v>
      </c>
      <c r="C1134" s="41" t="s">
        <v>447</v>
      </c>
      <c r="D1134" s="41" t="s">
        <v>450</v>
      </c>
      <c r="E1134" s="41" t="s">
        <v>65</v>
      </c>
      <c r="F1134" s="48">
        <f>$F$1122*($I$1122/Database_Asfalt_Verwijderset[[#This Row],[Stookwaarde '[MJ/liter']]])</f>
        <v>0.8035755813953489</v>
      </c>
      <c r="G1134" s="57">
        <f>Database_Asfalt_Verwijderset[[#This Row],[Verbruik '[liter/kWh/kg per uur']]]*G$1279</f>
        <v>5.5363746151869862E-2</v>
      </c>
      <c r="H1134" s="46">
        <v>0.78</v>
      </c>
      <c r="I1134" s="45">
        <v>34.4</v>
      </c>
      <c r="J1134" s="55">
        <f>Database_Asfalt_Verwijderset[[#This Row],[Verbruik '[liter/kWh/kg per uur']]]*J$1279</f>
        <v>1.0988809851921513E-6</v>
      </c>
      <c r="K1134" s="55">
        <f>Database_Asfalt_Verwijderset[[#This Row],[Verbruik '[liter/kWh/kg per uur']]]*K$1279</f>
        <v>3.0144589011809634E-3</v>
      </c>
      <c r="L1134" s="55">
        <f>Database_Asfalt_Verwijderset[[#This Row],[Verbruik '[liter/kWh/kg per uur']]]*L$1279</f>
        <v>0.32076749253373882</v>
      </c>
      <c r="M1134" s="55">
        <f>Database_Asfalt_Verwijderset[[#This Row],[Verbruik '[liter/kWh/kg per uur']]]*M$1279</f>
        <v>4.1388594250581394E-8</v>
      </c>
      <c r="N1134" s="55">
        <f>Database_Asfalt_Verwijderset[[#This Row],[Verbruik '[liter/kWh/kg per uur']]]*N$1279</f>
        <v>3.5403703313661598E-4</v>
      </c>
      <c r="O1134" s="55">
        <f>Database_Asfalt_Verwijderset[[#This Row],[Verbruik '[liter/kWh/kg per uur']]]*O$1279</f>
        <v>1.6401985145048411E-3</v>
      </c>
      <c r="P1134" s="55">
        <f>Database_Asfalt_Verwijderset[[#This Row],[Verbruik '[liter/kWh/kg per uur']]]*P$1279</f>
        <v>2.9731423795599916E-4</v>
      </c>
      <c r="Q1134" s="55">
        <f>Database_Asfalt_Verwijderset[[#This Row],[Verbruik '[liter/kWh/kg per uur']]]*Q$1279</f>
        <v>0.31076685127354825</v>
      </c>
      <c r="R1134" s="55">
        <f>Database_Asfalt_Verwijderset[[#This Row],[Verbruik '[liter/kWh/kg per uur']]]*R$1279</f>
        <v>2.2464280052897378E-3</v>
      </c>
      <c r="S1134" s="55">
        <f>Database_Asfalt_Verwijderset[[#This Row],[Verbruik '[liter/kWh/kg per uur']]]*S$1279</f>
        <v>7.7312333388470478</v>
      </c>
      <c r="T1134" s="55">
        <f>Database_Asfalt_Verwijderset[[#This Row],[Verbruik '[liter/kWh/kg per uur']]]*T$1279</f>
        <v>1.4568594582942893E-3</v>
      </c>
      <c r="U1134" s="55"/>
      <c r="V1134" s="55"/>
      <c r="W1134" s="55"/>
      <c r="X1134" s="55"/>
      <c r="Y1134" s="55"/>
      <c r="Z1134" s="55"/>
      <c r="AA1134" s="55"/>
      <c r="AB1134" s="55"/>
      <c r="AC1134" s="55"/>
      <c r="AD1134" s="55"/>
      <c r="AE1134" s="55"/>
      <c r="AF1134" s="55"/>
      <c r="AG1134" s="55"/>
      <c r="AH1134" s="55"/>
      <c r="AI1134" s="55"/>
      <c r="AJ1134" s="55"/>
      <c r="AK1134" s="55"/>
      <c r="AL1134" s="55"/>
      <c r="AM1134" s="55"/>
      <c r="AN1134" s="55"/>
      <c r="AO1134" s="55"/>
      <c r="AP1134" s="55">
        <f>Database_Asfalt_Verwijderset[[#This Row],[Verbruik '[liter/kWh/kg per uur']]]*AP$1279</f>
        <v>0.20726134624358122</v>
      </c>
      <c r="AQ1134" s="55"/>
      <c r="AR1134" s="55"/>
      <c r="AS1134" s="55">
        <f>Database_Asfalt_Verwijderset[[#This Row],[Verbruik '[liter/kWh/kg per uur']]]*AS$1279</f>
        <v>6.3533863377224176</v>
      </c>
      <c r="AT1134" s="55"/>
      <c r="AU1134" s="55"/>
      <c r="AV1134" s="55"/>
      <c r="AW1134" s="55">
        <f>Database_Asfalt_Verwijderset[[#This Row],[Verbruik '[liter/kWh/kg per uur']]]*AW$1279</f>
        <v>1.5959569012029085E-3</v>
      </c>
      <c r="AX1134" s="55">
        <f>Database_Asfalt_Verwijderset[[#This Row],[Verbruik '[liter/kWh/kg per uur']]]*AX$1279</f>
        <v>2.5764441064056689E-5</v>
      </c>
      <c r="AY1134" s="55">
        <f>Database_Asfalt_Verwijderset[[#This Row],[Verbruik '[liter/kWh/kg per uur']]]*AY$1279</f>
        <v>6.0338278308502809E-2</v>
      </c>
      <c r="AZ1134" s="55">
        <f>Database_Asfalt_Verwijderset[[#This Row],[Verbruik '[liter/kWh/kg per uur']]]*AZ$1279</f>
        <v>1.5475028563180233E-5</v>
      </c>
      <c r="BA1134" s="55"/>
      <c r="BB1134" s="55"/>
      <c r="BC1134" s="55"/>
      <c r="BD1134" s="55"/>
      <c r="BE1134" s="55"/>
      <c r="BF1134" s="45"/>
      <c r="BG1134" s="41" t="s">
        <v>271</v>
      </c>
      <c r="BH1134" s="149">
        <v>1000</v>
      </c>
    </row>
    <row r="1135" spans="1:60" ht="15.5" x14ac:dyDescent="0.45">
      <c r="A1135" s="45" t="s">
        <v>270</v>
      </c>
      <c r="B1135" s="41" t="s">
        <v>93</v>
      </c>
      <c r="C1135" s="41" t="s">
        <v>447</v>
      </c>
      <c r="D1135" s="41" t="s">
        <v>450</v>
      </c>
      <c r="E1135" s="41" t="s">
        <v>65</v>
      </c>
      <c r="F1135" s="48">
        <f>$F$1123*($I$1123/Database_Asfalt_Verwijderset[[#This Row],[Stookwaarde '[MJ/liter']]])</f>
        <v>0.44875000000000004</v>
      </c>
      <c r="G1135" s="57">
        <f>Database_Asfalt_Verwijderset[[#This Row],[Verbruik '[liter/kWh/kg per uur']]]*G$1279</f>
        <v>3.0917416682213039E-2</v>
      </c>
      <c r="H1135" s="46">
        <v>0.78</v>
      </c>
      <c r="I1135" s="45">
        <v>34.4</v>
      </c>
      <c r="J1135" s="55">
        <f>Database_Asfalt_Verwijderset[[#This Row],[Verbruik '[liter/kWh/kg per uur']]]*J$1279</f>
        <v>6.136608099125001E-7</v>
      </c>
      <c r="K1135" s="55">
        <f>Database_Asfalt_Verwijderset[[#This Row],[Verbruik '[liter/kWh/kg per uur']]]*K$1279</f>
        <v>1.6833991266335252E-3</v>
      </c>
      <c r="L1135" s="55">
        <f>Database_Asfalt_Verwijderset[[#This Row],[Verbruik '[liter/kWh/kg per uur']]]*L$1279</f>
        <v>0.17912989842793209</v>
      </c>
      <c r="M1135" s="55">
        <f>Database_Asfalt_Verwijderset[[#This Row],[Verbruik '[liter/kWh/kg per uur']]]*M$1279</f>
        <v>2.3113111075000002E-8</v>
      </c>
      <c r="N1135" s="55">
        <f>Database_Asfalt_Verwijderset[[#This Row],[Verbruik '[liter/kWh/kg per uur']]]*N$1279</f>
        <v>1.9770899253083752E-4</v>
      </c>
      <c r="O1135" s="55">
        <f>Database_Asfalt_Verwijderset[[#This Row],[Verbruik '[liter/kWh/kg per uur']]]*O$1279</f>
        <v>9.1595501459361254E-4</v>
      </c>
      <c r="P1135" s="55">
        <f>Database_Asfalt_Verwijderset[[#This Row],[Verbruik '[liter/kWh/kg per uur']]]*P$1279</f>
        <v>1.6603262639101253E-4</v>
      </c>
      <c r="Q1135" s="55">
        <f>Database_Asfalt_Verwijderset[[#This Row],[Verbruik '[liter/kWh/kg per uur']]]*Q$1279</f>
        <v>0.17354512473717629</v>
      </c>
      <c r="R1135" s="55">
        <f>Database_Asfalt_Verwijderset[[#This Row],[Verbruik '[liter/kWh/kg per uur']]]*R$1279</f>
        <v>1.2544987562007628E-3</v>
      </c>
      <c r="S1135" s="55">
        <f>Database_Asfalt_Verwijderset[[#This Row],[Verbruik '[liter/kWh/kg per uur']]]*S$1279</f>
        <v>4.3174419944210785</v>
      </c>
      <c r="T1135" s="55">
        <f>Database_Asfalt_Verwijderset[[#This Row],[Verbruik '[liter/kWh/kg per uur']]]*T$1279</f>
        <v>8.1357086632018758E-4</v>
      </c>
      <c r="U1135" s="55"/>
      <c r="V1135" s="55"/>
      <c r="W1135" s="55"/>
      <c r="X1135" s="55"/>
      <c r="Y1135" s="55"/>
      <c r="Z1135" s="55"/>
      <c r="AA1135" s="55"/>
      <c r="AB1135" s="55"/>
      <c r="AC1135" s="55"/>
      <c r="AD1135" s="55"/>
      <c r="AE1135" s="55"/>
      <c r="AF1135" s="55"/>
      <c r="AG1135" s="55"/>
      <c r="AH1135" s="55"/>
      <c r="AI1135" s="55"/>
      <c r="AJ1135" s="55"/>
      <c r="AK1135" s="55"/>
      <c r="AL1135" s="55"/>
      <c r="AM1135" s="55"/>
      <c r="AN1135" s="55"/>
      <c r="AO1135" s="55"/>
      <c r="AP1135" s="55">
        <f>Database_Asfalt_Verwijderset[[#This Row],[Verbruik '[liter/kWh/kg per uur']]]*AP$1279</f>
        <v>0.11574334920096094</v>
      </c>
      <c r="AQ1135" s="55"/>
      <c r="AR1135" s="55"/>
      <c r="AS1135" s="55">
        <f>Database_Asfalt_Verwijderset[[#This Row],[Verbruik '[liter/kWh/kg per uur']]]*AS$1279</f>
        <v>3.5479949678190126</v>
      </c>
      <c r="AT1135" s="55"/>
      <c r="AU1135" s="55"/>
      <c r="AV1135" s="55"/>
      <c r="AW1135" s="55">
        <f>Database_Asfalt_Verwijderset[[#This Row],[Verbruik '[liter/kWh/kg per uur']]]*AW$1279</f>
        <v>8.9124865911331262E-4</v>
      </c>
      <c r="AX1135" s="55">
        <f>Database_Asfalt_Verwijderset[[#This Row],[Verbruik '[liter/kWh/kg per uur']]]*AX$1279</f>
        <v>1.4387934620187501E-5</v>
      </c>
      <c r="AY1135" s="55">
        <f>Database_Asfalt_Verwijderset[[#This Row],[Verbruik '[liter/kWh/kg per uur']]]*AY$1279</f>
        <v>3.3695402172280793E-2</v>
      </c>
      <c r="AZ1135" s="55">
        <f>Database_Asfalt_Verwijderset[[#This Row],[Verbruik '[liter/kWh/kg per uur']]]*AZ$1279</f>
        <v>8.6418990677499997E-6</v>
      </c>
      <c r="BA1135" s="55"/>
      <c r="BB1135" s="55"/>
      <c r="BC1135" s="55"/>
      <c r="BD1135" s="55"/>
      <c r="BE1135" s="55"/>
      <c r="BF1135" s="45"/>
      <c r="BG1135" s="41" t="s">
        <v>271</v>
      </c>
      <c r="BH1135" s="150">
        <v>2000</v>
      </c>
    </row>
    <row r="1136" spans="1:60" ht="15.5" x14ac:dyDescent="0.45">
      <c r="A1136" s="45" t="s">
        <v>285</v>
      </c>
      <c r="B1136" s="45" t="s">
        <v>93</v>
      </c>
      <c r="C1136" s="41" t="s">
        <v>447</v>
      </c>
      <c r="D1136" s="41" t="s">
        <v>450</v>
      </c>
      <c r="E1136" s="45" t="s">
        <v>65</v>
      </c>
      <c r="F1136" s="45">
        <f t="shared" ref="F1136:F1141" si="1176">F1118*3.1</f>
        <v>1.0230000000000001</v>
      </c>
      <c r="G1136" s="57">
        <f>Database_Asfalt_Verwijderset[[#This Row],[Verbruik '[liter/kWh/kg per uur']]]*G1285</f>
        <v>6.649084866600001E-2</v>
      </c>
      <c r="H1136" s="45"/>
      <c r="I1136" s="59">
        <v>3.6</v>
      </c>
      <c r="J1136" s="55">
        <f>Database_Asfalt_Verwijderset[[#This Row],[Verbruik '[liter/kWh/kg per uur']]]*J1285</f>
        <v>1.8311700000000003E-5</v>
      </c>
      <c r="K1136" s="55">
        <f>Database_Asfalt_Verwijderset[[#This Row],[Verbruik '[liter/kWh/kg per uur']]]*K1285</f>
        <v>1.6061100000000002E-3</v>
      </c>
      <c r="L1136" s="55">
        <f>Database_Asfalt_Verwijderset[[#This Row],[Verbruik '[liter/kWh/kg per uur']]]*L1285</f>
        <v>0.23017500000000005</v>
      </c>
      <c r="M1136" s="55">
        <f>Database_Asfalt_Verwijderset[[#This Row],[Verbruik '[liter/kWh/kg per uur']]]*M1285</f>
        <v>2.3119800000000004E-8</v>
      </c>
      <c r="N1136" s="55">
        <f>Database_Asfalt_Verwijderset[[#This Row],[Verbruik '[liter/kWh/kg per uur']]]*N1285</f>
        <v>2.9973900000000004E-4</v>
      </c>
      <c r="O1136" s="55">
        <f>Database_Asfalt_Verwijderset[[#This Row],[Verbruik '[liter/kWh/kg per uur']]]*O1285</f>
        <v>2.1994500000000004E-3</v>
      </c>
      <c r="P1136" s="55">
        <f>Database_Asfalt_Verwijderset[[#This Row],[Verbruik '[liter/kWh/kg per uur']]]*P1285</f>
        <v>3.1099200000000006E-4</v>
      </c>
      <c r="Q1136" s="55">
        <f>Database_Asfalt_Verwijderset[[#This Row],[Verbruik '[liter/kWh/kg per uur']]]*Q1285</f>
        <v>0.43477500000000002</v>
      </c>
      <c r="R1136" s="55">
        <f>Database_Asfalt_Verwijderset[[#This Row],[Verbruik '[liter/kWh/kg per uur']]]*R1285</f>
        <v>7.2019200000000014E-3</v>
      </c>
      <c r="S1136" s="55">
        <f>Database_Asfalt_Verwijderset[[#This Row],[Verbruik '[liter/kWh/kg per uur']]]*S1285</f>
        <v>23.631300000000003</v>
      </c>
      <c r="T1136" s="55">
        <f>Database_Asfalt_Verwijderset[[#This Row],[Verbruik '[liter/kWh/kg per uur']]]*T1285</f>
        <v>1.3605900000000001E-2</v>
      </c>
      <c r="U1136" s="55"/>
      <c r="V1136" s="55"/>
      <c r="W1136" s="55"/>
      <c r="X1136" s="55"/>
      <c r="Y1136" s="55"/>
      <c r="Z1136" s="55"/>
      <c r="AA1136" s="55"/>
      <c r="AB1136" s="55"/>
      <c r="AC1136" s="55"/>
      <c r="AD1136" s="55"/>
      <c r="AE1136" s="55"/>
      <c r="AF1136" s="55"/>
      <c r="AG1136" s="55"/>
      <c r="AH1136" s="55"/>
      <c r="AI1136" s="55"/>
      <c r="AJ1136" s="55"/>
      <c r="AK1136" s="55"/>
      <c r="AL1136" s="55"/>
      <c r="AM1136" s="55"/>
      <c r="AN1136" s="55"/>
      <c r="AO1136" s="55"/>
      <c r="AP1136" s="55">
        <f>Database_Asfalt_Verwijderset[[#This Row],[Verbruik '[liter/kWh/kg per uur']]]*AP1285</f>
        <v>8.9001000000000001</v>
      </c>
      <c r="AQ1136" s="55"/>
      <c r="AR1136" s="55"/>
      <c r="AS1136" s="55">
        <f>Database_Asfalt_Verwijderset[[#This Row],[Verbruik '[liter/kWh/kg per uur']]]*AS1285</f>
        <v>3.1406100000000001</v>
      </c>
      <c r="AT1136" s="55"/>
      <c r="AU1136" s="55"/>
      <c r="AV1136" s="55"/>
      <c r="AW1136" s="55">
        <f>Database_Asfalt_Verwijderset[[#This Row],[Verbruik '[liter/kWh/kg per uur']]]*AW1285</f>
        <v>8.9001000000000001</v>
      </c>
      <c r="AX1136" s="55">
        <f>Database_Asfalt_Verwijderset[[#This Row],[Verbruik '[liter/kWh/kg per uur']]]*AX1285</f>
        <v>4.1943000000000008E-5</v>
      </c>
      <c r="AY1136" s="55">
        <f>Database_Asfalt_Verwijderset[[#This Row],[Verbruik '[liter/kWh/kg per uur']]]*AY1285</f>
        <v>7.7850300000000011E-2</v>
      </c>
      <c r="AZ1136" s="55">
        <f>Database_Asfalt_Verwijderset[[#This Row],[Verbruik '[liter/kWh/kg per uur']]]*AZ1285</f>
        <v>9.2274600000000016E-6</v>
      </c>
      <c r="BA1136" s="55"/>
      <c r="BB1136" s="55"/>
      <c r="BC1136" s="55"/>
      <c r="BD1136" s="55"/>
      <c r="BE1136" s="55"/>
      <c r="BF1136" s="45" t="s">
        <v>277</v>
      </c>
      <c r="BG1136" s="45" t="s">
        <v>276</v>
      </c>
      <c r="BH1136" s="149">
        <v>400</v>
      </c>
    </row>
    <row r="1137" spans="1:63" ht="15.5" x14ac:dyDescent="0.45">
      <c r="A1137" s="45" t="s">
        <v>286</v>
      </c>
      <c r="B1137" s="45" t="s">
        <v>93</v>
      </c>
      <c r="C1137" s="41" t="s">
        <v>447</v>
      </c>
      <c r="D1137" s="41" t="s">
        <v>450</v>
      </c>
      <c r="E1137" s="45" t="s">
        <v>65</v>
      </c>
      <c r="F1137" s="45">
        <f t="shared" si="1176"/>
        <v>2.387</v>
      </c>
      <c r="G1137" s="57">
        <f>Database_Asfalt_Verwijderset[[#This Row],[Verbruik '[liter/kWh/kg per uur']]]*G1285</f>
        <v>0.15514531355399999</v>
      </c>
      <c r="H1137" s="45"/>
      <c r="I1137" s="59">
        <v>3.6</v>
      </c>
      <c r="J1137" s="55">
        <f>Database_Asfalt_Verwijderset[[#This Row],[Verbruik '[liter/kWh/kg per uur']]]*J1285</f>
        <v>4.2727300000000007E-5</v>
      </c>
      <c r="K1137" s="55">
        <f>Database_Asfalt_Verwijderset[[#This Row],[Verbruik '[liter/kWh/kg per uur']]]*K1285</f>
        <v>3.7475899999999999E-3</v>
      </c>
      <c r="L1137" s="55">
        <f>Database_Asfalt_Verwijderset[[#This Row],[Verbruik '[liter/kWh/kg per uur']]]*L1285</f>
        <v>0.53707499999999997</v>
      </c>
      <c r="M1137" s="55">
        <f>Database_Asfalt_Verwijderset[[#This Row],[Verbruik '[liter/kWh/kg per uur']]]*M1285</f>
        <v>5.3946200000000003E-8</v>
      </c>
      <c r="N1137" s="55">
        <f>Database_Asfalt_Verwijderset[[#This Row],[Verbruik '[liter/kWh/kg per uur']]]*N1285</f>
        <v>6.9939100000000005E-4</v>
      </c>
      <c r="O1137" s="55">
        <f>Database_Asfalt_Verwijderset[[#This Row],[Verbruik '[liter/kWh/kg per uur']]]*O1285</f>
        <v>5.13205E-3</v>
      </c>
      <c r="P1137" s="55">
        <f>Database_Asfalt_Verwijderset[[#This Row],[Verbruik '[liter/kWh/kg per uur']]]*P1285</f>
        <v>7.2564800000000007E-4</v>
      </c>
      <c r="Q1137" s="55">
        <f>Database_Asfalt_Verwijderset[[#This Row],[Verbruik '[liter/kWh/kg per uur']]]*Q1285</f>
        <v>1.014475</v>
      </c>
      <c r="R1137" s="55">
        <f>Database_Asfalt_Verwijderset[[#This Row],[Verbruik '[liter/kWh/kg per uur']]]*R1285</f>
        <v>1.680448E-2</v>
      </c>
      <c r="S1137" s="55">
        <f>Database_Asfalt_Verwijderset[[#This Row],[Verbruik '[liter/kWh/kg per uur']]]*S1285</f>
        <v>55.139700000000005</v>
      </c>
      <c r="T1137" s="55">
        <f>Database_Asfalt_Verwijderset[[#This Row],[Verbruik '[liter/kWh/kg per uur']]]*T1285</f>
        <v>3.17471E-2</v>
      </c>
      <c r="U1137" s="55"/>
      <c r="V1137" s="55"/>
      <c r="W1137" s="55"/>
      <c r="X1137" s="55"/>
      <c r="Y1137" s="55"/>
      <c r="Z1137" s="55"/>
      <c r="AA1137" s="55"/>
      <c r="AB1137" s="55"/>
      <c r="AC1137" s="55"/>
      <c r="AD1137" s="55"/>
      <c r="AE1137" s="55"/>
      <c r="AF1137" s="55"/>
      <c r="AG1137" s="55"/>
      <c r="AH1137" s="55"/>
      <c r="AI1137" s="55"/>
      <c r="AJ1137" s="55"/>
      <c r="AK1137" s="55"/>
      <c r="AL1137" s="55"/>
      <c r="AM1137" s="55"/>
      <c r="AN1137" s="55"/>
      <c r="AO1137" s="55"/>
      <c r="AP1137" s="55">
        <f>Database_Asfalt_Verwijderset[[#This Row],[Verbruik '[liter/kWh/kg per uur']]]*AP1285</f>
        <v>20.7669</v>
      </c>
      <c r="AQ1137" s="55"/>
      <c r="AR1137" s="55"/>
      <c r="AS1137" s="55">
        <f>Database_Asfalt_Verwijderset[[#This Row],[Verbruik '[liter/kWh/kg per uur']]]*AS1285</f>
        <v>7.3280899999999995</v>
      </c>
      <c r="AT1137" s="55"/>
      <c r="AU1137" s="55"/>
      <c r="AV1137" s="55"/>
      <c r="AW1137" s="55">
        <f>Database_Asfalt_Verwijderset[[#This Row],[Verbruik '[liter/kWh/kg per uur']]]*AW1285</f>
        <v>20.7669</v>
      </c>
      <c r="AX1137" s="55">
        <f>Database_Asfalt_Verwijderset[[#This Row],[Verbruik '[liter/kWh/kg per uur']]]*AX1285</f>
        <v>9.7867000000000003E-5</v>
      </c>
      <c r="AY1137" s="55">
        <f>Database_Asfalt_Verwijderset[[#This Row],[Verbruik '[liter/kWh/kg per uur']]]*AY1285</f>
        <v>0.1816507</v>
      </c>
      <c r="AZ1137" s="55">
        <f>Database_Asfalt_Verwijderset[[#This Row],[Verbruik '[liter/kWh/kg per uur']]]*AZ1285</f>
        <v>2.153074E-5</v>
      </c>
      <c r="BA1137" s="55"/>
      <c r="BB1137" s="55"/>
      <c r="BC1137" s="55"/>
      <c r="BD1137" s="55"/>
      <c r="BE1137" s="55"/>
      <c r="BF1137" s="45" t="s">
        <v>277</v>
      </c>
      <c r="BG1137" s="45" t="s">
        <v>276</v>
      </c>
      <c r="BH1137" s="150">
        <v>1000</v>
      </c>
    </row>
    <row r="1138" spans="1:63" ht="15.5" x14ac:dyDescent="0.45">
      <c r="A1138" s="45" t="s">
        <v>287</v>
      </c>
      <c r="B1138" s="45" t="s">
        <v>93</v>
      </c>
      <c r="C1138" s="41" t="s">
        <v>447</v>
      </c>
      <c r="D1138" s="41" t="s">
        <v>450</v>
      </c>
      <c r="E1138" s="45" t="s">
        <v>65</v>
      </c>
      <c r="F1138" s="45">
        <f t="shared" si="1176"/>
        <v>1.333</v>
      </c>
      <c r="G1138" s="57">
        <f>Database_Asfalt_Verwijderset[[#This Row],[Verbruik '[liter/kWh/kg per uur']]]*G1285</f>
        <v>8.6639590685999995E-2</v>
      </c>
      <c r="H1138" s="45"/>
      <c r="I1138" s="59">
        <v>3.6</v>
      </c>
      <c r="J1138" s="55">
        <f>Database_Asfalt_Verwijderset[[#This Row],[Verbruik '[liter/kWh/kg per uur']]]*J1285</f>
        <v>2.38607E-5</v>
      </c>
      <c r="K1138" s="55">
        <f>Database_Asfalt_Verwijderset[[#This Row],[Verbruik '[liter/kWh/kg per uur']]]*K1285</f>
        <v>2.0928100000000001E-3</v>
      </c>
      <c r="L1138" s="55">
        <f>Database_Asfalt_Verwijderset[[#This Row],[Verbruik '[liter/kWh/kg per uur']]]*L1285</f>
        <v>0.299925</v>
      </c>
      <c r="M1138" s="55">
        <f>Database_Asfalt_Verwijderset[[#This Row],[Verbruik '[liter/kWh/kg per uur']]]*M1285</f>
        <v>3.0125799999999997E-8</v>
      </c>
      <c r="N1138" s="55">
        <f>Database_Asfalt_Verwijderset[[#This Row],[Verbruik '[liter/kWh/kg per uur']]]*N1285</f>
        <v>3.9056900000000001E-4</v>
      </c>
      <c r="O1138" s="55">
        <f>Database_Asfalt_Verwijderset[[#This Row],[Verbruik '[liter/kWh/kg per uur']]]*O1285</f>
        <v>2.8659499999999999E-3</v>
      </c>
      <c r="P1138" s="55">
        <f>Database_Asfalt_Verwijderset[[#This Row],[Verbruik '[liter/kWh/kg per uur']]]*P1285</f>
        <v>4.05232E-4</v>
      </c>
      <c r="Q1138" s="55">
        <f>Database_Asfalt_Verwijderset[[#This Row],[Verbruik '[liter/kWh/kg per uur']]]*Q1285</f>
        <v>0.56652499999999995</v>
      </c>
      <c r="R1138" s="55">
        <f>Database_Asfalt_Verwijderset[[#This Row],[Verbruik '[liter/kWh/kg per uur']]]*R1285</f>
        <v>9.3843199999999998E-3</v>
      </c>
      <c r="S1138" s="55">
        <f>Database_Asfalt_Verwijderset[[#This Row],[Verbruik '[liter/kWh/kg per uur']]]*S1285</f>
        <v>30.792300000000001</v>
      </c>
      <c r="T1138" s="55">
        <f>Database_Asfalt_Verwijderset[[#This Row],[Verbruik '[liter/kWh/kg per uur']]]*T1285</f>
        <v>1.7728899999999999E-2</v>
      </c>
      <c r="U1138" s="55"/>
      <c r="V1138" s="55"/>
      <c r="W1138" s="55"/>
      <c r="X1138" s="55"/>
      <c r="Y1138" s="55"/>
      <c r="Z1138" s="55"/>
      <c r="AA1138" s="55"/>
      <c r="AB1138" s="55"/>
      <c r="AC1138" s="55"/>
      <c r="AD1138" s="55"/>
      <c r="AE1138" s="55"/>
      <c r="AF1138" s="55"/>
      <c r="AG1138" s="55"/>
      <c r="AH1138" s="55"/>
      <c r="AI1138" s="55"/>
      <c r="AJ1138" s="55"/>
      <c r="AK1138" s="55"/>
      <c r="AL1138" s="55"/>
      <c r="AM1138" s="55"/>
      <c r="AN1138" s="55"/>
      <c r="AO1138" s="55"/>
      <c r="AP1138" s="55">
        <f>Database_Asfalt_Verwijderset[[#This Row],[Verbruik '[liter/kWh/kg per uur']]]*AP1285</f>
        <v>11.597099999999999</v>
      </c>
      <c r="AQ1138" s="55"/>
      <c r="AR1138" s="55"/>
      <c r="AS1138" s="55">
        <f>Database_Asfalt_Verwijderset[[#This Row],[Verbruik '[liter/kWh/kg per uur']]]*AS1285</f>
        <v>4.0923099999999994</v>
      </c>
      <c r="AT1138" s="55"/>
      <c r="AU1138" s="55"/>
      <c r="AV1138" s="55"/>
      <c r="AW1138" s="55">
        <f>Database_Asfalt_Verwijderset[[#This Row],[Verbruik '[liter/kWh/kg per uur']]]*AW1285</f>
        <v>11.597099999999999</v>
      </c>
      <c r="AX1138" s="55">
        <f>Database_Asfalt_Verwijderset[[#This Row],[Verbruik '[liter/kWh/kg per uur']]]*AX1285</f>
        <v>5.4653E-5</v>
      </c>
      <c r="AY1138" s="55">
        <f>Database_Asfalt_Verwijderset[[#This Row],[Verbruik '[liter/kWh/kg per uur']]]*AY1285</f>
        <v>0.1014413</v>
      </c>
      <c r="AZ1138" s="55">
        <f>Database_Asfalt_Verwijderset[[#This Row],[Verbruik '[liter/kWh/kg per uur']]]*AZ1285</f>
        <v>1.202366E-5</v>
      </c>
      <c r="BA1138" s="55"/>
      <c r="BB1138" s="55"/>
      <c r="BC1138" s="55"/>
      <c r="BD1138" s="55"/>
      <c r="BE1138" s="55"/>
      <c r="BF1138" s="45" t="s">
        <v>277</v>
      </c>
      <c r="BG1138" s="45" t="s">
        <v>276</v>
      </c>
      <c r="BH1138" s="149">
        <v>2000</v>
      </c>
    </row>
    <row r="1139" spans="1:63" ht="15.5" x14ac:dyDescent="0.45">
      <c r="A1139" s="45" t="s">
        <v>282</v>
      </c>
      <c r="B1139" s="45" t="s">
        <v>93</v>
      </c>
      <c r="C1139" s="41" t="s">
        <v>447</v>
      </c>
      <c r="D1139" s="41" t="s">
        <v>450</v>
      </c>
      <c r="E1139" s="45" t="s">
        <v>65</v>
      </c>
      <c r="F1139" s="45">
        <f t="shared" si="1176"/>
        <v>1.0230000000000001</v>
      </c>
      <c r="G1139" s="57">
        <f>Database_Asfalt_Verwijderset[[#This Row],[Verbruik '[liter/kWh/kg per uur']]]*G1286</f>
        <v>8.5310334153000003E-2</v>
      </c>
      <c r="H1139" s="45"/>
      <c r="I1139" s="59">
        <v>3.6</v>
      </c>
      <c r="J1139" s="55">
        <f>Database_Asfalt_Verwijderset[[#This Row],[Verbruik '[liter/kWh/kg per uur']]]*J1286</f>
        <v>1.4424300000000002E-5</v>
      </c>
      <c r="K1139" s="55">
        <f>Database_Asfalt_Verwijderset[[#This Row],[Verbruik '[liter/kWh/kg per uur']]]*K1286</f>
        <v>5.9640900000000009E-3</v>
      </c>
      <c r="L1139" s="55">
        <f>Database_Asfalt_Verwijderset[[#This Row],[Verbruik '[liter/kWh/kg per uur']]]*L1286</f>
        <v>0.70893899999999999</v>
      </c>
      <c r="M1139" s="55">
        <f>Database_Asfalt_Verwijderset[[#This Row],[Verbruik '[liter/kWh/kg per uur']]]*M1286</f>
        <v>4.9615500000000005E-8</v>
      </c>
      <c r="N1139" s="55">
        <f>Database_Asfalt_Verwijderset[[#This Row],[Verbruik '[liter/kWh/kg per uur']]]*N1286</f>
        <v>2.6802600000000004E-4</v>
      </c>
      <c r="O1139" s="55">
        <f>Database_Asfalt_Verwijderset[[#This Row],[Verbruik '[liter/kWh/kg per uur']]]*O1286</f>
        <v>2.1278400000000002E-3</v>
      </c>
      <c r="P1139" s="55">
        <f>Database_Asfalt_Verwijderset[[#This Row],[Verbruik '[liter/kWh/kg per uur']]]*P1286</f>
        <v>2.54727E-4</v>
      </c>
      <c r="Q1139" s="55">
        <f>Database_Asfalt_Verwijderset[[#This Row],[Verbruik '[liter/kWh/kg per uur']]]*Q1286</f>
        <v>0.38157900000000006</v>
      </c>
      <c r="R1139" s="55">
        <f>Database_Asfalt_Verwijderset[[#This Row],[Verbruik '[liter/kWh/kg per uur']]]*R1286</f>
        <v>6.0970800000000004E-3</v>
      </c>
      <c r="S1139" s="55">
        <f>Database_Asfalt_Verwijderset[[#This Row],[Verbruik '[liter/kWh/kg per uur']]]*S1286</f>
        <v>22.301400000000005</v>
      </c>
      <c r="T1139" s="55">
        <f>Database_Asfalt_Verwijderset[[#This Row],[Verbruik '[liter/kWh/kg per uur']]]*T1286</f>
        <v>1.3503600000000001E-2</v>
      </c>
      <c r="U1139" s="55"/>
      <c r="V1139" s="55"/>
      <c r="W1139" s="55"/>
      <c r="X1139" s="55"/>
      <c r="Y1139" s="55"/>
      <c r="Z1139" s="55"/>
      <c r="AA1139" s="55"/>
      <c r="AB1139" s="55"/>
      <c r="AC1139" s="55"/>
      <c r="AD1139" s="55"/>
      <c r="AE1139" s="55"/>
      <c r="AF1139" s="55"/>
      <c r="AG1139" s="55"/>
      <c r="AH1139" s="55"/>
      <c r="AI1139" s="55"/>
      <c r="AJ1139" s="55"/>
      <c r="AK1139" s="55"/>
      <c r="AL1139" s="55"/>
      <c r="AM1139" s="55"/>
      <c r="AN1139" s="55"/>
      <c r="AO1139" s="55"/>
      <c r="AP1139" s="55">
        <f>Database_Asfalt_Verwijderset[[#This Row],[Verbruik '[liter/kWh/kg per uur']]]*AP1286</f>
        <v>0.24449700000000002</v>
      </c>
      <c r="AQ1139" s="55"/>
      <c r="AR1139" s="55"/>
      <c r="AS1139" s="55">
        <f>Database_Asfalt_Verwijderset[[#This Row],[Verbruik '[liter/kWh/kg per uur']]]*AS1286</f>
        <v>11.150700000000002</v>
      </c>
      <c r="AT1139" s="55"/>
      <c r="AU1139" s="55"/>
      <c r="AV1139" s="55"/>
      <c r="AW1139" s="55">
        <f>Database_Asfalt_Verwijderset[[#This Row],[Verbruik '[liter/kWh/kg per uur']]]*AW1286</f>
        <v>0.24449700000000002</v>
      </c>
      <c r="AX1139" s="55">
        <f>Database_Asfalt_Verwijderset[[#This Row],[Verbruik '[liter/kWh/kg per uur']]]*AX1286</f>
        <v>3.2940600000000001E-5</v>
      </c>
      <c r="AY1139" s="55">
        <f>Database_Asfalt_Verwijderset[[#This Row],[Verbruik '[liter/kWh/kg per uur']]]*AY1286</f>
        <v>5.800410000000001E-2</v>
      </c>
      <c r="AZ1139" s="55">
        <f>Database_Asfalt_Verwijderset[[#This Row],[Verbruik '[liter/kWh/kg per uur']]]*AZ1286</f>
        <v>9.4729800000000009E-6</v>
      </c>
      <c r="BA1139" s="55"/>
      <c r="BB1139" s="55"/>
      <c r="BC1139" s="55"/>
      <c r="BD1139" s="55"/>
      <c r="BE1139" s="55"/>
      <c r="BF1139" s="45" t="s">
        <v>277</v>
      </c>
      <c r="BG1139" s="45" t="s">
        <v>276</v>
      </c>
      <c r="BH1139" s="150">
        <v>400</v>
      </c>
    </row>
    <row r="1140" spans="1:63" ht="15.5" x14ac:dyDescent="0.45">
      <c r="A1140" s="45" t="s">
        <v>283</v>
      </c>
      <c r="B1140" s="45" t="s">
        <v>93</v>
      </c>
      <c r="C1140" s="41" t="s">
        <v>447</v>
      </c>
      <c r="D1140" s="41" t="s">
        <v>450</v>
      </c>
      <c r="E1140" s="45" t="s">
        <v>65</v>
      </c>
      <c r="F1140" s="45">
        <f t="shared" si="1176"/>
        <v>2.387</v>
      </c>
      <c r="G1140" s="57">
        <f>Database_Asfalt_Verwijderset[[#This Row],[Verbruik '[liter/kWh/kg per uur']]]*G1286</f>
        <v>0.19905744635699998</v>
      </c>
      <c r="H1140" s="45"/>
      <c r="I1140" s="59">
        <v>3.6</v>
      </c>
      <c r="J1140" s="55">
        <f>Database_Asfalt_Verwijderset[[#This Row],[Verbruik '[liter/kWh/kg per uur']]]*J1286</f>
        <v>3.3656699999999999E-5</v>
      </c>
      <c r="K1140" s="55">
        <f>Database_Asfalt_Verwijderset[[#This Row],[Verbruik '[liter/kWh/kg per uur']]]*K1286</f>
        <v>1.391621E-2</v>
      </c>
      <c r="L1140" s="55">
        <f>Database_Asfalt_Verwijderset[[#This Row],[Verbruik '[liter/kWh/kg per uur']]]*L1286</f>
        <v>1.654191</v>
      </c>
      <c r="M1140" s="55">
        <f>Database_Asfalt_Verwijderset[[#This Row],[Verbruik '[liter/kWh/kg per uur']]]*M1286</f>
        <v>1.157695E-7</v>
      </c>
      <c r="N1140" s="55">
        <f>Database_Asfalt_Verwijderset[[#This Row],[Verbruik '[liter/kWh/kg per uur']]]*N1286</f>
        <v>6.2539400000000004E-4</v>
      </c>
      <c r="O1140" s="55">
        <f>Database_Asfalt_Verwijderset[[#This Row],[Verbruik '[liter/kWh/kg per uur']]]*O1286</f>
        <v>4.9649599999999992E-3</v>
      </c>
      <c r="P1140" s="55">
        <f>Database_Asfalt_Verwijderset[[#This Row],[Verbruik '[liter/kWh/kg per uur']]]*P1286</f>
        <v>5.9436299999999999E-4</v>
      </c>
      <c r="Q1140" s="55">
        <f>Database_Asfalt_Verwijderset[[#This Row],[Verbruik '[liter/kWh/kg per uur']]]*Q1286</f>
        <v>0.890351</v>
      </c>
      <c r="R1140" s="55">
        <f>Database_Asfalt_Verwijderset[[#This Row],[Verbruik '[liter/kWh/kg per uur']]]*R1286</f>
        <v>1.4226519999999999E-2</v>
      </c>
      <c r="S1140" s="55">
        <f>Database_Asfalt_Verwijderset[[#This Row],[Verbruik '[liter/kWh/kg per uur']]]*S1286</f>
        <v>52.0366</v>
      </c>
      <c r="T1140" s="55">
        <f>Database_Asfalt_Verwijderset[[#This Row],[Verbruik '[liter/kWh/kg per uur']]]*T1286</f>
        <v>3.1508399999999999E-2</v>
      </c>
      <c r="U1140" s="55"/>
      <c r="V1140" s="55"/>
      <c r="W1140" s="55"/>
      <c r="X1140" s="55"/>
      <c r="Y1140" s="55"/>
      <c r="Z1140" s="55"/>
      <c r="AA1140" s="55"/>
      <c r="AB1140" s="55"/>
      <c r="AC1140" s="55"/>
      <c r="AD1140" s="55"/>
      <c r="AE1140" s="55"/>
      <c r="AF1140" s="55"/>
      <c r="AG1140" s="55"/>
      <c r="AH1140" s="55"/>
      <c r="AI1140" s="55"/>
      <c r="AJ1140" s="55"/>
      <c r="AK1140" s="55"/>
      <c r="AL1140" s="55"/>
      <c r="AM1140" s="55"/>
      <c r="AN1140" s="55"/>
      <c r="AO1140" s="55"/>
      <c r="AP1140" s="55">
        <f>Database_Asfalt_Verwijderset[[#This Row],[Verbruik '[liter/kWh/kg per uur']]]*AP1286</f>
        <v>0.57049300000000003</v>
      </c>
      <c r="AQ1140" s="55"/>
      <c r="AR1140" s="55"/>
      <c r="AS1140" s="55">
        <f>Database_Asfalt_Verwijderset[[#This Row],[Verbruik '[liter/kWh/kg per uur']]]*AS1286</f>
        <v>26.0183</v>
      </c>
      <c r="AT1140" s="55"/>
      <c r="AU1140" s="55"/>
      <c r="AV1140" s="55"/>
      <c r="AW1140" s="55">
        <f>Database_Asfalt_Verwijderset[[#This Row],[Verbruik '[liter/kWh/kg per uur']]]*AW1286</f>
        <v>0.57049300000000003</v>
      </c>
      <c r="AX1140" s="55">
        <f>Database_Asfalt_Verwijderset[[#This Row],[Verbruik '[liter/kWh/kg per uur']]]*AX1286</f>
        <v>7.6861399999999996E-5</v>
      </c>
      <c r="AY1140" s="55">
        <f>Database_Asfalt_Verwijderset[[#This Row],[Verbruik '[liter/kWh/kg per uur']]]*AY1286</f>
        <v>0.13534289999999999</v>
      </c>
      <c r="AZ1140" s="55">
        <f>Database_Asfalt_Verwijderset[[#This Row],[Verbruik '[liter/kWh/kg per uur']]]*AZ1286</f>
        <v>2.2103619999999998E-5</v>
      </c>
      <c r="BA1140" s="55"/>
      <c r="BB1140" s="55"/>
      <c r="BC1140" s="55"/>
      <c r="BD1140" s="55"/>
      <c r="BE1140" s="55"/>
      <c r="BF1140" s="45" t="s">
        <v>277</v>
      </c>
      <c r="BG1140" s="45" t="s">
        <v>276</v>
      </c>
      <c r="BH1140" s="149">
        <v>1000</v>
      </c>
    </row>
    <row r="1141" spans="1:63" ht="15.5" x14ac:dyDescent="0.45">
      <c r="A1141" s="45" t="s">
        <v>284</v>
      </c>
      <c r="B1141" s="45" t="s">
        <v>93</v>
      </c>
      <c r="C1141" s="41" t="s">
        <v>447</v>
      </c>
      <c r="D1141" s="41" t="s">
        <v>450</v>
      </c>
      <c r="E1141" s="45" t="s">
        <v>65</v>
      </c>
      <c r="F1141" s="45">
        <f t="shared" si="1176"/>
        <v>1.333</v>
      </c>
      <c r="G1141" s="57">
        <f>Database_Asfalt_Verwijderset[[#This Row],[Verbruik '[liter/kWh/kg per uur']]]*G1286</f>
        <v>0.11116195056299999</v>
      </c>
      <c r="H1141" s="45"/>
      <c r="I1141" s="59">
        <v>3.6</v>
      </c>
      <c r="J1141" s="55">
        <f>Database_Asfalt_Verwijderset[[#This Row],[Verbruik '[liter/kWh/kg per uur']]]*J1286</f>
        <v>1.8795299999999999E-5</v>
      </c>
      <c r="K1141" s="55">
        <f>Database_Asfalt_Verwijderset[[#This Row],[Verbruik '[liter/kWh/kg per uur']]]*K1286</f>
        <v>7.7713899999999995E-3</v>
      </c>
      <c r="L1141" s="55">
        <f>Database_Asfalt_Verwijderset[[#This Row],[Verbruik '[liter/kWh/kg per uur']]]*L1286</f>
        <v>0.92376899999999995</v>
      </c>
      <c r="M1141" s="55">
        <f>Database_Asfalt_Verwijderset[[#This Row],[Verbruik '[liter/kWh/kg per uur']]]*M1286</f>
        <v>6.46505E-8</v>
      </c>
      <c r="N1141" s="55">
        <f>Database_Asfalt_Verwijderset[[#This Row],[Verbruik '[liter/kWh/kg per uur']]]*N1286</f>
        <v>3.4924600000000005E-4</v>
      </c>
      <c r="O1141" s="55">
        <f>Database_Asfalt_Verwijderset[[#This Row],[Verbruik '[liter/kWh/kg per uur']]]*O1286</f>
        <v>2.7726399999999998E-3</v>
      </c>
      <c r="P1141" s="55">
        <f>Database_Asfalt_Verwijderset[[#This Row],[Verbruik '[liter/kWh/kg per uur']]]*P1286</f>
        <v>3.3191699999999999E-4</v>
      </c>
      <c r="Q1141" s="55">
        <f>Database_Asfalt_Verwijderset[[#This Row],[Verbruik '[liter/kWh/kg per uur']]]*Q1286</f>
        <v>0.49720899999999996</v>
      </c>
      <c r="R1141" s="55">
        <f>Database_Asfalt_Verwijderset[[#This Row],[Verbruik '[liter/kWh/kg per uur']]]*R1286</f>
        <v>7.9446799999999991E-3</v>
      </c>
      <c r="S1141" s="55">
        <f>Database_Asfalt_Verwijderset[[#This Row],[Verbruik '[liter/kWh/kg per uur']]]*S1286</f>
        <v>29.0594</v>
      </c>
      <c r="T1141" s="55">
        <f>Database_Asfalt_Verwijderset[[#This Row],[Verbruik '[liter/kWh/kg per uur']]]*T1286</f>
        <v>1.7595599999999999E-2</v>
      </c>
      <c r="U1141" s="55"/>
      <c r="V1141" s="55"/>
      <c r="W1141" s="55"/>
      <c r="X1141" s="55"/>
      <c r="Y1141" s="55"/>
      <c r="Z1141" s="55"/>
      <c r="AA1141" s="55"/>
      <c r="AB1141" s="55"/>
      <c r="AC1141" s="55"/>
      <c r="AD1141" s="55"/>
      <c r="AE1141" s="55"/>
      <c r="AF1141" s="55"/>
      <c r="AG1141" s="55"/>
      <c r="AH1141" s="55"/>
      <c r="AI1141" s="55"/>
      <c r="AJ1141" s="55"/>
      <c r="AK1141" s="55"/>
      <c r="AL1141" s="55"/>
      <c r="AM1141" s="55"/>
      <c r="AN1141" s="55"/>
      <c r="AO1141" s="55"/>
      <c r="AP1141" s="55">
        <f>Database_Asfalt_Verwijderset[[#This Row],[Verbruik '[liter/kWh/kg per uur']]]*AP1286</f>
        <v>0.31858699999999995</v>
      </c>
      <c r="AQ1141" s="55"/>
      <c r="AR1141" s="55"/>
      <c r="AS1141" s="55">
        <f>Database_Asfalt_Verwijderset[[#This Row],[Verbruik '[liter/kWh/kg per uur']]]*AS1286</f>
        <v>14.5297</v>
      </c>
      <c r="AT1141" s="55"/>
      <c r="AU1141" s="55"/>
      <c r="AV1141" s="55"/>
      <c r="AW1141" s="55">
        <f>Database_Asfalt_Verwijderset[[#This Row],[Verbruik '[liter/kWh/kg per uur']]]*AW1286</f>
        <v>0.31858699999999995</v>
      </c>
      <c r="AX1141" s="55">
        <f>Database_Asfalt_Verwijderset[[#This Row],[Verbruik '[liter/kWh/kg per uur']]]*AX1286</f>
        <v>4.2922599999999995E-5</v>
      </c>
      <c r="AY1141" s="55">
        <f>Database_Asfalt_Verwijderset[[#This Row],[Verbruik '[liter/kWh/kg per uur']]]*AY1286</f>
        <v>7.5581099999999998E-2</v>
      </c>
      <c r="AZ1141" s="55">
        <f>Database_Asfalt_Verwijderset[[#This Row],[Verbruik '[liter/kWh/kg per uur']]]*AZ1286</f>
        <v>1.2343579999999998E-5</v>
      </c>
      <c r="BA1141" s="55"/>
      <c r="BB1141" s="55"/>
      <c r="BC1141" s="55"/>
      <c r="BD1141" s="55"/>
      <c r="BE1141" s="55"/>
      <c r="BF1141" s="45" t="s">
        <v>277</v>
      </c>
      <c r="BG1141" s="45" t="s">
        <v>276</v>
      </c>
      <c r="BH1141" s="150">
        <v>2000</v>
      </c>
    </row>
    <row r="1142" spans="1:63" ht="15.5" x14ac:dyDescent="0.45">
      <c r="A1142" s="45"/>
      <c r="D1142" s="48"/>
      <c r="E1142" s="57"/>
      <c r="F1142" s="46"/>
      <c r="G1142" s="45"/>
      <c r="H1142" s="55"/>
      <c r="I1142" s="55"/>
      <c r="J1142" s="55"/>
      <c r="K1142" s="55"/>
      <c r="L1142" s="55"/>
      <c r="M1142" s="55"/>
      <c r="N1142" s="55"/>
      <c r="O1142" s="55"/>
      <c r="P1142" s="55"/>
      <c r="Q1142" s="55"/>
      <c r="R1142" s="55"/>
      <c r="S1142" s="55"/>
      <c r="T1142" s="55"/>
      <c r="U1142" s="55"/>
      <c r="V1142" s="55"/>
      <c r="W1142" s="55"/>
      <c r="X1142" s="55"/>
      <c r="Y1142" s="55"/>
      <c r="Z1142" s="45"/>
    </row>
    <row r="1143" spans="1:63" ht="15.5" x14ac:dyDescent="0.35">
      <c r="J1143" s="221"/>
      <c r="K1143" s="220"/>
      <c r="L1143" s="221"/>
      <c r="M1143" s="220"/>
      <c r="N1143" s="221"/>
      <c r="O1143" s="221"/>
      <c r="P1143" s="220"/>
      <c r="Q1143" s="220"/>
      <c r="R1143" s="221"/>
      <c r="S1143" s="220"/>
      <c r="T1143" s="221"/>
      <c r="U1143" s="221"/>
      <c r="V1143" s="221"/>
      <c r="W1143" s="220"/>
      <c r="X1143" s="221"/>
      <c r="Y1143" s="221"/>
      <c r="Z1143" s="220"/>
      <c r="AA1143" s="221"/>
      <c r="AB1143" s="221"/>
      <c r="AC1143" s="220"/>
      <c r="AD1143" s="220"/>
      <c r="AE1143" s="221"/>
      <c r="AF1143" s="221"/>
      <c r="AG1143" s="221"/>
      <c r="AH1143" s="221"/>
      <c r="AI1143" s="221"/>
      <c r="AJ1143" s="221"/>
      <c r="AK1143" s="221"/>
      <c r="AL1143" s="221"/>
      <c r="AM1143" s="221"/>
      <c r="AN1143" s="221"/>
      <c r="AO1143" s="221"/>
      <c r="AP1143" s="220"/>
      <c r="AQ1143" s="221"/>
      <c r="AR1143" s="220"/>
      <c r="AS1143" s="221"/>
      <c r="AT1143" s="221"/>
      <c r="AU1143" s="221"/>
      <c r="AV1143" s="221"/>
      <c r="AW1143" s="221"/>
      <c r="AX1143" s="221"/>
      <c r="AY1143" s="221"/>
      <c r="AZ1143" s="221"/>
      <c r="BA1143" s="221"/>
      <c r="BB1143" s="221"/>
      <c r="BC1143" s="221"/>
      <c r="BD1143" s="221"/>
      <c r="BE1143" s="221"/>
      <c r="BF1143" s="240"/>
      <c r="BG1143" s="240"/>
      <c r="BH1143" s="240" t="s">
        <v>61</v>
      </c>
    </row>
    <row r="1144" spans="1:63" ht="15.5" x14ac:dyDescent="0.35">
      <c r="A1144" s="41" t="s">
        <v>118</v>
      </c>
      <c r="J1144" s="234"/>
      <c r="K1144" s="235"/>
      <c r="L1144" s="235"/>
      <c r="M1144" s="235"/>
      <c r="N1144" s="236"/>
      <c r="O1144" s="235"/>
      <c r="P1144" s="235"/>
      <c r="Q1144" s="235"/>
      <c r="R1144" s="235"/>
      <c r="S1144" s="235"/>
      <c r="T1144" s="235"/>
      <c r="U1144" s="235"/>
      <c r="V1144" s="235"/>
      <c r="W1144" s="235"/>
      <c r="X1144" s="236"/>
      <c r="Y1144" s="236"/>
      <c r="Z1144" s="235"/>
      <c r="AA1144" s="235"/>
      <c r="AB1144" s="236"/>
      <c r="AC1144" s="235"/>
      <c r="AD1144" s="235"/>
      <c r="AE1144" s="236"/>
      <c r="AF1144" s="236"/>
      <c r="AG1144" s="236"/>
      <c r="AH1144" s="236"/>
      <c r="AI1144" s="236"/>
      <c r="AJ1144" s="236"/>
      <c r="AK1144" s="236"/>
      <c r="AL1144" s="236"/>
      <c r="AM1144" s="236"/>
      <c r="AN1144" s="236"/>
      <c r="AO1144" s="235"/>
      <c r="AP1144" s="235"/>
      <c r="AQ1144" s="235"/>
      <c r="AR1144" s="235"/>
      <c r="AS1144" s="236"/>
      <c r="AT1144" s="236"/>
      <c r="AU1144" s="236"/>
      <c r="AV1144" s="236"/>
      <c r="AW1144" s="236"/>
      <c r="AX1144" s="236"/>
      <c r="AY1144" s="236"/>
      <c r="AZ1144" s="236"/>
      <c r="BA1144" s="236"/>
      <c r="BB1144" s="236"/>
      <c r="BC1144" s="236"/>
      <c r="BD1144" s="236"/>
      <c r="BE1144" s="237"/>
    </row>
    <row r="1145" spans="1:63" ht="15.5" x14ac:dyDescent="0.35">
      <c r="A1145" s="41" t="s">
        <v>56</v>
      </c>
      <c r="B1145" s="41" t="s">
        <v>57</v>
      </c>
      <c r="C1145" s="41" t="s">
        <v>5</v>
      </c>
      <c r="D1145" s="41" t="s">
        <v>442</v>
      </c>
      <c r="E1145" s="41" t="s">
        <v>58</v>
      </c>
      <c r="F1145" s="41" t="s">
        <v>275</v>
      </c>
      <c r="G1145" s="41" t="s">
        <v>7</v>
      </c>
      <c r="H1145" s="41" t="s">
        <v>60</v>
      </c>
      <c r="I1145" s="41" t="s">
        <v>204</v>
      </c>
      <c r="J1145" s="234" t="s">
        <v>627</v>
      </c>
      <c r="K1145" s="235" t="s">
        <v>628</v>
      </c>
      <c r="L1145" s="235" t="s">
        <v>629</v>
      </c>
      <c r="M1145" s="235" t="s">
        <v>630</v>
      </c>
      <c r="N1145" s="236" t="s">
        <v>631</v>
      </c>
      <c r="O1145" s="235" t="s">
        <v>632</v>
      </c>
      <c r="P1145" s="235" t="s">
        <v>633</v>
      </c>
      <c r="Q1145" s="235" t="s">
        <v>634</v>
      </c>
      <c r="R1145" s="235" t="s">
        <v>635</v>
      </c>
      <c r="S1145" s="235" t="s">
        <v>636</v>
      </c>
      <c r="T1145" s="235" t="s">
        <v>637</v>
      </c>
      <c r="U1145" s="235" t="s">
        <v>638</v>
      </c>
      <c r="V1145" s="235" t="s">
        <v>639</v>
      </c>
      <c r="W1145" s="235" t="s">
        <v>640</v>
      </c>
      <c r="X1145" s="236" t="s">
        <v>641</v>
      </c>
      <c r="Y1145" s="236" t="s">
        <v>642</v>
      </c>
      <c r="Z1145" s="235" t="s">
        <v>643</v>
      </c>
      <c r="AA1145" s="235" t="s">
        <v>644</v>
      </c>
      <c r="AB1145" s="236" t="s">
        <v>645</v>
      </c>
      <c r="AC1145" s="235" t="s">
        <v>646</v>
      </c>
      <c r="AD1145" s="235" t="s">
        <v>647</v>
      </c>
      <c r="AE1145" s="236" t="s">
        <v>648</v>
      </c>
      <c r="AF1145" s="236" t="s">
        <v>649</v>
      </c>
      <c r="AG1145" s="236" t="s">
        <v>650</v>
      </c>
      <c r="AH1145" s="236" t="s">
        <v>651</v>
      </c>
      <c r="AI1145" s="236" t="s">
        <v>652</v>
      </c>
      <c r="AJ1145" s="236" t="s">
        <v>653</v>
      </c>
      <c r="AK1145" s="236" t="s">
        <v>654</v>
      </c>
      <c r="AL1145" s="236" t="s">
        <v>655</v>
      </c>
      <c r="AM1145" s="236" t="s">
        <v>656</v>
      </c>
      <c r="AN1145" s="236" t="s">
        <v>657</v>
      </c>
      <c r="AO1145" s="235" t="s">
        <v>658</v>
      </c>
      <c r="AP1145" s="41" t="s">
        <v>8</v>
      </c>
      <c r="AQ1145" s="41" t="s">
        <v>1248</v>
      </c>
      <c r="AR1145" s="41" t="s">
        <v>1249</v>
      </c>
      <c r="AS1145" s="41" t="s">
        <v>9</v>
      </c>
      <c r="AT1145" s="41" t="s">
        <v>1250</v>
      </c>
      <c r="AU1145" s="41" t="s">
        <v>1251</v>
      </c>
      <c r="AV1145" s="41" t="s">
        <v>10</v>
      </c>
      <c r="AW1145" s="41" t="s">
        <v>163</v>
      </c>
      <c r="AX1145" s="41" t="s">
        <v>11</v>
      </c>
      <c r="AY1145" s="41" t="s">
        <v>12</v>
      </c>
      <c r="AZ1145" s="41" t="s">
        <v>13</v>
      </c>
      <c r="BA1145" s="41" t="s">
        <v>1252</v>
      </c>
      <c r="BB1145" s="41" t="s">
        <v>1253</v>
      </c>
      <c r="BC1145" s="41" t="s">
        <v>1254</v>
      </c>
      <c r="BD1145" s="41" t="s">
        <v>1255</v>
      </c>
      <c r="BE1145" s="41" t="s">
        <v>1256</v>
      </c>
      <c r="BF1145" s="41" t="s">
        <v>59</v>
      </c>
      <c r="BG1145" s="41" t="s">
        <v>61</v>
      </c>
      <c r="BH1145" s="45" t="s">
        <v>274</v>
      </c>
    </row>
    <row r="1146" spans="1:63" x14ac:dyDescent="0.35">
      <c r="A1146" s="100" t="s">
        <v>318</v>
      </c>
      <c r="B1146" s="101" t="s">
        <v>63</v>
      </c>
      <c r="C1146" s="45"/>
      <c r="D1146" s="45"/>
      <c r="E1146" s="101" t="s">
        <v>65</v>
      </c>
      <c r="F1146" s="101">
        <v>0</v>
      </c>
      <c r="G1146" s="103" t="s">
        <v>319</v>
      </c>
      <c r="H1146" s="101">
        <v>0</v>
      </c>
      <c r="I1146" s="101">
        <v>0</v>
      </c>
      <c r="J1146" s="101">
        <v>0</v>
      </c>
      <c r="K1146" s="101">
        <v>0</v>
      </c>
      <c r="L1146" s="101">
        <v>0</v>
      </c>
      <c r="M1146" s="101">
        <v>0</v>
      </c>
      <c r="N1146" s="101">
        <v>0</v>
      </c>
      <c r="O1146" s="101">
        <v>0</v>
      </c>
      <c r="P1146" s="101">
        <v>0</v>
      </c>
      <c r="Q1146" s="101">
        <v>0</v>
      </c>
      <c r="R1146" s="101">
        <v>0</v>
      </c>
      <c r="S1146" s="101">
        <v>0</v>
      </c>
      <c r="T1146" s="101">
        <v>0</v>
      </c>
      <c r="U1146" s="101"/>
      <c r="V1146" s="101"/>
      <c r="W1146" s="101"/>
      <c r="X1146" s="101"/>
      <c r="Y1146" s="101"/>
      <c r="Z1146" s="101"/>
      <c r="AA1146" s="101"/>
      <c r="AB1146" s="101"/>
      <c r="AC1146" s="101"/>
      <c r="AD1146" s="101"/>
      <c r="AE1146" s="101"/>
      <c r="AF1146" s="101"/>
      <c r="AG1146" s="101"/>
      <c r="AH1146" s="101"/>
      <c r="AI1146" s="101"/>
      <c r="AJ1146" s="101"/>
      <c r="AK1146" s="101"/>
      <c r="AL1146" s="101"/>
      <c r="AM1146" s="101"/>
      <c r="AN1146" s="101"/>
      <c r="AO1146" s="101"/>
      <c r="AP1146" s="101">
        <v>0</v>
      </c>
      <c r="AQ1146" s="101"/>
      <c r="AR1146" s="101"/>
      <c r="AS1146" s="101">
        <v>0</v>
      </c>
      <c r="AT1146" s="101"/>
      <c r="AU1146" s="101"/>
      <c r="AV1146" s="101"/>
      <c r="AW1146" s="101">
        <v>0</v>
      </c>
      <c r="AX1146" s="101">
        <v>0</v>
      </c>
      <c r="AY1146" s="101">
        <v>0</v>
      </c>
      <c r="AZ1146" s="101">
        <v>0</v>
      </c>
      <c r="BA1146" s="101"/>
      <c r="BB1146" s="101"/>
      <c r="BC1146" s="101"/>
      <c r="BD1146" s="101"/>
      <c r="BE1146" s="101"/>
      <c r="BF1146" s="101"/>
      <c r="BG1146" s="104"/>
      <c r="BH1146" s="55"/>
      <c r="BI1146" s="102"/>
      <c r="BJ1146" s="102"/>
      <c r="BK1146" s="102"/>
    </row>
    <row r="1147" spans="1:63" ht="15.5" x14ac:dyDescent="0.45">
      <c r="A1147" s="41" t="s">
        <v>299</v>
      </c>
      <c r="B1147" s="41" t="s">
        <v>93</v>
      </c>
      <c r="C1147" s="41" t="s">
        <v>447</v>
      </c>
      <c r="D1147" s="41" t="s">
        <v>448</v>
      </c>
      <c r="E1147" s="41" t="s">
        <v>65</v>
      </c>
      <c r="F1147" s="41">
        <v>0.37</v>
      </c>
      <c r="G1147" s="41">
        <v>0.16602486890199961</v>
      </c>
      <c r="H1147" s="41">
        <v>0.84</v>
      </c>
      <c r="I1147" s="46">
        <v>35.9</v>
      </c>
      <c r="J1147" s="52">
        <v>4.1099253375090395E-7</v>
      </c>
      <c r="K1147" s="52">
        <v>8.4294261397523176E-3</v>
      </c>
      <c r="L1147" s="52">
        <v>1.6285929450651</v>
      </c>
      <c r="M1147" s="52">
        <v>2.209736030835149E-7</v>
      </c>
      <c r="N1147" s="52">
        <v>6.5298016077612554E-4</v>
      </c>
      <c r="O1147" s="52">
        <v>6.7578486141663093E-3</v>
      </c>
      <c r="P1147" s="52">
        <v>1.5225720946674751E-3</v>
      </c>
      <c r="Q1147" s="52">
        <v>0.43239645680794303</v>
      </c>
      <c r="R1147" s="52">
        <v>6.1055404584190991E-3</v>
      </c>
      <c r="S1147" s="52">
        <v>20.569278736524495</v>
      </c>
      <c r="T1147" s="52">
        <v>7.25661152361173E-4</v>
      </c>
      <c r="U1147" s="52"/>
      <c r="V1147" s="52"/>
      <c r="W1147" s="52"/>
      <c r="X1147" s="52"/>
      <c r="Y1147" s="52"/>
      <c r="Z1147" s="52"/>
      <c r="AA1147" s="52"/>
      <c r="AB1147" s="52"/>
      <c r="AC1147" s="52"/>
      <c r="AD1147" s="52"/>
      <c r="AE1147" s="52"/>
      <c r="AF1147" s="52"/>
      <c r="AG1147" s="52"/>
      <c r="AH1147" s="52"/>
      <c r="AI1147" s="52"/>
      <c r="AJ1147" s="52"/>
      <c r="AK1147" s="52"/>
      <c r="AL1147" s="52"/>
      <c r="AM1147" s="52"/>
      <c r="AN1147" s="52"/>
      <c r="AO1147" s="52"/>
      <c r="AP1147" s="52">
        <f>Database_Asfalt_Verwerkingsset[[#This Row],[Verbruik '[liter/kWh/kg per uur']]]*AP1270</f>
        <v>0.14152919949999998</v>
      </c>
      <c r="AQ1147" s="52"/>
      <c r="AR1147" s="52"/>
      <c r="AS1147" s="52">
        <f>Database_Asfalt_Verwerkingsset[[#This Row],[Verbruik '[liter/kWh/kg per uur']]]*AS1270</f>
        <v>19.40771582</v>
      </c>
      <c r="AT1147" s="52"/>
      <c r="AU1147" s="52"/>
      <c r="AV1147" s="52"/>
      <c r="AW1147" s="52">
        <f>Database_Asfalt_Verwerkingsset[[#This Row],[Verbruik '[liter/kWh/kg per uur']]]*AW1270</f>
        <v>1.8335213100000001E-3</v>
      </c>
      <c r="AX1147" s="52">
        <f>Database_Asfalt_Verwerkingsset[[#This Row],[Verbruik '[liter/kWh/kg per uur']]]*AX1270</f>
        <v>1.3397736999999998E-4</v>
      </c>
      <c r="AY1147" s="52">
        <f>Database_Asfalt_Verwerkingsset[[#This Row],[Verbruik '[liter/kWh/kg per uur']]]*AY1270</f>
        <v>3.2557931330000005E-2</v>
      </c>
      <c r="AZ1147" s="52">
        <f>Database_Asfalt_Verwerkingsset[[#This Row],[Verbruik '[liter/kWh/kg per uur']]]*AZ1270</f>
        <v>0</v>
      </c>
      <c r="BA1147" s="52"/>
      <c r="BB1147" s="52"/>
      <c r="BC1147" s="52"/>
      <c r="BD1147" s="52"/>
      <c r="BE1147" s="52"/>
      <c r="BH1147" s="55"/>
    </row>
    <row r="1148" spans="1:63" x14ac:dyDescent="0.35">
      <c r="A1148" s="45" t="s">
        <v>300</v>
      </c>
      <c r="B1148" s="41" t="s">
        <v>93</v>
      </c>
      <c r="C1148" s="41" t="s">
        <v>447</v>
      </c>
      <c r="D1148" s="41" t="s">
        <v>448</v>
      </c>
      <c r="E1148" s="41" t="s">
        <v>65</v>
      </c>
      <c r="F1148" s="48">
        <f>$F$1147*($I$1147/Database_Asfalt_Verwerkingsset[[#This Row],[Stookwaarde '[MJ/liter']]])</f>
        <v>0.40129909365558908</v>
      </c>
      <c r="G1148" s="48">
        <f>Database_Asfalt_Verwerkingsset[[#This Row],[Verbruik '[liter/kWh/kg per uur']]]*G$1271</f>
        <v>0.11266889008510919</v>
      </c>
      <c r="H1148" s="41">
        <v>0.876</v>
      </c>
      <c r="I1148" s="45">
        <v>33.1</v>
      </c>
      <c r="J1148" s="55">
        <f>Database_Asfalt_Verwerkingsset[[#This Row],[Verbruik '[liter/kWh/kg per uur']]]*J$1271</f>
        <v>1.9971090824773412E-6</v>
      </c>
      <c r="K1148" s="55">
        <f>Database_Asfalt_Verwerkingsset[[#This Row],[Verbruik '[liter/kWh/kg per uur']]]*K$1271</f>
        <v>1.1861597807673716E-2</v>
      </c>
      <c r="L1148" s="55">
        <f>Database_Asfalt_Verwerkingsset[[#This Row],[Verbruik '[liter/kWh/kg per uur']]]*L$1271</f>
        <v>1.4633242633141994</v>
      </c>
      <c r="M1148" s="55">
        <f>Database_Asfalt_Verwerkingsset[[#This Row],[Verbruik '[liter/kWh/kg per uur']]]*M$1271</f>
        <v>1.946172188519637E-8</v>
      </c>
      <c r="N1148" s="55">
        <f>Database_Asfalt_Verwerkingsset[[#This Row],[Verbruik '[liter/kWh/kg per uur']]]*N$1271</f>
        <v>2.9404227969788513E-4</v>
      </c>
      <c r="O1148" s="55">
        <f>Database_Asfalt_Verwerkingsset[[#This Row],[Verbruik '[liter/kWh/kg per uur']]]*O$1271</f>
        <v>3.0186849488217518E-3</v>
      </c>
      <c r="P1148" s="55">
        <f>Database_Asfalt_Verwerkingsset[[#This Row],[Verbruik '[liter/kWh/kg per uur']]]*P$1271</f>
        <v>6.4890344353474316E-4</v>
      </c>
      <c r="Q1148" s="55">
        <f>Database_Asfalt_Verwerkingsset[[#This Row],[Verbruik '[liter/kWh/kg per uur']]]*Q$1271</f>
        <v>0.29054798790483383</v>
      </c>
      <c r="R1148" s="55">
        <f>Database_Asfalt_Verwerkingsset[[#This Row],[Verbruik '[liter/kWh/kg per uur']]]*R$1271</f>
        <v>2.3077033445921447E-3</v>
      </c>
      <c r="S1148" s="55">
        <f>Database_Asfalt_Verwerkingsset[[#This Row],[Verbruik '[liter/kWh/kg per uur']]]*S$1271</f>
        <v>8.7129802383081572</v>
      </c>
      <c r="T1148" s="55">
        <f>Database_Asfalt_Verwerkingsset[[#This Row],[Verbruik '[liter/kWh/kg per uur']]]*T$1271</f>
        <v>1.1822792987915406E-3</v>
      </c>
      <c r="U1148" s="55"/>
      <c r="V1148" s="55"/>
      <c r="W1148" s="55"/>
      <c r="X1148" s="55"/>
      <c r="Y1148" s="55"/>
      <c r="Z1148" s="55"/>
      <c r="AA1148" s="55"/>
      <c r="AB1148" s="55"/>
      <c r="AC1148" s="55"/>
      <c r="AD1148" s="55"/>
      <c r="AE1148" s="55"/>
      <c r="AF1148" s="55"/>
      <c r="AG1148" s="55"/>
      <c r="AH1148" s="55"/>
      <c r="AI1148" s="55"/>
      <c r="AJ1148" s="55"/>
      <c r="AK1148" s="55"/>
      <c r="AL1148" s="55"/>
      <c r="AM1148" s="55"/>
      <c r="AN1148" s="55"/>
      <c r="AO1148" s="55"/>
      <c r="AP1148" s="55">
        <f>Database_Asfalt_Verwerkingsset[[#This Row],[Verbruik '[liter/kWh/kg per uur']]]*AP$1271</f>
        <v>0.17296578839728094</v>
      </c>
      <c r="AQ1148" s="55"/>
      <c r="AR1148" s="55"/>
      <c r="AS1148" s="55">
        <f>Database_Asfalt_Verwerkingsset[[#This Row],[Verbruik '[liter/kWh/kg per uur']]]*AS$1271</f>
        <v>25.297270843957701</v>
      </c>
      <c r="AT1148" s="55"/>
      <c r="AU1148" s="55"/>
      <c r="AV1148" s="55"/>
      <c r="AW1148" s="55">
        <f>Database_Asfalt_Verwerkingsset[[#This Row],[Verbruik '[liter/kWh/kg per uur']]]*AW$1271</f>
        <v>1.1297235642900301E-3</v>
      </c>
      <c r="AX1148" s="55">
        <f>Database_Asfalt_Verwerkingsset[[#This Row],[Verbruik '[liter/kWh/kg per uur']]]*AX$1271</f>
        <v>3.8585549933534743E-5</v>
      </c>
      <c r="AY1148" s="55">
        <f>Database_Asfalt_Verwerkingsset[[#This Row],[Verbruik '[liter/kWh/kg per uur']]]*AY$1271</f>
        <v>4.2874606555589119E-2</v>
      </c>
      <c r="AZ1148" s="55">
        <f>Database_Asfalt_Verwerkingsset[[#This Row],[Verbruik '[liter/kWh/kg per uur']]]*AZ$1271</f>
        <v>0</v>
      </c>
      <c r="BA1148" s="55"/>
      <c r="BB1148" s="55"/>
      <c r="BC1148" s="55"/>
      <c r="BD1148" s="55"/>
      <c r="BE1148" s="55"/>
      <c r="BF1148" s="45"/>
      <c r="BG1148" s="45"/>
      <c r="BH1148" s="55"/>
    </row>
    <row r="1149" spans="1:63" x14ac:dyDescent="0.35">
      <c r="A1149" s="45" t="s">
        <v>301</v>
      </c>
      <c r="B1149" s="41" t="s">
        <v>93</v>
      </c>
      <c r="C1149" s="41" t="s">
        <v>447</v>
      </c>
      <c r="D1149" s="41" t="s">
        <v>448</v>
      </c>
      <c r="E1149" s="41" t="s">
        <v>65</v>
      </c>
      <c r="F1149" s="48">
        <f>$F$1147*($I$1147/Database_Asfalt_Verwerkingsset[[#This Row],[Stookwaarde '[MJ/liter']]])</f>
        <v>0.38725947521865889</v>
      </c>
      <c r="G1149" s="48">
        <f>Database_Asfalt_Verwerkingsset[[#This Row],[Verbruik '[liter/kWh/kg per uur']]]*G$1272</f>
        <v>8.9700099158164473E-2</v>
      </c>
      <c r="H1149" s="41">
        <v>0.77900000000000003</v>
      </c>
      <c r="I1149" s="45">
        <v>34.299999999999997</v>
      </c>
      <c r="J1149" s="55">
        <f>Database_Asfalt_Verwerkingsset[[#This Row],[Verbruik '[liter/kWh/kg per uur']]]*J$1272</f>
        <v>1.4506662489795918E-6</v>
      </c>
      <c r="K1149" s="55">
        <f>Database_Asfalt_Verwerkingsset[[#This Row],[Verbruik '[liter/kWh/kg per uur']]]*K$1272</f>
        <v>3.1721031612536445E-3</v>
      </c>
      <c r="L1149" s="55">
        <f>Database_Asfalt_Verwerkingsset[[#This Row],[Verbruik '[liter/kWh/kg per uur']]]*L$1272</f>
        <v>0.54682300366763847</v>
      </c>
      <c r="M1149" s="55">
        <f>Database_Asfalt_Verwerkingsset[[#This Row],[Verbruik '[liter/kWh/kg per uur']]]*M$1272</f>
        <v>5.1577153206997076E-8</v>
      </c>
      <c r="N1149" s="55">
        <f>Database_Asfalt_Verwerkingsset[[#This Row],[Verbruik '[liter/kWh/kg per uur']]]*N$1272</f>
        <v>4.4996956381924204E-4</v>
      </c>
      <c r="O1149" s="55">
        <f>Database_Asfalt_Verwerkingsset[[#This Row],[Verbruik '[liter/kWh/kg per uur']]]*O$1272</f>
        <v>4.8876417244606415E-3</v>
      </c>
      <c r="P1149" s="55">
        <f>Database_Asfalt_Verwerkingsset[[#This Row],[Verbruik '[liter/kWh/kg per uur']]]*P$1272</f>
        <v>2.0980688257142858E-3</v>
      </c>
      <c r="Q1149" s="55">
        <f>Database_Asfalt_Verwerkingsset[[#This Row],[Verbruik '[liter/kWh/kg per uur']]]*Q$1272</f>
        <v>0.30480019898250726</v>
      </c>
      <c r="R1149" s="55">
        <f>Database_Asfalt_Verwerkingsset[[#This Row],[Verbruik '[liter/kWh/kg per uur']]]*R$1272</f>
        <v>0.22038188162128283</v>
      </c>
      <c r="S1149" s="55">
        <f>Database_Asfalt_Verwerkingsset[[#This Row],[Verbruik '[liter/kWh/kg per uur']]]*S$1272</f>
        <v>18.226693660903791</v>
      </c>
      <c r="T1149" s="55">
        <f>Database_Asfalt_Verwerkingsset[[#This Row],[Verbruik '[liter/kWh/kg per uur']]]*T$1272</f>
        <v>9.4623100225364423E-2</v>
      </c>
      <c r="U1149" s="55"/>
      <c r="V1149" s="55"/>
      <c r="W1149" s="55"/>
      <c r="X1149" s="55"/>
      <c r="Y1149" s="55"/>
      <c r="Z1149" s="55"/>
      <c r="AA1149" s="55"/>
      <c r="AB1149" s="55"/>
      <c r="AC1149" s="55"/>
      <c r="AD1149" s="55"/>
      <c r="AE1149" s="55"/>
      <c r="AF1149" s="55"/>
      <c r="AG1149" s="55"/>
      <c r="AH1149" s="55"/>
      <c r="AI1149" s="55"/>
      <c r="AJ1149" s="55"/>
      <c r="AK1149" s="55"/>
      <c r="AL1149" s="55"/>
      <c r="AM1149" s="55"/>
      <c r="AN1149" s="55"/>
      <c r="AO1149" s="55"/>
      <c r="AP1149" s="55">
        <f>Database_Asfalt_Verwerkingsset[[#This Row],[Verbruik '[liter/kWh/kg per uur']]]*AP$1272</f>
        <v>3.0371154289096212</v>
      </c>
      <c r="AQ1149" s="55"/>
      <c r="AR1149" s="55"/>
      <c r="AS1149" s="55">
        <f>Database_Asfalt_Verwerkingsset[[#This Row],[Verbruik '[liter/kWh/kg per uur']]]*AS$1272</f>
        <v>6.692798326384839</v>
      </c>
      <c r="AT1149" s="55"/>
      <c r="AU1149" s="55"/>
      <c r="AV1149" s="55"/>
      <c r="AW1149" s="55">
        <f>Database_Asfalt_Verwerkingsset[[#This Row],[Verbruik '[liter/kWh/kg per uur']]]*AW$1272</f>
        <v>2.3698541475597669E-2</v>
      </c>
      <c r="AX1149" s="55">
        <f>Database_Asfalt_Verwerkingsset[[#This Row],[Verbruik '[liter/kWh/kg per uur']]]*AX$1272</f>
        <v>3.9258429300291546E-5</v>
      </c>
      <c r="AY1149" s="55">
        <f>Database_Asfalt_Verwerkingsset[[#This Row],[Verbruik '[liter/kWh/kg per uur']]]*AY$1272</f>
        <v>0.10896441066443149</v>
      </c>
      <c r="AZ1149" s="55">
        <f>Database_Asfalt_Verwerkingsset[[#This Row],[Verbruik '[liter/kWh/kg per uur']]]*AZ$1272</f>
        <v>0</v>
      </c>
      <c r="BA1149" s="55"/>
      <c r="BB1149" s="55"/>
      <c r="BC1149" s="55"/>
      <c r="BD1149" s="55"/>
      <c r="BE1149" s="55"/>
      <c r="BF1149" s="45"/>
      <c r="BG1149" s="45"/>
      <c r="BH1149" s="55"/>
    </row>
    <row r="1150" spans="1:63" x14ac:dyDescent="0.35">
      <c r="A1150" s="45" t="s">
        <v>302</v>
      </c>
      <c r="B1150" s="41" t="s">
        <v>93</v>
      </c>
      <c r="C1150" s="41" t="s">
        <v>447</v>
      </c>
      <c r="D1150" s="41" t="s">
        <v>448</v>
      </c>
      <c r="E1150" s="41" t="s">
        <v>65</v>
      </c>
      <c r="F1150" s="48">
        <f>$F$1147*($I$1147/Database_Asfalt_Verwerkingsset[[#This Row],[Stookwaarde '[MJ/liter']]])</f>
        <v>0.38501449275362315</v>
      </c>
      <c r="G1150" s="48">
        <f>Database_Asfalt_Verwerkingsset[[#This Row],[Verbruik '[liter/kWh/kg per uur']]]*G$1273</f>
        <v>0.11582957610053456</v>
      </c>
      <c r="H1150" s="41">
        <v>0.78100000000000003</v>
      </c>
      <c r="I1150" s="45">
        <v>34.5</v>
      </c>
      <c r="J1150" s="55">
        <f>Database_Asfalt_Verwerkingsset[[#This Row],[Verbruik '[liter/kWh/kg per uur']]]*J$1273</f>
        <v>8.0911950695652153E-7</v>
      </c>
      <c r="K1150" s="55">
        <f>Database_Asfalt_Verwerkingsset[[#This Row],[Verbruik '[liter/kWh/kg per uur']]]*K$1273</f>
        <v>2.0293020471884057E-3</v>
      </c>
      <c r="L1150" s="55">
        <f>Database_Asfalt_Verwerkingsset[[#This Row],[Verbruik '[liter/kWh/kg per uur']]]*L$1273</f>
        <v>0.52047302519710137</v>
      </c>
      <c r="M1150" s="55">
        <f>Database_Asfalt_Verwerkingsset[[#This Row],[Verbruik '[liter/kWh/kg per uur']]]*M$1273</f>
        <v>3.1583008350724634E-8</v>
      </c>
      <c r="N1150" s="55">
        <f>Database_Asfalt_Verwerkingsset[[#This Row],[Verbruik '[liter/kWh/kg per uur']]]*N$1273</f>
        <v>3.8161481478260863E-4</v>
      </c>
      <c r="O1150" s="55">
        <f>Database_Asfalt_Verwerkingsset[[#This Row],[Verbruik '[liter/kWh/kg per uur']]]*O$1273</f>
        <v>3.1820866454202895E-3</v>
      </c>
      <c r="P1150" s="55">
        <f>Database_Asfalt_Verwerkingsset[[#This Row],[Verbruik '[liter/kWh/kg per uur']]]*P$1273</f>
        <v>1.1760933756231884E-3</v>
      </c>
      <c r="Q1150" s="55">
        <f>Database_Asfalt_Verwerkingsset[[#This Row],[Verbruik '[liter/kWh/kg per uur']]]*Q$1273</f>
        <v>0.29347761281333329</v>
      </c>
      <c r="R1150" s="55">
        <f>Database_Asfalt_Verwerkingsset[[#This Row],[Verbruik '[liter/kWh/kg per uur']]]*R$1273</f>
        <v>0.19613127614289852</v>
      </c>
      <c r="S1150" s="55">
        <f>Database_Asfalt_Verwerkingsset[[#This Row],[Verbruik '[liter/kWh/kg per uur']]]*S$1273</f>
        <v>12.626051696086956</v>
      </c>
      <c r="T1150" s="55">
        <f>Database_Asfalt_Verwerkingsset[[#This Row],[Verbruik '[liter/kWh/kg per uur']]]*T$1273</f>
        <v>8.6578917412173897E-2</v>
      </c>
      <c r="U1150" s="55"/>
      <c r="V1150" s="55"/>
      <c r="W1150" s="55"/>
      <c r="X1150" s="55"/>
      <c r="Y1150" s="55"/>
      <c r="Z1150" s="55"/>
      <c r="AA1150" s="55"/>
      <c r="AB1150" s="55"/>
      <c r="AC1150" s="55"/>
      <c r="AD1150" s="55"/>
      <c r="AE1150" s="55"/>
      <c r="AF1150" s="55"/>
      <c r="AG1150" s="55"/>
      <c r="AH1150" s="55"/>
      <c r="AI1150" s="55"/>
      <c r="AJ1150" s="55"/>
      <c r="AK1150" s="55"/>
      <c r="AL1150" s="55"/>
      <c r="AM1150" s="55"/>
      <c r="AN1150" s="55"/>
      <c r="AO1150" s="55"/>
      <c r="AP1150" s="55">
        <f>Database_Asfalt_Verwerkingsset[[#This Row],[Verbruik '[liter/kWh/kg per uur']]]*AP$1273</f>
        <v>0.948141541037681</v>
      </c>
      <c r="AQ1150" s="55"/>
      <c r="AR1150" s="55"/>
      <c r="AS1150" s="55">
        <f>Database_Asfalt_Verwerkingsset[[#This Row],[Verbruik '[liter/kWh/kg per uur']]]*AS$1273</f>
        <v>4.24754687657971</v>
      </c>
      <c r="AT1150" s="55"/>
      <c r="AU1150" s="55"/>
      <c r="AV1150" s="55"/>
      <c r="AW1150" s="55">
        <f>Database_Asfalt_Verwerkingsset[[#This Row],[Verbruik '[liter/kWh/kg per uur']]]*AW$1273</f>
        <v>7.4735394197101446E-3</v>
      </c>
      <c r="AX1150" s="55">
        <f>Database_Asfalt_Verwerkingsset[[#This Row],[Verbruik '[liter/kWh/kg per uur']]]*AX$1273</f>
        <v>2.3498474031884056E-5</v>
      </c>
      <c r="AY1150" s="55">
        <f>Database_Asfalt_Verwerkingsset[[#This Row],[Verbruik '[liter/kWh/kg per uur']]]*AY$1273</f>
        <v>9.3939574432753609E-2</v>
      </c>
      <c r="AZ1150" s="55">
        <f>Database_Asfalt_Verwerkingsset[[#This Row],[Verbruik '[liter/kWh/kg per uur']]]*AZ$1273</f>
        <v>0</v>
      </c>
      <c r="BA1150" s="55"/>
      <c r="BB1150" s="55"/>
      <c r="BC1150" s="55"/>
      <c r="BD1150" s="55"/>
      <c r="BE1150" s="55"/>
      <c r="BF1150" s="45"/>
      <c r="BG1150" s="45"/>
      <c r="BH1150" s="55"/>
    </row>
    <row r="1151" spans="1:63" ht="15.5" x14ac:dyDescent="0.45">
      <c r="A1151" s="45" t="s">
        <v>303</v>
      </c>
      <c r="B1151" s="41" t="s">
        <v>93</v>
      </c>
      <c r="C1151" s="41" t="s">
        <v>447</v>
      </c>
      <c r="D1151" s="41" t="s">
        <v>448</v>
      </c>
      <c r="E1151" s="41" t="s">
        <v>65</v>
      </c>
      <c r="F1151" s="48">
        <f>$F$1147*($I$1147/Database_Asfalt_Verwerkingsset[[#This Row],[Stookwaarde '[MJ/liter']]])</f>
        <v>0.38613372093023257</v>
      </c>
      <c r="G1151" s="48">
        <f>Database_Asfalt_Verwerkingsset[[#This Row],[Verbruik '[liter/kWh/kg per uur']]]*G$1274</f>
        <v>3.3764539478703809E-2</v>
      </c>
      <c r="H1151" s="46">
        <v>0.78</v>
      </c>
      <c r="I1151" s="45">
        <v>34.4</v>
      </c>
      <c r="J1151" s="55">
        <f>Database_Asfalt_Verwerkingsset[[#This Row],[Verbruik '[liter/kWh/kg per uur']]]*J$1274</f>
        <v>4.7148666857994189E-7</v>
      </c>
      <c r="K1151" s="55">
        <f>Database_Asfalt_Verwerkingsset[[#This Row],[Verbruik '[liter/kWh/kg per uur']]]*K$1274</f>
        <v>1.3404377525017195E-3</v>
      </c>
      <c r="L1151" s="55">
        <f>Database_Asfalt_Verwerkingsset[[#This Row],[Verbruik '[liter/kWh/kg per uur']]]*L$1274</f>
        <v>0.14222770568950244</v>
      </c>
      <c r="M1151" s="55">
        <f>Database_Asfalt_Verwerkingsset[[#This Row],[Verbruik '[liter/kWh/kg per uur']]]*M$1274</f>
        <v>1.7935478867441864E-8</v>
      </c>
      <c r="N1151" s="55">
        <f>Database_Asfalt_Verwerkingsset[[#This Row],[Verbruik '[liter/kWh/kg per uur']]]*N$1274</f>
        <v>1.6509252151290205E-4</v>
      </c>
      <c r="O1151" s="55">
        <f>Database_Asfalt_Verwerkingsset[[#This Row],[Verbruik '[liter/kWh/kg per uur']]]*O$1274</f>
        <v>2.0961004810357777E-3</v>
      </c>
      <c r="P1151" s="55">
        <f>Database_Asfalt_Verwerkingsset[[#This Row],[Verbruik '[liter/kWh/kg per uur']]]*P$1274</f>
        <v>4.8864261102664276E-4</v>
      </c>
      <c r="Q1151" s="55">
        <f>Database_Asfalt_Verwerkingsset[[#This Row],[Verbruik '[liter/kWh/kg per uur']]]*Q$1274</f>
        <v>0.14356685362747718</v>
      </c>
      <c r="R1151" s="55">
        <f>Database_Asfalt_Verwerkingsset[[#This Row],[Verbruik '[liter/kWh/kg per uur']]]*R$1274</f>
        <v>9.9460939428963223E-4</v>
      </c>
      <c r="S1151" s="55">
        <f>Database_Asfalt_Verwerkingsset[[#This Row],[Verbruik '[liter/kWh/kg per uur']]]*S$1274</f>
        <v>3.33848741378279</v>
      </c>
      <c r="T1151" s="55">
        <f>Database_Asfalt_Verwerkingsset[[#This Row],[Verbruik '[liter/kWh/kg per uur']]]*T$1274</f>
        <v>6.832722588083509E-4</v>
      </c>
      <c r="U1151" s="55"/>
      <c r="V1151" s="55"/>
      <c r="W1151" s="55"/>
      <c r="X1151" s="55"/>
      <c r="Y1151" s="55"/>
      <c r="Z1151" s="55"/>
      <c r="AA1151" s="55"/>
      <c r="AB1151" s="55"/>
      <c r="AC1151" s="55"/>
      <c r="AD1151" s="55"/>
      <c r="AE1151" s="55"/>
      <c r="AF1151" s="55"/>
      <c r="AG1151" s="55"/>
      <c r="AH1151" s="55"/>
      <c r="AI1151" s="55"/>
      <c r="AJ1151" s="55"/>
      <c r="AK1151" s="55"/>
      <c r="AL1151" s="55"/>
      <c r="AM1151" s="55"/>
      <c r="AN1151" s="55"/>
      <c r="AO1151" s="55"/>
      <c r="AP1151" s="55">
        <f>Database_Asfalt_Verwerkingsset[[#This Row],[Verbruik '[liter/kWh/kg per uur']]]*AP$1274</f>
        <v>9.5018956795007492E-2</v>
      </c>
      <c r="AQ1151" s="55"/>
      <c r="AR1151" s="55"/>
      <c r="AS1151" s="55">
        <f>Database_Asfalt_Verwerkingsset[[#This Row],[Verbruik '[liter/kWh/kg per uur']]]*AS$1274</f>
        <v>2.8135445121723492</v>
      </c>
      <c r="AT1151" s="55"/>
      <c r="AU1151" s="55"/>
      <c r="AV1151" s="55"/>
      <c r="AW1151" s="55">
        <f>Database_Asfalt_Verwerkingsset[[#This Row],[Verbruik '[liter/kWh/kg per uur']]]*AW$1274</f>
        <v>7.3394780966647621E-4</v>
      </c>
      <c r="AX1151" s="55">
        <f>Database_Asfalt_Verwerkingsset[[#This Row],[Verbruik '[liter/kWh/kg per uur']]]*AX$1274</f>
        <v>1.1448724894582267E-5</v>
      </c>
      <c r="AY1151" s="55">
        <f>Database_Asfalt_Verwerkingsset[[#This Row],[Verbruik '[liter/kWh/kg per uur']]]*AY$1274</f>
        <v>2.8117221947055945E-2</v>
      </c>
      <c r="AZ1151" s="55">
        <f>Database_Asfalt_Verwerkingsset[[#This Row],[Verbruik '[liter/kWh/kg per uur']]]*AZ$1274</f>
        <v>6.7180873067441858E-6</v>
      </c>
      <c r="BA1151" s="55"/>
      <c r="BB1151" s="55"/>
      <c r="BC1151" s="55"/>
      <c r="BD1151" s="55"/>
      <c r="BE1151" s="55"/>
      <c r="BF1151" s="45"/>
      <c r="BG1151" s="45"/>
      <c r="BH1151" s="55"/>
    </row>
    <row r="1152" spans="1:63" ht="15.5" x14ac:dyDescent="0.45">
      <c r="A1152" s="41" t="s">
        <v>304</v>
      </c>
      <c r="B1152" s="41" t="s">
        <v>93</v>
      </c>
      <c r="C1152" s="41" t="s">
        <v>447</v>
      </c>
      <c r="D1152" s="41" t="s">
        <v>448</v>
      </c>
      <c r="E1152" s="41" t="s">
        <v>65</v>
      </c>
      <c r="F1152" s="41">
        <v>0.37</v>
      </c>
      <c r="G1152" s="41">
        <v>0.14496907172049961</v>
      </c>
      <c r="H1152" s="41">
        <v>0.84</v>
      </c>
      <c r="I1152" s="46">
        <v>35.9</v>
      </c>
      <c r="J1152" s="52">
        <v>4.10992533750904E-7</v>
      </c>
      <c r="K1152" s="52">
        <v>8.4294261397523176E-3</v>
      </c>
      <c r="L1152" s="52">
        <v>1.6285929450651</v>
      </c>
      <c r="M1152" s="52">
        <v>2.209736030835149E-7</v>
      </c>
      <c r="N1152" s="52">
        <v>4.9187271652612551E-4</v>
      </c>
      <c r="O1152" s="52">
        <v>3.5952736141663102E-3</v>
      </c>
      <c r="P1152" s="52">
        <v>7.0030259466747485E-4</v>
      </c>
      <c r="Q1152" s="52">
        <v>0.42480915910794304</v>
      </c>
      <c r="R1152" s="52">
        <v>6.1055404584190991E-3</v>
      </c>
      <c r="S1152" s="52">
        <v>20.569278736524495</v>
      </c>
      <c r="T1152" s="52">
        <v>7.25661152361173E-4</v>
      </c>
      <c r="U1152" s="52"/>
      <c r="V1152" s="52"/>
      <c r="W1152" s="52"/>
      <c r="X1152" s="52"/>
      <c r="Y1152" s="52"/>
      <c r="Z1152" s="52"/>
      <c r="AA1152" s="52"/>
      <c r="AB1152" s="52"/>
      <c r="AC1152" s="52"/>
      <c r="AD1152" s="52"/>
      <c r="AE1152" s="52"/>
      <c r="AF1152" s="52"/>
      <c r="AG1152" s="52"/>
      <c r="AH1152" s="52"/>
      <c r="AI1152" s="52"/>
      <c r="AJ1152" s="52"/>
      <c r="AK1152" s="52"/>
      <c r="AL1152" s="52"/>
      <c r="AM1152" s="52"/>
      <c r="AN1152" s="52"/>
      <c r="AO1152" s="52"/>
      <c r="AP1152" s="52">
        <f>Database_Asfalt_Verwerkingsset[[#This Row],[Verbruik '[liter/kWh/kg per uur']]]*AP1275</f>
        <v>0.14583008319999999</v>
      </c>
      <c r="AQ1152" s="52"/>
      <c r="AR1152" s="52"/>
      <c r="AS1152" s="52">
        <f>Database_Asfalt_Verwerkingsset[[#This Row],[Verbruik '[liter/kWh/kg per uur']]]*AS1275</f>
        <v>19.63148923</v>
      </c>
      <c r="AT1152" s="52"/>
      <c r="AU1152" s="52"/>
      <c r="AV1152" s="52"/>
      <c r="AW1152" s="52">
        <f>Database_Asfalt_Verwerkingsset[[#This Row],[Verbruik '[liter/kWh/kg per uur']]]*AW1275</f>
        <v>1.85752506E-3</v>
      </c>
      <c r="AX1152" s="52">
        <f>Database_Asfalt_Verwerkingsset[[#This Row],[Verbruik '[liter/kWh/kg per uur']]]*AX1275</f>
        <v>1.3483095999999999E-4</v>
      </c>
      <c r="AY1152" s="52">
        <f>Database_Asfalt_Verwerkingsset[[#This Row],[Verbruik '[liter/kWh/kg per uur']]]*AY1275</f>
        <v>3.308473881E-2</v>
      </c>
      <c r="AZ1152" s="52">
        <f>Database_Asfalt_Verwerkingsset[[#This Row],[Verbruik '[liter/kWh/kg per uur']]]*AZ1275</f>
        <v>0</v>
      </c>
      <c r="BA1152" s="52"/>
      <c r="BB1152" s="52"/>
      <c r="BC1152" s="52"/>
      <c r="BD1152" s="52"/>
      <c r="BE1152" s="52"/>
      <c r="BH1152" s="55"/>
    </row>
    <row r="1153" spans="1:63" x14ac:dyDescent="0.35">
      <c r="A1153" s="45" t="s">
        <v>305</v>
      </c>
      <c r="B1153" s="41" t="s">
        <v>93</v>
      </c>
      <c r="C1153" s="41" t="s">
        <v>447</v>
      </c>
      <c r="D1153" s="41" t="s">
        <v>448</v>
      </c>
      <c r="E1153" s="41" t="s">
        <v>65</v>
      </c>
      <c r="F1153" s="48">
        <f>$F$1147*($I$1147/Database_Asfalt_Verwerkingsset[[#This Row],[Stookwaarde '[MJ/liter']]])</f>
        <v>0.40129909365558908</v>
      </c>
      <c r="G1153" s="48">
        <f>Database_Asfalt_Verwerkingsset[[#This Row],[Verbruik '[liter/kWh/kg per uur']]]*G$1276</f>
        <v>0.10446038505565734</v>
      </c>
      <c r="H1153" s="41">
        <v>0.876</v>
      </c>
      <c r="I1153" s="45">
        <v>33.1</v>
      </c>
      <c r="J1153" s="55">
        <f>Database_Asfalt_Verwerkingsset[[#This Row],[Verbruik '[liter/kWh/kg per uur']]]*J$1276</f>
        <v>2.0522475779456192E-6</v>
      </c>
      <c r="K1153" s="55">
        <f>Database_Asfalt_Verwerkingsset[[#This Row],[Verbruik '[liter/kWh/kg per uur']]]*K$1276</f>
        <v>1.1966309984078549E-2</v>
      </c>
      <c r="L1153" s="55">
        <f>Database_Asfalt_Verwerkingsset[[#This Row],[Verbruik '[liter/kWh/kg per uur']]]*L$1276</f>
        <v>1.4747967623232627</v>
      </c>
      <c r="M1153" s="55">
        <f>Database_Asfalt_Verwerkingsset[[#This Row],[Verbruik '[liter/kWh/kg per uur']]]*M$1276</f>
        <v>2.1333902546827791E-8</v>
      </c>
      <c r="N1153" s="55">
        <f>Database_Asfalt_Verwerkingsset[[#This Row],[Verbruik '[liter/kWh/kg per uur']]]*N$1276</f>
        <v>2.988337908761329E-4</v>
      </c>
      <c r="O1153" s="55">
        <f>Database_Asfalt_Verwerkingsset[[#This Row],[Verbruik '[liter/kWh/kg per uur']]]*O$1276</f>
        <v>1.701235273716012E-3</v>
      </c>
      <c r="P1153" s="55">
        <f>Database_Asfalt_Verwerkingsset[[#This Row],[Verbruik '[liter/kWh/kg per uur']]]*P$1276</f>
        <v>3.005882705135951E-4</v>
      </c>
      <c r="Q1153" s="55">
        <f>Database_Asfalt_Verwerkingsset[[#This Row],[Verbruik '[liter/kWh/kg per uur']]]*Q$1276</f>
        <v>0.29616833821812688</v>
      </c>
      <c r="R1153" s="55">
        <f>Database_Asfalt_Verwerkingsset[[#This Row],[Verbruik '[liter/kWh/kg per uur']]]*R$1276</f>
        <v>2.3877950190030208E-3</v>
      </c>
      <c r="S1153" s="55">
        <f>Database_Asfalt_Verwerkingsset[[#This Row],[Verbruik '[liter/kWh/kg per uur']]]*S$1276</f>
        <v>9.0718523865861016</v>
      </c>
      <c r="T1153" s="55">
        <f>Database_Asfalt_Verwerkingsset[[#This Row],[Verbruik '[liter/kWh/kg per uur']]]*T$1276</f>
        <v>1.1983974768882176E-3</v>
      </c>
      <c r="U1153" s="55"/>
      <c r="V1153" s="55"/>
      <c r="W1153" s="55"/>
      <c r="X1153" s="55"/>
      <c r="Y1153" s="55"/>
      <c r="Z1153" s="55"/>
      <c r="AA1153" s="55"/>
      <c r="AB1153" s="55"/>
      <c r="AC1153" s="55"/>
      <c r="AD1153" s="55"/>
      <c r="AE1153" s="55"/>
      <c r="AF1153" s="55"/>
      <c r="AG1153" s="55"/>
      <c r="AH1153" s="55"/>
      <c r="AI1153" s="55"/>
      <c r="AJ1153" s="55"/>
      <c r="AK1153" s="55"/>
      <c r="AL1153" s="55"/>
      <c r="AM1153" s="55"/>
      <c r="AN1153" s="55"/>
      <c r="AO1153" s="55"/>
      <c r="AP1153" s="55">
        <f>Database_Asfalt_Verwerkingsset[[#This Row],[Verbruik '[liter/kWh/kg per uur']]]*AP$1276</f>
        <v>0.17742259606646524</v>
      </c>
      <c r="AQ1153" s="55"/>
      <c r="AR1153" s="55"/>
      <c r="AS1153" s="55">
        <f>Database_Asfalt_Verwerkingsset[[#This Row],[Verbruik '[liter/kWh/kg per uur']]]*AS$1276</f>
        <v>25.529156308338365</v>
      </c>
      <c r="AT1153" s="55"/>
      <c r="AU1153" s="55"/>
      <c r="AV1153" s="55"/>
      <c r="AW1153" s="55">
        <f>Database_Asfalt_Verwerkingsset[[#This Row],[Verbruik '[liter/kWh/kg per uur']]]*AW$1276</f>
        <v>1.1545972860120845E-3</v>
      </c>
      <c r="AX1153" s="55">
        <f>Database_Asfalt_Verwerkingsset[[#This Row],[Verbruik '[liter/kWh/kg per uur']]]*AX$1276</f>
        <v>3.9470013135951657E-5</v>
      </c>
      <c r="AY1153" s="55">
        <f>Database_Asfalt_Verwerkingsset[[#This Row],[Verbruik '[liter/kWh/kg per uur']]]*AY$1276</f>
        <v>4.3420513777643499E-2</v>
      </c>
      <c r="AZ1153" s="55">
        <f>Database_Asfalt_Verwerkingsset[[#This Row],[Verbruik '[liter/kWh/kg per uur']]]*AZ$1276</f>
        <v>0</v>
      </c>
      <c r="BA1153" s="55"/>
      <c r="BB1153" s="55"/>
      <c r="BC1153" s="55"/>
      <c r="BD1153" s="55"/>
      <c r="BE1153" s="55"/>
      <c r="BF1153" s="45"/>
      <c r="BG1153" s="45"/>
      <c r="BH1153" s="55"/>
    </row>
    <row r="1154" spans="1:63" x14ac:dyDescent="0.35">
      <c r="A1154" s="45" t="s">
        <v>306</v>
      </c>
      <c r="B1154" s="41" t="s">
        <v>93</v>
      </c>
      <c r="C1154" s="41" t="s">
        <v>447</v>
      </c>
      <c r="D1154" s="41" t="s">
        <v>448</v>
      </c>
      <c r="E1154" s="41" t="s">
        <v>65</v>
      </c>
      <c r="F1154" s="48">
        <f>$F$1147*($I$1147/Database_Asfalt_Verwerkingsset[[#This Row],[Stookwaarde '[MJ/liter']]])</f>
        <v>0.38725947521865889</v>
      </c>
      <c r="G1154" s="48">
        <f>Database_Asfalt_Verwerkingsset[[#This Row],[Verbruik '[liter/kWh/kg per uur']]]*G$1277</f>
        <v>8.2653707338873852E-2</v>
      </c>
      <c r="H1154" s="41">
        <v>0.77900000000000003</v>
      </c>
      <c r="I1154" s="45">
        <v>34.299999999999997</v>
      </c>
      <c r="J1154" s="55">
        <f>Database_Asfalt_Verwerkingsset[[#This Row],[Verbruik '[liter/kWh/kg per uur']]]*J$1277</f>
        <v>1.5020129827988339E-6</v>
      </c>
      <c r="K1154" s="55">
        <f>Database_Asfalt_Verwerkingsset[[#This Row],[Verbruik '[liter/kWh/kg per uur']]]*K$1277</f>
        <v>3.2696166461516035E-3</v>
      </c>
      <c r="L1154" s="55">
        <f>Database_Asfalt_Verwerkingsset[[#This Row],[Verbruik '[liter/kWh/kg per uur']]]*L$1277</f>
        <v>0.55750505285422736</v>
      </c>
      <c r="M1154" s="55">
        <f>Database_Asfalt_Verwerkingsset[[#This Row],[Verbruik '[liter/kWh/kg per uur']]]*M$1277</f>
        <v>5.332059536443149E-8</v>
      </c>
      <c r="N1154" s="55">
        <f>Database_Asfalt_Verwerkingsset[[#This Row],[Verbruik '[liter/kWh/kg per uur']]]*N$1277</f>
        <v>4.5443195475218659E-4</v>
      </c>
      <c r="O1154" s="55">
        <f>Database_Asfalt_Verwerkingsset[[#This Row],[Verbruik '[liter/kWh/kg per uur']]]*O$1277</f>
        <v>3.4836402422448978E-3</v>
      </c>
      <c r="P1154" s="55">
        <f>Database_Asfalt_Verwerkingsset[[#This Row],[Verbruik '[liter/kWh/kg per uur']]]*P$1277</f>
        <v>1.7276473924781341E-3</v>
      </c>
      <c r="Q1154" s="55">
        <f>Database_Asfalt_Verwerkingsset[[#This Row],[Verbruik '[liter/kWh/kg per uur']]]*Q$1277</f>
        <v>0.30961381489650147</v>
      </c>
      <c r="R1154" s="55">
        <f>Database_Asfalt_Verwerkingsset[[#This Row],[Verbruik '[liter/kWh/kg per uur']]]*R$1277</f>
        <v>0.22045646392361515</v>
      </c>
      <c r="S1154" s="55">
        <f>Database_Asfalt_Verwerkingsset[[#This Row],[Verbruik '[liter/kWh/kg per uur']]]*S$1277</f>
        <v>18.560894328163265</v>
      </c>
      <c r="T1154" s="55">
        <f>Database_Asfalt_Verwerkingsset[[#This Row],[Verbruik '[liter/kWh/kg per uur']]]*T$1277</f>
        <v>9.4638110402623904E-2</v>
      </c>
      <c r="U1154" s="55"/>
      <c r="V1154" s="55"/>
      <c r="W1154" s="55"/>
      <c r="X1154" s="55"/>
      <c r="Y1154" s="55"/>
      <c r="Z1154" s="55"/>
      <c r="AA1154" s="55"/>
      <c r="AB1154" s="55"/>
      <c r="AC1154" s="55"/>
      <c r="AD1154" s="55"/>
      <c r="AE1154" s="55"/>
      <c r="AF1154" s="55"/>
      <c r="AG1154" s="55"/>
      <c r="AH1154" s="55"/>
      <c r="AI1154" s="55"/>
      <c r="AJ1154" s="55"/>
      <c r="AK1154" s="55"/>
      <c r="AL1154" s="55"/>
      <c r="AM1154" s="55"/>
      <c r="AN1154" s="55"/>
      <c r="AO1154" s="55"/>
      <c r="AP1154" s="55">
        <f>Database_Asfalt_Verwerkingsset[[#This Row],[Verbruik '[liter/kWh/kg per uur']]]*AP$1277</f>
        <v>3.0412658048833818</v>
      </c>
      <c r="AQ1154" s="55"/>
      <c r="AR1154" s="55"/>
      <c r="AS1154" s="55">
        <f>Database_Asfalt_Verwerkingsset[[#This Row],[Verbruik '[liter/kWh/kg per uur']]]*AS$1277</f>
        <v>6.9087427294752191</v>
      </c>
      <c r="AT1154" s="55"/>
      <c r="AU1154" s="55"/>
      <c r="AV1154" s="55"/>
      <c r="AW1154" s="55">
        <f>Database_Asfalt_Verwerkingsset[[#This Row],[Verbruik '[liter/kWh/kg per uur']]]*AW$1277</f>
        <v>2.3721705013848397E-2</v>
      </c>
      <c r="AX1154" s="55">
        <f>Database_Asfalt_Verwerkingsset[[#This Row],[Verbruik '[liter/kWh/kg per uur']]]*AX$1277</f>
        <v>4.0081742944606414E-5</v>
      </c>
      <c r="AY1154" s="55">
        <f>Database_Asfalt_Verwerkingsset[[#This Row],[Verbruik '[liter/kWh/kg per uur']]]*AY$1277</f>
        <v>0.10947278941311953</v>
      </c>
      <c r="AZ1154" s="55">
        <f>Database_Asfalt_Verwerkingsset[[#This Row],[Verbruik '[liter/kWh/kg per uur']]]*AZ$1277</f>
        <v>0</v>
      </c>
      <c r="BA1154" s="55"/>
      <c r="BB1154" s="55"/>
      <c r="BC1154" s="55"/>
      <c r="BD1154" s="55"/>
      <c r="BE1154" s="55"/>
      <c r="BF1154" s="45"/>
      <c r="BG1154" s="45"/>
      <c r="BH1154" s="55"/>
    </row>
    <row r="1155" spans="1:63" x14ac:dyDescent="0.35">
      <c r="A1155" s="45" t="s">
        <v>307</v>
      </c>
      <c r="B1155" s="41" t="s">
        <v>93</v>
      </c>
      <c r="C1155" s="41" t="s">
        <v>447</v>
      </c>
      <c r="D1155" s="41" t="s">
        <v>448</v>
      </c>
      <c r="E1155" s="41" t="s">
        <v>65</v>
      </c>
      <c r="F1155" s="48">
        <f>$F$1147*($I$1147/Database_Asfalt_Verwerkingsset[[#This Row],[Stookwaarde '[MJ/liter']]])</f>
        <v>0.38501449275362315</v>
      </c>
      <c r="G1155" s="48">
        <f>Database_Asfalt_Verwerkingsset[[#This Row],[Verbruik '[liter/kWh/kg per uur']]]*G$1278</f>
        <v>0.1088646450436257</v>
      </c>
      <c r="H1155" s="41">
        <v>0.78100000000000003</v>
      </c>
      <c r="I1155" s="45">
        <v>34.5</v>
      </c>
      <c r="J1155" s="55">
        <f>Database_Asfalt_Verwerkingsset[[#This Row],[Verbruik '[liter/kWh/kg per uur']]]*J$1278</f>
        <v>8.6232850985507231E-7</v>
      </c>
      <c r="K1155" s="55">
        <f>Database_Asfalt_Verwerkingsset[[#This Row],[Verbruik '[liter/kWh/kg per uur']]]*K$1278</f>
        <v>2.1303506408695654E-3</v>
      </c>
      <c r="L1155" s="55">
        <f>Database_Asfalt_Verwerkingsset[[#This Row],[Verbruik '[liter/kWh/kg per uur']]]*L$1278</f>
        <v>0.53154415543768119</v>
      </c>
      <c r="M1155" s="55">
        <f>Database_Asfalt_Verwerkingsset[[#This Row],[Verbruik '[liter/kWh/kg per uur']]]*M$1278</f>
        <v>3.338965035652173E-8</v>
      </c>
      <c r="N1155" s="55">
        <f>Database_Asfalt_Verwerkingsset[[#This Row],[Verbruik '[liter/kWh/kg per uur']]]*N$1278</f>
        <v>3.8623883884057969E-4</v>
      </c>
      <c r="O1155" s="55">
        <f>Database_Asfalt_Verwerkingsset[[#This Row],[Verbruik '[liter/kWh/kg per uur']]]*O$1278</f>
        <v>1.9107283638260867E-3</v>
      </c>
      <c r="P1155" s="55">
        <f>Database_Asfalt_Verwerkingsset[[#This Row],[Verbruik '[liter/kWh/kg per uur']]]*P$1278</f>
        <v>8.3996417301449272E-4</v>
      </c>
      <c r="Q1155" s="55">
        <f>Database_Asfalt_Verwerkingsset[[#This Row],[Verbruik '[liter/kWh/kg per uur']]]*Q$1278</f>
        <v>0.2989013273733333</v>
      </c>
      <c r="R1155" s="55">
        <f>Database_Asfalt_Verwerkingsset[[#This Row],[Verbruik '[liter/kWh/kg per uur']]]*R$1278</f>
        <v>0.1962085639521739</v>
      </c>
      <c r="S1155" s="55">
        <f>Database_Asfalt_Verwerkingsset[[#This Row],[Verbruik '[liter/kWh/kg per uur']]]*S$1278</f>
        <v>12.972368382173913</v>
      </c>
      <c r="T1155" s="55">
        <f>Database_Asfalt_Verwerkingsset[[#This Row],[Verbruik '[liter/kWh/kg per uur']]]*T$1278</f>
        <v>8.6594471997681138E-2</v>
      </c>
      <c r="U1155" s="55"/>
      <c r="V1155" s="55"/>
      <c r="W1155" s="55"/>
      <c r="X1155" s="55"/>
      <c r="Y1155" s="55"/>
      <c r="Z1155" s="55"/>
      <c r="AA1155" s="55"/>
      <c r="AB1155" s="55"/>
      <c r="AC1155" s="55"/>
      <c r="AD1155" s="55"/>
      <c r="AE1155" s="55"/>
      <c r="AF1155" s="55"/>
      <c r="AG1155" s="55"/>
      <c r="AH1155" s="55"/>
      <c r="AI1155" s="55"/>
      <c r="AJ1155" s="55"/>
      <c r="AK1155" s="55"/>
      <c r="AL1155" s="55"/>
      <c r="AM1155" s="55"/>
      <c r="AN1155" s="55"/>
      <c r="AO1155" s="55"/>
      <c r="AP1155" s="55">
        <f>Database_Asfalt_Verwerkingsset[[#This Row],[Verbruik '[liter/kWh/kg per uur']]]*AP$1278</f>
        <v>0.95244242243188393</v>
      </c>
      <c r="AQ1155" s="55"/>
      <c r="AR1155" s="55"/>
      <c r="AS1155" s="55">
        <f>Database_Asfalt_Verwerkingsset[[#This Row],[Verbruik '[liter/kWh/kg per uur']]]*AS$1278</f>
        <v>4.4713199948695639</v>
      </c>
      <c r="AT1155" s="55"/>
      <c r="AU1155" s="55"/>
      <c r="AV1155" s="55"/>
      <c r="AW1155" s="55">
        <f>Database_Asfalt_Verwerkingsset[[#This Row],[Verbruik '[liter/kWh/kg per uur']]]*AW$1278</f>
        <v>7.4975427632463761E-3</v>
      </c>
      <c r="AX1155" s="55">
        <f>Database_Asfalt_Verwerkingsset[[#This Row],[Verbruik '[liter/kWh/kg per uur']]]*AX$1278</f>
        <v>2.4352012660869565E-5</v>
      </c>
      <c r="AY1155" s="55">
        <f>Database_Asfalt_Verwerkingsset[[#This Row],[Verbruik '[liter/kWh/kg per uur']]]*AY$1278</f>
        <v>9.4466382062898535E-2</v>
      </c>
      <c r="AZ1155" s="55">
        <f>Database_Asfalt_Verwerkingsset[[#This Row],[Verbruik '[liter/kWh/kg per uur']]]*AZ$1278</f>
        <v>0</v>
      </c>
      <c r="BA1155" s="55"/>
      <c r="BB1155" s="55"/>
      <c r="BC1155" s="55"/>
      <c r="BD1155" s="55"/>
      <c r="BE1155" s="55"/>
      <c r="BF1155" s="45"/>
      <c r="BG1155" s="45"/>
      <c r="BH1155" s="55"/>
    </row>
    <row r="1156" spans="1:63" ht="15.5" x14ac:dyDescent="0.45">
      <c r="A1156" s="45" t="s">
        <v>298</v>
      </c>
      <c r="B1156" s="41" t="s">
        <v>93</v>
      </c>
      <c r="C1156" s="41" t="s">
        <v>447</v>
      </c>
      <c r="D1156" s="41" t="s">
        <v>448</v>
      </c>
      <c r="E1156" s="41" t="s">
        <v>65</v>
      </c>
      <c r="F1156" s="48">
        <f>$F$1147*($I$1147/Database_Asfalt_Verwerkingsset[[#This Row],[Stookwaarde '[MJ/liter']]])</f>
        <v>0.38613372093023257</v>
      </c>
      <c r="G1156" s="48">
        <f>Database_Asfalt_Verwerkingsset[[#This Row],[Verbruik '[liter/kWh/kg per uur']]]*G$1279</f>
        <v>2.6603358540508895E-2</v>
      </c>
      <c r="H1156" s="46">
        <v>0.78</v>
      </c>
      <c r="I1156" s="45">
        <v>34.4</v>
      </c>
      <c r="J1156" s="55">
        <f>Database_Asfalt_Verwerkingsset[[#This Row],[Verbruik '[liter/kWh/kg per uur']]]*J$1279</f>
        <v>5.2803372015726754E-7</v>
      </c>
      <c r="K1156" s="55">
        <f>Database_Asfalt_Verwerkingsset[[#This Row],[Verbruik '[liter/kWh/kg per uur']]]*K$1279</f>
        <v>1.4485062252428006E-3</v>
      </c>
      <c r="L1156" s="55">
        <f>Database_Asfalt_Verwerkingsset[[#This Row],[Verbruik '[liter/kWh/kg per uur']]]*L$1279</f>
        <v>0.15413502887984853</v>
      </c>
      <c r="M1156" s="55">
        <f>Database_Asfalt_Verwerkingsset[[#This Row],[Verbruik '[liter/kWh/kg per uur']]]*M$1279</f>
        <v>1.988802580872093E-8</v>
      </c>
      <c r="N1156" s="55">
        <f>Database_Asfalt_Verwerkingsset[[#This Row],[Verbruik '[liter/kWh/kg per uur']]]*N$1279</f>
        <v>1.7012169124746483E-4</v>
      </c>
      <c r="O1156" s="55">
        <f>Database_Asfalt_Verwerkingsset[[#This Row],[Verbruik '[liter/kWh/kg per uur']]]*O$1279</f>
        <v>7.8814733813868979E-4</v>
      </c>
      <c r="P1156" s="55">
        <f>Database_Asfalt_Verwerkingsset[[#This Row],[Verbruik '[liter/kWh/kg per uur']]]*P$1279</f>
        <v>1.4286528317366192E-4</v>
      </c>
      <c r="Q1156" s="55">
        <f>Database_Asfalt_Verwerkingsset[[#This Row],[Verbruik '[liter/kWh/kg per uur']]]*Q$1279</f>
        <v>0.14932952593664006</v>
      </c>
      <c r="R1156" s="55">
        <f>Database_Asfalt_Verwerkingsset[[#This Row],[Verbruik '[liter/kWh/kg per uur']]]*R$1279</f>
        <v>1.0794524181262377E-3</v>
      </c>
      <c r="S1156" s="55">
        <f>Database_Asfalt_Verwerkingsset[[#This Row],[Verbruik '[liter/kWh/kg per uur']]]*S$1279</f>
        <v>3.7150082277576719</v>
      </c>
      <c r="T1156" s="55">
        <f>Database_Asfalt_Verwerkingsset[[#This Row],[Verbruik '[liter/kWh/kg per uur']]]*T$1279</f>
        <v>7.0004935008946361E-4</v>
      </c>
      <c r="U1156" s="55"/>
      <c r="V1156" s="55"/>
      <c r="W1156" s="55"/>
      <c r="X1156" s="55"/>
      <c r="Y1156" s="55"/>
      <c r="Z1156" s="55"/>
      <c r="AA1156" s="55"/>
      <c r="AB1156" s="55"/>
      <c r="AC1156" s="55"/>
      <c r="AD1156" s="55"/>
      <c r="AE1156" s="55"/>
      <c r="AF1156" s="55"/>
      <c r="AG1156" s="55"/>
      <c r="AH1156" s="55"/>
      <c r="AI1156" s="55"/>
      <c r="AJ1156" s="55"/>
      <c r="AK1156" s="55"/>
      <c r="AL1156" s="55"/>
      <c r="AM1156" s="55"/>
      <c r="AN1156" s="55"/>
      <c r="AO1156" s="55"/>
      <c r="AP1156" s="55">
        <f>Database_Asfalt_Verwerkingsset[[#This Row],[Verbruik '[liter/kWh/kg per uur']]]*AP$1279</f>
        <v>9.9593114428733823E-2</v>
      </c>
      <c r="AQ1156" s="55"/>
      <c r="AR1156" s="55"/>
      <c r="AS1156" s="55">
        <f>Database_Asfalt_Verwerkingsset[[#This Row],[Verbruik '[liter/kWh/kg per uur']]]*AS$1279</f>
        <v>3.0529259025419409</v>
      </c>
      <c r="AT1156" s="55"/>
      <c r="AU1156" s="55"/>
      <c r="AV1156" s="55"/>
      <c r="AW1156" s="55">
        <f>Database_Asfalt_Verwerkingsset[[#This Row],[Verbruik '[liter/kWh/kg per uur']]]*AW$1279</f>
        <v>7.668883810975015E-4</v>
      </c>
      <c r="AX1156" s="55">
        <f>Database_Asfalt_Verwerkingsset[[#This Row],[Verbruik '[liter/kWh/kg per uur']]]*AX$1279</f>
        <v>1.2380315835975291E-5</v>
      </c>
      <c r="AY1156" s="55">
        <f>Database_Asfalt_Verwerkingsset[[#This Row],[Verbruik '[liter/kWh/kg per uur']]]*AY$1279</f>
        <v>2.8993718148241608E-2</v>
      </c>
      <c r="AZ1156" s="55">
        <f>Database_Asfalt_Verwerkingsset[[#This Row],[Verbruik '[liter/kWh/kg per uur']]]*AZ$1279</f>
        <v>7.4360526862034882E-6</v>
      </c>
      <c r="BA1156" s="55"/>
      <c r="BB1156" s="55"/>
      <c r="BC1156" s="55"/>
      <c r="BD1156" s="55"/>
      <c r="BE1156" s="55"/>
      <c r="BF1156" s="45"/>
      <c r="BG1156" s="45"/>
      <c r="BH1156" s="55"/>
    </row>
    <row r="1157" spans="1:63" ht="15.5" x14ac:dyDescent="0.45">
      <c r="A1157" s="45" t="s">
        <v>296</v>
      </c>
      <c r="B1157" s="41" t="s">
        <v>93</v>
      </c>
      <c r="C1157" s="41" t="s">
        <v>447</v>
      </c>
      <c r="D1157" s="41" t="s">
        <v>448</v>
      </c>
      <c r="E1157" s="41" t="s">
        <v>65</v>
      </c>
      <c r="F1157" s="45">
        <f>F1152*3.1</f>
        <v>1.147</v>
      </c>
      <c r="G1157" s="48">
        <f>Database_Asfalt_Verwerkingsset[[#This Row],[Verbruik '[liter/kWh/kg per uur']]]*G$1285</f>
        <v>7.4550345473999996E-2</v>
      </c>
      <c r="H1157" s="45"/>
      <c r="I1157" s="46">
        <v>3.6</v>
      </c>
      <c r="J1157" s="55">
        <f>Database_Asfalt_Verwerkingsset[[#This Row],[Verbruik '[liter/kWh/kg per uur']]]*J$1285</f>
        <v>2.0531300000000001E-5</v>
      </c>
      <c r="K1157" s="55">
        <f>Database_Asfalt_Verwerkingsset[[#This Row],[Verbruik '[liter/kWh/kg per uur']]]*K$1285</f>
        <v>1.80079E-3</v>
      </c>
      <c r="L1157" s="55">
        <f>Database_Asfalt_Verwerkingsset[[#This Row],[Verbruik '[liter/kWh/kg per uur']]]*L$1285</f>
        <v>0.258075</v>
      </c>
      <c r="M1157" s="55">
        <f>Database_Asfalt_Verwerkingsset[[#This Row],[Verbruik '[liter/kWh/kg per uur']]]*M$1285</f>
        <v>2.59222E-8</v>
      </c>
      <c r="N1157" s="55">
        <f>Database_Asfalt_Verwerkingsset[[#This Row],[Verbruik '[liter/kWh/kg per uur']]]*N$1285</f>
        <v>3.3607100000000002E-4</v>
      </c>
      <c r="O1157" s="55">
        <f>Database_Asfalt_Verwerkingsset[[#This Row],[Verbruik '[liter/kWh/kg per uur']]]*O$1285</f>
        <v>2.46605E-3</v>
      </c>
      <c r="P1157" s="55">
        <f>Database_Asfalt_Verwerkingsset[[#This Row],[Verbruik '[liter/kWh/kg per uur']]]*P$1285</f>
        <v>3.4868800000000005E-4</v>
      </c>
      <c r="Q1157" s="55">
        <f>Database_Asfalt_Verwerkingsset[[#This Row],[Verbruik '[liter/kWh/kg per uur']]]*Q$1285</f>
        <v>0.48747499999999999</v>
      </c>
      <c r="R1157" s="55">
        <f>Database_Asfalt_Verwerkingsset[[#This Row],[Verbruik '[liter/kWh/kg per uur']]]*R$1285</f>
        <v>8.0748799999999996E-3</v>
      </c>
      <c r="S1157" s="55">
        <f>Database_Asfalt_Verwerkingsset[[#This Row],[Verbruik '[liter/kWh/kg per uur']]]*S$1285</f>
        <v>26.495700000000003</v>
      </c>
      <c r="T1157" s="55">
        <f>Database_Asfalt_Verwerkingsset[[#This Row],[Verbruik '[liter/kWh/kg per uur']]]*T$1285</f>
        <v>1.5255099999999999E-2</v>
      </c>
      <c r="U1157" s="55"/>
      <c r="V1157" s="55"/>
      <c r="W1157" s="55"/>
      <c r="X1157" s="55"/>
      <c r="Y1157" s="55"/>
      <c r="Z1157" s="55"/>
      <c r="AA1157" s="55"/>
      <c r="AB1157" s="55"/>
      <c r="AC1157" s="55"/>
      <c r="AD1157" s="55"/>
      <c r="AE1157" s="55"/>
      <c r="AF1157" s="55"/>
      <c r="AG1157" s="55"/>
      <c r="AH1157" s="55"/>
      <c r="AI1157" s="55"/>
      <c r="AJ1157" s="55"/>
      <c r="AK1157" s="55"/>
      <c r="AL1157" s="55"/>
      <c r="AM1157" s="55"/>
      <c r="AN1157" s="55"/>
      <c r="AO1157" s="55"/>
      <c r="AP1157" s="55">
        <f>Database_Asfalt_Verwerkingsset[[#This Row],[Verbruik '[liter/kWh/kg per uur']]]*AP$1285</f>
        <v>9.9788999999999994</v>
      </c>
      <c r="AQ1157" s="55"/>
      <c r="AR1157" s="55"/>
      <c r="AS1157" s="55">
        <f>Database_Asfalt_Verwerkingsset[[#This Row],[Verbruik '[liter/kWh/kg per uur']]]*AS$1285</f>
        <v>3.52129</v>
      </c>
      <c r="AT1157" s="55"/>
      <c r="AU1157" s="55"/>
      <c r="AV1157" s="55"/>
      <c r="AW1157" s="55">
        <f>Database_Asfalt_Verwerkingsset[[#This Row],[Verbruik '[liter/kWh/kg per uur']]]*AW$1285</f>
        <v>9.9788999999999994</v>
      </c>
      <c r="AX1157" s="55">
        <f>Database_Asfalt_Verwerkingsset[[#This Row],[Verbruik '[liter/kWh/kg per uur']]]*AX$1285</f>
        <v>4.7027000000000002E-5</v>
      </c>
      <c r="AY1157" s="55">
        <f>Database_Asfalt_Verwerkingsset[[#This Row],[Verbruik '[liter/kWh/kg per uur']]]*AY$1285</f>
        <v>8.7286700000000009E-2</v>
      </c>
      <c r="AZ1157" s="55">
        <f>Database_Asfalt_Verwerkingsset[[#This Row],[Verbruik '[liter/kWh/kg per uur']]]*AZ$1285</f>
        <v>1.034594E-5</v>
      </c>
      <c r="BA1157" s="55"/>
      <c r="BB1157" s="55"/>
      <c r="BC1157" s="55"/>
      <c r="BD1157" s="55"/>
      <c r="BE1157" s="55"/>
      <c r="BF1157" s="45" t="s">
        <v>277</v>
      </c>
      <c r="BG1157" s="45" t="s">
        <v>276</v>
      </c>
      <c r="BH1157" s="55"/>
    </row>
    <row r="1158" spans="1:63" ht="15.5" x14ac:dyDescent="0.45">
      <c r="A1158" s="45" t="s">
        <v>297</v>
      </c>
      <c r="B1158" s="41" t="s">
        <v>93</v>
      </c>
      <c r="C1158" s="41" t="s">
        <v>447</v>
      </c>
      <c r="D1158" s="41" t="s">
        <v>448</v>
      </c>
      <c r="E1158" s="41" t="s">
        <v>65</v>
      </c>
      <c r="F1158" s="45">
        <f>F1152*3.1</f>
        <v>1.147</v>
      </c>
      <c r="G1158" s="48">
        <f>Database_Asfalt_Verwerkingsset[[#This Row],[Verbruik '[liter/kWh/kg per uur']]]*G$1286</f>
        <v>9.5650980716999998E-2</v>
      </c>
      <c r="H1158" s="45"/>
      <c r="I1158" s="46">
        <v>3.6</v>
      </c>
      <c r="J1158" s="55">
        <f>Database_Asfalt_Verwerkingsset[[#This Row],[Verbruik '[liter/kWh/kg per uur']]]*J$1286</f>
        <v>1.6172700000000002E-5</v>
      </c>
      <c r="K1158" s="55">
        <f>Database_Asfalt_Verwerkingsset[[#This Row],[Verbruik '[liter/kWh/kg per uur']]]*K$1286</f>
        <v>6.6870100000000002E-3</v>
      </c>
      <c r="L1158" s="55">
        <f>Database_Asfalt_Verwerkingsset[[#This Row],[Verbruik '[liter/kWh/kg per uur']]]*L$1286</f>
        <v>0.79487099999999999</v>
      </c>
      <c r="M1158" s="55">
        <f>Database_Asfalt_Verwerkingsset[[#This Row],[Verbruik '[liter/kWh/kg per uur']]]*M$1286</f>
        <v>5.5629499999999995E-8</v>
      </c>
      <c r="N1158" s="55">
        <f>Database_Asfalt_Verwerkingsset[[#This Row],[Verbruik '[liter/kWh/kg per uur']]]*N$1286</f>
        <v>3.0051400000000004E-4</v>
      </c>
      <c r="O1158" s="55">
        <f>Database_Asfalt_Verwerkingsset[[#This Row],[Verbruik '[liter/kWh/kg per uur']]]*O$1286</f>
        <v>2.3857599999999998E-3</v>
      </c>
      <c r="P1158" s="55">
        <f>Database_Asfalt_Verwerkingsset[[#This Row],[Verbruik '[liter/kWh/kg per uur']]]*P$1286</f>
        <v>2.85603E-4</v>
      </c>
      <c r="Q1158" s="55">
        <f>Database_Asfalt_Verwerkingsset[[#This Row],[Verbruik '[liter/kWh/kg per uur']]]*Q$1286</f>
        <v>0.42783100000000002</v>
      </c>
      <c r="R1158" s="55">
        <f>Database_Asfalt_Verwerkingsset[[#This Row],[Verbruik '[liter/kWh/kg per uur']]]*R$1286</f>
        <v>6.8361200000000002E-3</v>
      </c>
      <c r="S1158" s="55">
        <f>Database_Asfalt_Verwerkingsset[[#This Row],[Verbruik '[liter/kWh/kg per uur']]]*S$1286</f>
        <v>25.0046</v>
      </c>
      <c r="T1158" s="55">
        <f>Database_Asfalt_Verwerkingsset[[#This Row],[Verbruik '[liter/kWh/kg per uur']]]*T$1286</f>
        <v>1.51404E-2</v>
      </c>
      <c r="U1158" s="55"/>
      <c r="V1158" s="55"/>
      <c r="W1158" s="55"/>
      <c r="X1158" s="55"/>
      <c r="Y1158" s="55"/>
      <c r="Z1158" s="55"/>
      <c r="AA1158" s="55"/>
      <c r="AB1158" s="55"/>
      <c r="AC1158" s="55"/>
      <c r="AD1158" s="55"/>
      <c r="AE1158" s="55"/>
      <c r="AF1158" s="55"/>
      <c r="AG1158" s="55"/>
      <c r="AH1158" s="55"/>
      <c r="AI1158" s="55"/>
      <c r="AJ1158" s="55"/>
      <c r="AK1158" s="55"/>
      <c r="AL1158" s="55"/>
      <c r="AM1158" s="55"/>
      <c r="AN1158" s="55"/>
      <c r="AO1158" s="55"/>
      <c r="AP1158" s="55">
        <f>Database_Asfalt_Verwerkingsset[[#This Row],[Verbruik '[liter/kWh/kg per uur']]]*AP$1286</f>
        <v>0.27413300000000002</v>
      </c>
      <c r="AQ1158" s="55"/>
      <c r="AR1158" s="55"/>
      <c r="AS1158" s="55">
        <f>Database_Asfalt_Verwerkingsset[[#This Row],[Verbruik '[liter/kWh/kg per uur']]]*AS$1286</f>
        <v>12.5023</v>
      </c>
      <c r="AT1158" s="55"/>
      <c r="AU1158" s="55"/>
      <c r="AV1158" s="55"/>
      <c r="AW1158" s="55">
        <f>Database_Asfalt_Verwerkingsset[[#This Row],[Verbruik '[liter/kWh/kg per uur']]]*AW$1286</f>
        <v>0.27413300000000002</v>
      </c>
      <c r="AX1158" s="55">
        <f>Database_Asfalt_Verwerkingsset[[#This Row],[Verbruik '[liter/kWh/kg per uur']]]*AX$1286</f>
        <v>3.6933399999999994E-5</v>
      </c>
      <c r="AY1158" s="55">
        <f>Database_Asfalt_Verwerkingsset[[#This Row],[Verbruik '[liter/kWh/kg per uur']]]*AY$1286</f>
        <v>6.5034900000000007E-2</v>
      </c>
      <c r="AZ1158" s="55">
        <f>Database_Asfalt_Verwerkingsset[[#This Row],[Verbruik '[liter/kWh/kg per uur']]]*AZ$1286</f>
        <v>1.0621219999999999E-5</v>
      </c>
      <c r="BA1158" s="55"/>
      <c r="BB1158" s="55"/>
      <c r="BC1158" s="55"/>
      <c r="BD1158" s="55"/>
      <c r="BE1158" s="55"/>
      <c r="BF1158" s="45" t="s">
        <v>277</v>
      </c>
      <c r="BG1158" s="45" t="s">
        <v>276</v>
      </c>
      <c r="BH1158" s="55"/>
    </row>
    <row r="1159" spans="1:63" ht="15.5" x14ac:dyDescent="0.45">
      <c r="G1159" s="46"/>
    </row>
    <row r="1160" spans="1:63" ht="15.5" x14ac:dyDescent="0.35">
      <c r="J1160" s="221"/>
      <c r="K1160" s="220"/>
      <c r="L1160" s="221"/>
      <c r="M1160" s="220"/>
      <c r="N1160" s="221"/>
      <c r="O1160" s="221"/>
      <c r="P1160" s="220"/>
      <c r="Q1160" s="220"/>
      <c r="R1160" s="221"/>
      <c r="S1160" s="220"/>
      <c r="T1160" s="221"/>
      <c r="U1160" s="221"/>
      <c r="V1160" s="221"/>
      <c r="W1160" s="220"/>
      <c r="X1160" s="221"/>
      <c r="Y1160" s="221"/>
      <c r="Z1160" s="220"/>
      <c r="AA1160" s="221"/>
      <c r="AB1160" s="221"/>
      <c r="AC1160" s="220"/>
      <c r="AD1160" s="220"/>
      <c r="AE1160" s="221"/>
      <c r="AF1160" s="221"/>
      <c r="AG1160" s="221"/>
      <c r="AH1160" s="221"/>
      <c r="AI1160" s="221"/>
      <c r="AJ1160" s="221"/>
      <c r="AK1160" s="221"/>
      <c r="AL1160" s="221"/>
      <c r="AM1160" s="221"/>
      <c r="AN1160" s="221"/>
      <c r="AO1160" s="221"/>
      <c r="AP1160" s="220"/>
      <c r="AQ1160" s="221"/>
      <c r="AR1160" s="220"/>
      <c r="AS1160" s="221"/>
      <c r="AT1160" s="221"/>
      <c r="AU1160" s="221"/>
      <c r="AV1160" s="221"/>
      <c r="AW1160" s="221"/>
      <c r="AX1160" s="221"/>
      <c r="AY1160" s="221"/>
      <c r="AZ1160" s="221"/>
      <c r="BA1160" s="221"/>
      <c r="BB1160" s="221"/>
      <c r="BC1160" s="221"/>
      <c r="BD1160" s="221"/>
      <c r="BE1160" s="221"/>
      <c r="BF1160" s="240"/>
      <c r="BG1160" s="240"/>
      <c r="BH1160" s="240" t="s">
        <v>61</v>
      </c>
    </row>
    <row r="1161" spans="1:63" ht="15.5" x14ac:dyDescent="0.35">
      <c r="A1161" s="41" t="s">
        <v>153</v>
      </c>
      <c r="E1161" s="106"/>
      <c r="J1161" s="234"/>
      <c r="K1161" s="235"/>
      <c r="L1161" s="235"/>
      <c r="M1161" s="235"/>
      <c r="N1161" s="236"/>
      <c r="O1161" s="235"/>
      <c r="P1161" s="235"/>
      <c r="Q1161" s="235"/>
      <c r="R1161" s="235"/>
      <c r="S1161" s="235"/>
      <c r="T1161" s="235"/>
      <c r="U1161" s="235"/>
      <c r="V1161" s="235"/>
      <c r="W1161" s="235"/>
      <c r="X1161" s="236"/>
      <c r="Y1161" s="236"/>
      <c r="Z1161" s="235"/>
      <c r="AA1161" s="235"/>
      <c r="AB1161" s="236"/>
      <c r="AC1161" s="235"/>
      <c r="AD1161" s="235"/>
      <c r="AE1161" s="236"/>
      <c r="AF1161" s="236"/>
      <c r="AG1161" s="236"/>
      <c r="AH1161" s="236"/>
      <c r="AI1161" s="236"/>
      <c r="AJ1161" s="236"/>
      <c r="AK1161" s="236"/>
      <c r="AL1161" s="236"/>
      <c r="AM1161" s="236"/>
      <c r="AN1161" s="236"/>
      <c r="AO1161" s="235"/>
      <c r="AP1161" s="235"/>
      <c r="AQ1161" s="235"/>
      <c r="AR1161" s="235"/>
      <c r="AS1161" s="236"/>
      <c r="AT1161" s="236"/>
      <c r="AU1161" s="236"/>
      <c r="AV1161" s="236"/>
      <c r="AW1161" s="236"/>
      <c r="AX1161" s="236"/>
      <c r="AY1161" s="236"/>
      <c r="AZ1161" s="236"/>
      <c r="BA1161" s="236"/>
      <c r="BB1161" s="236"/>
      <c r="BC1161" s="236"/>
      <c r="BD1161" s="236"/>
      <c r="BE1161" s="237"/>
    </row>
    <row r="1162" spans="1:63" ht="15.5" x14ac:dyDescent="0.35">
      <c r="A1162" s="41" t="s">
        <v>56</v>
      </c>
      <c r="B1162" s="41" t="s">
        <v>57</v>
      </c>
      <c r="C1162" s="41" t="s">
        <v>5</v>
      </c>
      <c r="D1162" s="41" t="s">
        <v>442</v>
      </c>
      <c r="E1162" s="41" t="s">
        <v>58</v>
      </c>
      <c r="F1162" s="41" t="s">
        <v>275</v>
      </c>
      <c r="G1162" s="41" t="s">
        <v>7</v>
      </c>
      <c r="H1162" s="41" t="s">
        <v>156</v>
      </c>
      <c r="I1162" s="41" t="s">
        <v>204</v>
      </c>
      <c r="J1162" s="234" t="s">
        <v>627</v>
      </c>
      <c r="K1162" s="235" t="s">
        <v>628</v>
      </c>
      <c r="L1162" s="235" t="s">
        <v>629</v>
      </c>
      <c r="M1162" s="235" t="s">
        <v>630</v>
      </c>
      <c r="N1162" s="236" t="s">
        <v>631</v>
      </c>
      <c r="O1162" s="235" t="s">
        <v>632</v>
      </c>
      <c r="P1162" s="235" t="s">
        <v>633</v>
      </c>
      <c r="Q1162" s="235" t="s">
        <v>634</v>
      </c>
      <c r="R1162" s="235" t="s">
        <v>635</v>
      </c>
      <c r="S1162" s="235" t="s">
        <v>636</v>
      </c>
      <c r="T1162" s="235" t="s">
        <v>637</v>
      </c>
      <c r="U1162" s="235" t="s">
        <v>638</v>
      </c>
      <c r="V1162" s="235" t="s">
        <v>639</v>
      </c>
      <c r="W1162" s="235" t="s">
        <v>640</v>
      </c>
      <c r="X1162" s="236" t="s">
        <v>641</v>
      </c>
      <c r="Y1162" s="236" t="s">
        <v>642</v>
      </c>
      <c r="Z1162" s="235" t="s">
        <v>643</v>
      </c>
      <c r="AA1162" s="235" t="s">
        <v>644</v>
      </c>
      <c r="AB1162" s="236" t="s">
        <v>645</v>
      </c>
      <c r="AC1162" s="235" t="s">
        <v>646</v>
      </c>
      <c r="AD1162" s="235" t="s">
        <v>647</v>
      </c>
      <c r="AE1162" s="236" t="s">
        <v>648</v>
      </c>
      <c r="AF1162" s="236" t="s">
        <v>649</v>
      </c>
      <c r="AG1162" s="236" t="s">
        <v>650</v>
      </c>
      <c r="AH1162" s="236" t="s">
        <v>651</v>
      </c>
      <c r="AI1162" s="236" t="s">
        <v>652</v>
      </c>
      <c r="AJ1162" s="236" t="s">
        <v>653</v>
      </c>
      <c r="AK1162" s="236" t="s">
        <v>654</v>
      </c>
      <c r="AL1162" s="236" t="s">
        <v>655</v>
      </c>
      <c r="AM1162" s="236" t="s">
        <v>656</v>
      </c>
      <c r="AN1162" s="236" t="s">
        <v>657</v>
      </c>
      <c r="AO1162" s="235" t="s">
        <v>658</v>
      </c>
      <c r="AP1162" s="235" t="s">
        <v>659</v>
      </c>
      <c r="AQ1162" s="235" t="s">
        <v>660</v>
      </c>
      <c r="AR1162" s="235" t="s">
        <v>661</v>
      </c>
      <c r="AS1162" s="236" t="s">
        <v>662</v>
      </c>
      <c r="AT1162" s="236" t="s">
        <v>663</v>
      </c>
      <c r="AU1162" s="236" t="s">
        <v>664</v>
      </c>
      <c r="AV1162" s="236" t="s">
        <v>665</v>
      </c>
      <c r="AW1162" s="236" t="s">
        <v>666</v>
      </c>
      <c r="AX1162" s="236" t="s">
        <v>667</v>
      </c>
      <c r="AY1162" s="236" t="s">
        <v>668</v>
      </c>
      <c r="AZ1162" s="236" t="s">
        <v>669</v>
      </c>
      <c r="BA1162" s="236" t="s">
        <v>670</v>
      </c>
      <c r="BB1162" s="236" t="s">
        <v>671</v>
      </c>
      <c r="BC1162" s="236" t="s">
        <v>672</v>
      </c>
      <c r="BD1162" s="236" t="s">
        <v>673</v>
      </c>
      <c r="BE1162" s="237" t="s">
        <v>674</v>
      </c>
      <c r="BF1162" s="41" t="s">
        <v>59</v>
      </c>
      <c r="BG1162" s="41" t="s">
        <v>61</v>
      </c>
    </row>
    <row r="1163" spans="1:63" x14ac:dyDescent="0.35">
      <c r="A1163" s="100" t="s">
        <v>318</v>
      </c>
      <c r="B1163" s="101" t="s">
        <v>132</v>
      </c>
      <c r="C1163" s="101"/>
      <c r="D1163" s="101"/>
      <c r="E1163" s="101" t="s">
        <v>65</v>
      </c>
      <c r="F1163" s="101">
        <v>0</v>
      </c>
      <c r="G1163" s="103" t="s">
        <v>319</v>
      </c>
      <c r="H1163" s="101">
        <v>0</v>
      </c>
      <c r="I1163" s="101">
        <v>0</v>
      </c>
      <c r="J1163" s="101">
        <v>0</v>
      </c>
      <c r="K1163" s="101">
        <v>0</v>
      </c>
      <c r="L1163" s="101">
        <v>0</v>
      </c>
      <c r="M1163" s="101">
        <v>0</v>
      </c>
      <c r="N1163" s="101">
        <v>0</v>
      </c>
      <c r="O1163" s="101">
        <v>0</v>
      </c>
      <c r="P1163" s="101">
        <v>0</v>
      </c>
      <c r="Q1163" s="101">
        <v>0</v>
      </c>
      <c r="R1163" s="101">
        <v>0</v>
      </c>
      <c r="S1163" s="101">
        <v>0</v>
      </c>
      <c r="T1163" s="101">
        <v>0</v>
      </c>
      <c r="U1163" s="101"/>
      <c r="V1163" s="101"/>
      <c r="W1163" s="101"/>
      <c r="X1163" s="101"/>
      <c r="Y1163" s="101"/>
      <c r="Z1163" s="101"/>
      <c r="AA1163" s="101"/>
      <c r="AB1163" s="101"/>
      <c r="AC1163" s="101"/>
      <c r="AD1163" s="101"/>
      <c r="AE1163" s="101"/>
      <c r="AF1163" s="101"/>
      <c r="AG1163" s="101"/>
      <c r="AH1163" s="101"/>
      <c r="AI1163" s="101"/>
      <c r="AJ1163" s="101"/>
      <c r="AK1163" s="101"/>
      <c r="AL1163" s="101"/>
      <c r="AM1163" s="101"/>
      <c r="AN1163" s="101"/>
      <c r="AO1163" s="101"/>
      <c r="AP1163" s="101">
        <v>0</v>
      </c>
      <c r="AQ1163" s="101"/>
      <c r="AR1163" s="101"/>
      <c r="AS1163" s="101">
        <v>0</v>
      </c>
      <c r="AT1163" s="101"/>
      <c r="AU1163" s="101"/>
      <c r="AV1163" s="101"/>
      <c r="AW1163" s="101">
        <v>0</v>
      </c>
      <c r="AX1163" s="101">
        <v>0</v>
      </c>
      <c r="AY1163" s="101">
        <v>0</v>
      </c>
      <c r="AZ1163" s="101">
        <v>0</v>
      </c>
      <c r="BA1163" s="101"/>
      <c r="BB1163" s="101"/>
      <c r="BC1163" s="101"/>
      <c r="BD1163" s="101"/>
      <c r="BE1163" s="101"/>
      <c r="BF1163" s="101"/>
      <c r="BG1163" s="104"/>
      <c r="BH1163" s="102"/>
      <c r="BI1163" s="102"/>
      <c r="BJ1163" s="102"/>
      <c r="BK1163" s="102"/>
    </row>
    <row r="1164" spans="1:63" ht="15.5" x14ac:dyDescent="0.45">
      <c r="A1164" s="41" t="s">
        <v>141</v>
      </c>
      <c r="B1164" s="41" t="s">
        <v>132</v>
      </c>
      <c r="C1164" s="41" t="s">
        <v>451</v>
      </c>
      <c r="D1164" s="41" t="s">
        <v>452</v>
      </c>
      <c r="E1164" s="41" t="s">
        <v>65</v>
      </c>
      <c r="F1164" s="41">
        <v>13.18</v>
      </c>
      <c r="G1164" s="53">
        <f>Database_Overig_Materieel[[#This Row],[Verbruik '[liter/kWh/kg per uur']]]*G$1270</f>
        <v>4.2004592843923936</v>
      </c>
      <c r="H1164" s="41">
        <v>60</v>
      </c>
      <c r="I1164" s="46">
        <v>35.9</v>
      </c>
      <c r="J1164" s="52">
        <f>Database_Overig_Materieel[[#This Row],[Verbruik '[liter/kWh/kg per uur']]]*J$1270</f>
        <v>2.12198E-5</v>
      </c>
      <c r="K1164" s="52">
        <f>Database_Overig_Materieel[[#This Row],[Verbruik '[liter/kWh/kg per uur']]]*K$1270</f>
        <v>0.30972616462000002</v>
      </c>
      <c r="L1164" s="52">
        <f>Database_Overig_Materieel[[#This Row],[Verbruik '[liter/kWh/kg per uur']]]*L$1270</f>
        <v>45.331554281999999</v>
      </c>
      <c r="M1164" s="52">
        <f>Database_Overig_Materieel[[#This Row],[Verbruik '[liter/kWh/kg per uur']]]*M$1270</f>
        <v>7.8948199999999991E-6</v>
      </c>
      <c r="N1164" s="52">
        <f>Database_Overig_Materieel[[#This Row],[Verbruik '[liter/kWh/kg per uur']]]*N$1270</f>
        <v>1.4925111080000001E-2</v>
      </c>
      <c r="O1164" s="52">
        <f>Database_Overig_Materieel[[#This Row],[Milieu Kosten Indicator (euro) - Euro]]*O$1270</f>
        <v>4.2371670980786987E-2</v>
      </c>
      <c r="P1164" s="52">
        <f>Database_Overig_Materieel[[#This Row],[Capaciteit '[m3/uur']]]*P$1270</f>
        <v>0.11580161999999999</v>
      </c>
      <c r="Q1164" s="52">
        <f>Database_Overig_Materieel[[#This Row],[Stookwaarde '[MJ/liter']]]*Q$1270</f>
        <v>30.569144738999999</v>
      </c>
      <c r="R1164" s="52">
        <f>Database_Overig_Materieel[[#This Row],[001. abiotic depletion, non fuel (AD)]]*R$1270</f>
        <v>3.5783008155439995E-7</v>
      </c>
      <c r="S1164" s="52">
        <f>Database_Overig_Materieel[[#This Row],[002. abiotic depletion, fuel (AD)]]*S$1270</f>
        <v>17.475775711191456</v>
      </c>
      <c r="T1164" s="52">
        <f>Database_Overig_Materieel[[#This Row],[004. global warming (GWP)]]*T$1270</f>
        <v>0.13730664869002962</v>
      </c>
      <c r="U1164" s="52"/>
      <c r="V1164" s="52"/>
      <c r="W1164" s="52"/>
      <c r="X1164" s="52"/>
      <c r="Y1164" s="52"/>
      <c r="Z1164" s="52"/>
      <c r="AA1164" s="52"/>
      <c r="AB1164" s="52"/>
      <c r="AC1164" s="52"/>
      <c r="AD1164" s="52"/>
      <c r="AE1164" s="52"/>
      <c r="AF1164" s="52"/>
      <c r="AG1164" s="52"/>
      <c r="AH1164" s="52"/>
      <c r="AI1164" s="52"/>
      <c r="AJ1164" s="52"/>
      <c r="AK1164" s="52"/>
      <c r="AL1164" s="52"/>
      <c r="AM1164" s="52"/>
      <c r="AN1164" s="52"/>
      <c r="AO1164" s="52"/>
      <c r="AP1164" s="52">
        <f>Database_Overig_Materieel[[#This Row],[005. ozone layer depletion (ODP)]]*AP$1270</f>
        <v>3.0198582562069995E-6</v>
      </c>
      <c r="AQ1164" s="52"/>
      <c r="AR1164" s="52"/>
      <c r="AS1164" s="52">
        <f>Database_Overig_Materieel[[#This Row],[006. photochemical oxidation (POCP)]]*AS$1270</f>
        <v>0.7828711200610089</v>
      </c>
      <c r="AT1164" s="52"/>
      <c r="AU1164" s="52"/>
      <c r="AV1164" s="52"/>
      <c r="AW1164" s="52">
        <f>Database_Overig_Materieel[[#This Row],[008. eutrophication (EP)]]*AW$1270</f>
        <v>5.7385064325005998E-4</v>
      </c>
      <c r="AX1164" s="52">
        <f>Database_Overig_Materieel[[#This Row],[009. human toxicity (HT)]]*AX$1270</f>
        <v>1.1069117879136638E-2</v>
      </c>
      <c r="AY1164" s="52">
        <f>Database_Overig_Materieel[[#This Row],[010. Ecotoxicity, fresh water (FAETP)]]*AY$1270</f>
        <v>3.1487046548801227E-8</v>
      </c>
      <c r="AZ1164" s="52">
        <f>Database_Overig_Materieel[[#This Row],[012. Ecotoxcity, marine water (MAETP)]]*AZ$1270</f>
        <v>0</v>
      </c>
      <c r="BA1164" s="52"/>
      <c r="BB1164" s="52"/>
      <c r="BC1164" s="52"/>
      <c r="BD1164" s="52"/>
      <c r="BE1164" s="52"/>
      <c r="BG1164" s="41" t="s">
        <v>271</v>
      </c>
    </row>
    <row r="1165" spans="1:63" x14ac:dyDescent="0.35">
      <c r="A1165" s="41" t="s">
        <v>142</v>
      </c>
      <c r="B1165" s="41" t="s">
        <v>132</v>
      </c>
      <c r="C1165" s="41" t="s">
        <v>451</v>
      </c>
      <c r="D1165" s="41" t="s">
        <v>452</v>
      </c>
      <c r="E1165" s="41" t="s">
        <v>65</v>
      </c>
      <c r="F1165" s="49">
        <f>$F$1164*($I$1164/Database_Overig_Materieel[[#This Row],[Stookwaarde '[MJ/liter']]])</f>
        <v>14.294924471299092</v>
      </c>
      <c r="G1165" s="53">
        <f>Database_Overig_Materieel[[#This Row],[Verbruik '[liter/kWh/kg per uur']]]*G$1271</f>
        <v>4.0134485711398353</v>
      </c>
      <c r="H1165" s="41">
        <v>60</v>
      </c>
      <c r="I1165" s="45">
        <v>33.1</v>
      </c>
      <c r="J1165" s="52">
        <f>Database_Overig_Materieel[[#This Row],[Verbruik '[liter/kWh/kg per uur']]]*J$1271</f>
        <v>7.114026407311178E-5</v>
      </c>
      <c r="K1165" s="52">
        <f>Database_Overig_Materieel[[#This Row],[Verbruik '[liter/kWh/kg per uur']]]*K$1271</f>
        <v>0.42252934893280963</v>
      </c>
      <c r="L1165" s="52">
        <f>Database_Overig_Materieel[[#This Row],[Verbruik '[liter/kWh/kg per uur']]]*L$1271</f>
        <v>52.125983217516612</v>
      </c>
      <c r="M1165" s="52">
        <f>Database_Overig_Materieel[[#This Row],[Verbruik '[liter/kWh/kg per uur']]]*M$1271</f>
        <v>6.9325809309969781E-7</v>
      </c>
      <c r="N1165" s="52">
        <f>Database_Overig_Materieel[[#This Row],[Verbruik '[liter/kWh/kg per uur']]]*N$1271</f>
        <v>1.0474262828157098E-2</v>
      </c>
      <c r="O1165" s="52">
        <f>Database_Overig_Materieel[[#This Row],[Milieu Kosten Indicator (euro) - Euro]]*O$1271</f>
        <v>3.0190291944610901E-2</v>
      </c>
      <c r="P1165" s="52">
        <f>Database_Overig_Materieel[[#This Row],[Capaciteit '[m3/uur']]]*P$1271</f>
        <v>9.702042000000001E-2</v>
      </c>
      <c r="Q1165" s="52">
        <f>Database_Overig_Materieel[[#This Row],[Stookwaarde '[MJ/liter']]]*Q$1271</f>
        <v>23.965014005000004</v>
      </c>
      <c r="R1165" s="52">
        <f>Database_Overig_Materieel[[#This Row],[001. abiotic depletion, non fuel (AD)]]*R$1271</f>
        <v>4.0909792205408328E-7</v>
      </c>
      <c r="S1165" s="52">
        <f>Database_Overig_Materieel[[#This Row],[002. abiotic depletion, fuel (AD)]]*S$1271</f>
        <v>9.1739301821508317</v>
      </c>
      <c r="T1165" s="52">
        <f>Database_Overig_Materieel[[#This Row],[004. global warming (GWP)]]*T$1271</f>
        <v>0.15356992293662222</v>
      </c>
      <c r="U1165" s="52"/>
      <c r="V1165" s="52"/>
      <c r="W1165" s="52"/>
      <c r="X1165" s="52"/>
      <c r="Y1165" s="52"/>
      <c r="Z1165" s="52"/>
      <c r="AA1165" s="52"/>
      <c r="AB1165" s="52"/>
      <c r="AC1165" s="52"/>
      <c r="AD1165" s="52"/>
      <c r="AE1165" s="52"/>
      <c r="AF1165" s="52"/>
      <c r="AG1165" s="52"/>
      <c r="AH1165" s="52"/>
      <c r="AI1165" s="52"/>
      <c r="AJ1165" s="52"/>
      <c r="AK1165" s="52"/>
      <c r="AL1165" s="52"/>
      <c r="AM1165" s="52"/>
      <c r="AN1165" s="52"/>
      <c r="AO1165" s="52"/>
      <c r="AP1165" s="52">
        <f>Database_Overig_Materieel[[#This Row],[005. ozone layer depletion (ODP)]]*AP$1271</f>
        <v>2.9880439435703366E-7</v>
      </c>
      <c r="AQ1165" s="52"/>
      <c r="AR1165" s="52"/>
      <c r="AS1165" s="52">
        <f>Database_Overig_Materieel[[#This Row],[006. photochemical oxidation (POCP)]]*AS$1271</f>
        <v>0.66028124120832576</v>
      </c>
      <c r="AT1165" s="52"/>
      <c r="AU1165" s="52"/>
      <c r="AV1165" s="52"/>
      <c r="AW1165" s="52">
        <f>Database_Overig_Materieel[[#This Row],[008. eutrophication (EP)]]*AW$1271</f>
        <v>2.7312858768972005E-4</v>
      </c>
      <c r="AX1165" s="52">
        <f>Database_Overig_Materieel[[#This Row],[009. human toxicity (HT)]]*AX$1271</f>
        <v>2.3042744406031588E-3</v>
      </c>
      <c r="AY1165" s="52">
        <f>Database_Overig_Materieel[[#This Row],[010. Ecotoxicity, fresh water (FAETP)]]*AY$1271</f>
        <v>4.3707829716234892E-8</v>
      </c>
      <c r="AZ1165" s="52">
        <f>Database_Overig_Materieel[[#This Row],[012. Ecotoxcity, marine water (MAETP)]]*AZ$1271</f>
        <v>0</v>
      </c>
      <c r="BA1165" s="52"/>
      <c r="BB1165" s="52"/>
      <c r="BC1165" s="52"/>
      <c r="BD1165" s="52"/>
      <c r="BE1165" s="52"/>
      <c r="BG1165" s="41" t="s">
        <v>271</v>
      </c>
    </row>
    <row r="1166" spans="1:63" x14ac:dyDescent="0.35">
      <c r="A1166" s="41" t="s">
        <v>143</v>
      </c>
      <c r="B1166" s="41" t="s">
        <v>132</v>
      </c>
      <c r="C1166" s="41" t="s">
        <v>451</v>
      </c>
      <c r="D1166" s="41" t="s">
        <v>452</v>
      </c>
      <c r="E1166" s="41" t="s">
        <v>65</v>
      </c>
      <c r="F1166" s="49">
        <f>$F$1164*($I$1164/Database_Overig_Materieel[[#This Row],[Stookwaarde '[MJ/liter']]])</f>
        <v>13.794810495626821</v>
      </c>
      <c r="G1166" s="53">
        <f>Database_Overig_Materieel[[#This Row],[Verbruik '[liter/kWh/kg per uur']]]*G$1272</f>
        <v>3.1952629916340749</v>
      </c>
      <c r="H1166" s="41">
        <v>60</v>
      </c>
      <c r="I1166" s="45">
        <v>34.299999999999997</v>
      </c>
      <c r="J1166" s="52">
        <f>Database_Overig_Materieel[[#This Row],[Verbruik '[liter/kWh/kg per uur']]]*J$1272</f>
        <v>5.1675084220408163E-5</v>
      </c>
      <c r="K1166" s="52">
        <f>Database_Overig_Materieel[[#This Row],[Verbruik '[liter/kWh/kg per uur']]]*K$1272</f>
        <v>0.11299545855492713</v>
      </c>
      <c r="L1166" s="52">
        <f>Database_Overig_Materieel[[#This Row],[Verbruik '[liter/kWh/kg per uur']]]*L$1272</f>
        <v>19.478722130647231</v>
      </c>
      <c r="M1166" s="52">
        <f>Database_Overig_Materieel[[#This Row],[Verbruik '[liter/kWh/kg per uur']]]*M$1272</f>
        <v>1.8372618358600579E-6</v>
      </c>
      <c r="N1166" s="52">
        <f>Database_Overig_Materieel[[#This Row],[Verbruik '[liter/kWh/kg per uur']]]*N$1272</f>
        <v>1.6028645543615161E-2</v>
      </c>
      <c r="O1166" s="52">
        <f>Database_Overig_Materieel[[#This Row],[Milieu Kosten Indicator (euro) - Euro]]*O$1272</f>
        <v>4.03277433295018E-2</v>
      </c>
      <c r="P1166" s="52">
        <f>Database_Overig_Materieel[[#This Row],[Capaciteit '[m3/uur']]]*P$1272</f>
        <v>0.32506404</v>
      </c>
      <c r="Q1166" s="52">
        <f>Database_Overig_Materieel[[#This Row],[Stookwaarde '[MJ/liter']]]*Q$1272</f>
        <v>26.996490709999996</v>
      </c>
      <c r="R1166" s="52">
        <f>Database_Overig_Materieel[[#This Row],[001. abiotic depletion, non fuel (AD)]]*R$1272</f>
        <v>2.9407291550456308E-5</v>
      </c>
      <c r="S1166" s="52">
        <f>Database_Overig_Materieel[[#This Row],[002. abiotic depletion, fuel (AD)]]*S$1272</f>
        <v>5.3182265120592067</v>
      </c>
      <c r="T1166" s="52">
        <f>Database_Overig_Materieel[[#This Row],[004. global warming (GWP)]]*T$1272</f>
        <v>4.7594370038062044</v>
      </c>
      <c r="U1166" s="52"/>
      <c r="V1166" s="52"/>
      <c r="W1166" s="52"/>
      <c r="X1166" s="52"/>
      <c r="Y1166" s="52"/>
      <c r="Z1166" s="52"/>
      <c r="AA1166" s="52"/>
      <c r="AB1166" s="52"/>
      <c r="AC1166" s="52"/>
      <c r="AD1166" s="52"/>
      <c r="AE1166" s="52"/>
      <c r="AF1166" s="52"/>
      <c r="AG1166" s="52"/>
      <c r="AH1166" s="52"/>
      <c r="AI1166" s="52"/>
      <c r="AJ1166" s="52"/>
      <c r="AK1166" s="52"/>
      <c r="AL1166" s="52"/>
      <c r="AM1166" s="52"/>
      <c r="AN1166" s="52"/>
      <c r="AO1166" s="52"/>
      <c r="AP1166" s="52">
        <f>Database_Overig_Materieel[[#This Row],[005. ozone layer depletion (ODP)]]*AP$1272</f>
        <v>1.440888248244092E-5</v>
      </c>
      <c r="AQ1166" s="52"/>
      <c r="AR1166" s="52"/>
      <c r="AS1166" s="52">
        <f>Database_Overig_Materieel[[#This Row],[006. photochemical oxidation (POCP)]]*AS$1272</f>
        <v>0.27701450560493496</v>
      </c>
      <c r="AT1166" s="52"/>
      <c r="AU1166" s="52"/>
      <c r="AV1166" s="52"/>
      <c r="AW1166" s="52">
        <f>Database_Overig_Materieel[[#This Row],[008. eutrophication (EP)]]*AW$1272</f>
        <v>1.9892460035524442E-2</v>
      </c>
      <c r="AX1166" s="52">
        <f>Database_Overig_Materieel[[#This Row],[009. human toxicity (HT)]]*AX$1272</f>
        <v>2.7367692457262501E-3</v>
      </c>
      <c r="AY1166" s="52">
        <f>Database_Overig_Materieel[[#This Row],[010. Ecotoxicity, fresh water (FAETP)]]*AY$1272</f>
        <v>8.2744216683744446E-6</v>
      </c>
      <c r="AZ1166" s="52">
        <f>Database_Overig_Materieel[[#This Row],[012. Ecotoxcity, marine water (MAETP)]]*AZ$1272</f>
        <v>0</v>
      </c>
      <c r="BA1166" s="52"/>
      <c r="BB1166" s="52"/>
      <c r="BC1166" s="52"/>
      <c r="BD1166" s="52"/>
      <c r="BE1166" s="52"/>
      <c r="BG1166" s="41" t="s">
        <v>271</v>
      </c>
    </row>
    <row r="1167" spans="1:63" x14ac:dyDescent="0.35">
      <c r="A1167" s="41" t="s">
        <v>144</v>
      </c>
      <c r="B1167" s="41" t="s">
        <v>132</v>
      </c>
      <c r="C1167" s="41" t="s">
        <v>451</v>
      </c>
      <c r="D1167" s="41" t="s">
        <v>452</v>
      </c>
      <c r="E1167" s="41" t="s">
        <v>65</v>
      </c>
      <c r="F1167" s="49">
        <f>$F$1164*($I$1164/Database_Overig_Materieel[[#This Row],[Stookwaarde '[MJ/liter']]])</f>
        <v>13.714840579710144</v>
      </c>
      <c r="G1167" s="53">
        <f>Database_Overig_Materieel[[#This Row],[Verbruik '[liter/kWh/kg per uur']]]*G$1273</f>
        <v>4.1260373324460691</v>
      </c>
      <c r="H1167" s="41">
        <v>60</v>
      </c>
      <c r="I1167" s="45">
        <v>34.5</v>
      </c>
      <c r="J1167" s="52">
        <f>Database_Overig_Materieel[[#This Row],[Verbruik '[liter/kWh/kg per uur']]]*J$1273</f>
        <v>2.8822148923478255E-5</v>
      </c>
      <c r="K1167" s="52">
        <f>Database_Overig_Materieel[[#This Row],[Verbruik '[liter/kWh/kg per uur']]]*K$1273</f>
        <v>7.2287029680927525E-2</v>
      </c>
      <c r="L1167" s="52">
        <f>Database_Overig_Materieel[[#This Row],[Verbruik '[liter/kWh/kg per uur']]]*L$1273</f>
        <v>18.540093167831881</v>
      </c>
      <c r="M1167" s="52">
        <f>Database_Overig_Materieel[[#This Row],[Verbruik '[liter/kWh/kg per uur']]]*M$1273</f>
        <v>1.1250379731420288E-6</v>
      </c>
      <c r="N1167" s="52">
        <f>Database_Overig_Materieel[[#This Row],[Verbruik '[liter/kWh/kg per uur']]]*N$1273</f>
        <v>1.3593738537391303E-2</v>
      </c>
      <c r="O1167" s="52">
        <f>Database_Overig_Materieel[[#This Row],[Milieu Kosten Indicator (euro) - Euro]]*O$1273</f>
        <v>3.4101075521029561E-2</v>
      </c>
      <c r="P1167" s="52">
        <f>Database_Overig_Materieel[[#This Row],[Capaciteit '[m3/uur']]]*P$1273</f>
        <v>0.18328038000000002</v>
      </c>
      <c r="Q1167" s="52">
        <f>Database_Overig_Materieel[[#This Row],[Stookwaarde '[MJ/liter']]]*Q$1273</f>
        <v>26.29765329</v>
      </c>
      <c r="R1167" s="52">
        <f>Database_Overig_Materieel[[#This Row],[001. abiotic depletion, non fuel (AD)]]*R$1273</f>
        <v>1.468236899113264E-5</v>
      </c>
      <c r="S1167" s="52">
        <f>Database_Overig_Materieel[[#This Row],[002. abiotic depletion, fuel (AD)]]*S$1273</f>
        <v>2.3705595266825816</v>
      </c>
      <c r="T1167" s="52">
        <f>Database_Overig_Materieel[[#This Row],[004. global warming (GWP)]]*T$1273</f>
        <v>4.1691448644217832</v>
      </c>
      <c r="U1167" s="52"/>
      <c r="V1167" s="52"/>
      <c r="W1167" s="52"/>
      <c r="X1167" s="52"/>
      <c r="Y1167" s="52"/>
      <c r="Z1167" s="52"/>
      <c r="AA1167" s="52"/>
      <c r="AB1167" s="52"/>
      <c r="AC1167" s="52"/>
      <c r="AD1167" s="52"/>
      <c r="AE1167" s="52"/>
      <c r="AF1167" s="52"/>
      <c r="AG1167" s="52"/>
      <c r="AH1167" s="52"/>
      <c r="AI1167" s="52"/>
      <c r="AJ1167" s="52"/>
      <c r="AK1167" s="52"/>
      <c r="AL1167" s="52"/>
      <c r="AM1167" s="52"/>
      <c r="AN1167" s="52"/>
      <c r="AO1167" s="52"/>
      <c r="AP1167" s="52">
        <f>Database_Overig_Materieel[[#This Row],[005. ozone layer depletion (ODP)]]*AP$1273</f>
        <v>2.7705326881380219E-6</v>
      </c>
      <c r="AQ1167" s="52"/>
      <c r="AR1167" s="52"/>
      <c r="AS1167" s="52">
        <f>Database_Overig_Materieel[[#This Row],[006. photochemical oxidation (POCP)]]*AS$1273</f>
        <v>0.14996848885500638</v>
      </c>
      <c r="AT1167" s="52"/>
      <c r="AU1167" s="52"/>
      <c r="AV1167" s="52"/>
      <c r="AW1167" s="52">
        <f>Database_Overig_Materieel[[#This Row],[008. eutrophication (EP)]]*AW$1273</f>
        <v>3.5576664530028008E-3</v>
      </c>
      <c r="AX1167" s="52">
        <f>Database_Overig_Materieel[[#This Row],[009. human toxicity (HT)]]*AX$1273</f>
        <v>1.6050167839525831E-3</v>
      </c>
      <c r="AY1167" s="52">
        <f>Database_Overig_Materieel[[#This Row],[010. Ecotoxicity, fresh water (FAETP)]]*AY$1273</f>
        <v>3.5823469522594454E-6</v>
      </c>
      <c r="AZ1167" s="52">
        <f>Database_Overig_Materieel[[#This Row],[012. Ecotoxcity, marine water (MAETP)]]*AZ$1273</f>
        <v>0</v>
      </c>
      <c r="BA1167" s="52"/>
      <c r="BB1167" s="52"/>
      <c r="BC1167" s="52"/>
      <c r="BD1167" s="52"/>
      <c r="BE1167" s="52"/>
      <c r="BG1167" s="41" t="s">
        <v>271</v>
      </c>
    </row>
    <row r="1168" spans="1:63" x14ac:dyDescent="0.35">
      <c r="A1168" s="41" t="s">
        <v>176</v>
      </c>
      <c r="B1168" s="41" t="s">
        <v>132</v>
      </c>
      <c r="C1168" s="41" t="s">
        <v>451</v>
      </c>
      <c r="D1168" s="41" t="s">
        <v>452</v>
      </c>
      <c r="E1168" s="41" t="s">
        <v>65</v>
      </c>
      <c r="F1168" s="49">
        <f>$F$1164*($I$1164/Database_Overig_Materieel[[#This Row],[Stookwaarde '[MJ/liter']]])</f>
        <v>13.754709302325582</v>
      </c>
      <c r="G1168" s="54">
        <f>Database_Overig_Materieel[[#This Row],[Verbruik '[liter/kWh/kg per uur']]]*G$1274</f>
        <v>1.2027476495386924</v>
      </c>
      <c r="H1168" s="41">
        <v>60</v>
      </c>
      <c r="I1168" s="45">
        <v>34.4</v>
      </c>
      <c r="J1168" s="55">
        <f>Database_Overig_Materieel[[#This Row],[Verbruik '[liter/kWh/kg per uur']]]*J$1274</f>
        <v>1.6795119707793605E-5</v>
      </c>
      <c r="K1168" s="55">
        <f>Database_Overig_Materieel[[#This Row],[Verbruik '[liter/kWh/kg per uur']]]*K$1274</f>
        <v>4.7748566426953139E-2</v>
      </c>
      <c r="L1168" s="55">
        <f>Database_Overig_Materieel[[#This Row],[Verbruik '[liter/kWh/kg per uur']]]*L$1274</f>
        <v>5.0663815161828163</v>
      </c>
      <c r="M1168" s="55">
        <f>Database_Overig_Materieel[[#This Row],[Verbruik '[liter/kWh/kg per uur']]]*M$1274</f>
        <v>6.3889084181860467E-7</v>
      </c>
      <c r="N1168" s="55">
        <f>Database_Overig_Materieel[[#This Row],[Verbruik '[liter/kWh/kg per uur']]]*N$1274</f>
        <v>5.8808633338920243E-3</v>
      </c>
      <c r="O1168" s="55">
        <f>Database_Overig_Materieel[[#This Row],[Milieu Kosten Indicator (euro) - Euro]]*O$1274</f>
        <v>6.5290333117998204E-3</v>
      </c>
      <c r="P1168" s="55">
        <f>Database_Overig_Materieel[[#This Row],[Capaciteit '[m3/uur']]]*P$1274</f>
        <v>7.5928506298199999E-2</v>
      </c>
      <c r="Q1168" s="55">
        <f>Database_Overig_Materieel[[#This Row],[Stookwaarde '[MJ/liter']]]*Q$1274</f>
        <v>12.790128126824616</v>
      </c>
      <c r="R1168" s="55">
        <f>Database_Overig_Materieel[[#This Row],[001. abiotic depletion, non fuel (AD)]]*R$1274</f>
        <v>4.3261137098690952E-8</v>
      </c>
      <c r="S1168" s="55">
        <f>Database_Overig_Materieel[[#This Row],[002. abiotic depletion, fuel (AD)]]*S$1274</f>
        <v>0.41283104634976103</v>
      </c>
      <c r="T1168" s="55">
        <f>Database_Overig_Materieel[[#This Row],[004. global warming (GWP)]]*T$1274</f>
        <v>8.9650754516013408E-3</v>
      </c>
      <c r="U1168" s="55"/>
      <c r="V1168" s="55"/>
      <c r="W1168" s="55"/>
      <c r="X1168" s="55"/>
      <c r="Y1168" s="55"/>
      <c r="Z1168" s="55"/>
      <c r="AA1168" s="55"/>
      <c r="AB1168" s="55"/>
      <c r="AC1168" s="55"/>
      <c r="AD1168" s="55"/>
      <c r="AE1168" s="55"/>
      <c r="AF1168" s="55"/>
      <c r="AG1168" s="55"/>
      <c r="AH1168" s="55"/>
      <c r="AI1168" s="55"/>
      <c r="AJ1168" s="55"/>
      <c r="AK1168" s="55"/>
      <c r="AL1168" s="55"/>
      <c r="AM1168" s="55"/>
      <c r="AN1168" s="55"/>
      <c r="AO1168" s="55"/>
      <c r="AP1168" s="55">
        <f>Database_Overig_Materieel[[#This Row],[005. ozone layer depletion (ODP)]]*AP$1274</f>
        <v>1.5721688628809651E-7</v>
      </c>
      <c r="AQ1168" s="55"/>
      <c r="AR1168" s="55"/>
      <c r="AS1168" s="55">
        <f>Database_Overig_Materieel[[#This Row],[006. photochemical oxidation (POCP)]]*AS$1274</f>
        <v>4.2850623664896309E-2</v>
      </c>
      <c r="AT1168" s="55"/>
      <c r="AU1168" s="55"/>
      <c r="AV1168" s="55"/>
      <c r="AW1168" s="55">
        <f>Database_Overig_Materieel[[#This Row],[008. eutrophication (EP)]]*AX$1274</f>
        <v>2.2512526960102325E-6</v>
      </c>
      <c r="AX1168" s="55">
        <f>Database_Overig_Materieel[[#This Row],[009. human toxicity (HT)]]*AY$1274</f>
        <v>0.93134282705702365</v>
      </c>
      <c r="AY1168" s="55">
        <f>Database_Overig_Materieel[[#This Row],[010. Ecotoxicity, fresh water (FAETP)]]*AZ$1274</f>
        <v>7.526721450741871E-13</v>
      </c>
      <c r="AZ1168" s="52">
        <f>Database_Overig_Materieel[[#This Row],[012. Ecotoxcity, marine water (MAETP)]]*AZ$1274</f>
        <v>7.1825765582730863E-6</v>
      </c>
      <c r="BA1168" s="52"/>
      <c r="BB1168" s="52"/>
      <c r="BC1168" s="52"/>
      <c r="BD1168" s="52"/>
      <c r="BE1168" s="52"/>
      <c r="BF1168" s="45"/>
      <c r="BG1168" s="41" t="s">
        <v>271</v>
      </c>
    </row>
    <row r="1169" spans="1:59" ht="15.5" x14ac:dyDescent="0.45">
      <c r="A1169" s="41" t="s">
        <v>145</v>
      </c>
      <c r="B1169" s="41" t="s">
        <v>132</v>
      </c>
      <c r="C1169" s="41" t="s">
        <v>451</v>
      </c>
      <c r="D1169" s="41" t="s">
        <v>452</v>
      </c>
      <c r="E1169" s="41" t="s">
        <v>65</v>
      </c>
      <c r="F1169" s="41">
        <v>13.18</v>
      </c>
      <c r="G1169" s="53">
        <f>Database_Overig_Materieel[[#This Row],[Verbruik '[liter/kWh/kg per uur']]]*G$1275</f>
        <v>3.9375983304994415</v>
      </c>
      <c r="H1169" s="41">
        <v>60</v>
      </c>
      <c r="I1169" s="46">
        <v>35.9</v>
      </c>
      <c r="J1169" s="52">
        <f>Database_Overig_Materieel[[#This Row],[Verbruik '[liter/kWh/kg per uur']]]*J$1275</f>
        <v>2.3151592600000002E-5</v>
      </c>
      <c r="K1169" s="52">
        <f>Database_Overig_Materieel[[#This Row],[Verbruik '[liter/kWh/kg per uur']]]*K$1275</f>
        <v>0.31332568851999998</v>
      </c>
      <c r="L1169" s="52">
        <f>Database_Overig_Materieel[[#This Row],[Verbruik '[liter/kWh/kg per uur']]]*L$1275</f>
        <v>45.725828710000002</v>
      </c>
      <c r="M1169" s="52">
        <f>Database_Overig_Materieel[[#This Row],[Verbruik '[liter/kWh/kg per uur']]]*M$1275</f>
        <v>7.9583871399999986E-6</v>
      </c>
      <c r="N1169" s="52">
        <f>Database_Overig_Materieel[[#This Row],[Verbruik '[liter/kWh/kg per uur']]]*N$1275</f>
        <v>1.5049306219999999E-2</v>
      </c>
      <c r="O1169" s="52">
        <f>Database_Overig_Materieel[[#This Row],[Milieu Kosten Indicator (euro) - Euro]]*O$1275</f>
        <v>2.6190096586872637E-2</v>
      </c>
      <c r="P1169" s="52">
        <f>Database_Overig_Materieel[[#This Row],[Capaciteit '[m3/uur']]]*P$1275</f>
        <v>6.1294200000000007E-2</v>
      </c>
      <c r="Q1169" s="52">
        <f>Database_Overig_Materieel[[#This Row],[Stookwaarde '[MJ/liter']]]*Q$1275</f>
        <v>30.695271849999997</v>
      </c>
      <c r="R1169" s="52">
        <f>Database_Overig_Materieel[[#This Row],[001. abiotic depletion, non fuel (AD)]]*R$1275</f>
        <v>3.9494144385510322E-7</v>
      </c>
      <c r="S1169" s="52">
        <f>Database_Overig_Materieel[[#This Row],[002. abiotic depletion, fuel (AD)]]*S$1275</f>
        <v>17.972057567589335</v>
      </c>
      <c r="T1169" s="52">
        <f>Database_Overig_Materieel[[#This Row],[004. global warming (GWP)]]*T$1275</f>
        <v>0.14042100206371513</v>
      </c>
      <c r="U1169" s="52"/>
      <c r="V1169" s="52"/>
      <c r="W1169" s="52"/>
      <c r="X1169" s="52"/>
      <c r="Y1169" s="52"/>
      <c r="Z1169" s="52"/>
      <c r="AA1169" s="52"/>
      <c r="AB1169" s="52"/>
      <c r="AC1169" s="52"/>
      <c r="AD1169" s="52"/>
      <c r="AE1169" s="52"/>
      <c r="AF1169" s="52"/>
      <c r="AG1169" s="52"/>
      <c r="AH1169" s="52"/>
      <c r="AI1169" s="52"/>
      <c r="AJ1169" s="52"/>
      <c r="AK1169" s="52"/>
      <c r="AL1169" s="52"/>
      <c r="AM1169" s="52"/>
      <c r="AN1169" s="52"/>
      <c r="AO1169" s="52"/>
      <c r="AP1169" s="52">
        <f>Database_Overig_Materieel[[#This Row],[005. ozone layer depletion (ODP)]]*AP$1275</f>
        <v>3.1366817804432697E-6</v>
      </c>
      <c r="AQ1169" s="52"/>
      <c r="AR1169" s="52"/>
      <c r="AS1169" s="52">
        <f>Database_Overig_Materieel[[#This Row],[006. photochemical oxidation (POCP)]]*AS$1275</f>
        <v>0.79848727831595134</v>
      </c>
      <c r="AT1169" s="52"/>
      <c r="AU1169" s="52"/>
      <c r="AV1169" s="52"/>
      <c r="AW1169" s="52">
        <f>Database_Overig_Materieel[[#This Row],[008. eutrophication (EP)]]*AW$1275</f>
        <v>3.0771760143960005E-4</v>
      </c>
      <c r="AX1169" s="52">
        <f>Database_Overig_Materieel[[#This Row],[009. human toxicity (HT)]]*AX$1275</f>
        <v>1.1185602624314799E-2</v>
      </c>
      <c r="AY1169" s="52">
        <f>Database_Overig_Materieel[[#This Row],[010. Ecotoxicity, fresh water (FAETP)]]*AY$1275</f>
        <v>3.5314958149163159E-8</v>
      </c>
      <c r="AZ1169" s="52">
        <f>Database_Overig_Materieel[[#This Row],[012. Ecotoxcity, marine water (MAETP)]]*AZ$1275</f>
        <v>0</v>
      </c>
      <c r="BA1169" s="52"/>
      <c r="BB1169" s="52"/>
      <c r="BC1169" s="52"/>
      <c r="BD1169" s="52"/>
      <c r="BE1169" s="52"/>
      <c r="BG1169" s="41" t="s">
        <v>271</v>
      </c>
    </row>
    <row r="1170" spans="1:59" x14ac:dyDescent="0.35">
      <c r="A1170" s="41" t="s">
        <v>146</v>
      </c>
      <c r="B1170" s="41" t="s">
        <v>132</v>
      </c>
      <c r="C1170" s="41" t="s">
        <v>451</v>
      </c>
      <c r="D1170" s="41" t="s">
        <v>452</v>
      </c>
      <c r="E1170" s="41" t="s">
        <v>65</v>
      </c>
      <c r="F1170" s="49">
        <f>$F$1164*($I$1164/Database_Overig_Materieel[[#This Row],[Stookwaarde '[MJ/liter']]])</f>
        <v>14.294924471299092</v>
      </c>
      <c r="G1170" s="53">
        <f>Database_Overig_Materieel[[#This Row],[Verbruik '[liter/kWh/kg per uur']]]*G$1276</f>
        <v>3.7210483109015238</v>
      </c>
      <c r="H1170" s="41">
        <v>60</v>
      </c>
      <c r="I1170" s="45">
        <v>33.1</v>
      </c>
      <c r="J1170" s="52">
        <f>Database_Overig_Materieel[[#This Row],[Verbruik '[liter/kWh/kg per uur']]]*J$1276</f>
        <v>7.3104386695468273E-5</v>
      </c>
      <c r="K1170" s="52">
        <f>Database_Overig_Materieel[[#This Row],[Verbruik '[liter/kWh/kg per uur']]]*K$1276</f>
        <v>0.42625936645987911</v>
      </c>
      <c r="L1170" s="52">
        <f>Database_Overig_Materieel[[#This Row],[Verbruik '[liter/kWh/kg per uur']]]*L$1276</f>
        <v>52.534652236271896</v>
      </c>
      <c r="M1170" s="52">
        <f>Database_Overig_Materieel[[#This Row],[Verbruik '[liter/kWh/kg per uur']]]*M$1276</f>
        <v>7.5994820423564941E-7</v>
      </c>
      <c r="N1170" s="52">
        <f>Database_Overig_Materieel[[#This Row],[Verbruik '[liter/kWh/kg per uur']]]*N$1276</f>
        <v>1.064494422634441E-2</v>
      </c>
      <c r="O1170" s="52">
        <f>Database_Overig_Materieel[[#This Row],[Milieu Kosten Indicator (euro) - Euro]]*O$1276</f>
        <v>1.5774714525371051E-2</v>
      </c>
      <c r="P1170" s="52">
        <f>Database_Overig_Materieel[[#This Row],[Capaciteit '[m3/uur']]]*P$1276</f>
        <v>4.4942279999999994E-2</v>
      </c>
      <c r="Q1170" s="52">
        <f>Database_Overig_Materieel[[#This Row],[Stookwaarde '[MJ/liter']]]*Q$1276</f>
        <v>24.428592414000004</v>
      </c>
      <c r="R1170" s="52">
        <f>Database_Overig_Materieel[[#This Row],[001. abiotic depletion, non fuel (AD)]]*R$1276</f>
        <v>4.3498301685306756E-7</v>
      </c>
      <c r="S1170" s="52">
        <f>Database_Overig_Materieel[[#This Row],[002. abiotic depletion, fuel (AD)]]*S$1276</f>
        <v>9.6361096051777171</v>
      </c>
      <c r="T1170" s="52">
        <f>Database_Overig_Materieel[[#This Row],[004. global warming (GWP)]]*T$1276</f>
        <v>0.1568839692999176</v>
      </c>
      <c r="U1170" s="52"/>
      <c r="V1170" s="52"/>
      <c r="W1170" s="52"/>
      <c r="X1170" s="52"/>
      <c r="Y1170" s="52"/>
      <c r="Z1170" s="52"/>
      <c r="AA1170" s="52"/>
      <c r="AB1170" s="52"/>
      <c r="AC1170" s="52"/>
      <c r="AD1170" s="52"/>
      <c r="AE1170" s="52"/>
      <c r="AF1170" s="52"/>
      <c r="AG1170" s="52"/>
      <c r="AH1170" s="52"/>
      <c r="AI1170" s="52"/>
      <c r="AJ1170" s="52"/>
      <c r="AK1170" s="52"/>
      <c r="AL1170" s="52"/>
      <c r="AM1170" s="52"/>
      <c r="AN1170" s="52"/>
      <c r="AO1170" s="52"/>
      <c r="AP1170" s="52">
        <f>Database_Overig_Materieel[[#This Row],[005. ozone layer depletion (ODP)]]*AP$1276</f>
        <v>3.3598875602558788E-7</v>
      </c>
      <c r="AQ1170" s="52"/>
      <c r="AR1170" s="52"/>
      <c r="AS1170" s="52">
        <f>Database_Overig_Materieel[[#This Row],[006. photochemical oxidation (POCP)]]*AS$1276</f>
        <v>0.67719177377739781</v>
      </c>
      <c r="AT1170" s="52"/>
      <c r="AU1170" s="52"/>
      <c r="AV1170" s="52"/>
      <c r="AW1170" s="52">
        <f>Database_Overig_Materieel[[#This Row],[008. eutrophication (EP)]]*AW$1276</f>
        <v>1.2930563595971999E-4</v>
      </c>
      <c r="AX1170" s="52">
        <f>Database_Overig_Materieel[[#This Row],[009. human toxicity (HT)]]*AX$1276</f>
        <v>2.4026888640344187E-3</v>
      </c>
      <c r="AY1170" s="52">
        <f>Database_Overig_Materieel[[#This Row],[010. Ecotoxicity, fresh water (FAETP)]]*AY$1276</f>
        <v>4.7065110225539887E-8</v>
      </c>
      <c r="AZ1170" s="52">
        <f>Database_Overig_Materieel[[#This Row],[012. Ecotoxcity, marine water (MAETP)]]*AZ$1276</f>
        <v>0</v>
      </c>
      <c r="BA1170" s="52"/>
      <c r="BB1170" s="52"/>
      <c r="BC1170" s="52"/>
      <c r="BD1170" s="52"/>
      <c r="BE1170" s="52"/>
      <c r="BG1170" s="41" t="s">
        <v>271</v>
      </c>
    </row>
    <row r="1171" spans="1:59" x14ac:dyDescent="0.35">
      <c r="A1171" s="41" t="s">
        <v>147</v>
      </c>
      <c r="B1171" s="41" t="s">
        <v>132</v>
      </c>
      <c r="C1171" s="41" t="s">
        <v>451</v>
      </c>
      <c r="D1171" s="41" t="s">
        <v>452</v>
      </c>
      <c r="E1171" s="41" t="s">
        <v>65</v>
      </c>
      <c r="F1171" s="49">
        <f>$F$1164*($I$1164/Database_Overig_Materieel[[#This Row],[Stookwaarde '[MJ/liter']]])</f>
        <v>13.794810495626821</v>
      </c>
      <c r="G1171" s="53">
        <f>Database_Overig_Materieel[[#This Row],[Verbruik '[liter/kWh/kg per uur']]]*G$1277</f>
        <v>2.9442590884496145</v>
      </c>
      <c r="H1171" s="41">
        <v>60</v>
      </c>
      <c r="I1171" s="45">
        <v>34.299999999999997</v>
      </c>
      <c r="J1171" s="52">
        <f>Database_Overig_Materieel[[#This Row],[Verbruik '[liter/kWh/kg per uur']]]*J$1277</f>
        <v>5.3504138144023322E-5</v>
      </c>
      <c r="K1171" s="52">
        <f>Database_Overig_Materieel[[#This Row],[Verbruik '[liter/kWh/kg per uur']]]*K$1277</f>
        <v>0.11646904701696793</v>
      </c>
      <c r="L1171" s="52">
        <f>Database_Overig_Materieel[[#This Row],[Verbruik '[liter/kWh/kg per uur']]]*L$1277</f>
        <v>19.85923404491545</v>
      </c>
      <c r="M1171" s="52">
        <f>Database_Overig_Materieel[[#This Row],[Verbruik '[liter/kWh/kg per uur']]]*M$1277</f>
        <v>1.8993660727113702E-6</v>
      </c>
      <c r="N1171" s="52">
        <f>Database_Overig_Materieel[[#This Row],[Verbruik '[liter/kWh/kg per uur']]]*N$1277</f>
        <v>1.6187603144956268E-2</v>
      </c>
      <c r="O1171" s="52">
        <f>Database_Overig_Materieel[[#This Row],[Milieu Kosten Indicator (euro) - Euro]]*O$1277</f>
        <v>2.6485444774016386E-2</v>
      </c>
      <c r="P1171" s="52">
        <f>Database_Overig_Materieel[[#This Row],[Capaciteit '[m3/uur']]]*P$1277</f>
        <v>0.26767283999999997</v>
      </c>
      <c r="Q1171" s="52">
        <f>Database_Overig_Materieel[[#This Row],[Stookwaarde '[MJ/liter']]]*Q$1277</f>
        <v>27.422837994999998</v>
      </c>
      <c r="R1171" s="52">
        <f>Database_Overig_Materieel[[#This Row],[001. abiotic depletion, non fuel (AD)]]*R$1277</f>
        <v>3.0458475144738505E-5</v>
      </c>
      <c r="S1171" s="52">
        <f>Database_Overig_Materieel[[#This Row],[002. abiotic depletion, fuel (AD)]]*S$1277</f>
        <v>5.582225387676357</v>
      </c>
      <c r="T1171" s="52">
        <f>Database_Overig_Materieel[[#This Row],[004. global warming (GWP)]]*T$1277</f>
        <v>4.853181146808776</v>
      </c>
      <c r="U1171" s="52"/>
      <c r="V1171" s="52"/>
      <c r="W1171" s="52"/>
      <c r="X1171" s="52"/>
      <c r="Y1171" s="52"/>
      <c r="Z1171" s="52"/>
      <c r="AA1171" s="52"/>
      <c r="AB1171" s="52"/>
      <c r="AC1171" s="52"/>
      <c r="AD1171" s="52"/>
      <c r="AE1171" s="52"/>
      <c r="AF1171" s="52"/>
      <c r="AG1171" s="52"/>
      <c r="AH1171" s="52"/>
      <c r="AI1171" s="52"/>
      <c r="AJ1171" s="52"/>
      <c r="AK1171" s="52"/>
      <c r="AL1171" s="52"/>
      <c r="AM1171" s="52"/>
      <c r="AN1171" s="52"/>
      <c r="AO1171" s="52"/>
      <c r="AP1171" s="52">
        <f>Database_Overig_Materieel[[#This Row],[005. ozone layer depletion (ODP)]]*AP$1277</f>
        <v>1.4916296327239386E-5</v>
      </c>
      <c r="AQ1171" s="52"/>
      <c r="AR1171" s="52"/>
      <c r="AS1171" s="52">
        <f>Database_Overig_Materieel[[#This Row],[006. photochemical oxidation (POCP)]]*AS$1277</f>
        <v>0.28878824842749345</v>
      </c>
      <c r="AT1171" s="52"/>
      <c r="AU1171" s="52"/>
      <c r="AV1171" s="52"/>
      <c r="AW1171" s="52">
        <f>Database_Overig_Materieel[[#This Row],[008. eutrophication (EP)]]*AW$1277</f>
        <v>1.6396386807872997E-2</v>
      </c>
      <c r="AX1171" s="52">
        <f>Database_Overig_Materieel[[#This Row],[009. human toxicity (HT)]]*AX$1277</f>
        <v>2.8382911553204949E-3</v>
      </c>
      <c r="AY1171" s="52">
        <f>Database_Overig_Materieel[[#This Row],[010. Ecotoxicity, fresh water (FAETP)]]*AY$1277</f>
        <v>8.6101811543332831E-6</v>
      </c>
      <c r="AZ1171" s="52">
        <f>Database_Overig_Materieel[[#This Row],[012. Ecotoxcity, marine water (MAETP)]]*AZ$1277</f>
        <v>0</v>
      </c>
      <c r="BA1171" s="52"/>
      <c r="BB1171" s="52"/>
      <c r="BC1171" s="52"/>
      <c r="BD1171" s="52"/>
      <c r="BE1171" s="52"/>
      <c r="BG1171" s="41" t="s">
        <v>271</v>
      </c>
    </row>
    <row r="1172" spans="1:59" x14ac:dyDescent="0.35">
      <c r="A1172" s="41" t="s">
        <v>148</v>
      </c>
      <c r="B1172" s="41" t="s">
        <v>132</v>
      </c>
      <c r="C1172" s="41" t="s">
        <v>451</v>
      </c>
      <c r="D1172" s="41" t="s">
        <v>452</v>
      </c>
      <c r="E1172" s="41" t="s">
        <v>65</v>
      </c>
      <c r="F1172" s="49">
        <f>$F$1164*($I$1164/Database_Overig_Materieel[[#This Row],[Stookwaarde '[MJ/liter']]])</f>
        <v>13.714840579710144</v>
      </c>
      <c r="G1172" s="53">
        <f>Database_Overig_Materieel[[#This Row],[Verbruik '[liter/kWh/kg per uur']]]*G$1278</f>
        <v>3.8779351937161803</v>
      </c>
      <c r="H1172" s="41">
        <v>60</v>
      </c>
      <c r="I1172" s="45">
        <v>34.5</v>
      </c>
      <c r="J1172" s="52">
        <f>Database_Overig_Materieel[[#This Row],[Verbruik '[liter/kWh/kg per uur']]]*J$1278</f>
        <v>3.0717539891594197E-5</v>
      </c>
      <c r="K1172" s="52">
        <f>Database_Overig_Materieel[[#This Row],[Verbruik '[liter/kWh/kg per uur']]]*K$1278</f>
        <v>7.5886544450434787E-2</v>
      </c>
      <c r="L1172" s="52">
        <f>Database_Overig_Materieel[[#This Row],[Verbruik '[liter/kWh/kg per uur']]]*L$1278</f>
        <v>18.934464780185507</v>
      </c>
      <c r="M1172" s="52">
        <f>Database_Overig_Materieel[[#This Row],[Verbruik '[liter/kWh/kg per uur']]]*M$1278</f>
        <v>1.1893934910782608E-6</v>
      </c>
      <c r="N1172" s="52">
        <f>Database_Overig_Materieel[[#This Row],[Verbruik '[liter/kWh/kg per uur']]]*N$1278</f>
        <v>1.3758453772753622E-2</v>
      </c>
      <c r="O1172" s="52">
        <f>Database_Overig_Materieel[[#This Row],[Milieu Kosten Indicator (euro) - Euro]]*O$1278</f>
        <v>1.9245199615003809E-2</v>
      </c>
      <c r="P1172" s="52">
        <f>Database_Overig_Materieel[[#This Row],[Capaciteit '[m3/uur']]]*P$1278</f>
        <v>0.13089858000000001</v>
      </c>
      <c r="Q1172" s="52">
        <f>Database_Overig_Materieel[[#This Row],[Stookwaarde '[MJ/liter']]]*Q$1278</f>
        <v>26.783656169999997</v>
      </c>
      <c r="R1172" s="52">
        <f>Database_Overig_Materieel[[#This Row],[001. abiotic depletion, non fuel (AD)]]*R$1278</f>
        <v>1.5654071479667945E-5</v>
      </c>
      <c r="S1172" s="52">
        <f>Database_Overig_Materieel[[#This Row],[002. abiotic depletion, fuel (AD)]]*S$1278</f>
        <v>2.5568601400446673</v>
      </c>
      <c r="T1172" s="52">
        <f>Database_Overig_Materieel[[#This Row],[004. global warming (GWP)]]*T$1278</f>
        <v>4.2585928869126297</v>
      </c>
      <c r="U1172" s="52"/>
      <c r="V1172" s="52"/>
      <c r="W1172" s="52"/>
      <c r="X1172" s="52"/>
      <c r="Y1172" s="52"/>
      <c r="Z1172" s="52"/>
      <c r="AA1172" s="52"/>
      <c r="AB1172" s="52"/>
      <c r="AC1172" s="52"/>
      <c r="AD1172" s="52"/>
      <c r="AE1172" s="52"/>
      <c r="AF1172" s="52"/>
      <c r="AG1172" s="52"/>
      <c r="AH1172" s="52"/>
      <c r="AI1172" s="52"/>
      <c r="AJ1172" s="52"/>
      <c r="AK1172" s="52"/>
      <c r="AL1172" s="52"/>
      <c r="AM1172" s="52"/>
      <c r="AN1172" s="52"/>
      <c r="AO1172" s="52"/>
      <c r="AP1172" s="52">
        <f>Database_Overig_Materieel[[#This Row],[005. ozone layer depletion (ODP)]]*AP$1278</f>
        <v>2.9423017553581004E-6</v>
      </c>
      <c r="AQ1172" s="52"/>
      <c r="AR1172" s="52"/>
      <c r="AS1172" s="52">
        <f>Database_Overig_Materieel[[#This Row],[006. photochemical oxidation (POCP)]]*AS$1278</f>
        <v>0.15978216563387521</v>
      </c>
      <c r="AT1172" s="52"/>
      <c r="AU1172" s="52"/>
      <c r="AV1172" s="52"/>
      <c r="AW1172" s="52">
        <f>Database_Overig_Materieel[[#This Row],[008. eutrophication (EP)]]*AW$1278</f>
        <v>2.5490409313663203E-3</v>
      </c>
      <c r="AX1172" s="52">
        <f>Database_Overig_Materieel[[#This Row],[009. human toxicity (HT)]]*AX$1278</f>
        <v>1.694055539290032E-3</v>
      </c>
      <c r="AY1172" s="52">
        <f>Database_Overig_Materieel[[#This Row],[010. Ecotoxicity, fresh water (FAETP)]]*AY$1278</f>
        <v>3.8408515135676524E-6</v>
      </c>
      <c r="AZ1172" s="52">
        <f>Database_Overig_Materieel[[#This Row],[012. Ecotoxcity, marine water (MAETP)]]*AZ$1278</f>
        <v>0</v>
      </c>
      <c r="BA1172" s="52"/>
      <c r="BB1172" s="52"/>
      <c r="BC1172" s="52"/>
      <c r="BD1172" s="52"/>
      <c r="BE1172" s="52"/>
      <c r="BG1172" s="41" t="s">
        <v>271</v>
      </c>
    </row>
    <row r="1173" spans="1:59" x14ac:dyDescent="0.35">
      <c r="A1173" s="41" t="s">
        <v>177</v>
      </c>
      <c r="B1173" s="41" t="s">
        <v>132</v>
      </c>
      <c r="C1173" s="41" t="s">
        <v>451</v>
      </c>
      <c r="D1173" s="41" t="s">
        <v>452</v>
      </c>
      <c r="E1173" s="41" t="s">
        <v>65</v>
      </c>
      <c r="F1173" s="49">
        <f>$F$1164*($I$1164/Database_Overig_Materieel[[#This Row],[Stookwaarde '[MJ/liter']]])</f>
        <v>13.754709302325582</v>
      </c>
      <c r="G1173" s="54">
        <f>Database_Overig_Materieel[[#This Row],[Verbruik '[liter/kWh/kg per uur']]]*G$1279</f>
        <v>0.94765477179434388</v>
      </c>
      <c r="H1173" s="41">
        <v>60</v>
      </c>
      <c r="I1173" s="45">
        <v>34.4</v>
      </c>
      <c r="J1173" s="55">
        <f>Database_Overig_Materieel[[#This Row],[Verbruik '[liter/kWh/kg per uur']]]*J$1279</f>
        <v>1.8809417382899421E-5</v>
      </c>
      <c r="K1173" s="55">
        <f>Database_Overig_Materieel[[#This Row],[Verbruik '[liter/kWh/kg per uur']]]*K$1279</f>
        <v>5.1598140672162465E-2</v>
      </c>
      <c r="L1173" s="55">
        <f>Database_Overig_Materieel[[#This Row],[Verbruik '[liter/kWh/kg per uur']]]*L$1279</f>
        <v>5.4905396773956854</v>
      </c>
      <c r="M1173" s="55">
        <f>Database_Overig_Materieel[[#This Row],[Verbruik '[liter/kWh/kg per uur']]]*M$1279</f>
        <v>7.0844373015930232E-7</v>
      </c>
      <c r="N1173" s="55">
        <f>Database_Overig_Materieel[[#This Row],[Verbruik '[liter/kWh/kg per uur']]]*N$1279</f>
        <v>6.0600105152475306E-3</v>
      </c>
      <c r="O1173" s="55">
        <f>Database_Overig_Materieel[[#This Row],[Milieu Kosten Indicator (euro) - Euro]]*O$1279</f>
        <v>1.9342822068603783E-3</v>
      </c>
      <c r="P1173" s="55">
        <f>Database_Overig_Materieel[[#This Row],[Capaciteit '[m3/uur']]]*P$1279</f>
        <v>2.21993483754E-2</v>
      </c>
      <c r="Q1173" s="55">
        <f>Database_Overig_Materieel[[#This Row],[Stookwaarde '[MJ/liter']]]*Q$1279</f>
        <v>13.303514854504431</v>
      </c>
      <c r="R1173" s="55">
        <f>Database_Overig_Materieel[[#This Row],[001. abiotic depletion, non fuel (AD)]]*R$1279</f>
        <v>5.2582486265645292E-8</v>
      </c>
      <c r="S1173" s="55">
        <f>Database_Overig_Materieel[[#This Row],[002. abiotic depletion, fuel (AD)]]*S$1279</f>
        <v>0.49642780918560547</v>
      </c>
      <c r="T1173" s="55">
        <f>Database_Overig_Materieel[[#This Row],[004. global warming (GWP)]]*T$1279</f>
        <v>9.9541908009006582E-3</v>
      </c>
      <c r="U1173" s="55"/>
      <c r="V1173" s="55"/>
      <c r="W1173" s="55"/>
      <c r="X1173" s="55"/>
      <c r="Y1173" s="55"/>
      <c r="Z1173" s="55"/>
      <c r="AA1173" s="55"/>
      <c r="AB1173" s="55"/>
      <c r="AC1173" s="55"/>
      <c r="AD1173" s="55"/>
      <c r="AE1173" s="55"/>
      <c r="AF1173" s="55"/>
      <c r="AG1173" s="55"/>
      <c r="AH1173" s="55"/>
      <c r="AI1173" s="55"/>
      <c r="AJ1173" s="55"/>
      <c r="AK1173" s="55"/>
      <c r="AL1173" s="55"/>
      <c r="AM1173" s="55"/>
      <c r="AN1173" s="55"/>
      <c r="AO1173" s="55"/>
      <c r="AP1173" s="55">
        <f>Database_Overig_Materieel[[#This Row],[005. ozone layer depletion (ODP)]]*AP$1279</f>
        <v>1.8272456835445005E-7</v>
      </c>
      <c r="AQ1173" s="55"/>
      <c r="AR1173" s="55"/>
      <c r="AS1173" s="55">
        <f>Database_Overig_Materieel[[#This Row],[006. photochemical oxidation (POCP)]]*AS$1279</f>
        <v>4.7912839694771114E-2</v>
      </c>
      <c r="AT1173" s="55"/>
      <c r="AU1173" s="55"/>
      <c r="AV1173" s="55"/>
      <c r="AW1173" s="55">
        <f>Database_Overig_Materieel[[#This Row],[008. eutrophication (EP)]]*AX$1279</f>
        <v>7.1176105411926645E-7</v>
      </c>
      <c r="AX1173" s="55">
        <f>Database_Overig_Materieel[[#This Row],[009. human toxicity (HT)]]*AY$1279</f>
        <v>0.998924308250559</v>
      </c>
      <c r="AY1173" s="55">
        <f>Database_Overig_Materieel[[#This Row],[010. Ecotoxicity, fresh water (FAETP)]]*AZ$1279</f>
        <v>1.0126184713962278E-12</v>
      </c>
      <c r="AZ1173" s="55">
        <f>Database_Overig_Materieel[[#This Row],[012. Ecotoxcity, marine water (MAETP)]]*AZ$1279</f>
        <v>9.5600646716574013E-6</v>
      </c>
      <c r="BA1173" s="55"/>
      <c r="BB1173" s="55"/>
      <c r="BC1173" s="55"/>
      <c r="BD1173" s="55"/>
      <c r="BE1173" s="55"/>
      <c r="BF1173" s="45"/>
      <c r="BG1173" s="41" t="s">
        <v>271</v>
      </c>
    </row>
    <row r="1174" spans="1:59" ht="15.5" x14ac:dyDescent="0.45">
      <c r="A1174" s="41" t="s">
        <v>149</v>
      </c>
      <c r="B1174" s="41" t="s">
        <v>132</v>
      </c>
      <c r="C1174" s="41" t="s">
        <v>451</v>
      </c>
      <c r="D1174" s="41" t="s">
        <v>452</v>
      </c>
      <c r="E1174" s="41" t="s">
        <v>65</v>
      </c>
      <c r="F1174" s="41">
        <v>13.18</v>
      </c>
      <c r="G1174" s="53">
        <f>Database_Overig_Materieel[[#This Row],[Verbruik '[liter/kWh/kg per uur']]]*G$1280</f>
        <v>3.9375665165123714</v>
      </c>
      <c r="H1174" s="41">
        <v>60</v>
      </c>
      <c r="I1174" s="46">
        <v>35.9</v>
      </c>
      <c r="J1174" s="52">
        <f>Database_Overig_Materieel[[#This Row],[Verbruik '[liter/kWh/kg per uur']]]*J$1280</f>
        <v>2.3151592600000002E-5</v>
      </c>
      <c r="K1174" s="52">
        <f>Database_Overig_Materieel[[#This Row],[Verbruik '[liter/kWh/kg per uur']]]*K$1280</f>
        <v>0.31332568851999998</v>
      </c>
      <c r="L1174" s="52">
        <f>Database_Overig_Materieel[[#This Row],[Verbruik '[liter/kWh/kg per uur']]]*L$1280</f>
        <v>45.725828710000002</v>
      </c>
      <c r="M1174" s="52">
        <f>Database_Overig_Materieel[[#This Row],[Verbruik '[liter/kWh/kg per uur']]]*M$1280</f>
        <v>7.9583871399999986E-6</v>
      </c>
      <c r="N1174" s="52">
        <f>Database_Overig_Materieel[[#This Row],[Verbruik '[liter/kWh/kg per uur']]]*N$1280</f>
        <v>1.5049306219999999E-2</v>
      </c>
      <c r="O1174" s="52">
        <f>Database_Overig_Materieel[[#This Row],[Milieu Kosten Indicator (euro) - Euro]]*O$1280</f>
        <v>2.6189884982914021E-2</v>
      </c>
      <c r="P1174" s="52">
        <f>Database_Overig_Materieel[[#This Row],[Capaciteit '[m3/uur']]]*P$1280</f>
        <v>6.1294200000000007E-2</v>
      </c>
      <c r="Q1174" s="52">
        <f>Database_Overig_Materieel[[#This Row],[Stookwaarde '[MJ/liter']]]*Q$1280</f>
        <v>30.694309011999998</v>
      </c>
      <c r="R1174" s="52">
        <f>Database_Overig_Materieel[[#This Row],[001. abiotic depletion, non fuel (AD)]]*R$1280</f>
        <v>3.9494144385510322E-7</v>
      </c>
      <c r="S1174" s="52">
        <f>Database_Overig_Materieel[[#This Row],[002. abiotic depletion, fuel (AD)]]*S$1280</f>
        <v>17.972057567589335</v>
      </c>
      <c r="T1174" s="52">
        <f>Database_Overig_Materieel[[#This Row],[004. global warming (GWP)]]*T$1280</f>
        <v>0.14042100206371513</v>
      </c>
      <c r="U1174" s="52"/>
      <c r="V1174" s="52"/>
      <c r="W1174" s="52"/>
      <c r="X1174" s="52"/>
      <c r="Y1174" s="52"/>
      <c r="Z1174" s="52"/>
      <c r="AA1174" s="52"/>
      <c r="AB1174" s="52"/>
      <c r="AC1174" s="52"/>
      <c r="AD1174" s="52"/>
      <c r="AE1174" s="52"/>
      <c r="AF1174" s="52"/>
      <c r="AG1174" s="52"/>
      <c r="AH1174" s="52"/>
      <c r="AI1174" s="52"/>
      <c r="AJ1174" s="52"/>
      <c r="AK1174" s="52"/>
      <c r="AL1174" s="52"/>
      <c r="AM1174" s="52"/>
      <c r="AN1174" s="52"/>
      <c r="AO1174" s="52"/>
      <c r="AP1174" s="52">
        <f>Database_Overig_Materieel[[#This Row],[005. ozone layer depletion (ODP)]]*AP$1280</f>
        <v>3.1366817804432697E-6</v>
      </c>
      <c r="AQ1174" s="52"/>
      <c r="AR1174" s="52"/>
      <c r="AS1174" s="52">
        <f>Database_Overig_Materieel[[#This Row],[006. photochemical oxidation (POCP)]]*AS$1280</f>
        <v>0.79848727831595134</v>
      </c>
      <c r="AT1174" s="52"/>
      <c r="AU1174" s="52"/>
      <c r="AV1174" s="52"/>
      <c r="AW1174" s="52">
        <f>Database_Overig_Materieel[[#This Row],[008. eutrophication (EP)]]*AW$1280</f>
        <v>3.0771760143960005E-4</v>
      </c>
      <c r="AX1174" s="52">
        <f>Database_Overig_Materieel[[#This Row],[009. human toxicity (HT)]]*AX$1280</f>
        <v>1.1185251758444894E-2</v>
      </c>
      <c r="AY1174" s="52">
        <f>Database_Overig_Materieel[[#This Row],[010. Ecotoxicity, fresh water (FAETP)]]*AY$1280</f>
        <v>3.5314958149163159E-8</v>
      </c>
      <c r="AZ1174" s="52">
        <f>Database_Overig_Materieel[[#This Row],[012. Ecotoxcity, marine water (MAETP)]]*AZ$1280</f>
        <v>0</v>
      </c>
      <c r="BA1174" s="52"/>
      <c r="BB1174" s="52"/>
      <c r="BC1174" s="52"/>
      <c r="BD1174" s="52"/>
      <c r="BE1174" s="52"/>
      <c r="BG1174" s="41" t="s">
        <v>271</v>
      </c>
    </row>
    <row r="1175" spans="1:59" x14ac:dyDescent="0.35">
      <c r="A1175" s="41" t="s">
        <v>150</v>
      </c>
      <c r="B1175" s="41" t="s">
        <v>132</v>
      </c>
      <c r="C1175" s="41" t="s">
        <v>451</v>
      </c>
      <c r="D1175" s="41" t="s">
        <v>452</v>
      </c>
      <c r="E1175" s="41" t="s">
        <v>65</v>
      </c>
      <c r="F1175" s="49">
        <f>$F$1164*($I$1164/Database_Overig_Materieel[[#This Row],[Stookwaarde '[MJ/liter']]])</f>
        <v>14.294924471299092</v>
      </c>
      <c r="G1175" s="53">
        <f>Database_Overig_Materieel[[#This Row],[Verbruik '[liter/kWh/kg per uur']]]*G$1281</f>
        <v>3.7210245690957113</v>
      </c>
      <c r="H1175" s="41">
        <v>60</v>
      </c>
      <c r="I1175" s="45">
        <v>33.1</v>
      </c>
      <c r="J1175" s="52">
        <f>Database_Overig_Materieel[[#This Row],[Verbruik '[liter/kWh/kg per uur']]]*J$1281</f>
        <v>7.3104386695468273E-5</v>
      </c>
      <c r="K1175" s="52">
        <f>Database_Overig_Materieel[[#This Row],[Verbruik '[liter/kWh/kg per uur']]]*K$1281</f>
        <v>0.42625936645987911</v>
      </c>
      <c r="L1175" s="52">
        <f>Database_Overig_Materieel[[#This Row],[Verbruik '[liter/kWh/kg per uur']]]*L$1281</f>
        <v>52.534652236271896</v>
      </c>
      <c r="M1175" s="52">
        <f>Database_Overig_Materieel[[#This Row],[Verbruik '[liter/kWh/kg per uur']]]*M$1281</f>
        <v>7.5994820423564941E-7</v>
      </c>
      <c r="N1175" s="52">
        <f>Database_Overig_Materieel[[#This Row],[Verbruik '[liter/kWh/kg per uur']]]*N$1281</f>
        <v>1.064494422634441E-2</v>
      </c>
      <c r="O1175" s="52">
        <f>Database_Overig_Materieel[[#This Row],[Milieu Kosten Indicator (euro) - Euro]]*O$1281</f>
        <v>1.5774613876258833E-2</v>
      </c>
      <c r="P1175" s="52">
        <f>Database_Overig_Materieel[[#This Row],[Capaciteit '[m3/uur']]]*P$1281</f>
        <v>4.4942279999999994E-2</v>
      </c>
      <c r="Q1175" s="52">
        <f>Database_Overig_Materieel[[#This Row],[Stookwaarde '[MJ/liter']]]*Q$1281</f>
        <v>24.427835417000001</v>
      </c>
      <c r="R1175" s="52">
        <f>Database_Overig_Materieel[[#This Row],[001. abiotic depletion, non fuel (AD)]]*R$1281</f>
        <v>4.3498301685306756E-7</v>
      </c>
      <c r="S1175" s="52">
        <f>Database_Overig_Materieel[[#This Row],[002. abiotic depletion, fuel (AD)]]*S$1281</f>
        <v>9.6361096051777171</v>
      </c>
      <c r="T1175" s="52">
        <f>Database_Overig_Materieel[[#This Row],[004. global warming (GWP)]]*T$1281</f>
        <v>0.1568839692999176</v>
      </c>
      <c r="U1175" s="52"/>
      <c r="V1175" s="52"/>
      <c r="W1175" s="52"/>
      <c r="X1175" s="52"/>
      <c r="Y1175" s="52"/>
      <c r="Z1175" s="52"/>
      <c r="AA1175" s="52"/>
      <c r="AB1175" s="52"/>
      <c r="AC1175" s="52"/>
      <c r="AD1175" s="52"/>
      <c r="AE1175" s="52"/>
      <c r="AF1175" s="52"/>
      <c r="AG1175" s="52"/>
      <c r="AH1175" s="52"/>
      <c r="AI1175" s="52"/>
      <c r="AJ1175" s="52"/>
      <c r="AK1175" s="52"/>
      <c r="AL1175" s="52"/>
      <c r="AM1175" s="52"/>
      <c r="AN1175" s="52"/>
      <c r="AO1175" s="52"/>
      <c r="AP1175" s="52">
        <f>Database_Overig_Materieel[[#This Row],[005. ozone layer depletion (ODP)]]*AP$1281</f>
        <v>3.3598875602558788E-7</v>
      </c>
      <c r="AQ1175" s="52"/>
      <c r="AR1175" s="52"/>
      <c r="AS1175" s="52">
        <f>Database_Overig_Materieel[[#This Row],[006. photochemical oxidation (POCP)]]*AS$1281</f>
        <v>0.67719177377739781</v>
      </c>
      <c r="AT1175" s="52"/>
      <c r="AU1175" s="52"/>
      <c r="AV1175" s="52"/>
      <c r="AW1175" s="52">
        <f>Database_Overig_Materieel[[#This Row],[008. eutrophication (EP)]]*AW$1281</f>
        <v>1.2930563595971999E-4</v>
      </c>
      <c r="AX1175" s="52">
        <f>Database_Overig_Materieel[[#This Row],[009. human toxicity (HT)]]*AX$1281</f>
        <v>2.4026144091402854E-3</v>
      </c>
      <c r="AY1175" s="52">
        <f>Database_Overig_Materieel[[#This Row],[010. Ecotoxicity, fresh water (FAETP)]]*AY$1281</f>
        <v>4.7065110225539887E-8</v>
      </c>
      <c r="AZ1175" s="52">
        <f>Database_Overig_Materieel[[#This Row],[012. Ecotoxcity, marine water (MAETP)]]*AZ$1281</f>
        <v>0</v>
      </c>
      <c r="BA1175" s="52"/>
      <c r="BB1175" s="52"/>
      <c r="BC1175" s="52"/>
      <c r="BD1175" s="52"/>
      <c r="BE1175" s="52"/>
      <c r="BG1175" s="41" t="s">
        <v>271</v>
      </c>
    </row>
    <row r="1176" spans="1:59" x14ac:dyDescent="0.35">
      <c r="A1176" s="41" t="s">
        <v>151</v>
      </c>
      <c r="B1176" s="41" t="s">
        <v>132</v>
      </c>
      <c r="C1176" s="41" t="s">
        <v>451</v>
      </c>
      <c r="D1176" s="41" t="s">
        <v>452</v>
      </c>
      <c r="E1176" s="41" t="s">
        <v>65</v>
      </c>
      <c r="F1176" s="49">
        <f>$F$1164*($I$1164/Database_Overig_Materieel[[#This Row],[Stookwaarde '[MJ/liter']]])</f>
        <v>13.794810495626821</v>
      </c>
      <c r="G1176" s="53">
        <f>Database_Overig_Materieel[[#This Row],[Verbruik '[liter/kWh/kg per uur']]]*G$1282</f>
        <v>2.9442305367631825</v>
      </c>
      <c r="H1176" s="41">
        <v>60</v>
      </c>
      <c r="I1176" s="45">
        <v>34.299999999999997</v>
      </c>
      <c r="J1176" s="52">
        <f>Database_Overig_Materieel[[#This Row],[Verbruik '[liter/kWh/kg per uur']]]*J$1282</f>
        <v>5.3504138144023322E-5</v>
      </c>
      <c r="K1176" s="52">
        <f>Database_Overig_Materieel[[#This Row],[Verbruik '[liter/kWh/kg per uur']]]*K$1282</f>
        <v>0.11646904701696793</v>
      </c>
      <c r="L1176" s="52">
        <f>Database_Overig_Materieel[[#This Row],[Verbruik '[liter/kWh/kg per uur']]]*L$1282</f>
        <v>19.859297501043731</v>
      </c>
      <c r="M1176" s="52">
        <f>Database_Overig_Materieel[[#This Row],[Verbruik '[liter/kWh/kg per uur']]]*M$1282</f>
        <v>1.8993660727113702E-6</v>
      </c>
      <c r="N1176" s="52">
        <f>Database_Overig_Materieel[[#This Row],[Verbruik '[liter/kWh/kg per uur']]]*N$1282</f>
        <v>1.6187603144956268E-2</v>
      </c>
      <c r="O1176" s="52">
        <f>Database_Overig_Materieel[[#This Row],[Milieu Kosten Indicator (euro) - Euro]]*O$1282</f>
        <v>2.6485187933809228E-2</v>
      </c>
      <c r="P1176" s="52">
        <f>Database_Overig_Materieel[[#This Row],[Capaciteit '[m3/uur']]]*P$1282</f>
        <v>0.26767283999999997</v>
      </c>
      <c r="Q1176" s="52">
        <f>Database_Overig_Materieel[[#This Row],[Stookwaarde '[MJ/liter']]]*Q$1282</f>
        <v>27.422117695000001</v>
      </c>
      <c r="R1176" s="52">
        <f>Database_Overig_Materieel[[#This Row],[001. abiotic depletion, non fuel (AD)]]*R$1282</f>
        <v>3.0458475144738505E-5</v>
      </c>
      <c r="S1176" s="52">
        <f>Database_Overig_Materieel[[#This Row],[002. abiotic depletion, fuel (AD)]]*S$1282</f>
        <v>5.582225387676357</v>
      </c>
      <c r="T1176" s="52">
        <f>Database_Overig_Materieel[[#This Row],[004. global warming (GWP)]]*T$1282</f>
        <v>4.8531966541583911</v>
      </c>
      <c r="U1176" s="52"/>
      <c r="V1176" s="52"/>
      <c r="W1176" s="52"/>
      <c r="X1176" s="52"/>
      <c r="Y1176" s="52"/>
      <c r="Z1176" s="52"/>
      <c r="AA1176" s="52"/>
      <c r="AB1176" s="52"/>
      <c r="AC1176" s="52"/>
      <c r="AD1176" s="52"/>
      <c r="AE1176" s="52"/>
      <c r="AF1176" s="52"/>
      <c r="AG1176" s="52"/>
      <c r="AH1176" s="52"/>
      <c r="AI1176" s="52"/>
      <c r="AJ1176" s="52"/>
      <c r="AK1176" s="52"/>
      <c r="AL1176" s="52"/>
      <c r="AM1176" s="52"/>
      <c r="AN1176" s="52"/>
      <c r="AO1176" s="52"/>
      <c r="AP1176" s="52">
        <f>Database_Overig_Materieel[[#This Row],[005. ozone layer depletion (ODP)]]*AP$1282</f>
        <v>1.4916296327239386E-5</v>
      </c>
      <c r="AQ1176" s="52"/>
      <c r="AR1176" s="52"/>
      <c r="AS1176" s="52">
        <f>Database_Overig_Materieel[[#This Row],[006. photochemical oxidation (POCP)]]*AS$1282</f>
        <v>0.28878824842749345</v>
      </c>
      <c r="AT1176" s="52"/>
      <c r="AU1176" s="52"/>
      <c r="AV1176" s="52"/>
      <c r="AW1176" s="52">
        <f>Database_Overig_Materieel[[#This Row],[008. eutrophication (EP)]]*AW$1282</f>
        <v>1.6396386807872997E-2</v>
      </c>
      <c r="AX1176" s="52">
        <f>Database_Overig_Materieel[[#This Row],[009. human toxicity (HT)]]*AX$1282</f>
        <v>2.8382166035501948E-3</v>
      </c>
      <c r="AY1176" s="52">
        <f>Database_Overig_Materieel[[#This Row],[010. Ecotoxicity, fresh water (FAETP)]]*AY$1282</f>
        <v>8.6101811543332831E-6</v>
      </c>
      <c r="AZ1176" s="52">
        <f>Database_Overig_Materieel[[#This Row],[012. Ecotoxcity, marine water (MAETP)]]*AZ$1282</f>
        <v>0</v>
      </c>
      <c r="BA1176" s="52"/>
      <c r="BB1176" s="52"/>
      <c r="BC1176" s="52"/>
      <c r="BD1176" s="52"/>
      <c r="BE1176" s="52"/>
      <c r="BG1176" s="41" t="s">
        <v>271</v>
      </c>
    </row>
    <row r="1177" spans="1:59" x14ac:dyDescent="0.35">
      <c r="A1177" s="41" t="s">
        <v>152</v>
      </c>
      <c r="B1177" s="41" t="s">
        <v>132</v>
      </c>
      <c r="C1177" s="41" t="s">
        <v>451</v>
      </c>
      <c r="D1177" s="41" t="s">
        <v>452</v>
      </c>
      <c r="E1177" s="41" t="s">
        <v>65</v>
      </c>
      <c r="F1177" s="49">
        <f>$F$1164*($I$1164/Database_Overig_Materieel[[#This Row],[Stookwaarde '[MJ/liter']]])</f>
        <v>13.714840579710144</v>
      </c>
      <c r="G1177" s="53">
        <f>Database_Overig_Materieel[[#This Row],[Verbruik '[liter/kWh/kg per uur']]]*G$1283</f>
        <v>3.8779351937161803</v>
      </c>
      <c r="H1177" s="41">
        <v>60</v>
      </c>
      <c r="I1177" s="45">
        <v>34.5</v>
      </c>
      <c r="J1177" s="52">
        <f>Database_Overig_Materieel[[#This Row],[Verbruik '[liter/kWh/kg per uur']]]*J$1283</f>
        <v>3.0717539891594197E-5</v>
      </c>
      <c r="K1177" s="52">
        <f>Database_Overig_Materieel[[#This Row],[Verbruik '[liter/kWh/kg per uur']]]*K$1283</f>
        <v>7.5886544450434787E-2</v>
      </c>
      <c r="L1177" s="52">
        <f>Database_Overig_Materieel[[#This Row],[Verbruik '[liter/kWh/kg per uur']]]*L$1283</f>
        <v>18.934464780185507</v>
      </c>
      <c r="M1177" s="52">
        <f>Database_Overig_Materieel[[#This Row],[Verbruik '[liter/kWh/kg per uur']]]*M$1283</f>
        <v>1.1893934910782608E-6</v>
      </c>
      <c r="N1177" s="52">
        <f>Database_Overig_Materieel[[#This Row],[Verbruik '[liter/kWh/kg per uur']]]*N$1283</f>
        <v>1.3758453772753622E-2</v>
      </c>
      <c r="O1177" s="52">
        <f>Database_Overig_Materieel[[#This Row],[Milieu Kosten Indicator (euro) - Euro]]*O$1283</f>
        <v>1.9245199615003809E-2</v>
      </c>
      <c r="P1177" s="52">
        <f>Database_Overig_Materieel[[#This Row],[Capaciteit '[m3/uur']]]*P$1283</f>
        <v>0.13089858000000001</v>
      </c>
      <c r="Q1177" s="52">
        <f>Database_Overig_Materieel[[#This Row],[Stookwaarde '[MJ/liter']]]*Q$1283</f>
        <v>26.782862669999997</v>
      </c>
      <c r="R1177" s="52">
        <f>Database_Overig_Materieel[[#This Row],[001. abiotic depletion, non fuel (AD)]]*R$1283</f>
        <v>1.5654071479667945E-5</v>
      </c>
      <c r="S1177" s="52">
        <f>Database_Overig_Materieel[[#This Row],[002. abiotic depletion, fuel (AD)]]*S$1283</f>
        <v>2.5568601400446673</v>
      </c>
      <c r="T1177" s="52">
        <f>Database_Overig_Materieel[[#This Row],[004. global warming (GWP)]]*T$1283</f>
        <v>4.2585928869126297</v>
      </c>
      <c r="U1177" s="52"/>
      <c r="V1177" s="52"/>
      <c r="W1177" s="52"/>
      <c r="X1177" s="52"/>
      <c r="Y1177" s="52"/>
      <c r="Z1177" s="52"/>
      <c r="AA1177" s="52"/>
      <c r="AB1177" s="52"/>
      <c r="AC1177" s="52"/>
      <c r="AD1177" s="52"/>
      <c r="AE1177" s="52"/>
      <c r="AF1177" s="52"/>
      <c r="AG1177" s="52"/>
      <c r="AH1177" s="52"/>
      <c r="AI1177" s="52"/>
      <c r="AJ1177" s="52"/>
      <c r="AK1177" s="52"/>
      <c r="AL1177" s="52"/>
      <c r="AM1177" s="52"/>
      <c r="AN1177" s="52"/>
      <c r="AO1177" s="52"/>
      <c r="AP1177" s="52">
        <f>Database_Overig_Materieel[[#This Row],[005. ozone layer depletion (ODP)]]*AP$1283</f>
        <v>2.9423017553581004E-6</v>
      </c>
      <c r="AQ1177" s="52"/>
      <c r="AR1177" s="52"/>
      <c r="AS1177" s="52">
        <f>Database_Overig_Materieel[[#This Row],[006. photochemical oxidation (POCP)]]*AS$1283</f>
        <v>0.15978216563387521</v>
      </c>
      <c r="AT1177" s="52"/>
      <c r="AU1177" s="52"/>
      <c r="AV1177" s="52"/>
      <c r="AW1177" s="52">
        <f>Database_Overig_Materieel[[#This Row],[008. eutrophication (EP)]]*AW$1283</f>
        <v>2.5490409313663203E-3</v>
      </c>
      <c r="AX1177" s="52">
        <f>Database_Overig_Materieel[[#This Row],[009. human toxicity (HT)]]*AX$1283</f>
        <v>1.694005350732432E-3</v>
      </c>
      <c r="AY1177" s="52">
        <f>Database_Overig_Materieel[[#This Row],[010. Ecotoxicity, fresh water (FAETP)]]*AY$1283</f>
        <v>3.8408515135676524E-6</v>
      </c>
      <c r="AZ1177" s="52">
        <f>Database_Overig_Materieel[[#This Row],[012. Ecotoxcity, marine water (MAETP)]]*AZ$1283</f>
        <v>0</v>
      </c>
      <c r="BA1177" s="52"/>
      <c r="BB1177" s="52"/>
      <c r="BC1177" s="52"/>
      <c r="BD1177" s="52"/>
      <c r="BE1177" s="52"/>
      <c r="BG1177" s="41" t="s">
        <v>271</v>
      </c>
    </row>
    <row r="1178" spans="1:59" x14ac:dyDescent="0.35">
      <c r="A1178" s="41" t="s">
        <v>178</v>
      </c>
      <c r="B1178" s="41" t="s">
        <v>132</v>
      </c>
      <c r="C1178" s="41" t="s">
        <v>451</v>
      </c>
      <c r="D1178" s="41" t="s">
        <v>452</v>
      </c>
      <c r="E1178" s="41" t="s">
        <v>65</v>
      </c>
      <c r="F1178" s="49">
        <f>$F$1164*($I$1164/Database_Overig_Materieel[[#This Row],[Stookwaarde '[MJ/liter']]])</f>
        <v>13.754709302325582</v>
      </c>
      <c r="G1178" s="54">
        <f>Database_Overig_Materieel[[#This Row],[Verbruik '[liter/kWh/kg per uur']]]*G$1284</f>
        <v>0.94765477179434388</v>
      </c>
      <c r="H1178" s="41">
        <v>60</v>
      </c>
      <c r="I1178" s="45">
        <v>34.4</v>
      </c>
      <c r="J1178" s="55">
        <f>Database_Overig_Materieel[[#This Row],[Verbruik '[liter/kWh/kg per uur']]]*J$1284</f>
        <v>1.8809417382899421E-5</v>
      </c>
      <c r="K1178" s="55">
        <f>Database_Overig_Materieel[[#This Row],[Verbruik '[liter/kWh/kg per uur']]]*K$1284</f>
        <v>5.1598140672162465E-2</v>
      </c>
      <c r="L1178" s="55">
        <f>Database_Overig_Materieel[[#This Row],[Verbruik '[liter/kWh/kg per uur']]]*L$1284</f>
        <v>5.4905396773956854</v>
      </c>
      <c r="M1178" s="55">
        <f>Database_Overig_Materieel[[#This Row],[Verbruik '[liter/kWh/kg per uur']]]*M$1284</f>
        <v>7.0844373015930232E-7</v>
      </c>
      <c r="N1178" s="55">
        <f>Database_Overig_Materieel[[#This Row],[Verbruik '[liter/kWh/kg per uur']]]*N$1284</f>
        <v>6.0600105152475306E-3</v>
      </c>
      <c r="O1178" s="55">
        <f>Database_Overig_Materieel[[#This Row],[Milieu Kosten Indicator (euro) - Euro]]*O$1284</f>
        <v>1.9342822068603783E-3</v>
      </c>
      <c r="P1178" s="55">
        <f>Database_Overig_Materieel[[#This Row],[Capaciteit '[m3/uur']]]*P$1284</f>
        <v>2.21993483754E-2</v>
      </c>
      <c r="Q1178" s="55">
        <f>Database_Overig_Materieel[[#This Row],[Stookwaarde '[MJ/liter']]]*Q$1284</f>
        <v>13.303514854504431</v>
      </c>
      <c r="R1178" s="55">
        <f>Database_Overig_Materieel[[#This Row],[001. abiotic depletion, non fuel (AD)]]*R$1284</f>
        <v>5.2582486265645292E-8</v>
      </c>
      <c r="S1178" s="55">
        <f>Database_Overig_Materieel[[#This Row],[002. abiotic depletion, fuel (AD)]]*S$1284</f>
        <v>0.49642780918560547</v>
      </c>
      <c r="T1178" s="55">
        <f>Database_Overig_Materieel[[#This Row],[004. global warming (GWP)]]*T$1284</f>
        <v>9.9541908009006582E-3</v>
      </c>
      <c r="U1178" s="55"/>
      <c r="V1178" s="55"/>
      <c r="W1178" s="55"/>
      <c r="X1178" s="55"/>
      <c r="Y1178" s="55"/>
      <c r="Z1178" s="55"/>
      <c r="AA1178" s="55"/>
      <c r="AB1178" s="55"/>
      <c r="AC1178" s="55"/>
      <c r="AD1178" s="55"/>
      <c r="AE1178" s="55"/>
      <c r="AF1178" s="55"/>
      <c r="AG1178" s="55"/>
      <c r="AH1178" s="55"/>
      <c r="AI1178" s="55"/>
      <c r="AJ1178" s="55"/>
      <c r="AK1178" s="55"/>
      <c r="AL1178" s="55"/>
      <c r="AM1178" s="55"/>
      <c r="AN1178" s="55"/>
      <c r="AO1178" s="55"/>
      <c r="AP1178" s="55">
        <f>Database_Overig_Materieel[[#This Row],[005. ozone layer depletion (ODP)]]*AP$1284</f>
        <v>1.8272456835445005E-7</v>
      </c>
      <c r="AQ1178" s="55"/>
      <c r="AR1178" s="55"/>
      <c r="AS1178" s="55">
        <f>Database_Overig_Materieel[[#This Row],[006. photochemical oxidation (POCP)]]*AS$1284</f>
        <v>4.7912839694771114E-2</v>
      </c>
      <c r="AT1178" s="55"/>
      <c r="AU1178" s="55"/>
      <c r="AV1178" s="55"/>
      <c r="AW1178" s="55">
        <f>Database_Overig_Materieel[[#This Row],[008. eutrophication (EP)]]*AW$1284</f>
        <v>4.4089447293068616E-5</v>
      </c>
      <c r="AX1178" s="55">
        <f>Database_Overig_Materieel[[#This Row],[009. human toxicity (HT)]]*AX$1284</f>
        <v>4.2654061714830749E-4</v>
      </c>
      <c r="AY1178" s="55">
        <f>Database_Overig_Materieel[[#This Row],[010. Ecotoxicity, fresh water (FAETP)]]*AY$1284</f>
        <v>3.9482741435974348E-9</v>
      </c>
      <c r="AZ1178" s="55">
        <f>Database_Overig_Materieel[[#This Row],[012. Ecotoxcity, marine water (MAETP)]]*AZ$1284</f>
        <v>9.5600646716574013E-6</v>
      </c>
      <c r="BA1178" s="55"/>
      <c r="BB1178" s="55"/>
      <c r="BC1178" s="55"/>
      <c r="BD1178" s="55"/>
      <c r="BE1178" s="55"/>
      <c r="BF1178" s="45"/>
      <c r="BG1178" s="41" t="s">
        <v>271</v>
      </c>
    </row>
    <row r="1179" spans="1:59" x14ac:dyDescent="0.35">
      <c r="A1179" s="41" t="s">
        <v>290</v>
      </c>
      <c r="B1179" s="41" t="s">
        <v>132</v>
      </c>
      <c r="C1179" s="41" t="s">
        <v>451</v>
      </c>
      <c r="D1179" s="41" t="s">
        <v>452</v>
      </c>
      <c r="E1179" s="41" t="s">
        <v>65</v>
      </c>
      <c r="F1179" s="45">
        <f>F1164*3.1</f>
        <v>40.857999999999997</v>
      </c>
      <c r="G1179" s="54">
        <f>Database_Overig_Materieel[[#This Row],[Verbruik '[liter/kWh/kg per uur']]]*G$1285</f>
        <v>2.6556041982359999</v>
      </c>
      <c r="H1179" s="41">
        <v>60</v>
      </c>
      <c r="I1179" s="45">
        <v>3.6</v>
      </c>
      <c r="J1179" s="55">
        <f>Database_Overig_Materieel[[#This Row],[Verbruik '[liter/kWh/kg per uur']]]*J$1285</f>
        <v>7.3135820000000005E-4</v>
      </c>
      <c r="K1179" s="55">
        <f>Database_Overig_Materieel[[#This Row],[Verbruik '[liter/kWh/kg per uur']]]*K$1285</f>
        <v>6.4147059999999992E-2</v>
      </c>
      <c r="L1179" s="55">
        <f>Database_Overig_Materieel[[#This Row],[Verbruik '[liter/kWh/kg per uur']]]*L$1285</f>
        <v>9.1930499999999995</v>
      </c>
      <c r="M1179" s="55">
        <f>Database_Overig_Materieel[[#This Row],[Verbruik '[liter/kWh/kg per uur']]]*M$1285</f>
        <v>9.233908E-7</v>
      </c>
      <c r="N1179" s="55">
        <f>Database_Overig_Materieel[[#This Row],[Verbruik '[liter/kWh/kg per uur']]]*N$1285</f>
        <v>1.1971394E-2</v>
      </c>
      <c r="O1179" s="55">
        <f>Database_Overig_Materieel[[#This Row],[Verbruik '[liter/kWh/kg per uur']]]*O$1285</f>
        <v>8.7844699999999998E-2</v>
      </c>
      <c r="P1179" s="55">
        <f>Database_Overig_Materieel[[#This Row],[Verbruik '[liter/kWh/kg per uur']]]*P$1285</f>
        <v>1.2420832E-2</v>
      </c>
      <c r="Q1179" s="55">
        <f>Database_Overig_Materieel[[#This Row],[Verbruik '[liter/kWh/kg per uur']]]*Q$1285</f>
        <v>17.364649999999997</v>
      </c>
      <c r="R1179" s="55">
        <f>Database_Overig_Materieel[[#This Row],[Verbruik '[liter/kWh/kg per uur']]]*R$1285</f>
        <v>0.28764032</v>
      </c>
      <c r="S1179" s="55">
        <f>Database_Overig_Materieel[[#This Row],[Verbruik '[liter/kWh/kg per uur']]]*S$1285</f>
        <v>943.81979999999999</v>
      </c>
      <c r="T1179" s="55">
        <f>Database_Overig_Materieel[[#This Row],[Verbruik '[liter/kWh/kg per uur']]]*T$1285</f>
        <v>0.54341139999999988</v>
      </c>
      <c r="U1179" s="55"/>
      <c r="V1179" s="55"/>
      <c r="W1179" s="55"/>
      <c r="X1179" s="55"/>
      <c r="Y1179" s="55"/>
      <c r="Z1179" s="55"/>
      <c r="AA1179" s="55"/>
      <c r="AB1179" s="55"/>
      <c r="AC1179" s="55"/>
      <c r="AD1179" s="55"/>
      <c r="AE1179" s="55"/>
      <c r="AF1179" s="55"/>
      <c r="AG1179" s="55"/>
      <c r="AH1179" s="55"/>
      <c r="AI1179" s="55"/>
      <c r="AJ1179" s="55"/>
      <c r="AK1179" s="55"/>
      <c r="AL1179" s="55"/>
      <c r="AM1179" s="55"/>
      <c r="AN1179" s="55"/>
      <c r="AO1179" s="55"/>
      <c r="AP1179" s="55">
        <f>Database_Overig_Materieel[[#This Row],[Verbruik '[liter/kWh/kg per uur']]]*AP$1285</f>
        <v>355.46459999999996</v>
      </c>
      <c r="AQ1179" s="55"/>
      <c r="AR1179" s="55"/>
      <c r="AS1179" s="55">
        <f>Database_Overig_Materieel[[#This Row],[Verbruik '[liter/kWh/kg per uur']]]*AS$1285</f>
        <v>125.43405999999999</v>
      </c>
      <c r="AT1179" s="55"/>
      <c r="AU1179" s="55"/>
      <c r="AV1179" s="55"/>
      <c r="AW1179" s="55">
        <f>Database_Overig_Materieel[[#This Row],[Verbruik '[liter/kWh/kg per uur']]]*AW$1285</f>
        <v>355.46459999999996</v>
      </c>
      <c r="AX1179" s="55">
        <f>Database_Overig_Materieel[[#This Row],[Verbruik '[liter/kWh/kg per uur']]]*AX$1285</f>
        <v>1.6751779999999998E-3</v>
      </c>
      <c r="AY1179" s="55">
        <f>Database_Overig_Materieel[[#This Row],[Verbruik '[liter/kWh/kg per uur']]]*AY$1285</f>
        <v>3.1092937999999997</v>
      </c>
      <c r="AZ1179" s="55">
        <f>Database_Overig_Materieel[[#This Row],[Verbruik '[liter/kWh/kg per uur']]]*AZ$1285</f>
        <v>3.6853915999999999E-4</v>
      </c>
      <c r="BA1179" s="55"/>
      <c r="BB1179" s="55"/>
      <c r="BC1179" s="55"/>
      <c r="BD1179" s="55"/>
      <c r="BE1179" s="55"/>
      <c r="BF1179" s="45" t="s">
        <v>277</v>
      </c>
      <c r="BG1179" s="45" t="s">
        <v>276</v>
      </c>
    </row>
    <row r="1180" spans="1:59" x14ac:dyDescent="0.35">
      <c r="A1180" s="41" t="s">
        <v>291</v>
      </c>
      <c r="B1180" s="41" t="s">
        <v>132</v>
      </c>
      <c r="C1180" s="41" t="s">
        <v>451</v>
      </c>
      <c r="D1180" s="41" t="s">
        <v>452</v>
      </c>
      <c r="E1180" s="41" t="s">
        <v>65</v>
      </c>
      <c r="F1180" s="45">
        <f>F1164*3.1</f>
        <v>40.857999999999997</v>
      </c>
      <c r="G1180" s="54">
        <f>Database_Overig_Materieel[[#This Row],[Verbruik '[liter/kWh/kg per uur']]]*G$1286</f>
        <v>3.4072430428379996</v>
      </c>
      <c r="H1180" s="41">
        <v>60</v>
      </c>
      <c r="I1180" s="45">
        <v>3.6</v>
      </c>
      <c r="J1180" s="55">
        <f>Database_Overig_Materieel[[#This Row],[Verbruik '[liter/kWh/kg per uur']]]*J$1286</f>
        <v>5.7609779999999997E-4</v>
      </c>
      <c r="K1180" s="55">
        <f>Database_Overig_Materieel[[#This Row],[Verbruik '[liter/kWh/kg per uur']]]*K$1286</f>
        <v>0.23820213999999998</v>
      </c>
      <c r="L1180" s="55">
        <f>Database_Overig_Materieel[[#This Row],[Verbruik '[liter/kWh/kg per uur']]]*L$1286</f>
        <v>28.314593999999996</v>
      </c>
      <c r="M1180" s="55">
        <f>Database_Overig_Materieel[[#This Row],[Verbruik '[liter/kWh/kg per uur']]]*M$1286</f>
        <v>1.9816129999999999E-6</v>
      </c>
      <c r="N1180" s="55">
        <f>Database_Overig_Materieel[[#This Row],[Verbruik '[liter/kWh/kg per uur']]]*N$1286</f>
        <v>1.0704796000000001E-2</v>
      </c>
      <c r="O1180" s="55">
        <f>Database_Overig_Materieel[[#This Row],[Verbruik '[liter/kWh/kg per uur']]]*O$1286</f>
        <v>8.4984639999999986E-2</v>
      </c>
      <c r="P1180" s="55">
        <f>Database_Overig_Materieel[[#This Row],[Verbruik '[liter/kWh/kg per uur']]]*P$1286</f>
        <v>1.0173641999999998E-2</v>
      </c>
      <c r="Q1180" s="55">
        <f>Database_Overig_Materieel[[#This Row],[Verbruik '[liter/kWh/kg per uur']]]*Q$1286</f>
        <v>15.240034</v>
      </c>
      <c r="R1180" s="55">
        <f>Database_Overig_Materieel[[#This Row],[Verbruik '[liter/kWh/kg per uur']]]*R$1286</f>
        <v>0.24351367999999998</v>
      </c>
      <c r="S1180" s="55">
        <f>Database_Overig_Materieel[[#This Row],[Verbruik '[liter/kWh/kg per uur']]]*S$1286</f>
        <v>890.70439999999996</v>
      </c>
      <c r="T1180" s="55">
        <f>Database_Overig_Materieel[[#This Row],[Verbruik '[liter/kWh/kg per uur']]]*T$1286</f>
        <v>0.53932559999999996</v>
      </c>
      <c r="U1180" s="55"/>
      <c r="V1180" s="55"/>
      <c r="W1180" s="55"/>
      <c r="X1180" s="55"/>
      <c r="Y1180" s="55"/>
      <c r="Z1180" s="55"/>
      <c r="AA1180" s="55"/>
      <c r="AB1180" s="55"/>
      <c r="AC1180" s="55"/>
      <c r="AD1180" s="55"/>
      <c r="AE1180" s="55"/>
      <c r="AF1180" s="55"/>
      <c r="AG1180" s="55"/>
      <c r="AH1180" s="55"/>
      <c r="AI1180" s="55"/>
      <c r="AJ1180" s="55"/>
      <c r="AK1180" s="55"/>
      <c r="AL1180" s="55"/>
      <c r="AM1180" s="55"/>
      <c r="AN1180" s="55"/>
      <c r="AO1180" s="55"/>
      <c r="AP1180" s="55">
        <f>Database_Overig_Materieel[[#This Row],[Verbruik '[liter/kWh/kg per uur']]]*AP$1286</f>
        <v>9.7650619999999986</v>
      </c>
      <c r="AQ1180" s="55"/>
      <c r="AR1180" s="55"/>
      <c r="AS1180" s="55">
        <f>Database_Overig_Materieel[[#This Row],[Verbruik '[liter/kWh/kg per uur']]]*AS$1286</f>
        <v>445.35219999999998</v>
      </c>
      <c r="AT1180" s="55"/>
      <c r="AU1180" s="55"/>
      <c r="AV1180" s="55"/>
      <c r="AW1180" s="55">
        <f>Database_Overig_Materieel[[#This Row],[Verbruik '[liter/kWh/kg per uur']]]*AW$1286</f>
        <v>9.7650619999999986</v>
      </c>
      <c r="AX1180" s="55">
        <f>Database_Overig_Materieel[[#This Row],[Verbruik '[liter/kWh/kg per uur']]]*AX$1286</f>
        <v>1.3156275999999998E-3</v>
      </c>
      <c r="AY1180" s="55">
        <f>Database_Overig_Materieel[[#This Row],[Verbruik '[liter/kWh/kg per uur']]]*AY$1286</f>
        <v>2.3166485999999997</v>
      </c>
      <c r="AZ1180" s="55">
        <f>Database_Overig_Materieel[[#This Row],[Verbruik '[liter/kWh/kg per uur']]]*AZ$1286</f>
        <v>3.7834507999999993E-4</v>
      </c>
      <c r="BA1180" s="55"/>
      <c r="BB1180" s="55"/>
      <c r="BC1180" s="55"/>
      <c r="BD1180" s="55"/>
      <c r="BE1180" s="55"/>
      <c r="BF1180" s="45" t="s">
        <v>277</v>
      </c>
      <c r="BG1180" s="45" t="s">
        <v>276</v>
      </c>
    </row>
    <row r="1181" spans="1:59" ht="15.5" x14ac:dyDescent="0.45">
      <c r="A1181" s="41" t="s">
        <v>221</v>
      </c>
      <c r="B1181" s="41" t="s">
        <v>132</v>
      </c>
      <c r="C1181" s="41" t="s">
        <v>451</v>
      </c>
      <c r="D1181" s="41" t="s">
        <v>453</v>
      </c>
      <c r="E1181" s="41" t="s">
        <v>65</v>
      </c>
      <c r="F1181" s="41">
        <v>15.94</v>
      </c>
      <c r="G1181" s="53">
        <f>Database_Overig_Materieel[[#This Row],[Verbruik '[liter/kWh/kg per uur']]]*G$1270</f>
        <v>5.0800698780891311</v>
      </c>
      <c r="H1181" s="41">
        <v>40</v>
      </c>
      <c r="I1181" s="46">
        <v>35.9</v>
      </c>
      <c r="J1181" s="52">
        <f>Database_Overig_Materieel[[#This Row],[Verbruik '[liter/kWh/kg per uur']]]*J$1270</f>
        <v>2.5663399999999999E-5</v>
      </c>
      <c r="K1181" s="52">
        <f>Database_Overig_Materieel[[#This Row],[Verbruik '[liter/kWh/kg per uur']]]*K$1270</f>
        <v>0.37458536145999999</v>
      </c>
      <c r="L1181" s="52">
        <f>Database_Overig_Materieel[[#This Row],[Verbruik '[liter/kWh/kg per uur']]]*L$1270</f>
        <v>54.824353205999998</v>
      </c>
      <c r="M1181" s="52">
        <f>Database_Overig_Materieel[[#This Row],[Verbruik '[liter/kWh/kg per uur']]]*M$1270</f>
        <v>9.5480599999999999E-6</v>
      </c>
      <c r="N1181" s="52">
        <f>Database_Overig_Materieel[[#This Row],[Verbruik '[liter/kWh/kg per uur']]]*N$1270</f>
        <v>1.8050551640000002E-2</v>
      </c>
      <c r="O1181" s="52">
        <f>Database_Overig_Materieel[[#This Row],[Verbruik '[liter/kWh/kg per uur']]]*O$1270</f>
        <v>0.16079299659999999</v>
      </c>
      <c r="P1181" s="52">
        <f>Database_Overig_Materieel[[#This Row],[Verbruik '[liter/kWh/kg per uur']]]*P$1270</f>
        <v>3.0764630379999998E-2</v>
      </c>
      <c r="Q1181" s="52">
        <f>Database_Overig_Materieel[[#This Row],[Verbruik '[liter/kWh/kg per uur']]]*Q$1270</f>
        <v>13.5730408674</v>
      </c>
      <c r="R1181" s="52">
        <f>Database_Overig_Materieel[[#This Row],[Verbruik '[liter/kWh/kg per uur']]]*R$1270</f>
        <v>0.26879666631999999</v>
      </c>
      <c r="S1181" s="52">
        <f>Database_Overig_Materieel[[#This Row],[Verbruik '[liter/kWh/kg per uur']]]*S$1270</f>
        <v>899.38757733999989</v>
      </c>
      <c r="T1181" s="52">
        <f>Database_Overig_Materieel[[#This Row],[Verbruik '[liter/kWh/kg per uur']]]*T$1270</f>
        <v>4.8281335479999993E-2</v>
      </c>
      <c r="U1181" s="52"/>
      <c r="V1181" s="52"/>
      <c r="W1181" s="52"/>
      <c r="X1181" s="52"/>
      <c r="Y1181" s="52"/>
      <c r="Z1181" s="52"/>
      <c r="AA1181" s="52"/>
      <c r="AB1181" s="52"/>
      <c r="AC1181" s="52"/>
      <c r="AD1181" s="52"/>
      <c r="AE1181" s="52"/>
      <c r="AF1181" s="52"/>
      <c r="AG1181" s="52"/>
      <c r="AH1181" s="52"/>
      <c r="AI1181" s="52"/>
      <c r="AJ1181" s="52"/>
      <c r="AK1181" s="52"/>
      <c r="AL1181" s="52"/>
      <c r="AM1181" s="52"/>
      <c r="AN1181" s="52"/>
      <c r="AO1181" s="52"/>
      <c r="AP1181" s="52">
        <f>Database_Overig_Materieel[[#This Row],[Verbruik '[liter/kWh/kg per uur']]]*AP$1270</f>
        <v>6.0972309189999994</v>
      </c>
      <c r="AQ1181" s="52"/>
      <c r="AR1181" s="52"/>
      <c r="AS1181" s="52">
        <f>Database_Overig_Materieel[[#This Row],[Verbruik '[liter/kWh/kg per uur']]]*AS$1270</f>
        <v>836.10537883999996</v>
      </c>
      <c r="AT1181" s="52"/>
      <c r="AU1181" s="52"/>
      <c r="AV1181" s="52"/>
      <c r="AW1181" s="52">
        <f>Database_Overig_Materieel[[#This Row],[Verbruik '[liter/kWh/kg per uur']]]*AW$1270</f>
        <v>7.8990080219999995E-2</v>
      </c>
      <c r="AX1181" s="52">
        <f>Database_Overig_Materieel[[#This Row],[Verbruik '[liter/kWh/kg per uur']]]*AX$1270</f>
        <v>5.7718899399999994E-3</v>
      </c>
      <c r="AY1181" s="52">
        <f>Database_Overig_Materieel[[#This Row],[Verbruik '[liter/kWh/kg per uur']]]*AY$1270</f>
        <v>1.4026308794600002</v>
      </c>
      <c r="AZ1181" s="52">
        <f>Database_Overig_Materieel[[#This Row],[Verbruik '[liter/kWh/kg per uur']]]*AZ$1270</f>
        <v>0</v>
      </c>
      <c r="BA1181" s="52"/>
      <c r="BB1181" s="52"/>
      <c r="BC1181" s="52"/>
      <c r="BD1181" s="52"/>
      <c r="BE1181" s="52"/>
      <c r="BG1181" s="41" t="s">
        <v>271</v>
      </c>
    </row>
    <row r="1182" spans="1:59" x14ac:dyDescent="0.35">
      <c r="A1182" s="41" t="s">
        <v>222</v>
      </c>
      <c r="B1182" s="41" t="s">
        <v>132</v>
      </c>
      <c r="C1182" s="41" t="s">
        <v>451</v>
      </c>
      <c r="D1182" s="41" t="s">
        <v>453</v>
      </c>
      <c r="E1182" s="41" t="s">
        <v>65</v>
      </c>
      <c r="F1182" s="49">
        <f>$F$1181*($I$1181/Database_Overig_Materieel[[#This Row],[Stookwaarde '[MJ/liter']]])</f>
        <v>17.288398791540786</v>
      </c>
      <c r="G1182" s="53">
        <f>Database_Overig_Materieel[[#This Row],[Verbruik '[liter/kWh/kg per uur']]]*G$1271</f>
        <v>4.8538975890720026</v>
      </c>
      <c r="H1182" s="41">
        <v>40</v>
      </c>
      <c r="I1182" s="45">
        <v>33.1</v>
      </c>
      <c r="J1182" s="52">
        <f>Database_Overig_Materieel[[#This Row],[Verbruik '[liter/kWh/kg per uur']]]*J$1271</f>
        <v>8.6037618309969796E-5</v>
      </c>
      <c r="K1182" s="52">
        <f>Database_Overig_Materieel[[#This Row],[Verbruik '[liter/kWh/kg per uur']]]*K$1271</f>
        <v>0.51101045690356495</v>
      </c>
      <c r="L1182" s="52">
        <f>Database_Overig_Materieel[[#This Row],[Verbruik '[liter/kWh/kg per uur']]]*L$1271</f>
        <v>63.041591235752271</v>
      </c>
      <c r="M1182" s="52">
        <f>Database_Overig_Materieel[[#This Row],[Verbruik '[liter/kWh/kg per uur']]]*M$1271</f>
        <v>8.3843201851359513E-7</v>
      </c>
      <c r="N1182" s="52">
        <f>Database_Overig_Materieel[[#This Row],[Verbruik '[liter/kWh/kg per uur']]]*N$1271</f>
        <v>1.2667659292930513E-2</v>
      </c>
      <c r="O1182" s="52">
        <f>Database_Overig_Materieel[[#This Row],[Verbruik '[liter/kWh/kg per uur']]]*O$1271</f>
        <v>0.13004821103842901</v>
      </c>
      <c r="P1182" s="52">
        <f>Database_Overig_Materieel[[#This Row],[Verbruik '[liter/kWh/kg per uur']]]*P$1271</f>
        <v>2.7955461864712993E-2</v>
      </c>
      <c r="Q1182" s="52">
        <f>Database_Overig_Materieel[[#This Row],[Verbruik '[liter/kWh/kg per uur']]]*Q$1271</f>
        <v>12.517121424873112</v>
      </c>
      <c r="R1182" s="52">
        <f>Database_Overig_Materieel[[#This Row],[Verbruik '[liter/kWh/kg per uur']]]*R$1271</f>
        <v>9.9418354899456191E-2</v>
      </c>
      <c r="S1182" s="52">
        <f>Database_Overig_Materieel[[#This Row],[Verbruik '[liter/kWh/kg per uur']]]*S$1271</f>
        <v>375.36460810441093</v>
      </c>
      <c r="T1182" s="52">
        <f>Database_Overig_Materieel[[#This Row],[Verbruik '[liter/kWh/kg per uur']]]*T$1271</f>
        <v>5.0933870331722052E-2</v>
      </c>
      <c r="U1182" s="52"/>
      <c r="V1182" s="52"/>
      <c r="W1182" s="52"/>
      <c r="X1182" s="52"/>
      <c r="Y1182" s="52"/>
      <c r="Z1182" s="52"/>
      <c r="AA1182" s="52"/>
      <c r="AB1182" s="52"/>
      <c r="AC1182" s="52"/>
      <c r="AD1182" s="52"/>
      <c r="AE1182" s="52"/>
      <c r="AF1182" s="52"/>
      <c r="AG1182" s="52"/>
      <c r="AH1182" s="52"/>
      <c r="AI1182" s="52"/>
      <c r="AJ1182" s="52"/>
      <c r="AK1182" s="52"/>
      <c r="AL1182" s="52"/>
      <c r="AM1182" s="52"/>
      <c r="AN1182" s="52"/>
      <c r="AO1182" s="52"/>
      <c r="AP1182" s="52">
        <f>Database_Overig_Materieel[[#This Row],[Verbruik '[liter/kWh/kg per uur']]]*AP$1271</f>
        <v>7.4515531541963744</v>
      </c>
      <c r="AQ1182" s="52"/>
      <c r="AR1182" s="52"/>
      <c r="AS1182" s="52">
        <f>Database_Overig_Materieel[[#This Row],[Verbruik '[liter/kWh/kg per uur']]]*AS$1271</f>
        <v>1089.8337763586103</v>
      </c>
      <c r="AT1182" s="52"/>
      <c r="AU1182" s="52"/>
      <c r="AV1182" s="52"/>
      <c r="AW1182" s="52">
        <f>Database_Overig_Materieel[[#This Row],[Verbruik '[liter/kWh/kg per uur']]]*AW$1271</f>
        <v>4.866971247238671E-2</v>
      </c>
      <c r="AX1182" s="52">
        <f>Database_Overig_Materieel[[#This Row],[Verbruik '[liter/kWh/kg per uur']]]*AX$1271</f>
        <v>1.6623072052447132E-3</v>
      </c>
      <c r="AY1182" s="52">
        <f>Database_Overig_Materieel[[#This Row],[Verbruik '[liter/kWh/kg per uur']]]*AY$1271</f>
        <v>1.8470844013407857</v>
      </c>
      <c r="AZ1182" s="52">
        <f>Database_Overig_Materieel[[#This Row],[Verbruik '[liter/kWh/kg per uur']]]*AZ$1271</f>
        <v>0</v>
      </c>
      <c r="BA1182" s="52"/>
      <c r="BB1182" s="52"/>
      <c r="BC1182" s="52"/>
      <c r="BD1182" s="52"/>
      <c r="BE1182" s="52"/>
      <c r="BF1182" s="45"/>
      <c r="BG1182" s="41" t="s">
        <v>271</v>
      </c>
    </row>
    <row r="1183" spans="1:59" x14ac:dyDescent="0.35">
      <c r="A1183" s="41" t="s">
        <v>223</v>
      </c>
      <c r="B1183" s="41" t="s">
        <v>132</v>
      </c>
      <c r="C1183" s="41" t="s">
        <v>451</v>
      </c>
      <c r="D1183" s="41" t="s">
        <v>453</v>
      </c>
      <c r="E1183" s="41" t="s">
        <v>65</v>
      </c>
      <c r="F1183" s="49">
        <f>$F$1181*($I$1181/Database_Overig_Materieel[[#This Row],[Stookwaarde '[MJ/liter']]])</f>
        <v>16.683556851311952</v>
      </c>
      <c r="G1183" s="53">
        <f>Database_Overig_Materieel[[#This Row],[Verbruik '[liter/kWh/kg per uur']]]*G$1272</f>
        <v>3.8643772448138964</v>
      </c>
      <c r="H1183" s="41">
        <v>40</v>
      </c>
      <c r="I1183" s="45">
        <v>34.299999999999997</v>
      </c>
      <c r="J1183" s="52">
        <f>Database_Overig_Materieel[[#This Row],[Verbruik '[liter/kWh/kg per uur']]]*J$1272</f>
        <v>6.249627029387755E-5</v>
      </c>
      <c r="K1183" s="52">
        <f>Database_Overig_Materieel[[#This Row],[Verbruik '[liter/kWh/kg per uur']]]*K$1272</f>
        <v>0.13665763348752186</v>
      </c>
      <c r="L1183" s="52">
        <f>Database_Overig_Materieel[[#This Row],[Verbruik '[liter/kWh/kg per uur']]]*L$1272</f>
        <v>23.557726158005831</v>
      </c>
      <c r="M1183" s="52">
        <f>Database_Overig_Materieel[[#This Row],[Verbruik '[liter/kWh/kg per uur']]]*M$1272</f>
        <v>2.2219995192419822E-6</v>
      </c>
      <c r="N1183" s="52">
        <f>Database_Overig_Materieel[[#This Row],[Verbruik '[liter/kWh/kg per uur']]]*N$1272</f>
        <v>1.9385175262915454E-2</v>
      </c>
      <c r="O1183" s="52">
        <f>Database_Overig_Materieel[[#This Row],[Verbruik '[liter/kWh/kg per uur']]]*O$1272</f>
        <v>0.21056488942676382</v>
      </c>
      <c r="P1183" s="52">
        <f>Database_Overig_Materieel[[#This Row],[Verbruik '[liter/kWh/kg per uur']]]*P$1272</f>
        <v>9.0387073194285711E-2</v>
      </c>
      <c r="Q1183" s="52">
        <f>Database_Overig_Materieel[[#This Row],[Verbruik '[liter/kWh/kg per uur']]]*Q$1272</f>
        <v>13.131122085895042</v>
      </c>
      <c r="R1183" s="52">
        <f>Database_Overig_Materieel[[#This Row],[Verbruik '[liter/kWh/kg per uur']]]*R$1272</f>
        <v>9.4942897109276974</v>
      </c>
      <c r="S1183" s="52">
        <f>Database_Overig_Materieel[[#This Row],[Verbruik '[liter/kWh/kg per uur']]]*S$1272</f>
        <v>785.22566744542269</v>
      </c>
      <c r="T1183" s="52">
        <f>Database_Overig_Materieel[[#This Row],[Verbruik '[liter/kWh/kg per uur']]]*T$1272</f>
        <v>4.0764654529521858</v>
      </c>
      <c r="U1183" s="52"/>
      <c r="V1183" s="52"/>
      <c r="W1183" s="52"/>
      <c r="X1183" s="52"/>
      <c r="Y1183" s="52"/>
      <c r="Z1183" s="52"/>
      <c r="AA1183" s="52"/>
      <c r="AB1183" s="52"/>
      <c r="AC1183" s="52"/>
      <c r="AD1183" s="52"/>
      <c r="AE1183" s="52"/>
      <c r="AF1183" s="52"/>
      <c r="AG1183" s="52"/>
      <c r="AH1183" s="52"/>
      <c r="AI1183" s="52"/>
      <c r="AJ1183" s="52"/>
      <c r="AK1183" s="52"/>
      <c r="AL1183" s="52"/>
      <c r="AM1183" s="52"/>
      <c r="AN1183" s="52"/>
      <c r="AO1183" s="52"/>
      <c r="AP1183" s="52">
        <f>Database_Overig_Materieel[[#This Row],[Verbruik '[liter/kWh/kg per uur']]]*AP$1272</f>
        <v>130.84221604545772</v>
      </c>
      <c r="AQ1183" s="52"/>
      <c r="AR1183" s="52"/>
      <c r="AS1183" s="52">
        <f>Database_Overig_Materieel[[#This Row],[Verbruik '[liter/kWh/kg per uur']]]*AS$1272</f>
        <v>288.33298735830897</v>
      </c>
      <c r="AT1183" s="52"/>
      <c r="AU1183" s="52"/>
      <c r="AV1183" s="52"/>
      <c r="AW1183" s="52">
        <f>Database_Overig_Materieel[[#This Row],[Verbruik '[liter/kWh/kg per uur']]]*AW$1272</f>
        <v>1.0209587868135859</v>
      </c>
      <c r="AX1183" s="52">
        <f>Database_Overig_Materieel[[#This Row],[Verbruik '[liter/kWh/kg per uur']]]*AX$1272</f>
        <v>1.6912955758017494E-3</v>
      </c>
      <c r="AY1183" s="52">
        <f>Database_Overig_Materieel[[#This Row],[Verbruik '[liter/kWh/kg per uur']]]*AY$1272</f>
        <v>4.6943046107865891</v>
      </c>
      <c r="AZ1183" s="52">
        <f>Database_Overig_Materieel[[#This Row],[Verbruik '[liter/kWh/kg per uur']]]*AZ$1272</f>
        <v>0</v>
      </c>
      <c r="BA1183" s="52"/>
      <c r="BB1183" s="52"/>
      <c r="BC1183" s="52"/>
      <c r="BD1183" s="52"/>
      <c r="BE1183" s="52"/>
      <c r="BF1183" s="45"/>
      <c r="BG1183" s="41" t="s">
        <v>271</v>
      </c>
    </row>
    <row r="1184" spans="1:59" x14ac:dyDescent="0.35">
      <c r="A1184" s="41" t="s">
        <v>224</v>
      </c>
      <c r="B1184" s="41" t="s">
        <v>132</v>
      </c>
      <c r="C1184" s="41" t="s">
        <v>451</v>
      </c>
      <c r="D1184" s="41" t="s">
        <v>453</v>
      </c>
      <c r="E1184" s="41" t="s">
        <v>65</v>
      </c>
      <c r="F1184" s="49">
        <f>$F$1181*($I$1181/Database_Overig_Materieel[[#This Row],[Stookwaarde '[MJ/liter']]])</f>
        <v>16.586840579710142</v>
      </c>
      <c r="G1184" s="53">
        <f>Database_Overig_Materieel[[#This Row],[Verbruik '[liter/kWh/kg per uur']]]*G$1273</f>
        <v>4.9900633595743802</v>
      </c>
      <c r="H1184" s="41">
        <v>40</v>
      </c>
      <c r="I1184" s="45">
        <v>34.5</v>
      </c>
      <c r="J1184" s="52">
        <f>Database_Overig_Materieel[[#This Row],[Verbruik '[liter/kWh/kg per uur']]]*J$1273</f>
        <v>3.4857743083478249E-5</v>
      </c>
      <c r="K1184" s="52">
        <f>Database_Overig_Materieel[[#This Row],[Verbruik '[liter/kWh/kg per uur']]]*K$1273</f>
        <v>8.7424526032927524E-2</v>
      </c>
      <c r="L1184" s="52">
        <f>Database_Overig_Materieel[[#This Row],[Verbruik '[liter/kWh/kg per uur']]]*L$1273</f>
        <v>22.42254059903188</v>
      </c>
      <c r="M1184" s="52">
        <f>Database_Overig_Materieel[[#This Row],[Verbruik '[liter/kWh/kg per uur']]]*M$1273</f>
        <v>1.3606301435420288E-6</v>
      </c>
      <c r="N1184" s="52">
        <f>Database_Overig_Materieel[[#This Row],[Verbruik '[liter/kWh/kg per uur']]]*N$1273</f>
        <v>1.6440378777391299E-2</v>
      </c>
      <c r="O1184" s="52">
        <f>Database_Overig_Materieel[[#This Row],[Verbruik '[liter/kWh/kg per uur']]]*O$1273</f>
        <v>0.13708773277837677</v>
      </c>
      <c r="P1184" s="52">
        <f>Database_Overig_Materieel[[#This Row],[Verbruik '[liter/kWh/kg per uur']]]*P$1273</f>
        <v>5.0667374074144921E-2</v>
      </c>
      <c r="Q1184" s="52">
        <f>Database_Overig_Materieel[[#This Row],[Verbruik '[liter/kWh/kg per uur']]]*Q$1273</f>
        <v>12.64333283309333</v>
      </c>
      <c r="R1184" s="52">
        <f>Database_Overig_Materieel[[#This Row],[Verbruik '[liter/kWh/kg per uur']]]*R$1273</f>
        <v>8.4495474100481136</v>
      </c>
      <c r="S1184" s="52">
        <f>Database_Overig_Materieel[[#This Row],[Verbruik '[liter/kWh/kg per uur']]]*S$1273</f>
        <v>543.94395685304346</v>
      </c>
      <c r="T1184" s="52">
        <f>Database_Overig_Materieel[[#This Row],[Verbruik '[liter/kWh/kg per uur']]]*T$1273</f>
        <v>3.7299133609460862</v>
      </c>
      <c r="U1184" s="52"/>
      <c r="V1184" s="52"/>
      <c r="W1184" s="52"/>
      <c r="X1184" s="52"/>
      <c r="Y1184" s="52"/>
      <c r="Z1184" s="52"/>
      <c r="AA1184" s="52"/>
      <c r="AB1184" s="52"/>
      <c r="AC1184" s="52"/>
      <c r="AD1184" s="52"/>
      <c r="AE1184" s="52"/>
      <c r="AF1184" s="52"/>
      <c r="AG1184" s="52"/>
      <c r="AH1184" s="52"/>
      <c r="AI1184" s="52"/>
      <c r="AJ1184" s="52"/>
      <c r="AK1184" s="52"/>
      <c r="AL1184" s="52"/>
      <c r="AM1184" s="52"/>
      <c r="AN1184" s="52"/>
      <c r="AO1184" s="52"/>
      <c r="AP1184" s="52">
        <f>Database_Overig_Materieel[[#This Row],[Verbruik '[liter/kWh/kg per uur']]]*AP$1273</f>
        <v>40.8469626057855</v>
      </c>
      <c r="AQ1184" s="52"/>
      <c r="AR1184" s="52"/>
      <c r="AS1184" s="52">
        <f>Database_Overig_Materieel[[#This Row],[Verbruik '[liter/kWh/kg per uur']]]*AS$1273</f>
        <v>182.98891138562317</v>
      </c>
      <c r="AT1184" s="52"/>
      <c r="AU1184" s="52"/>
      <c r="AV1184" s="52"/>
      <c r="AW1184" s="52">
        <f>Database_Overig_Materieel[[#This Row],[Verbruik '[liter/kWh/kg per uur']]]*AW$1273</f>
        <v>0.32196815770318837</v>
      </c>
      <c r="AX1184" s="52">
        <f>Database_Overig_Materieel[[#This Row],[Verbruik '[liter/kWh/kg per uur']]]*AX$1273</f>
        <v>1.0123396650492751E-3</v>
      </c>
      <c r="AY1184" s="52">
        <f>Database_Overig_Materieel[[#This Row],[Verbruik '[liter/kWh/kg per uur']]]*AY$1273</f>
        <v>4.0470184228597095</v>
      </c>
      <c r="AZ1184" s="52">
        <f>Database_Overig_Materieel[[#This Row],[Verbruik '[liter/kWh/kg per uur']]]*AZ$1273</f>
        <v>0</v>
      </c>
      <c r="BA1184" s="52"/>
      <c r="BB1184" s="52"/>
      <c r="BC1184" s="52"/>
      <c r="BD1184" s="52"/>
      <c r="BE1184" s="52"/>
      <c r="BF1184" s="45"/>
      <c r="BG1184" s="41" t="s">
        <v>271</v>
      </c>
    </row>
    <row r="1185" spans="1:59" x14ac:dyDescent="0.35">
      <c r="A1185" s="41" t="s">
        <v>179</v>
      </c>
      <c r="B1185" s="41" t="s">
        <v>132</v>
      </c>
      <c r="C1185" s="41" t="s">
        <v>451</v>
      </c>
      <c r="D1185" s="41" t="s">
        <v>453</v>
      </c>
      <c r="E1185" s="41" t="s">
        <v>65</v>
      </c>
      <c r="F1185" s="49">
        <f>$F$1181*($I$1181/Database_Overig_Materieel[[#This Row],[Stookwaarde '[MJ/liter']]])</f>
        <v>16.635058139534884</v>
      </c>
      <c r="G1185" s="54">
        <f>Database_Overig_Materieel[[#This Row],[Verbruik '[liter/kWh/kg per uur']]]*G$1274</f>
        <v>1.454612862947402</v>
      </c>
      <c r="H1185" s="41">
        <v>40</v>
      </c>
      <c r="I1185" s="45">
        <v>34.4</v>
      </c>
      <c r="J1185" s="55">
        <f>Database_Overig_Materieel[[#This Row],[Verbruik '[liter/kWh/kg per uur']]]*J$1274</f>
        <v>2.031215539774128E-5</v>
      </c>
      <c r="K1185" s="55">
        <f>Database_Overig_Materieel[[#This Row],[Verbruik '[liter/kWh/kg per uur']]]*K$1274</f>
        <v>5.7747507499668671E-2</v>
      </c>
      <c r="L1185" s="55">
        <f>Database_Overig_Materieel[[#This Row],[Verbruik '[liter/kWh/kg per uur']]]*L$1274</f>
        <v>6.1273233207855915</v>
      </c>
      <c r="M1185" s="55">
        <f>Database_Overig_Materieel[[#This Row],[Verbruik '[liter/kWh/kg per uur']]]*M$1274</f>
        <v>7.7267981931627912E-7</v>
      </c>
      <c r="N1185" s="55">
        <f>Database_Overig_Materieel[[#This Row],[Verbruik '[liter/kWh/kg per uur']]]*N$1274</f>
        <v>7.1123643051774557E-3</v>
      </c>
      <c r="O1185" s="55">
        <f>Database_Overig_Materieel[[#This Row],[Verbruik '[liter/kWh/kg per uur']]]*O$1274</f>
        <v>9.0302274777595393E-2</v>
      </c>
      <c r="P1185" s="55">
        <f>Database_Overig_Materieel[[#This Row],[Verbruik '[liter/kWh/kg per uur']]]*P$1274</f>
        <v>2.1051251945309959E-2</v>
      </c>
      <c r="Q1185" s="55">
        <f>Database_Overig_Materieel[[#This Row],[Verbruik '[liter/kWh/kg per uur']]]*Q$1274</f>
        <v>6.1850152616810439</v>
      </c>
      <c r="R1185" s="55">
        <f>Database_Overig_Materieel[[#This Row],[Verbruik '[liter/kWh/kg per uur']]]*R$1274</f>
        <v>4.2848847959396592E-2</v>
      </c>
      <c r="S1185" s="55">
        <f>Database_Overig_Materieel[[#This Row],[Verbruik '[liter/kWh/kg per uur']]]*S$1274</f>
        <v>143.82564696134506</v>
      </c>
      <c r="T1185" s="55">
        <f>Database_Overig_Materieel[[#This Row],[Verbruik '[liter/kWh/kg per uur']]]*T$1274</f>
        <v>2.9436107582175984E-2</v>
      </c>
      <c r="U1185" s="55"/>
      <c r="V1185" s="55"/>
      <c r="W1185" s="55"/>
      <c r="X1185" s="55"/>
      <c r="Y1185" s="55"/>
      <c r="Z1185" s="55"/>
      <c r="AA1185" s="55"/>
      <c r="AB1185" s="55"/>
      <c r="AC1185" s="55"/>
      <c r="AD1185" s="55"/>
      <c r="AE1185" s="55"/>
      <c r="AF1185" s="55"/>
      <c r="AG1185" s="55"/>
      <c r="AH1185" s="55"/>
      <c r="AI1185" s="55"/>
      <c r="AJ1185" s="55"/>
      <c r="AK1185" s="55"/>
      <c r="AL1185" s="55"/>
      <c r="AM1185" s="55"/>
      <c r="AN1185" s="55"/>
      <c r="AO1185" s="55"/>
      <c r="AP1185" s="55">
        <f>Database_Overig_Materieel[[#This Row],[Verbruik '[liter/kWh/kg per uur']]]*AP$1274</f>
        <v>4.0935193819254581</v>
      </c>
      <c r="AQ1185" s="55"/>
      <c r="AR1185" s="55"/>
      <c r="AS1185" s="55">
        <f>Database_Overig_Materieel[[#This Row],[Verbruik '[liter/kWh/kg per uur']]]*AS$1274</f>
        <v>121.2105392541277</v>
      </c>
      <c r="AT1185" s="55"/>
      <c r="AU1185" s="55"/>
      <c r="AV1185" s="55"/>
      <c r="AW1185" s="55">
        <f>Database_Overig_Materieel[[#This Row],[Verbruik '[liter/kWh/kg per uur']]]*AW$1274</f>
        <v>3.1619265097523323E-2</v>
      </c>
      <c r="AX1185" s="55">
        <f>Database_Overig_Materieel[[#This Row],[Verbruik '[liter/kWh/kg per uur']]]*AX$1274</f>
        <v>4.9322344545849007E-4</v>
      </c>
      <c r="AY1185" s="55">
        <f>Database_Overig_Materieel[[#This Row],[Verbruik '[liter/kWh/kg per uur']]]*AY$1274</f>
        <v>1.2113203184758696</v>
      </c>
      <c r="AZ1185" s="55">
        <f>Database_Overig_Materieel[[#This Row],[Verbruik '[liter/kWh/kg per uur']]]*AZ$1274</f>
        <v>2.8942246397162789E-4</v>
      </c>
      <c r="BA1185" s="55"/>
      <c r="BB1185" s="55"/>
      <c r="BC1185" s="55"/>
      <c r="BD1185" s="55"/>
      <c r="BE1185" s="55"/>
      <c r="BF1185" s="45"/>
      <c r="BG1185" s="41" t="s">
        <v>271</v>
      </c>
    </row>
    <row r="1186" spans="1:59" ht="15.5" x14ac:dyDescent="0.45">
      <c r="A1186" s="41" t="s">
        <v>225</v>
      </c>
      <c r="B1186" s="41" t="s">
        <v>132</v>
      </c>
      <c r="C1186" s="41" t="s">
        <v>451</v>
      </c>
      <c r="D1186" s="41" t="s">
        <v>453</v>
      </c>
      <c r="E1186" s="41" t="s">
        <v>65</v>
      </c>
      <c r="F1186" s="41">
        <v>15.94</v>
      </c>
      <c r="G1186" s="53">
        <f>Database_Overig_Materieel[[#This Row],[Verbruik '[liter/kWh/kg per uur']]]*G$1275</f>
        <v>4.7621636865069119</v>
      </c>
      <c r="H1186" s="41">
        <v>40</v>
      </c>
      <c r="I1186" s="46">
        <v>35.9</v>
      </c>
      <c r="J1186" s="52">
        <f>Database_Overig_Materieel[[#This Row],[Verbruik '[liter/kWh/kg per uur']]]*J$1275</f>
        <v>2.79997258E-5</v>
      </c>
      <c r="K1186" s="52">
        <f>Database_Overig_Materieel[[#This Row],[Verbruik '[liter/kWh/kg per uur']]]*K$1275</f>
        <v>0.37893865515999997</v>
      </c>
      <c r="L1186" s="52">
        <f>Database_Overig_Materieel[[#This Row],[Verbruik '[liter/kWh/kg per uur']]]*L$1275</f>
        <v>55.301191929999995</v>
      </c>
      <c r="M1186" s="52">
        <f>Database_Overig_Materieel[[#This Row],[Verbruik '[liter/kWh/kg per uur']]]*M$1275</f>
        <v>9.6249386199999982E-6</v>
      </c>
      <c r="N1186" s="52">
        <f>Database_Overig_Materieel[[#This Row],[Verbruik '[liter/kWh/kg per uur']]]*N$1275</f>
        <v>1.820075426E-2</v>
      </c>
      <c r="O1186" s="52">
        <f>Database_Overig_Materieel[[#This Row],[Verbruik '[liter/kWh/kg per uur']]]*O$1275</f>
        <v>0.10602151477999999</v>
      </c>
      <c r="P1186" s="52">
        <f>Database_Overig_Materieel[[#This Row],[Verbruik '[liter/kWh/kg per uur']]]*P$1275</f>
        <v>1.6283825800000002E-2</v>
      </c>
      <c r="Q1186" s="52">
        <f>Database_Overig_Materieel[[#This Row],[Verbruik '[liter/kWh/kg per uur']]]*Q$1275</f>
        <v>13.62904271</v>
      </c>
      <c r="R1186" s="52">
        <f>Database_Overig_Materieel[[#This Row],[Verbruik '[liter/kWh/kg per uur']]]*R$1275</f>
        <v>0.27191937608</v>
      </c>
      <c r="S1186" s="52">
        <f>Database_Overig_Materieel[[#This Row],[Verbruik '[liter/kWh/kg per uur']]]*S$1275</f>
        <v>914.30293819999997</v>
      </c>
      <c r="T1186" s="52">
        <f>Database_Overig_Materieel[[#This Row],[Verbruik '[liter/kWh/kg per uur']]]*T$1275</f>
        <v>4.8950687959999996E-2</v>
      </c>
      <c r="U1186" s="52"/>
      <c r="V1186" s="52"/>
      <c r="W1186" s="52"/>
      <c r="X1186" s="52"/>
      <c r="Y1186" s="52"/>
      <c r="Z1186" s="52"/>
      <c r="AA1186" s="52"/>
      <c r="AB1186" s="52"/>
      <c r="AC1186" s="52"/>
      <c r="AD1186" s="52"/>
      <c r="AE1186" s="52"/>
      <c r="AF1186" s="52"/>
      <c r="AG1186" s="52"/>
      <c r="AH1186" s="52"/>
      <c r="AI1186" s="52"/>
      <c r="AJ1186" s="52"/>
      <c r="AK1186" s="52"/>
      <c r="AL1186" s="52"/>
      <c r="AM1186" s="52"/>
      <c r="AN1186" s="52"/>
      <c r="AO1186" s="52"/>
      <c r="AP1186" s="52">
        <f>Database_Overig_Materieel[[#This Row],[Verbruik '[liter/kWh/kg per uur']]]*AP$1275</f>
        <v>6.2825176383999999</v>
      </c>
      <c r="AQ1186" s="52"/>
      <c r="AR1186" s="52"/>
      <c r="AS1186" s="52">
        <f>Database_Overig_Materieel[[#This Row],[Verbruik '[liter/kWh/kg per uur']]]*AS$1275</f>
        <v>845.74577925999995</v>
      </c>
      <c r="AT1186" s="52"/>
      <c r="AU1186" s="52"/>
      <c r="AV1186" s="52"/>
      <c r="AW1186" s="52">
        <f>Database_Overig_Materieel[[#This Row],[Verbruik '[liter/kWh/kg per uur']]]*AW$1275</f>
        <v>8.0024187720000001E-2</v>
      </c>
      <c r="AX1186" s="52">
        <f>Database_Overig_Materieel[[#This Row],[Verbruik '[liter/kWh/kg per uur']]]*AX$1275</f>
        <v>5.8086635199999992E-3</v>
      </c>
      <c r="AY1186" s="52">
        <f>Database_Overig_Materieel[[#This Row],[Verbruik '[liter/kWh/kg per uur']]]*AY$1275</f>
        <v>1.42532631522</v>
      </c>
      <c r="AZ1186" s="52">
        <f>Database_Overig_Materieel[[#This Row],[Verbruik '[liter/kWh/kg per uur']]]*AZ$1275</f>
        <v>0</v>
      </c>
      <c r="BA1186" s="52"/>
      <c r="BB1186" s="52"/>
      <c r="BC1186" s="52"/>
      <c r="BD1186" s="52"/>
      <c r="BE1186" s="52"/>
      <c r="BF1186" s="45"/>
      <c r="BG1186" s="41" t="s">
        <v>271</v>
      </c>
    </row>
    <row r="1187" spans="1:59" x14ac:dyDescent="0.35">
      <c r="A1187" s="41" t="s">
        <v>226</v>
      </c>
      <c r="B1187" s="41" t="s">
        <v>132</v>
      </c>
      <c r="C1187" s="41" t="s">
        <v>451</v>
      </c>
      <c r="D1187" s="41" t="s">
        <v>453</v>
      </c>
      <c r="E1187" s="41" t="s">
        <v>65</v>
      </c>
      <c r="F1187" s="49">
        <f>$F$1181*($I$1181/Database_Overig_Materieel[[#This Row],[Stookwaarde '[MJ/liter']]])</f>
        <v>17.288398791540786</v>
      </c>
      <c r="G1187" s="53">
        <f>Database_Overig_Materieel[[#This Row],[Verbruik '[liter/kWh/kg per uur']]]*G$1276</f>
        <v>4.5002663183437255</v>
      </c>
      <c r="H1187" s="41">
        <v>40</v>
      </c>
      <c r="I1187" s="45">
        <v>33.1</v>
      </c>
      <c r="J1187" s="52">
        <f>Database_Overig_Materieel[[#This Row],[Verbruik '[liter/kWh/kg per uur']]]*J$1276</f>
        <v>8.8413044303927506E-5</v>
      </c>
      <c r="K1187" s="52">
        <f>Database_Overig_Materieel[[#This Row],[Verbruik '[liter/kWh/kg per uur']]]*K$1276</f>
        <v>0.51552157066543802</v>
      </c>
      <c r="L1187" s="52">
        <f>Database_Overig_Materieel[[#This Row],[Verbruik '[liter/kWh/kg per uur']]]*L$1276</f>
        <v>63.53583889576435</v>
      </c>
      <c r="M1187" s="52">
        <f>Database_Overig_Materieel[[#This Row],[Verbruik '[liter/kWh/kg per uur']]]*M$1276</f>
        <v>9.190875853957703E-7</v>
      </c>
      <c r="N1187" s="52">
        <f>Database_Overig_Materieel[[#This Row],[Verbruik '[liter/kWh/kg per uur']]]*N$1276</f>
        <v>1.2874082774501512E-2</v>
      </c>
      <c r="O1187" s="52">
        <f>Database_Overig_Materieel[[#This Row],[Verbruik '[liter/kWh/kg per uur']]]*O$1276</f>
        <v>7.3291054764954691E-2</v>
      </c>
      <c r="P1187" s="52">
        <f>Database_Overig_Materieel[[#This Row],[Verbruik '[liter/kWh/kg per uur']]]*P$1276</f>
        <v>1.2949667654018126E-2</v>
      </c>
      <c r="Q1187" s="52">
        <f>Database_Overig_Materieel[[#This Row],[Verbruik '[liter/kWh/kg per uur']]]*Q$1276</f>
        <v>12.759252192424171</v>
      </c>
      <c r="R1187" s="52">
        <f>Database_Overig_Materieel[[#This Row],[Verbruik '[liter/kWh/kg per uur']]]*R$1276</f>
        <v>0.10286879081867069</v>
      </c>
      <c r="S1187" s="52">
        <f>Database_Overig_Materieel[[#This Row],[Verbruik '[liter/kWh/kg per uur']]]*S$1276</f>
        <v>390.82520822211478</v>
      </c>
      <c r="T1187" s="52">
        <f>Database_Overig_Materieel[[#This Row],[Verbruik '[liter/kWh/kg per uur']]]*T$1276</f>
        <v>5.1628258869184297E-2</v>
      </c>
      <c r="U1187" s="52"/>
      <c r="V1187" s="52"/>
      <c r="W1187" s="52"/>
      <c r="X1187" s="52"/>
      <c r="Y1187" s="52"/>
      <c r="Z1187" s="52"/>
      <c r="AA1187" s="52"/>
      <c r="AB1187" s="52"/>
      <c r="AC1187" s="52"/>
      <c r="AD1187" s="52"/>
      <c r="AE1187" s="52"/>
      <c r="AF1187" s="52"/>
      <c r="AG1187" s="52"/>
      <c r="AH1187" s="52"/>
      <c r="AI1187" s="52"/>
      <c r="AJ1187" s="52"/>
      <c r="AK1187" s="52"/>
      <c r="AL1187" s="52"/>
      <c r="AM1187" s="52"/>
      <c r="AN1187" s="52"/>
      <c r="AO1187" s="52"/>
      <c r="AP1187" s="52">
        <f>Database_Overig_Materieel[[#This Row],[Verbruik '[liter/kWh/kg per uur']]]*AP$1276</f>
        <v>7.6435572467552877</v>
      </c>
      <c r="AQ1187" s="52"/>
      <c r="AR1187" s="52"/>
      <c r="AS1187" s="52">
        <f>Database_Overig_Materieel[[#This Row],[Verbruik '[liter/kWh/kg per uur']]]*AS$1276</f>
        <v>1099.8236528511179</v>
      </c>
      <c r="AT1187" s="52"/>
      <c r="AU1187" s="52"/>
      <c r="AV1187" s="52"/>
      <c r="AW1187" s="52">
        <f>Database_Overig_Materieel[[#This Row],[Verbruik '[liter/kWh/kg per uur']]]*AW$1276</f>
        <v>4.9741299294682788E-2</v>
      </c>
      <c r="AX1187" s="52">
        <f>Database_Overig_Materieel[[#This Row],[Verbruik '[liter/kWh/kg per uur']]]*AX$1276</f>
        <v>1.700410836181269E-3</v>
      </c>
      <c r="AY1187" s="52">
        <f>Database_Overig_Materieel[[#This Row],[Verbruik '[liter/kWh/kg per uur']]]*AY$1276</f>
        <v>1.870602674636858</v>
      </c>
      <c r="AZ1187" s="52">
        <f>Database_Overig_Materieel[[#This Row],[Verbruik '[liter/kWh/kg per uur']]]*AZ$1276</f>
        <v>0</v>
      </c>
      <c r="BA1187" s="52"/>
      <c r="BB1187" s="52"/>
      <c r="BC1187" s="52"/>
      <c r="BD1187" s="52"/>
      <c r="BE1187" s="52"/>
      <c r="BF1187" s="45"/>
      <c r="BG1187" s="41" t="s">
        <v>271</v>
      </c>
    </row>
    <row r="1188" spans="1:59" x14ac:dyDescent="0.35">
      <c r="A1188" s="41" t="s">
        <v>227</v>
      </c>
      <c r="B1188" s="41" t="s">
        <v>132</v>
      </c>
      <c r="C1188" s="41" t="s">
        <v>451</v>
      </c>
      <c r="D1188" s="41" t="s">
        <v>453</v>
      </c>
      <c r="E1188" s="41" t="s">
        <v>65</v>
      </c>
      <c r="F1188" s="49">
        <f>$F$1181*($I$1181/Database_Overig_Materieel[[#This Row],[Stookwaarde '[MJ/liter']]])</f>
        <v>16.683556851311952</v>
      </c>
      <c r="G1188" s="53">
        <f>Database_Overig_Materieel[[#This Row],[Verbruik '[liter/kWh/kg per uur']]]*G$1277</f>
        <v>3.5608110675179705</v>
      </c>
      <c r="H1188" s="41">
        <v>40</v>
      </c>
      <c r="I1188" s="45">
        <v>34.299999999999997</v>
      </c>
      <c r="J1188" s="52">
        <f>Database_Overig_Materieel[[#This Row],[Verbruik '[liter/kWh/kg per uur']]]*J$1277</f>
        <v>6.4708343096792992E-5</v>
      </c>
      <c r="K1188" s="52">
        <f>Database_Overig_Materieel[[#This Row],[Verbruik '[liter/kWh/kg per uur']]]*K$1277</f>
        <v>0.14085861983690962</v>
      </c>
      <c r="L1188" s="52">
        <f>Database_Overig_Materieel[[#This Row],[Verbruik '[liter/kWh/kg per uur']]]*L$1277</f>
        <v>24.017920385125361</v>
      </c>
      <c r="M1188" s="52">
        <f>Database_Overig_Materieel[[#This Row],[Verbruik '[liter/kWh/kg per uur']]]*M$1277</f>
        <v>2.2971088921865887E-6</v>
      </c>
      <c r="N1188" s="52">
        <f>Database_Overig_Materieel[[#This Row],[Verbruik '[liter/kWh/kg per uur']]]*N$1277</f>
        <v>1.9577419888513119E-2</v>
      </c>
      <c r="O1188" s="52">
        <f>Database_Overig_Materieel[[#This Row],[Verbruik '[liter/kWh/kg per uur']]]*O$1277</f>
        <v>0.15007898773346937</v>
      </c>
      <c r="P1188" s="52">
        <f>Database_Overig_Materieel[[#This Row],[Verbruik '[liter/kWh/kg per uur']]]*P$1277</f>
        <v>7.4428917394868802E-2</v>
      </c>
      <c r="Q1188" s="52">
        <f>Database_Overig_Materieel[[#This Row],[Verbruik '[liter/kWh/kg per uur']]]*Q$1277</f>
        <v>13.338497863379008</v>
      </c>
      <c r="R1188" s="52">
        <f>Database_Overig_Materieel[[#This Row],[Verbruik '[liter/kWh/kg per uur']]]*R$1277</f>
        <v>9.4975027971416903</v>
      </c>
      <c r="S1188" s="52">
        <f>Database_Overig_Materieel[[#This Row],[Verbruik '[liter/kWh/kg per uur']]]*S$1277</f>
        <v>799.62339348897956</v>
      </c>
      <c r="T1188" s="52">
        <f>Database_Overig_Materieel[[#This Row],[Verbruik '[liter/kWh/kg per uur']]]*T$1277</f>
        <v>4.0771121076157435</v>
      </c>
      <c r="U1188" s="52"/>
      <c r="V1188" s="52"/>
      <c r="W1188" s="52"/>
      <c r="X1188" s="52"/>
      <c r="Y1188" s="52"/>
      <c r="Z1188" s="52"/>
      <c r="AA1188" s="52"/>
      <c r="AB1188" s="52"/>
      <c r="AC1188" s="52"/>
      <c r="AD1188" s="52"/>
      <c r="AE1188" s="52"/>
      <c r="AF1188" s="52"/>
      <c r="AG1188" s="52"/>
      <c r="AH1188" s="52"/>
      <c r="AI1188" s="52"/>
      <c r="AJ1188" s="52"/>
      <c r="AK1188" s="52"/>
      <c r="AL1188" s="52"/>
      <c r="AM1188" s="52"/>
      <c r="AN1188" s="52"/>
      <c r="AO1188" s="52"/>
      <c r="AP1188" s="52">
        <f>Database_Overig_Materieel[[#This Row],[Verbruik '[liter/kWh/kg per uur']]]*AP$1277</f>
        <v>131.02101872930027</v>
      </c>
      <c r="AQ1188" s="52"/>
      <c r="AR1188" s="52"/>
      <c r="AS1188" s="52">
        <f>Database_Overig_Materieel[[#This Row],[Verbruik '[liter/kWh/kg per uur']]]*AS$1277</f>
        <v>297.6361056968513</v>
      </c>
      <c r="AT1188" s="52"/>
      <c r="AU1188" s="52"/>
      <c r="AV1188" s="52"/>
      <c r="AW1188" s="52">
        <f>Database_Overig_Materieel[[#This Row],[Verbruik '[liter/kWh/kg per uur']]]*AW$1277</f>
        <v>1.0219566970830902</v>
      </c>
      <c r="AX1188" s="52">
        <f>Database_Overig_Materieel[[#This Row],[Verbruik '[liter/kWh/kg per uur']]]*AX$1277</f>
        <v>1.7267648176676382E-3</v>
      </c>
      <c r="AY1188" s="52">
        <f>Database_Overig_Materieel[[#This Row],[Verbruik '[liter/kWh/kg per uur']]]*AY$1277</f>
        <v>4.716206116878717</v>
      </c>
      <c r="AZ1188" s="52">
        <f>Database_Overig_Materieel[[#This Row],[Verbruik '[liter/kWh/kg per uur']]]*AZ$1277</f>
        <v>0</v>
      </c>
      <c r="BA1188" s="52"/>
      <c r="BB1188" s="52"/>
      <c r="BC1188" s="52"/>
      <c r="BD1188" s="52"/>
      <c r="BE1188" s="52"/>
      <c r="BF1188" s="45"/>
      <c r="BG1188" s="41" t="s">
        <v>271</v>
      </c>
    </row>
    <row r="1189" spans="1:59" x14ac:dyDescent="0.35">
      <c r="A1189" s="41" t="s">
        <v>228</v>
      </c>
      <c r="B1189" s="41" t="s">
        <v>132</v>
      </c>
      <c r="C1189" s="41" t="s">
        <v>451</v>
      </c>
      <c r="D1189" s="41" t="s">
        <v>453</v>
      </c>
      <c r="E1189" s="41" t="s">
        <v>65</v>
      </c>
      <c r="F1189" s="49">
        <f>$F$1181*($I$1181/Database_Overig_Materieel[[#This Row],[Stookwaarde '[MJ/liter']]])</f>
        <v>16.586840579710142</v>
      </c>
      <c r="G1189" s="53">
        <f>Database_Overig_Materieel[[#This Row],[Verbruik '[liter/kWh/kg per uur']]]*G$1278</f>
        <v>4.6900065999875498</v>
      </c>
      <c r="H1189" s="41">
        <v>40</v>
      </c>
      <c r="I1189" s="45">
        <v>34.5</v>
      </c>
      <c r="J1189" s="52">
        <f>Database_Overig_Materieel[[#This Row],[Verbruik '[liter/kWh/kg per uur']]]*J$1278</f>
        <v>3.7150044451594195E-5</v>
      </c>
      <c r="K1189" s="52">
        <f>Database_Overig_Materieel[[#This Row],[Verbruik '[liter/kWh/kg per uur']]]*K$1278</f>
        <v>9.1777808690434767E-2</v>
      </c>
      <c r="L1189" s="52">
        <f>Database_Overig_Materieel[[#This Row],[Verbruik '[liter/kWh/kg per uur']]]*L$1278</f>
        <v>22.899496858585504</v>
      </c>
      <c r="M1189" s="52">
        <f>Database_Overig_Materieel[[#This Row],[Verbruik '[liter/kWh/kg per uur']]]*M$1278</f>
        <v>1.4384622342782606E-6</v>
      </c>
      <c r="N1189" s="52">
        <f>Database_Overig_Materieel[[#This Row],[Verbruik '[liter/kWh/kg per uur']]]*N$1278</f>
        <v>1.663958673275362E-2</v>
      </c>
      <c r="O1189" s="52">
        <f>Database_Overig_Materieel[[#This Row],[Verbruik '[liter/kWh/kg per uur']]]*O$1278</f>
        <v>8.2316243565913022E-2</v>
      </c>
      <c r="P1189" s="52">
        <f>Database_Overig_Materieel[[#This Row],[Verbruik '[liter/kWh/kg per uur']]]*P$1278</f>
        <v>3.618656464284057E-2</v>
      </c>
      <c r="Q1189" s="52">
        <f>Database_Overig_Materieel[[#This Row],[Verbruik '[liter/kWh/kg per uur']]]*Q$1278</f>
        <v>12.876992319813329</v>
      </c>
      <c r="R1189" s="52">
        <f>Database_Overig_Materieel[[#This Row],[Verbruik '[liter/kWh/kg per uur']]]*R$1278</f>
        <v>8.4528770524260857</v>
      </c>
      <c r="S1189" s="52">
        <f>Database_Overig_Materieel[[#This Row],[Verbruik '[liter/kWh/kg per uur']]]*S$1278</f>
        <v>558.86365408608685</v>
      </c>
      <c r="T1189" s="52">
        <f>Database_Overig_Materieel[[#This Row],[Verbruik '[liter/kWh/kg per uur']]]*T$1278</f>
        <v>3.7305834693055062</v>
      </c>
      <c r="U1189" s="52"/>
      <c r="V1189" s="52"/>
      <c r="W1189" s="52"/>
      <c r="X1189" s="52"/>
      <c r="Y1189" s="52"/>
      <c r="Z1189" s="52"/>
      <c r="AA1189" s="52"/>
      <c r="AB1189" s="52"/>
      <c r="AC1189" s="52"/>
      <c r="AD1189" s="52"/>
      <c r="AE1189" s="52"/>
      <c r="AF1189" s="52"/>
      <c r="AG1189" s="52"/>
      <c r="AH1189" s="52"/>
      <c r="AI1189" s="52"/>
      <c r="AJ1189" s="52"/>
      <c r="AK1189" s="52"/>
      <c r="AL1189" s="52"/>
      <c r="AM1189" s="52"/>
      <c r="AN1189" s="52"/>
      <c r="AO1189" s="52"/>
      <c r="AP1189" s="52">
        <f>Database_Overig_Materieel[[#This Row],[Verbruik '[liter/kWh/kg per uur']]]*AP$1278</f>
        <v>41.03224922584927</v>
      </c>
      <c r="AQ1189" s="52"/>
      <c r="AR1189" s="52"/>
      <c r="AS1189" s="52">
        <f>Database_Overig_Materieel[[#This Row],[Verbruik '[liter/kWh/kg per uur']]]*AS$1278</f>
        <v>192.62929923843473</v>
      </c>
      <c r="AT1189" s="52"/>
      <c r="AU1189" s="52"/>
      <c r="AV1189" s="52"/>
      <c r="AW1189" s="52">
        <f>Database_Overig_Materieel[[#This Row],[Verbruik '[liter/kWh/kg per uur']]]*AW$1278</f>
        <v>0.3230022476922898</v>
      </c>
      <c r="AX1189" s="52">
        <f>Database_Overig_Materieel[[#This Row],[Verbruik '[liter/kWh/kg per uur']]]*AX$1278</f>
        <v>1.0491110319304346E-3</v>
      </c>
      <c r="AY1189" s="52">
        <f>Database_Overig_Materieel[[#This Row],[Verbruik '[liter/kWh/kg per uur']]]*AY$1278</f>
        <v>4.0697138650881151</v>
      </c>
      <c r="AZ1189" s="52">
        <f>Database_Overig_Materieel[[#This Row],[Verbruik '[liter/kWh/kg per uur']]]*AZ$1278</f>
        <v>0</v>
      </c>
      <c r="BA1189" s="52"/>
      <c r="BB1189" s="52"/>
      <c r="BC1189" s="52"/>
      <c r="BD1189" s="52"/>
      <c r="BE1189" s="52"/>
      <c r="BF1189" s="45"/>
      <c r="BG1189" s="41" t="s">
        <v>271</v>
      </c>
    </row>
    <row r="1190" spans="1:59" x14ac:dyDescent="0.35">
      <c r="A1190" s="41" t="s">
        <v>180</v>
      </c>
      <c r="B1190" s="41" t="s">
        <v>132</v>
      </c>
      <c r="C1190" s="41" t="s">
        <v>451</v>
      </c>
      <c r="D1190" s="41" t="s">
        <v>453</v>
      </c>
      <c r="E1190" s="41" t="s">
        <v>65</v>
      </c>
      <c r="F1190" s="49">
        <f>$F$1181*($I$1181/Database_Overig_Materieel[[#This Row],[Stookwaarde '[MJ/liter']]])</f>
        <v>16.635058139534884</v>
      </c>
      <c r="G1190" s="54">
        <f>Database_Overig_Materieel[[#This Row],[Verbruik '[liter/kWh/kg per uur']]]*G$1279</f>
        <v>1.1461014463127346</v>
      </c>
      <c r="H1190" s="41">
        <v>40</v>
      </c>
      <c r="I1190" s="45">
        <v>34.4</v>
      </c>
      <c r="J1190" s="55">
        <f>Database_Overig_Materieel[[#This Row],[Verbruik '[liter/kWh/kg per uur']]]*J$1279</f>
        <v>2.2748263511640117E-5</v>
      </c>
      <c r="K1190" s="55">
        <f>Database_Overig_Materieel[[#This Row],[Verbruik '[liter/kWh/kg per uur']]]*K$1279</f>
        <v>6.2403214136135789E-2</v>
      </c>
      <c r="L1190" s="55">
        <f>Database_Overig_Materieel[[#This Row],[Verbruik '[liter/kWh/kg per uur']]]*L$1279</f>
        <v>6.6403036766075285</v>
      </c>
      <c r="M1190" s="55">
        <f>Database_Overig_Materieel[[#This Row],[Verbruik '[liter/kWh/kg per uur']]]*M$1279</f>
        <v>8.5679765240813949E-7</v>
      </c>
      <c r="N1190" s="55">
        <f>Database_Overig_Materieel[[#This Row],[Verbruik '[liter/kWh/kg per uur']]]*N$1279</f>
        <v>7.3290263742826741E-3</v>
      </c>
      <c r="O1190" s="55">
        <f>Database_Overig_Materieel[[#This Row],[Verbruik '[liter/kWh/kg per uur']]]*O$1279</f>
        <v>3.3954239378191121E-2</v>
      </c>
      <c r="P1190" s="55">
        <f>Database_Overig_Materieel[[#This Row],[Verbruik '[liter/kWh/kg per uur']]]*P$1279</f>
        <v>6.1547908480761382E-3</v>
      </c>
      <c r="Q1190" s="55">
        <f>Database_Overig_Materieel[[#This Row],[Verbruik '[liter/kWh/kg per uur']]]*Q$1279</f>
        <v>6.433277414675791</v>
      </c>
      <c r="R1190" s="55">
        <f>Database_Overig_Materieel[[#This Row],[Verbruik '[liter/kWh/kg per uur']]]*R$1279</f>
        <v>4.6503977148465478E-2</v>
      </c>
      <c r="S1190" s="55">
        <f>Database_Overig_Materieel[[#This Row],[Verbruik '[liter/kWh/kg per uur']]]*S$1279</f>
        <v>160.04657067691159</v>
      </c>
      <c r="T1190" s="55">
        <f>Database_Overig_Materieel[[#This Row],[Verbruik '[liter/kWh/kg per uur']]]*T$1279</f>
        <v>3.0158882811962297E-2</v>
      </c>
      <c r="U1190" s="55"/>
      <c r="V1190" s="55"/>
      <c r="W1190" s="55"/>
      <c r="X1190" s="55"/>
      <c r="Y1190" s="55"/>
      <c r="Z1190" s="55"/>
      <c r="AA1190" s="55"/>
      <c r="AB1190" s="55"/>
      <c r="AC1190" s="55"/>
      <c r="AD1190" s="55"/>
      <c r="AE1190" s="55"/>
      <c r="AF1190" s="55"/>
      <c r="AG1190" s="55"/>
      <c r="AH1190" s="55"/>
      <c r="AI1190" s="55"/>
      <c r="AJ1190" s="55"/>
      <c r="AK1190" s="55"/>
      <c r="AL1190" s="55"/>
      <c r="AM1190" s="55"/>
      <c r="AN1190" s="55"/>
      <c r="AO1190" s="55"/>
      <c r="AP1190" s="55">
        <f>Database_Overig_Materieel[[#This Row],[Verbruik '[liter/kWh/kg per uur']]]*AP$1279</f>
        <v>4.2905790378216677</v>
      </c>
      <c r="AQ1190" s="55"/>
      <c r="AR1190" s="55"/>
      <c r="AS1190" s="55">
        <f>Database_Overig_Materieel[[#This Row],[Verbruik '[liter/kWh/kg per uur']]]*AS$1279</f>
        <v>131.52334834194198</v>
      </c>
      <c r="AT1190" s="55"/>
      <c r="AU1190" s="55"/>
      <c r="AV1190" s="55"/>
      <c r="AW1190" s="55">
        <f>Database_Overig_Materieel[[#This Row],[Verbruik '[liter/kWh/kg per uur']]]*AW$1279</f>
        <v>3.3038380526200471E-2</v>
      </c>
      <c r="AX1190" s="55">
        <f>Database_Overig_Materieel[[#This Row],[Verbruik '[liter/kWh/kg per uur']]]*AX$1279</f>
        <v>5.3335739033904368E-4</v>
      </c>
      <c r="AY1190" s="55">
        <f>Database_Overig_Materieel[[#This Row],[Verbruik '[liter/kWh/kg per uur']]]*AY$1279</f>
        <v>1.2490807223864087</v>
      </c>
      <c r="AZ1190" s="55">
        <f>Database_Overig_Materieel[[#This Row],[Verbruik '[liter/kWh/kg per uur']]]*AZ$1279</f>
        <v>3.2035318869752326E-4</v>
      </c>
      <c r="BA1190" s="55"/>
      <c r="BB1190" s="55"/>
      <c r="BC1190" s="55"/>
      <c r="BD1190" s="55"/>
      <c r="BE1190" s="55"/>
      <c r="BF1190" s="45"/>
      <c r="BG1190" s="41" t="s">
        <v>271</v>
      </c>
    </row>
    <row r="1191" spans="1:59" ht="15.5" x14ac:dyDescent="0.45">
      <c r="A1191" s="41" t="s">
        <v>229</v>
      </c>
      <c r="B1191" s="41" t="s">
        <v>132</v>
      </c>
      <c r="C1191" s="41" t="s">
        <v>451</v>
      </c>
      <c r="D1191" s="41" t="s">
        <v>453</v>
      </c>
      <c r="E1191" s="41" t="s">
        <v>65</v>
      </c>
      <c r="F1191" s="41">
        <v>15.94</v>
      </c>
      <c r="G1191" s="53">
        <f>Database_Overig_Materieel[[#This Row],[Verbruik '[liter/kWh/kg per uur']]]*G$1280</f>
        <v>4.7621252104102583</v>
      </c>
      <c r="H1191" s="41">
        <v>40</v>
      </c>
      <c r="I1191" s="46">
        <v>35.9</v>
      </c>
      <c r="J1191" s="52">
        <f>Database_Overig_Materieel[[#This Row],[Verbruik '[liter/kWh/kg per uur']]]*J$1280</f>
        <v>2.79997258E-5</v>
      </c>
      <c r="K1191" s="52">
        <f>Database_Overig_Materieel[[#This Row],[Verbruik '[liter/kWh/kg per uur']]]*K$1280</f>
        <v>0.37893865515999997</v>
      </c>
      <c r="L1191" s="52">
        <f>Database_Overig_Materieel[[#This Row],[Verbruik '[liter/kWh/kg per uur']]]*L$1280</f>
        <v>55.301191929999995</v>
      </c>
      <c r="M1191" s="52">
        <f>Database_Overig_Materieel[[#This Row],[Verbruik '[liter/kWh/kg per uur']]]*M$1280</f>
        <v>9.6249386199999982E-6</v>
      </c>
      <c r="N1191" s="52">
        <f>Database_Overig_Materieel[[#This Row],[Verbruik '[liter/kWh/kg per uur']]]*N$1280</f>
        <v>1.820075426E-2</v>
      </c>
      <c r="O1191" s="52">
        <f>Database_Overig_Materieel[[#This Row],[Verbruik '[liter/kWh/kg per uur']]]*O$1280</f>
        <v>0.10602151477999999</v>
      </c>
      <c r="P1191" s="52">
        <f>Database_Overig_Materieel[[#This Row],[Verbruik '[liter/kWh/kg per uur']]]*P$1280</f>
        <v>1.6283825800000002E-2</v>
      </c>
      <c r="Q1191" s="52">
        <f>Database_Overig_Materieel[[#This Row],[Verbruik '[liter/kWh/kg per uur']]]*Q$1280</f>
        <v>13.6286151992</v>
      </c>
      <c r="R1191" s="52">
        <f>Database_Overig_Materieel[[#This Row],[Verbruik '[liter/kWh/kg per uur']]]*R$1280</f>
        <v>0.27191937608</v>
      </c>
      <c r="S1191" s="52">
        <f>Database_Overig_Materieel[[#This Row],[Verbruik '[liter/kWh/kg per uur']]]*S$1280</f>
        <v>914.30293819999997</v>
      </c>
      <c r="T1191" s="52">
        <f>Database_Overig_Materieel[[#This Row],[Verbruik '[liter/kWh/kg per uur']]]*T$1280</f>
        <v>4.8950687959999996E-2</v>
      </c>
      <c r="U1191" s="52"/>
      <c r="V1191" s="52"/>
      <c r="W1191" s="52"/>
      <c r="X1191" s="52"/>
      <c r="Y1191" s="52"/>
      <c r="Z1191" s="52"/>
      <c r="AA1191" s="52"/>
      <c r="AB1191" s="52"/>
      <c r="AC1191" s="52"/>
      <c r="AD1191" s="52"/>
      <c r="AE1191" s="52"/>
      <c r="AF1191" s="52"/>
      <c r="AG1191" s="52"/>
      <c r="AH1191" s="52"/>
      <c r="AI1191" s="52"/>
      <c r="AJ1191" s="52"/>
      <c r="AK1191" s="52"/>
      <c r="AL1191" s="52"/>
      <c r="AM1191" s="52"/>
      <c r="AN1191" s="52"/>
      <c r="AO1191" s="52"/>
      <c r="AP1191" s="52">
        <f>Database_Overig_Materieel[[#This Row],[Verbruik '[liter/kWh/kg per uur']]]*AP$1280</f>
        <v>6.2825176383999999</v>
      </c>
      <c r="AQ1191" s="52"/>
      <c r="AR1191" s="52"/>
      <c r="AS1191" s="52">
        <f>Database_Overig_Materieel[[#This Row],[Verbruik '[liter/kWh/kg per uur']]]*AS$1280</f>
        <v>845.74577925999995</v>
      </c>
      <c r="AT1191" s="52"/>
      <c r="AU1191" s="52"/>
      <c r="AV1191" s="52"/>
      <c r="AW1191" s="52">
        <f>Database_Overig_Materieel[[#This Row],[Verbruik '[liter/kWh/kg per uur']]]*AW$1280</f>
        <v>8.0024187720000001E-2</v>
      </c>
      <c r="AX1191" s="52">
        <f>Database_Overig_Materieel[[#This Row],[Verbruik '[liter/kWh/kg per uur']]]*AX$1280</f>
        <v>5.8086635199999992E-3</v>
      </c>
      <c r="AY1191" s="52">
        <f>Database_Overig_Materieel[[#This Row],[Verbruik '[liter/kWh/kg per uur']]]*AY$1280</f>
        <v>1.42532631522</v>
      </c>
      <c r="AZ1191" s="52">
        <f>Database_Overig_Materieel[[#This Row],[Verbruik '[liter/kWh/kg per uur']]]*AZ$1280</f>
        <v>0</v>
      </c>
      <c r="BA1191" s="52"/>
      <c r="BB1191" s="52"/>
      <c r="BC1191" s="52"/>
      <c r="BD1191" s="52"/>
      <c r="BE1191" s="52"/>
      <c r="BF1191" s="45"/>
      <c r="BG1191" s="41" t="s">
        <v>271</v>
      </c>
    </row>
    <row r="1192" spans="1:59" x14ac:dyDescent="0.35">
      <c r="A1192" s="41" t="s">
        <v>230</v>
      </c>
      <c r="B1192" s="41" t="s">
        <v>132</v>
      </c>
      <c r="C1192" s="41" t="s">
        <v>451</v>
      </c>
      <c r="D1192" s="41" t="s">
        <v>453</v>
      </c>
      <c r="E1192" s="41" t="s">
        <v>65</v>
      </c>
      <c r="F1192" s="49">
        <f>$F$1181*($I$1181/Database_Overig_Materieel[[#This Row],[Stookwaarde '[MJ/liter']]])</f>
        <v>17.288398791540786</v>
      </c>
      <c r="G1192" s="53">
        <f>Database_Overig_Materieel[[#This Row],[Verbruik '[liter/kWh/kg per uur']]]*G$1281</f>
        <v>4.5002376048092296</v>
      </c>
      <c r="H1192" s="41">
        <v>40</v>
      </c>
      <c r="I1192" s="45">
        <v>33.1</v>
      </c>
      <c r="J1192" s="52">
        <f>Database_Overig_Materieel[[#This Row],[Verbruik '[liter/kWh/kg per uur']]]*J$1281</f>
        <v>8.8413044303927506E-5</v>
      </c>
      <c r="K1192" s="52">
        <f>Database_Overig_Materieel[[#This Row],[Verbruik '[liter/kWh/kg per uur']]]*K$1281</f>
        <v>0.51552157066543802</v>
      </c>
      <c r="L1192" s="52">
        <f>Database_Overig_Materieel[[#This Row],[Verbruik '[liter/kWh/kg per uur']]]*L$1281</f>
        <v>63.53583889576435</v>
      </c>
      <c r="M1192" s="52">
        <f>Database_Overig_Materieel[[#This Row],[Verbruik '[liter/kWh/kg per uur']]]*M$1281</f>
        <v>9.190875853957703E-7</v>
      </c>
      <c r="N1192" s="52">
        <f>Database_Overig_Materieel[[#This Row],[Verbruik '[liter/kWh/kg per uur']]]*N$1281</f>
        <v>1.2874082774501512E-2</v>
      </c>
      <c r="O1192" s="52">
        <f>Database_Overig_Materieel[[#This Row],[Verbruik '[liter/kWh/kg per uur']]]*O$1281</f>
        <v>7.3291054764954691E-2</v>
      </c>
      <c r="P1192" s="52">
        <f>Database_Overig_Materieel[[#This Row],[Verbruik '[liter/kWh/kg per uur']]]*P$1281</f>
        <v>1.2949667654018126E-2</v>
      </c>
      <c r="Q1192" s="52">
        <f>Database_Overig_Materieel[[#This Row],[Verbruik '[liter/kWh/kg per uur']]]*Q$1281</f>
        <v>12.758856806743808</v>
      </c>
      <c r="R1192" s="52">
        <f>Database_Overig_Materieel[[#This Row],[Verbruik '[liter/kWh/kg per uur']]]*R$1281</f>
        <v>0.10286879081867069</v>
      </c>
      <c r="S1192" s="52">
        <f>Database_Overig_Materieel[[#This Row],[Verbruik '[liter/kWh/kg per uur']]]*S$1281</f>
        <v>390.82520822211478</v>
      </c>
      <c r="T1192" s="52">
        <f>Database_Overig_Materieel[[#This Row],[Verbruik '[liter/kWh/kg per uur']]]*T$1281</f>
        <v>5.1628258869184297E-2</v>
      </c>
      <c r="U1192" s="52"/>
      <c r="V1192" s="52"/>
      <c r="W1192" s="52"/>
      <c r="X1192" s="52"/>
      <c r="Y1192" s="52"/>
      <c r="Z1192" s="52"/>
      <c r="AA1192" s="52"/>
      <c r="AB1192" s="52"/>
      <c r="AC1192" s="52"/>
      <c r="AD1192" s="52"/>
      <c r="AE1192" s="52"/>
      <c r="AF1192" s="52"/>
      <c r="AG1192" s="52"/>
      <c r="AH1192" s="52"/>
      <c r="AI1192" s="52"/>
      <c r="AJ1192" s="52"/>
      <c r="AK1192" s="52"/>
      <c r="AL1192" s="52"/>
      <c r="AM1192" s="52"/>
      <c r="AN1192" s="52"/>
      <c r="AO1192" s="52"/>
      <c r="AP1192" s="52">
        <f>Database_Overig_Materieel[[#This Row],[Verbruik '[liter/kWh/kg per uur']]]*AP$1281</f>
        <v>7.6435572467552877</v>
      </c>
      <c r="AQ1192" s="52"/>
      <c r="AR1192" s="52"/>
      <c r="AS1192" s="52">
        <f>Database_Overig_Materieel[[#This Row],[Verbruik '[liter/kWh/kg per uur']]]*AS$1281</f>
        <v>1099.8236528511179</v>
      </c>
      <c r="AT1192" s="52"/>
      <c r="AU1192" s="52"/>
      <c r="AV1192" s="52"/>
      <c r="AW1192" s="52">
        <f>Database_Overig_Materieel[[#This Row],[Verbruik '[liter/kWh/kg per uur']]]*AW$1281</f>
        <v>4.9741299294682788E-2</v>
      </c>
      <c r="AX1192" s="52">
        <f>Database_Overig_Materieel[[#This Row],[Verbruik '[liter/kWh/kg per uur']]]*AX$1281</f>
        <v>1.700410836181269E-3</v>
      </c>
      <c r="AY1192" s="52">
        <f>Database_Overig_Materieel[[#This Row],[Verbruik '[liter/kWh/kg per uur']]]*AY$1281</f>
        <v>1.870602674636858</v>
      </c>
      <c r="AZ1192" s="52">
        <f>Database_Overig_Materieel[[#This Row],[Verbruik '[liter/kWh/kg per uur']]]*AZ$1281</f>
        <v>0</v>
      </c>
      <c r="BA1192" s="52"/>
      <c r="BB1192" s="52"/>
      <c r="BC1192" s="52"/>
      <c r="BD1192" s="52"/>
      <c r="BE1192" s="52"/>
      <c r="BF1192" s="45"/>
      <c r="BG1192" s="41" t="s">
        <v>271</v>
      </c>
    </row>
    <row r="1193" spans="1:59" x14ac:dyDescent="0.35">
      <c r="A1193" s="41" t="s">
        <v>231</v>
      </c>
      <c r="B1193" s="41" t="s">
        <v>132</v>
      </c>
      <c r="C1193" s="41" t="s">
        <v>451</v>
      </c>
      <c r="D1193" s="41" t="s">
        <v>453</v>
      </c>
      <c r="E1193" s="41" t="s">
        <v>65</v>
      </c>
      <c r="F1193" s="49">
        <f>$F$1181*($I$1181/Database_Overig_Materieel[[#This Row],[Stookwaarde '[MJ/liter']]])</f>
        <v>16.683556851311952</v>
      </c>
      <c r="G1193" s="53">
        <f>Database_Overig_Materieel[[#This Row],[Verbruik '[liter/kWh/kg per uur']]]*G$1282</f>
        <v>3.5607765368744406</v>
      </c>
      <c r="H1193" s="41">
        <v>40</v>
      </c>
      <c r="I1193" s="45">
        <v>34.299999999999997</v>
      </c>
      <c r="J1193" s="52">
        <f>Database_Overig_Materieel[[#This Row],[Verbruik '[liter/kWh/kg per uur']]]*J$1282</f>
        <v>6.4708343096792992E-5</v>
      </c>
      <c r="K1193" s="52">
        <f>Database_Overig_Materieel[[#This Row],[Verbruik '[liter/kWh/kg per uur']]]*K$1282</f>
        <v>0.14085861983690962</v>
      </c>
      <c r="L1193" s="52">
        <f>Database_Overig_Materieel[[#This Row],[Verbruik '[liter/kWh/kg per uur']]]*L$1282</f>
        <v>24.017997129486879</v>
      </c>
      <c r="M1193" s="52">
        <f>Database_Overig_Materieel[[#This Row],[Verbruik '[liter/kWh/kg per uur']]]*M$1282</f>
        <v>2.2971088921865887E-6</v>
      </c>
      <c r="N1193" s="52">
        <f>Database_Overig_Materieel[[#This Row],[Verbruik '[liter/kWh/kg per uur']]]*N$1282</f>
        <v>1.9577419888513119E-2</v>
      </c>
      <c r="O1193" s="52">
        <f>Database_Overig_Materieel[[#This Row],[Verbruik '[liter/kWh/kg per uur']]]*O$1282</f>
        <v>0.15007898773346937</v>
      </c>
      <c r="P1193" s="52">
        <f>Database_Overig_Materieel[[#This Row],[Verbruik '[liter/kWh/kg per uur']]]*P$1282</f>
        <v>7.4428917394868802E-2</v>
      </c>
      <c r="Q1193" s="52">
        <f>Database_Overig_Materieel[[#This Row],[Verbruik '[liter/kWh/kg per uur']]]*Q$1282</f>
        <v>13.338147508685131</v>
      </c>
      <c r="R1193" s="52">
        <f>Database_Overig_Materieel[[#This Row],[Verbruik '[liter/kWh/kg per uur']]]*R$1282</f>
        <v>9.4975027971416903</v>
      </c>
      <c r="S1193" s="52">
        <f>Database_Overig_Materieel[[#This Row],[Verbruik '[liter/kWh/kg per uur']]]*S$1282</f>
        <v>799.62339348897956</v>
      </c>
      <c r="T1193" s="52">
        <f>Database_Overig_Materieel[[#This Row],[Verbruik '[liter/kWh/kg per uur']]]*T$1282</f>
        <v>4.0771121076157435</v>
      </c>
      <c r="U1193" s="52"/>
      <c r="V1193" s="52"/>
      <c r="W1193" s="52"/>
      <c r="X1193" s="52"/>
      <c r="Y1193" s="52"/>
      <c r="Z1193" s="52"/>
      <c r="AA1193" s="52"/>
      <c r="AB1193" s="52"/>
      <c r="AC1193" s="52"/>
      <c r="AD1193" s="52"/>
      <c r="AE1193" s="52"/>
      <c r="AF1193" s="52"/>
      <c r="AG1193" s="52"/>
      <c r="AH1193" s="52"/>
      <c r="AI1193" s="52"/>
      <c r="AJ1193" s="52"/>
      <c r="AK1193" s="52"/>
      <c r="AL1193" s="52"/>
      <c r="AM1193" s="52"/>
      <c r="AN1193" s="52"/>
      <c r="AO1193" s="52"/>
      <c r="AP1193" s="52">
        <f>Database_Overig_Materieel[[#This Row],[Verbruik '[liter/kWh/kg per uur']]]*AP$1282</f>
        <v>131.02101872930027</v>
      </c>
      <c r="AQ1193" s="52"/>
      <c r="AR1193" s="52"/>
      <c r="AS1193" s="52">
        <f>Database_Overig_Materieel[[#This Row],[Verbruik '[liter/kWh/kg per uur']]]*AS$1282</f>
        <v>297.6361056968513</v>
      </c>
      <c r="AT1193" s="52"/>
      <c r="AU1193" s="52"/>
      <c r="AV1193" s="52"/>
      <c r="AW1193" s="52">
        <f>Database_Overig_Materieel[[#This Row],[Verbruik '[liter/kWh/kg per uur']]]*AW$1282</f>
        <v>1.0219566970830902</v>
      </c>
      <c r="AX1193" s="52">
        <f>Database_Overig_Materieel[[#This Row],[Verbruik '[liter/kWh/kg per uur']]]*AX$1282</f>
        <v>1.7267648176676382E-3</v>
      </c>
      <c r="AY1193" s="52">
        <f>Database_Overig_Materieel[[#This Row],[Verbruik '[liter/kWh/kg per uur']]]*AY$1282</f>
        <v>4.716206116878717</v>
      </c>
      <c r="AZ1193" s="52">
        <f>Database_Overig_Materieel[[#This Row],[Verbruik '[liter/kWh/kg per uur']]]*AZ$1282</f>
        <v>0</v>
      </c>
      <c r="BA1193" s="52"/>
      <c r="BB1193" s="52"/>
      <c r="BC1193" s="52"/>
      <c r="BD1193" s="52"/>
      <c r="BE1193" s="52"/>
      <c r="BF1193" s="45"/>
      <c r="BG1193" s="41" t="s">
        <v>271</v>
      </c>
    </row>
    <row r="1194" spans="1:59" x14ac:dyDescent="0.35">
      <c r="A1194" s="41" t="s">
        <v>232</v>
      </c>
      <c r="B1194" s="41" t="s">
        <v>132</v>
      </c>
      <c r="C1194" s="41" t="s">
        <v>451</v>
      </c>
      <c r="D1194" s="41" t="s">
        <v>453</v>
      </c>
      <c r="E1194" s="41" t="s">
        <v>65</v>
      </c>
      <c r="F1194" s="49">
        <f>$F$1181*($I$1181/Database_Overig_Materieel[[#This Row],[Stookwaarde '[MJ/liter']]])</f>
        <v>16.586840579710142</v>
      </c>
      <c r="G1194" s="53">
        <f>Database_Overig_Materieel[[#This Row],[Verbruik '[liter/kWh/kg per uur']]]*G$1283</f>
        <v>4.6900065999875498</v>
      </c>
      <c r="H1194" s="41">
        <v>40</v>
      </c>
      <c r="I1194" s="45">
        <v>34.5</v>
      </c>
      <c r="J1194" s="52">
        <f>Database_Overig_Materieel[[#This Row],[Verbruik '[liter/kWh/kg per uur']]]*J$1283</f>
        <v>3.7150044451594195E-5</v>
      </c>
      <c r="K1194" s="52">
        <f>Database_Overig_Materieel[[#This Row],[Verbruik '[liter/kWh/kg per uur']]]*K$1283</f>
        <v>9.1777808690434767E-2</v>
      </c>
      <c r="L1194" s="52">
        <f>Database_Overig_Materieel[[#This Row],[Verbruik '[liter/kWh/kg per uur']]]*L$1283</f>
        <v>22.899496858585504</v>
      </c>
      <c r="M1194" s="52">
        <f>Database_Overig_Materieel[[#This Row],[Verbruik '[liter/kWh/kg per uur']]]*M$1283</f>
        <v>1.4384622342782606E-6</v>
      </c>
      <c r="N1194" s="52">
        <f>Database_Overig_Materieel[[#This Row],[Verbruik '[liter/kWh/kg per uur']]]*N$1283</f>
        <v>1.663958673275362E-2</v>
      </c>
      <c r="O1194" s="52">
        <f>Database_Overig_Materieel[[#This Row],[Verbruik '[liter/kWh/kg per uur']]]*O$1283</f>
        <v>8.2316243565913022E-2</v>
      </c>
      <c r="P1194" s="52">
        <f>Database_Overig_Materieel[[#This Row],[Verbruik '[liter/kWh/kg per uur']]]*P$1283</f>
        <v>3.618656464284057E-2</v>
      </c>
      <c r="Q1194" s="52">
        <f>Database_Overig_Materieel[[#This Row],[Verbruik '[liter/kWh/kg per uur']]]*Q$1283</f>
        <v>12.876610822479996</v>
      </c>
      <c r="R1194" s="52">
        <f>Database_Overig_Materieel[[#This Row],[Verbruik '[liter/kWh/kg per uur']]]*R$1283</f>
        <v>8.4528770524260857</v>
      </c>
      <c r="S1194" s="52">
        <f>Database_Overig_Materieel[[#This Row],[Verbruik '[liter/kWh/kg per uur']]]*S$1283</f>
        <v>558.86365408608685</v>
      </c>
      <c r="T1194" s="52">
        <f>Database_Overig_Materieel[[#This Row],[Verbruik '[liter/kWh/kg per uur']]]*T$1283</f>
        <v>3.7305834693055062</v>
      </c>
      <c r="U1194" s="52"/>
      <c r="V1194" s="52"/>
      <c r="W1194" s="52"/>
      <c r="X1194" s="52"/>
      <c r="Y1194" s="52"/>
      <c r="Z1194" s="52"/>
      <c r="AA1194" s="52"/>
      <c r="AB1194" s="52"/>
      <c r="AC1194" s="52"/>
      <c r="AD1194" s="52"/>
      <c r="AE1194" s="52"/>
      <c r="AF1194" s="52"/>
      <c r="AG1194" s="52"/>
      <c r="AH1194" s="52"/>
      <c r="AI1194" s="52"/>
      <c r="AJ1194" s="52"/>
      <c r="AK1194" s="52"/>
      <c r="AL1194" s="52"/>
      <c r="AM1194" s="52"/>
      <c r="AN1194" s="52"/>
      <c r="AO1194" s="52"/>
      <c r="AP1194" s="52">
        <f>Database_Overig_Materieel[[#This Row],[Verbruik '[liter/kWh/kg per uur']]]*AP$1283</f>
        <v>41.03224922584927</v>
      </c>
      <c r="AQ1194" s="52"/>
      <c r="AR1194" s="52"/>
      <c r="AS1194" s="52">
        <f>Database_Overig_Materieel[[#This Row],[Verbruik '[liter/kWh/kg per uur']]]*AS$1283</f>
        <v>192.62929923843473</v>
      </c>
      <c r="AT1194" s="52"/>
      <c r="AU1194" s="52"/>
      <c r="AV1194" s="52"/>
      <c r="AW1194" s="52">
        <f>Database_Overig_Materieel[[#This Row],[Verbruik '[liter/kWh/kg per uur']]]*AW$1283</f>
        <v>0.3230022476922898</v>
      </c>
      <c r="AX1194" s="52">
        <f>Database_Overig_Materieel[[#This Row],[Verbruik '[liter/kWh/kg per uur']]]*AX$1283</f>
        <v>1.0491110319304346E-3</v>
      </c>
      <c r="AY1194" s="52">
        <f>Database_Overig_Materieel[[#This Row],[Verbruik '[liter/kWh/kg per uur']]]*AY$1283</f>
        <v>4.0697138650881151</v>
      </c>
      <c r="AZ1194" s="52">
        <f>Database_Overig_Materieel[[#This Row],[Verbruik '[liter/kWh/kg per uur']]]*AZ$1283</f>
        <v>0</v>
      </c>
      <c r="BA1194" s="52"/>
      <c r="BB1194" s="52"/>
      <c r="BC1194" s="52"/>
      <c r="BD1194" s="52"/>
      <c r="BE1194" s="52"/>
      <c r="BF1194" s="45"/>
      <c r="BG1194" s="41" t="s">
        <v>271</v>
      </c>
    </row>
    <row r="1195" spans="1:59" x14ac:dyDescent="0.35">
      <c r="A1195" s="41" t="s">
        <v>233</v>
      </c>
      <c r="B1195" s="41" t="s">
        <v>132</v>
      </c>
      <c r="C1195" s="41" t="s">
        <v>451</v>
      </c>
      <c r="D1195" s="41" t="s">
        <v>453</v>
      </c>
      <c r="E1195" s="41" t="s">
        <v>65</v>
      </c>
      <c r="F1195" s="49">
        <f>$F$1181*($I$1181/Database_Overig_Materieel[[#This Row],[Stookwaarde '[MJ/liter']]])</f>
        <v>16.635058139534884</v>
      </c>
      <c r="G1195" s="54">
        <f>Database_Overig_Materieel[[#This Row],[Verbruik '[liter/kWh/kg per uur']]]*G$1284</f>
        <v>1.1461014463127346</v>
      </c>
      <c r="H1195" s="41">
        <v>40</v>
      </c>
      <c r="I1195" s="45">
        <v>34.4</v>
      </c>
      <c r="J1195" s="55">
        <f>Database_Overig_Materieel[[#This Row],[Verbruik '[liter/kWh/kg per uur']]]*J$1284</f>
        <v>2.2748263511640117E-5</v>
      </c>
      <c r="K1195" s="55">
        <f>Database_Overig_Materieel[[#This Row],[Verbruik '[liter/kWh/kg per uur']]]*K$1284</f>
        <v>6.2403214136135789E-2</v>
      </c>
      <c r="L1195" s="55">
        <f>Database_Overig_Materieel[[#This Row],[Verbruik '[liter/kWh/kg per uur']]]*L$1284</f>
        <v>6.6403036766075285</v>
      </c>
      <c r="M1195" s="55">
        <f>Database_Overig_Materieel[[#This Row],[Verbruik '[liter/kWh/kg per uur']]]*M$1284</f>
        <v>8.5679765240813949E-7</v>
      </c>
      <c r="N1195" s="55">
        <f>Database_Overig_Materieel[[#This Row],[Verbruik '[liter/kWh/kg per uur']]]*N$1284</f>
        <v>7.3290263742826741E-3</v>
      </c>
      <c r="O1195" s="55">
        <f>Database_Overig_Materieel[[#This Row],[Verbruik '[liter/kWh/kg per uur']]]*O$1284</f>
        <v>3.3954239378191121E-2</v>
      </c>
      <c r="P1195" s="55">
        <f>Database_Overig_Materieel[[#This Row],[Verbruik '[liter/kWh/kg per uur']]]*P$1284</f>
        <v>6.1547908480761382E-3</v>
      </c>
      <c r="Q1195" s="55">
        <f>Database_Overig_Materieel[[#This Row],[Verbruik '[liter/kWh/kg per uur']]]*Q$1284</f>
        <v>6.433277414675791</v>
      </c>
      <c r="R1195" s="55">
        <f>Database_Overig_Materieel[[#This Row],[Verbruik '[liter/kWh/kg per uur']]]*R$1284</f>
        <v>4.6503977148465478E-2</v>
      </c>
      <c r="S1195" s="55">
        <f>Database_Overig_Materieel[[#This Row],[Verbruik '[liter/kWh/kg per uur']]]*S$1284</f>
        <v>160.04657067691159</v>
      </c>
      <c r="T1195" s="55">
        <f>Database_Overig_Materieel[[#This Row],[Verbruik '[liter/kWh/kg per uur']]]*T$1284</f>
        <v>3.0158882811962297E-2</v>
      </c>
      <c r="U1195" s="55"/>
      <c r="V1195" s="55"/>
      <c r="W1195" s="55"/>
      <c r="X1195" s="55"/>
      <c r="Y1195" s="55"/>
      <c r="Z1195" s="55"/>
      <c r="AA1195" s="55"/>
      <c r="AB1195" s="55"/>
      <c r="AC1195" s="55"/>
      <c r="AD1195" s="55"/>
      <c r="AE1195" s="55"/>
      <c r="AF1195" s="55"/>
      <c r="AG1195" s="55"/>
      <c r="AH1195" s="55"/>
      <c r="AI1195" s="55"/>
      <c r="AJ1195" s="55"/>
      <c r="AK1195" s="55"/>
      <c r="AL1195" s="55"/>
      <c r="AM1195" s="55"/>
      <c r="AN1195" s="55"/>
      <c r="AO1195" s="55"/>
      <c r="AP1195" s="55">
        <f>Database_Overig_Materieel[[#This Row],[Verbruik '[liter/kWh/kg per uur']]]*AP$1284</f>
        <v>4.2905790378216677</v>
      </c>
      <c r="AQ1195" s="55"/>
      <c r="AR1195" s="55"/>
      <c r="AS1195" s="55">
        <f>Database_Overig_Materieel[[#This Row],[Verbruik '[liter/kWh/kg per uur']]]*AS$1284</f>
        <v>131.52334834194198</v>
      </c>
      <c r="AT1195" s="55"/>
      <c r="AU1195" s="55"/>
      <c r="AV1195" s="55"/>
      <c r="AW1195" s="55">
        <f>Database_Overig_Materieel[[#This Row],[Verbruik '[liter/kWh/kg per uur']]]*AW$1284</f>
        <v>3.3038380526200471E-2</v>
      </c>
      <c r="AX1195" s="55">
        <f>Database_Overig_Materieel[[#This Row],[Verbruik '[liter/kWh/kg per uur']]]*AX$1284</f>
        <v>5.3335739033904368E-4</v>
      </c>
      <c r="AY1195" s="55">
        <f>Database_Overig_Materieel[[#This Row],[Verbruik '[liter/kWh/kg per uur']]]*AY$1284</f>
        <v>1.2490807223864087</v>
      </c>
      <c r="AZ1195" s="55">
        <f>Database_Overig_Materieel[[#This Row],[Verbruik '[liter/kWh/kg per uur']]]*AZ$1284</f>
        <v>3.2035318869752326E-4</v>
      </c>
      <c r="BA1195" s="55"/>
      <c r="BB1195" s="55"/>
      <c r="BC1195" s="55"/>
      <c r="BD1195" s="55"/>
      <c r="BE1195" s="55"/>
      <c r="BF1195" s="45"/>
      <c r="BG1195" s="41" t="s">
        <v>271</v>
      </c>
    </row>
    <row r="1196" spans="1:59" x14ac:dyDescent="0.35">
      <c r="A1196" s="41" t="s">
        <v>292</v>
      </c>
      <c r="B1196" s="41" t="s">
        <v>132</v>
      </c>
      <c r="C1196" s="41" t="s">
        <v>451</v>
      </c>
      <c r="D1196" s="41" t="s">
        <v>453</v>
      </c>
      <c r="E1196" s="41" t="s">
        <v>65</v>
      </c>
      <c r="F1196" s="45">
        <f>F1181*3.1</f>
        <v>49.414000000000001</v>
      </c>
      <c r="G1196" s="54">
        <f>Database_Overig_Materieel[[#This Row],[Verbruik '[liter/kWh/kg per uur']]]*$G$1285</f>
        <v>3.2117094779880002</v>
      </c>
      <c r="H1196" s="41">
        <v>40</v>
      </c>
      <c r="I1196" s="45">
        <v>3.6</v>
      </c>
      <c r="J1196" s="55">
        <f>Database_Overig_Materieel[[#This Row],[Verbruik '[liter/kWh/kg per uur']]]*J$1285</f>
        <v>8.8451060000000012E-4</v>
      </c>
      <c r="K1196" s="55">
        <f>Database_Overig_Materieel[[#This Row],[Verbruik '[liter/kWh/kg per uur']]]*K$1285</f>
        <v>7.7579980000000007E-2</v>
      </c>
      <c r="L1196" s="55">
        <f>Database_Overig_Materieel[[#This Row],[Verbruik '[liter/kWh/kg per uur']]]*L$1285</f>
        <v>11.11815</v>
      </c>
      <c r="M1196" s="55">
        <f>Database_Overig_Materieel[[#This Row],[Verbruik '[liter/kWh/kg per uur']]]*M$1285</f>
        <v>1.1167564000000001E-6</v>
      </c>
      <c r="N1196" s="55">
        <f>Database_Overig_Materieel[[#This Row],[Verbruik '[liter/kWh/kg per uur']]]*N$1285</f>
        <v>1.4478302000000002E-2</v>
      </c>
      <c r="O1196" s="55">
        <f>Database_Overig_Materieel[[#This Row],[Verbruik '[liter/kWh/kg per uur']]]*O$1285</f>
        <v>0.1062401</v>
      </c>
      <c r="P1196" s="55">
        <f>Database_Overig_Materieel[[#This Row],[Verbruik '[liter/kWh/kg per uur']]]*P$1285</f>
        <v>1.5021856000000002E-2</v>
      </c>
      <c r="Q1196" s="55">
        <f>Database_Overig_Materieel[[#This Row],[Verbruik '[liter/kWh/kg per uur']]]*Q$1285</f>
        <v>21.00095</v>
      </c>
      <c r="R1196" s="55">
        <f>Database_Overig_Materieel[[#This Row],[Verbruik '[liter/kWh/kg per uur']]]*R$1285</f>
        <v>0.34787456</v>
      </c>
      <c r="S1196" s="55">
        <f>Database_Overig_Materieel[[#This Row],[Verbruik '[liter/kWh/kg per uur']]]*S$1285</f>
        <v>1141.4634000000001</v>
      </c>
      <c r="T1196" s="55">
        <f>Database_Overig_Materieel[[#This Row],[Verbruik '[liter/kWh/kg per uur']]]*T$1285</f>
        <v>0.65720619999999996</v>
      </c>
      <c r="U1196" s="55"/>
      <c r="V1196" s="55"/>
      <c r="W1196" s="55"/>
      <c r="X1196" s="55"/>
      <c r="Y1196" s="55"/>
      <c r="Z1196" s="55"/>
      <c r="AA1196" s="55"/>
      <c r="AB1196" s="55"/>
      <c r="AC1196" s="55"/>
      <c r="AD1196" s="55"/>
      <c r="AE1196" s="55"/>
      <c r="AF1196" s="55"/>
      <c r="AG1196" s="55"/>
      <c r="AH1196" s="55"/>
      <c r="AI1196" s="55"/>
      <c r="AJ1196" s="55"/>
      <c r="AK1196" s="55"/>
      <c r="AL1196" s="55"/>
      <c r="AM1196" s="55"/>
      <c r="AN1196" s="55"/>
      <c r="AO1196" s="55"/>
      <c r="AP1196" s="55">
        <f>Database_Overig_Materieel[[#This Row],[Verbruik '[liter/kWh/kg per uur']]]*AP$1285</f>
        <v>429.90179999999998</v>
      </c>
      <c r="AQ1196" s="55"/>
      <c r="AR1196" s="55"/>
      <c r="AS1196" s="55">
        <f>Database_Overig_Materieel[[#This Row],[Verbruik '[liter/kWh/kg per uur']]]*AS$1285</f>
        <v>151.70097999999999</v>
      </c>
      <c r="AT1196" s="55"/>
      <c r="AU1196" s="55"/>
      <c r="AV1196" s="55"/>
      <c r="AW1196" s="55">
        <f>Database_Overig_Materieel[[#This Row],[Verbruik '[liter/kWh/kg per uur']]]*AW$1285</f>
        <v>429.90179999999998</v>
      </c>
      <c r="AX1196" s="55">
        <f>Database_Overig_Materieel[[#This Row],[Verbruik '[liter/kWh/kg per uur']]]*AX$1285</f>
        <v>2.0259740000000003E-3</v>
      </c>
      <c r="AY1196" s="55">
        <f>Database_Overig_Materieel[[#This Row],[Verbruik '[liter/kWh/kg per uur']]]*AY$1285</f>
        <v>3.7604054000000002</v>
      </c>
      <c r="AZ1196" s="55">
        <f>Database_Overig_Materieel[[#This Row],[Verbruik '[liter/kWh/kg per uur']]]*AZ$1285</f>
        <v>4.4571428000000001E-4</v>
      </c>
      <c r="BA1196" s="55"/>
      <c r="BB1196" s="55"/>
      <c r="BC1196" s="55"/>
      <c r="BD1196" s="55"/>
      <c r="BE1196" s="55"/>
      <c r="BF1196" s="45" t="s">
        <v>277</v>
      </c>
      <c r="BG1196" s="45" t="s">
        <v>276</v>
      </c>
    </row>
    <row r="1197" spans="1:59" x14ac:dyDescent="0.35">
      <c r="A1197" s="41" t="s">
        <v>293</v>
      </c>
      <c r="B1197" s="41" t="s">
        <v>132</v>
      </c>
      <c r="C1197" s="41" t="s">
        <v>451</v>
      </c>
      <c r="D1197" s="41" t="s">
        <v>453</v>
      </c>
      <c r="E1197" s="41" t="s">
        <v>65</v>
      </c>
      <c r="F1197" s="45">
        <f>F1181*3.1</f>
        <v>49.414000000000001</v>
      </c>
      <c r="G1197" s="54">
        <f>Database_Overig_Materieel[[#This Row],[Verbruik '[liter/kWh/kg per uur']]]*$G$1286</f>
        <v>4.1207476557540001</v>
      </c>
      <c r="H1197" s="41">
        <v>40</v>
      </c>
      <c r="I1197" s="45">
        <v>3.6</v>
      </c>
      <c r="J1197" s="55">
        <f>Database_Overig_Materieel[[#This Row],[Verbruik '[liter/kWh/kg per uur']]]*J$1286</f>
        <v>6.9673740000000004E-4</v>
      </c>
      <c r="K1197" s="55">
        <f>Database_Overig_Materieel[[#This Row],[Verbruik '[liter/kWh/kg per uur']]]*K$1286</f>
        <v>0.28808362000000004</v>
      </c>
      <c r="L1197" s="55">
        <f>Database_Overig_Materieel[[#This Row],[Verbruik '[liter/kWh/kg per uur']]]*L$1286</f>
        <v>34.243901999999999</v>
      </c>
      <c r="M1197" s="55">
        <f>Database_Overig_Materieel[[#This Row],[Verbruik '[liter/kWh/kg per uur']]]*M$1286</f>
        <v>2.3965790000000001E-6</v>
      </c>
      <c r="N1197" s="55">
        <f>Database_Overig_Materieel[[#This Row],[Verbruik '[liter/kWh/kg per uur']]]*N$1286</f>
        <v>1.2946468000000001E-2</v>
      </c>
      <c r="O1197" s="55">
        <f>Database_Overig_Materieel[[#This Row],[Verbruik '[liter/kWh/kg per uur']]]*O$1286</f>
        <v>0.10278111999999999</v>
      </c>
      <c r="P1197" s="55">
        <f>Database_Overig_Materieel[[#This Row],[Verbruik '[liter/kWh/kg per uur']]]*P$1286</f>
        <v>1.2304085999999999E-2</v>
      </c>
      <c r="Q1197" s="55">
        <f>Database_Overig_Materieel[[#This Row],[Verbruik '[liter/kWh/kg per uur']]]*Q$1286</f>
        <v>18.431422000000001</v>
      </c>
      <c r="R1197" s="55">
        <f>Database_Overig_Materieel[[#This Row],[Verbruik '[liter/kWh/kg per uur']]]*R$1286</f>
        <v>0.29450744000000001</v>
      </c>
      <c r="S1197" s="55">
        <f>Database_Overig_Materieel[[#This Row],[Verbruik '[liter/kWh/kg per uur']]]*S$1286</f>
        <v>1077.2252000000001</v>
      </c>
      <c r="T1197" s="55">
        <f>Database_Overig_Materieel[[#This Row],[Verbruik '[liter/kWh/kg per uur']]]*T$1286</f>
        <v>0.65226479999999998</v>
      </c>
      <c r="U1197" s="55"/>
      <c r="V1197" s="55"/>
      <c r="W1197" s="55"/>
      <c r="X1197" s="55"/>
      <c r="Y1197" s="55"/>
      <c r="Z1197" s="55"/>
      <c r="AA1197" s="55"/>
      <c r="AB1197" s="55"/>
      <c r="AC1197" s="55"/>
      <c r="AD1197" s="55"/>
      <c r="AE1197" s="55"/>
      <c r="AF1197" s="55"/>
      <c r="AG1197" s="55"/>
      <c r="AH1197" s="55"/>
      <c r="AI1197" s="55"/>
      <c r="AJ1197" s="55"/>
      <c r="AK1197" s="55"/>
      <c r="AL1197" s="55"/>
      <c r="AM1197" s="55"/>
      <c r="AN1197" s="55"/>
      <c r="AO1197" s="55"/>
      <c r="AP1197" s="55">
        <f>Database_Overig_Materieel[[#This Row],[Verbruik '[liter/kWh/kg per uur']]]*AP$1286</f>
        <v>11.809946</v>
      </c>
      <c r="AQ1197" s="55"/>
      <c r="AR1197" s="55"/>
      <c r="AS1197" s="55">
        <f>Database_Overig_Materieel[[#This Row],[Verbruik '[liter/kWh/kg per uur']]]*AS$1286</f>
        <v>538.61260000000004</v>
      </c>
      <c r="AT1197" s="55"/>
      <c r="AU1197" s="55"/>
      <c r="AV1197" s="55"/>
      <c r="AW1197" s="55">
        <f>Database_Overig_Materieel[[#This Row],[Verbruik '[liter/kWh/kg per uur']]]*AW$1286</f>
        <v>11.809946</v>
      </c>
      <c r="AX1197" s="55">
        <f>Database_Overig_Materieel[[#This Row],[Verbruik '[liter/kWh/kg per uur']]]*AX$1286</f>
        <v>1.5911307999999999E-3</v>
      </c>
      <c r="AY1197" s="55">
        <f>Database_Overig_Materieel[[#This Row],[Verbruik '[liter/kWh/kg per uur']]]*AY$1286</f>
        <v>2.8017738000000003</v>
      </c>
      <c r="AZ1197" s="55">
        <f>Database_Overig_Materieel[[#This Row],[Verbruik '[liter/kWh/kg per uur']]]*AZ$1286</f>
        <v>4.5757364000000001E-4</v>
      </c>
      <c r="BA1197" s="55"/>
      <c r="BB1197" s="55"/>
      <c r="BC1197" s="55"/>
      <c r="BD1197" s="55"/>
      <c r="BE1197" s="55"/>
      <c r="BF1197" s="45" t="s">
        <v>277</v>
      </c>
      <c r="BG1197" s="45" t="s">
        <v>276</v>
      </c>
    </row>
    <row r="1198" spans="1:59" ht="15.5" x14ac:dyDescent="0.45">
      <c r="A1198" s="41" t="s">
        <v>234</v>
      </c>
      <c r="B1198" s="41" t="s">
        <v>132</v>
      </c>
      <c r="C1198" s="41" t="s">
        <v>451</v>
      </c>
      <c r="D1198" s="41" t="s">
        <v>454</v>
      </c>
      <c r="E1198" s="41" t="s">
        <v>65</v>
      </c>
      <c r="F1198" s="41">
        <v>19.635000000000002</v>
      </c>
      <c r="G1198" s="53">
        <f>Database_Overig_Materieel[[#This Row],[Verbruik '[liter/kWh/kg per uur']]]*G$1270</f>
        <v>6.2576644953751632</v>
      </c>
      <c r="H1198" s="45">
        <v>125</v>
      </c>
      <c r="I1198" s="46">
        <v>35.9</v>
      </c>
      <c r="J1198" s="52">
        <f>Database_Overig_Materieel[[#This Row],[Verbruik '[liter/kWh/kg per uur']]]*J$1270</f>
        <v>3.1612350000000006E-5</v>
      </c>
      <c r="K1198" s="52">
        <f>Database_Overig_Materieel[[#This Row],[Verbruik '[liter/kWh/kg per uur']]]*K$1270</f>
        <v>0.46141678621500004</v>
      </c>
      <c r="L1198" s="52">
        <f>Database_Overig_Materieel[[#This Row],[Verbruik '[liter/kWh/kg per uur']]]*L$1270</f>
        <v>67.533009736500006</v>
      </c>
      <c r="M1198" s="52">
        <f>Database_Overig_Materieel[[#This Row],[Verbruik '[liter/kWh/kg per uur']]]*M$1270</f>
        <v>1.1761365000000002E-5</v>
      </c>
      <c r="N1198" s="52">
        <f>Database_Overig_Materieel[[#This Row],[Verbruik '[liter/kWh/kg per uur']]]*N$1270</f>
        <v>2.2234791810000005E-2</v>
      </c>
      <c r="O1198" s="52">
        <f>Database_Overig_Materieel[[#This Row],[Verbruik '[liter/kWh/kg per uur']]]*O$1270</f>
        <v>0.19806590265000001</v>
      </c>
      <c r="P1198" s="52">
        <f>Database_Overig_Materieel[[#This Row],[Verbruik '[liter/kWh/kg per uur']]]*P$1270</f>
        <v>3.7896080145000004E-2</v>
      </c>
      <c r="Q1198" s="52">
        <f>Database_Overig_Materieel[[#This Row],[Verbruik '[liter/kWh/kg per uur']]]*Q$1270</f>
        <v>16.719363703350002</v>
      </c>
      <c r="R1198" s="52">
        <f>Database_Overig_Materieel[[#This Row],[Verbruik '[liter/kWh/kg per uur']]]*R$1270</f>
        <v>0.33110555477999998</v>
      </c>
      <c r="S1198" s="52">
        <f>Database_Overig_Materieel[[#This Row],[Verbruik '[liter/kWh/kg per uur']]]*S$1270</f>
        <v>1107.8717114850001</v>
      </c>
      <c r="T1198" s="52">
        <f>Database_Overig_Materieel[[#This Row],[Verbruik '[liter/kWh/kg per uur']]]*T$1270</f>
        <v>5.9473276169999999E-2</v>
      </c>
      <c r="U1198" s="52"/>
      <c r="V1198" s="52"/>
      <c r="W1198" s="52"/>
      <c r="X1198" s="52"/>
      <c r="Y1198" s="52"/>
      <c r="Z1198" s="52"/>
      <c r="AA1198" s="52"/>
      <c r="AB1198" s="52"/>
      <c r="AC1198" s="52"/>
      <c r="AD1198" s="52"/>
      <c r="AE1198" s="52"/>
      <c r="AF1198" s="52"/>
      <c r="AG1198" s="52"/>
      <c r="AH1198" s="52"/>
      <c r="AI1198" s="52"/>
      <c r="AJ1198" s="52"/>
      <c r="AK1198" s="52"/>
      <c r="AL1198" s="52"/>
      <c r="AM1198" s="52"/>
      <c r="AN1198" s="52"/>
      <c r="AO1198" s="52"/>
      <c r="AP1198" s="52">
        <f>Database_Overig_Materieel[[#This Row],[Verbruik '[liter/kWh/kg per uur']]]*AP$1270</f>
        <v>7.51061035725</v>
      </c>
      <c r="AQ1198" s="52"/>
      <c r="AR1198" s="52"/>
      <c r="AS1198" s="52">
        <f>Database_Overig_Materieel[[#This Row],[Verbruik '[liter/kWh/kg per uur']]]*AS$1270</f>
        <v>1029.92027061</v>
      </c>
      <c r="AT1198" s="52"/>
      <c r="AU1198" s="52"/>
      <c r="AV1198" s="52"/>
      <c r="AW1198" s="52">
        <f>Database_Overig_Materieel[[#This Row],[Verbruik '[liter/kWh/kg per uur']]]*AW$1270</f>
        <v>9.7300516005000018E-2</v>
      </c>
      <c r="AX1198" s="52">
        <f>Database_Overig_Materieel[[#This Row],[Verbruik '[liter/kWh/kg per uur']]]*AX$1270</f>
        <v>7.1098531350000001E-3</v>
      </c>
      <c r="AY1198" s="52">
        <f>Database_Overig_Materieel[[#This Row],[Verbruik '[liter/kWh/kg per uur']]]*AY$1270</f>
        <v>1.7277702207150003</v>
      </c>
      <c r="AZ1198" s="52">
        <f>Database_Overig_Materieel[[#This Row],[Verbruik '[liter/kWh/kg per uur']]]*AZ$1270</f>
        <v>0</v>
      </c>
      <c r="BA1198" s="52"/>
      <c r="BB1198" s="52"/>
      <c r="BC1198" s="52"/>
      <c r="BD1198" s="52"/>
      <c r="BE1198" s="52"/>
      <c r="BF1198" s="45"/>
      <c r="BG1198" s="41" t="s">
        <v>271</v>
      </c>
    </row>
    <row r="1199" spans="1:59" x14ac:dyDescent="0.35">
      <c r="A1199" s="41" t="s">
        <v>235</v>
      </c>
      <c r="B1199" s="41" t="s">
        <v>132</v>
      </c>
      <c r="C1199" s="41" t="s">
        <v>451</v>
      </c>
      <c r="D1199" s="41" t="s">
        <v>454</v>
      </c>
      <c r="E1199" s="41" t="s">
        <v>65</v>
      </c>
      <c r="F1199" s="49">
        <f>$F$1198*($I$1198/Database_Overig_Materieel[[#This Row],[Stookwaarde '[MJ/liter']]])</f>
        <v>21.295966767371603</v>
      </c>
      <c r="G1199" s="53">
        <f>Database_Overig_Materieel[[#This Row],[Verbruik '[liter/kWh/kg per uur']]]*G$1271</f>
        <v>5.9790639373543772</v>
      </c>
      <c r="H1199" s="45">
        <v>125</v>
      </c>
      <c r="I1199" s="45">
        <v>33.1</v>
      </c>
      <c r="J1199" s="52">
        <f>Database_Overig_Materieel[[#This Row],[Verbruik '[liter/kWh/kg per uur']]]*J$1271</f>
        <v>1.0598172117416921E-4</v>
      </c>
      <c r="K1199" s="52">
        <f>Database_Overig_Materieel[[#This Row],[Verbruik '[liter/kWh/kg per uur']]]*K$1271</f>
        <v>0.62946614311803639</v>
      </c>
      <c r="L1199" s="52">
        <f>Database_Overig_Materieel[[#This Row],[Verbruik '[liter/kWh/kg per uur']]]*L$1271</f>
        <v>77.65505921668732</v>
      </c>
      <c r="M1199" s="52">
        <f>Database_Overig_Materieel[[#This Row],[Verbruik '[liter/kWh/kg per uur']]]*M$1271</f>
        <v>1.032786241123867E-6</v>
      </c>
      <c r="N1199" s="52">
        <f>Database_Overig_Materieel[[#This Row],[Verbruik '[liter/kWh/kg per uur']]]*N$1271</f>
        <v>1.5604108545589124E-2</v>
      </c>
      <c r="O1199" s="52">
        <f>Database_Overig_Materieel[[#This Row],[Verbruik '[liter/kWh/kg per uur']]]*O$1271</f>
        <v>0.1601942674867976</v>
      </c>
      <c r="P1199" s="52">
        <f>Database_Overig_Materieel[[#This Row],[Verbruik '[liter/kWh/kg per uur']]]*P$1271</f>
        <v>3.4435727334607258E-2</v>
      </c>
      <c r="Q1199" s="52">
        <f>Database_Overig_Materieel[[#This Row],[Verbruik '[liter/kWh/kg per uur']]]*Q$1271</f>
        <v>15.418674979760576</v>
      </c>
      <c r="R1199" s="52">
        <f>Database_Overig_Materieel[[#This Row],[Verbruik '[liter/kWh/kg per uur']]]*R$1271</f>
        <v>0.12246420316504532</v>
      </c>
      <c r="S1199" s="52">
        <f>Database_Overig_Materieel[[#This Row],[Verbruik '[liter/kWh/kg per uur']]]*S$1271</f>
        <v>462.37666751129916</v>
      </c>
      <c r="T1199" s="52">
        <f>Database_Overig_Materieel[[#This Row],[Verbruik '[liter/kWh/kg per uur']]]*T$1271</f>
        <v>6.2740686572356499E-2</v>
      </c>
      <c r="U1199" s="52"/>
      <c r="V1199" s="52"/>
      <c r="W1199" s="52"/>
      <c r="X1199" s="52"/>
      <c r="Y1199" s="52"/>
      <c r="Z1199" s="52"/>
      <c r="AA1199" s="52"/>
      <c r="AB1199" s="52"/>
      <c r="AC1199" s="52"/>
      <c r="AD1199" s="52"/>
      <c r="AE1199" s="52"/>
      <c r="AF1199" s="52"/>
      <c r="AG1199" s="52"/>
      <c r="AH1199" s="52"/>
      <c r="AI1199" s="52"/>
      <c r="AJ1199" s="52"/>
      <c r="AK1199" s="52"/>
      <c r="AL1199" s="52"/>
      <c r="AM1199" s="52"/>
      <c r="AN1199" s="52"/>
      <c r="AO1199" s="52"/>
      <c r="AP1199" s="52">
        <f>Database_Overig_Materieel[[#This Row],[Verbruik '[liter/kWh/kg per uur']]]*AP$1271</f>
        <v>9.178873662650302</v>
      </c>
      <c r="AQ1199" s="52"/>
      <c r="AR1199" s="52"/>
      <c r="AS1199" s="52">
        <f>Database_Overig_Materieel[[#This Row],[Verbruik '[liter/kWh/kg per uur']]]*AS$1271</f>
        <v>1342.4646297867826</v>
      </c>
      <c r="AT1199" s="52"/>
      <c r="AU1199" s="52"/>
      <c r="AV1199" s="52"/>
      <c r="AW1199" s="52">
        <f>Database_Overig_Materieel[[#This Row],[Verbruik '[liter/kWh/kg per uur']]]*AW$1271</f>
        <v>5.9951681580634443E-2</v>
      </c>
      <c r="AX1199" s="52">
        <f>Database_Overig_Materieel[[#This Row],[Verbruik '[liter/kWh/kg per uur']]]*AX$1271</f>
        <v>2.0476412782296075E-3</v>
      </c>
      <c r="AY1199" s="52">
        <f>Database_Overig_Materieel[[#This Row],[Verbruik '[liter/kWh/kg per uur']]]*AY$1271</f>
        <v>2.2752510803216013</v>
      </c>
      <c r="AZ1199" s="52">
        <f>Database_Overig_Materieel[[#This Row],[Verbruik '[liter/kWh/kg per uur']]]*AZ$1271</f>
        <v>0</v>
      </c>
      <c r="BA1199" s="52"/>
      <c r="BB1199" s="52"/>
      <c r="BC1199" s="52"/>
      <c r="BD1199" s="52"/>
      <c r="BE1199" s="52"/>
      <c r="BF1199" s="45"/>
      <c r="BG1199" s="41" t="s">
        <v>271</v>
      </c>
    </row>
    <row r="1200" spans="1:59" x14ac:dyDescent="0.35">
      <c r="A1200" s="41" t="s">
        <v>236</v>
      </c>
      <c r="B1200" s="41" t="s">
        <v>132</v>
      </c>
      <c r="C1200" s="41" t="s">
        <v>451</v>
      </c>
      <c r="D1200" s="41" t="s">
        <v>454</v>
      </c>
      <c r="E1200" s="41" t="s">
        <v>65</v>
      </c>
      <c r="F1200" s="49">
        <f>$F$1198*($I$1198/Database_Overig_Materieel[[#This Row],[Stookwaarde '[MJ/liter']]])</f>
        <v>20.550918367346942</v>
      </c>
      <c r="G1200" s="53">
        <f>Database_Overig_Materieel[[#This Row],[Verbruik '[liter/kWh/kg per uur']]]*G$1272</f>
        <v>4.760166072893405</v>
      </c>
      <c r="H1200" s="45">
        <v>125</v>
      </c>
      <c r="I1200" s="45">
        <v>34.299999999999997</v>
      </c>
      <c r="J1200" s="52">
        <f>Database_Overig_Materieel[[#This Row],[Verbruik '[liter/kWh/kg per uur']]]*J$1272</f>
        <v>7.6983329185714296E-5</v>
      </c>
      <c r="K1200" s="52">
        <f>Database_Overig_Materieel[[#This Row],[Verbruik '[liter/kWh/kg per uur']]]*K$1272</f>
        <v>0.16833579884112249</v>
      </c>
      <c r="L1200" s="52">
        <f>Database_Overig_Materieel[[#This Row],[Verbruik '[liter/kWh/kg per uur']]]*L$1272</f>
        <v>29.018566694632657</v>
      </c>
      <c r="M1200" s="52">
        <f>Database_Overig_Materieel[[#This Row],[Verbruik '[liter/kWh/kg per uur']]]*M$1272</f>
        <v>2.7370740627551021E-6</v>
      </c>
      <c r="N1200" s="52">
        <f>Database_Overig_Materieel[[#This Row],[Verbruik '[liter/kWh/kg per uur']]]*N$1272</f>
        <v>2.3878790231326538E-2</v>
      </c>
      <c r="O1200" s="52">
        <f>Database_Overig_Materieel[[#This Row],[Verbruik '[liter/kWh/kg per uur']]]*O$1272</f>
        <v>0.25937525745887757</v>
      </c>
      <c r="P1200" s="52">
        <f>Database_Overig_Materieel[[#This Row],[Verbruik '[liter/kWh/kg per uur']]]*P$1272</f>
        <v>0.11133940917000003</v>
      </c>
      <c r="Q1200" s="52">
        <f>Database_Overig_Materieel[[#This Row],[Verbruik '[liter/kWh/kg per uur']]]*Q$1272</f>
        <v>16.175005154112245</v>
      </c>
      <c r="R1200" s="52">
        <f>Database_Overig_Materieel[[#This Row],[Verbruik '[liter/kWh/kg per uur']]]*R$1272</f>
        <v>11.695130393605105</v>
      </c>
      <c r="S1200" s="52">
        <f>Database_Overig_Materieel[[#This Row],[Verbruik '[liter/kWh/kg per uur']]]*S$1272</f>
        <v>967.24629738336751</v>
      </c>
      <c r="T1200" s="52">
        <f>Database_Overig_Materieel[[#This Row],[Verbruik '[liter/kWh/kg per uur']]]*T$1272</f>
        <v>5.0214177646622451</v>
      </c>
      <c r="U1200" s="52"/>
      <c r="V1200" s="52"/>
      <c r="W1200" s="52"/>
      <c r="X1200" s="52"/>
      <c r="Y1200" s="52"/>
      <c r="Z1200" s="52"/>
      <c r="AA1200" s="52"/>
      <c r="AB1200" s="52"/>
      <c r="AC1200" s="52"/>
      <c r="AD1200" s="52"/>
      <c r="AE1200" s="52"/>
      <c r="AF1200" s="52"/>
      <c r="AG1200" s="52"/>
      <c r="AH1200" s="52"/>
      <c r="AI1200" s="52"/>
      <c r="AJ1200" s="52"/>
      <c r="AK1200" s="52"/>
      <c r="AL1200" s="52"/>
      <c r="AM1200" s="52"/>
      <c r="AN1200" s="52"/>
      <c r="AO1200" s="52"/>
      <c r="AP1200" s="52">
        <f>Database_Overig_Materieel[[#This Row],[Verbruik '[liter/kWh/kg per uur']]]*AP$1272</f>
        <v>161.1723282341633</v>
      </c>
      <c r="AQ1200" s="52"/>
      <c r="AR1200" s="52"/>
      <c r="AS1200" s="52">
        <f>Database_Overig_Materieel[[#This Row],[Verbruik '[liter/kWh/kg per uur']]]*AS$1272</f>
        <v>355.17052740153065</v>
      </c>
      <c r="AT1200" s="52"/>
      <c r="AU1200" s="52"/>
      <c r="AV1200" s="52"/>
      <c r="AW1200" s="52">
        <f>Database_Overig_Materieel[[#This Row],[Verbruik '[liter/kWh/kg per uur']]]*AW$1272</f>
        <v>1.2576239510090819</v>
      </c>
      <c r="AX1200" s="52">
        <f>Database_Overig_Materieel[[#This Row],[Verbruik '[liter/kWh/kg per uur']]]*AX$1272</f>
        <v>2.0833493494897964E-3</v>
      </c>
      <c r="AY1200" s="52">
        <f>Database_Overig_Materieel[[#This Row],[Verbruik '[liter/kWh/kg per uur']]]*AY$1272</f>
        <v>5.7824762253948991</v>
      </c>
      <c r="AZ1200" s="52">
        <f>Database_Overig_Materieel[[#This Row],[Verbruik '[liter/kWh/kg per uur']]]*AZ$1272</f>
        <v>0</v>
      </c>
      <c r="BA1200" s="52"/>
      <c r="BB1200" s="52"/>
      <c r="BC1200" s="52"/>
      <c r="BD1200" s="52"/>
      <c r="BE1200" s="52"/>
      <c r="BF1200" s="45"/>
      <c r="BG1200" s="41" t="s">
        <v>271</v>
      </c>
    </row>
    <row r="1201" spans="1:59" x14ac:dyDescent="0.35">
      <c r="A1201" s="41" t="s">
        <v>237</v>
      </c>
      <c r="B1201" s="41" t="s">
        <v>132</v>
      </c>
      <c r="C1201" s="41" t="s">
        <v>451</v>
      </c>
      <c r="D1201" s="41" t="s">
        <v>454</v>
      </c>
      <c r="E1201" s="41" t="s">
        <v>65</v>
      </c>
      <c r="F1201" s="49">
        <f>$F$1198*($I$1198/Database_Overig_Materieel[[#This Row],[Stookwaarde '[MJ/liter']]])</f>
        <v>20.431782608695652</v>
      </c>
      <c r="G1201" s="53">
        <f>Database_Overig_Materieel[[#This Row],[Verbruik '[liter/kWh/kg per uur']]]*G$1273</f>
        <v>6.1467938560378279</v>
      </c>
      <c r="H1201" s="45">
        <v>125</v>
      </c>
      <c r="I1201" s="45">
        <v>34.5</v>
      </c>
      <c r="J1201" s="52">
        <f>Database_Overig_Materieel[[#This Row],[Verbruik '[liter/kWh/kg per uur']]]*J$1273</f>
        <v>4.2938004105652167E-5</v>
      </c>
      <c r="K1201" s="52">
        <f>Database_Overig_Materieel[[#This Row],[Verbruik '[liter/kWh/kg per uur']]]*K$1273</f>
        <v>0.10769012350417391</v>
      </c>
      <c r="L1201" s="52">
        <f>Database_Overig_Materieel[[#This Row],[Verbruik '[liter/kWh/kg per uur']]]*L$1273</f>
        <v>27.620237431743476</v>
      </c>
      <c r="M1201" s="52">
        <f>Database_Overig_Materieel[[#This Row],[Verbruik '[liter/kWh/kg per uur']]]*M$1273</f>
        <v>1.6760334296391304E-6</v>
      </c>
      <c r="N1201" s="52">
        <f>Database_Overig_Materieel[[#This Row],[Verbruik '[liter/kWh/kg per uur']]]*N$1273</f>
        <v>2.0251369968260869E-2</v>
      </c>
      <c r="O1201" s="52">
        <f>Database_Overig_Materieel[[#This Row],[Verbruik '[liter/kWh/kg per uur']]]*O$1273</f>
        <v>0.16886559806169565</v>
      </c>
      <c r="P1201" s="52">
        <f>Database_Overig_Materieel[[#This Row],[Verbruik '[liter/kWh/kg per uur']]]*P$1273</f>
        <v>6.2412414676652185E-2</v>
      </c>
      <c r="Q1201" s="52">
        <f>Database_Overig_Materieel[[#This Row],[Verbruik '[liter/kWh/kg per uur']]]*Q$1273</f>
        <v>15.57414304754</v>
      </c>
      <c r="R1201" s="52">
        <f>Database_Overig_Materieel[[#This Row],[Verbruik '[liter/kWh/kg per uur']]]*R$1273</f>
        <v>10.408209748826522</v>
      </c>
      <c r="S1201" s="52">
        <f>Database_Overig_Materieel[[#This Row],[Verbruik '[liter/kWh/kg per uur']]]*S$1273</f>
        <v>670.03385149369569</v>
      </c>
      <c r="T1201" s="52">
        <f>Database_Overig_Materieel[[#This Row],[Verbruik '[liter/kWh/kg per uur']]]*T$1273</f>
        <v>4.5945325496973908</v>
      </c>
      <c r="U1201" s="52"/>
      <c r="V1201" s="52"/>
      <c r="W1201" s="52"/>
      <c r="X1201" s="52"/>
      <c r="Y1201" s="52"/>
      <c r="Z1201" s="52"/>
      <c r="AA1201" s="52"/>
      <c r="AB1201" s="52"/>
      <c r="AC1201" s="52"/>
      <c r="AD1201" s="52"/>
      <c r="AE1201" s="52"/>
      <c r="AF1201" s="52"/>
      <c r="AG1201" s="52"/>
      <c r="AH1201" s="52"/>
      <c r="AI1201" s="52"/>
      <c r="AJ1201" s="52"/>
      <c r="AK1201" s="52"/>
      <c r="AL1201" s="52"/>
      <c r="AM1201" s="52"/>
      <c r="AN1201" s="52"/>
      <c r="AO1201" s="52"/>
      <c r="AP1201" s="52">
        <f>Database_Overig_Materieel[[#This Row],[Verbruik '[liter/kWh/kg per uur']]]*AP$1273</f>
        <v>50.31556529263478</v>
      </c>
      <c r="AQ1201" s="52"/>
      <c r="AR1201" s="52"/>
      <c r="AS1201" s="52">
        <f>Database_Overig_Materieel[[#This Row],[Verbruik '[liter/kWh/kg per uur']]]*AS$1273</f>
        <v>225.40698086930436</v>
      </c>
      <c r="AT1201" s="52"/>
      <c r="AU1201" s="52"/>
      <c r="AV1201" s="52"/>
      <c r="AW1201" s="52">
        <f>Database_Overig_Materieel[[#This Row],[Verbruik '[liter/kWh/kg per uur']]]*AW$1273</f>
        <v>0.39660255812434786</v>
      </c>
      <c r="AX1201" s="52">
        <f>Database_Overig_Materieel[[#This Row],[Verbruik '[liter/kWh/kg per uur']]]*AX$1273</f>
        <v>1.2470068584217392E-3</v>
      </c>
      <c r="AY1201" s="52">
        <f>Database_Overig_Materieel[[#This Row],[Verbruik '[liter/kWh/kg per uur']]]*AY$1273</f>
        <v>4.9851447134786957</v>
      </c>
      <c r="AZ1201" s="52">
        <f>Database_Overig_Materieel[[#This Row],[Verbruik '[liter/kWh/kg per uur']]]*AZ$1273</f>
        <v>0</v>
      </c>
      <c r="BA1201" s="52"/>
      <c r="BB1201" s="52"/>
      <c r="BC1201" s="52"/>
      <c r="BD1201" s="52"/>
      <c r="BE1201" s="52"/>
      <c r="BF1201" s="45"/>
      <c r="BG1201" s="41" t="s">
        <v>271</v>
      </c>
    </row>
    <row r="1202" spans="1:59" x14ac:dyDescent="0.35">
      <c r="A1202" s="41" t="s">
        <v>181</v>
      </c>
      <c r="B1202" s="41" t="s">
        <v>132</v>
      </c>
      <c r="C1202" s="41" t="s">
        <v>451</v>
      </c>
      <c r="D1202" s="41" t="s">
        <v>454</v>
      </c>
      <c r="E1202" s="41" t="s">
        <v>65</v>
      </c>
      <c r="F1202" s="49">
        <f>$F$1198*($I$1198/Database_Overig_Materieel[[#This Row],[Stookwaarde '[MJ/liter']]])</f>
        <v>20.491177325581397</v>
      </c>
      <c r="G1202" s="54">
        <f>Database_Overig_Materieel[[#This Row],[Verbruik '[liter/kWh/kg per uur']]]*G$1274</f>
        <v>1.7918019801739171</v>
      </c>
      <c r="H1202" s="45">
        <v>125</v>
      </c>
      <c r="I1202" s="45">
        <v>34.4</v>
      </c>
      <c r="J1202" s="55">
        <f>Database_Overig_Materieel[[#This Row],[Verbruik '[liter/kWh/kg per uur']]]*J$1274</f>
        <v>2.5020650642073402E-5</v>
      </c>
      <c r="K1202" s="55">
        <f>Database_Overig_Materieel[[#This Row],[Verbruik '[liter/kWh/kg per uur']]]*K$1274</f>
        <v>7.1133771001003418E-2</v>
      </c>
      <c r="L1202" s="55">
        <f>Database_Overig_Materieel[[#This Row],[Verbruik '[liter/kWh/kg per uur']]]*L$1274</f>
        <v>7.5476783816577848</v>
      </c>
      <c r="M1202" s="55">
        <f>Database_Overig_Materieel[[#This Row],[Verbruik '[liter/kWh/kg per uur']]]*M$1274</f>
        <v>9.5179223665465126E-7</v>
      </c>
      <c r="N1202" s="55">
        <f>Database_Overig_Materieel[[#This Row],[Verbruik '[liter/kWh/kg per uur']]]*N$1274</f>
        <v>8.7610585402860316E-3</v>
      </c>
      <c r="O1202" s="55">
        <f>Database_Overig_Materieel[[#This Row],[Verbruik '[liter/kWh/kg per uur']]]*O$1274</f>
        <v>0.11123495390577702</v>
      </c>
      <c r="P1202" s="55">
        <f>Database_Overig_Materieel[[#This Row],[Verbruik '[liter/kWh/kg per uur']]]*P$1274</f>
        <v>2.5931074777049003E-2</v>
      </c>
      <c r="Q1202" s="55">
        <f>Database_Overig_Materieel[[#This Row],[Verbruik '[liter/kWh/kg per uur']]]*Q$1274</f>
        <v>7.6187437053392282</v>
      </c>
      <c r="R1202" s="55">
        <f>Database_Overig_Materieel[[#This Row],[Verbruik '[liter/kWh/kg per uur']]]*R$1274</f>
        <v>5.2781501234802512E-2</v>
      </c>
      <c r="S1202" s="55">
        <f>Database_Overig_Materieel[[#This Row],[Verbruik '[liter/kWh/kg per uur']]]*S$1274</f>
        <v>177.16540640439212</v>
      </c>
      <c r="T1202" s="55">
        <f>Database_Overig_Materieel[[#This Row],[Verbruik '[liter/kWh/kg per uur']]]*T$1274</f>
        <v>3.6259596761356677E-2</v>
      </c>
      <c r="U1202" s="55"/>
      <c r="V1202" s="55"/>
      <c r="W1202" s="55"/>
      <c r="X1202" s="55"/>
      <c r="Y1202" s="55"/>
      <c r="Z1202" s="55"/>
      <c r="AA1202" s="55"/>
      <c r="AB1202" s="55"/>
      <c r="AC1202" s="55"/>
      <c r="AD1202" s="55"/>
      <c r="AE1202" s="55"/>
      <c r="AF1202" s="55"/>
      <c r="AG1202" s="55"/>
      <c r="AH1202" s="55"/>
      <c r="AI1202" s="55"/>
      <c r="AJ1202" s="55"/>
      <c r="AK1202" s="55"/>
      <c r="AL1202" s="55"/>
      <c r="AM1202" s="55"/>
      <c r="AN1202" s="55"/>
      <c r="AO1202" s="55"/>
      <c r="AP1202" s="55">
        <f>Database_Overig_Materieel[[#This Row],[Verbruik '[liter/kWh/kg per uur']]]*AP$1274</f>
        <v>5.0424249099188438</v>
      </c>
      <c r="AQ1202" s="55"/>
      <c r="AR1202" s="55"/>
      <c r="AS1202" s="55">
        <f>Database_Overig_Materieel[[#This Row],[Verbruik '[liter/kWh/kg per uur']]]*AS$1274</f>
        <v>149.3079635040651</v>
      </c>
      <c r="AT1202" s="55"/>
      <c r="AU1202" s="55"/>
      <c r="AV1202" s="55"/>
      <c r="AW1202" s="55">
        <f>Database_Overig_Materieel[[#This Row],[Verbruik '[liter/kWh/kg per uur']]]*AW$1274</f>
        <v>3.8948824980543945E-2</v>
      </c>
      <c r="AX1202" s="55">
        <f>Database_Overig_Materieel[[#This Row],[Verbruik '[liter/kWh/kg per uur']]]*AX$1274</f>
        <v>6.0755598190573735E-4</v>
      </c>
      <c r="AY1202" s="55">
        <f>Database_Overig_Materieel[[#This Row],[Verbruik '[liter/kWh/kg per uur']]]*AY$1274</f>
        <v>1.4921125754876852</v>
      </c>
      <c r="AZ1202" s="55">
        <f>Database_Overig_Materieel[[#This Row],[Verbruik '[liter/kWh/kg per uur']]]*AZ$1274</f>
        <v>3.5651255207546511E-4</v>
      </c>
      <c r="BA1202" s="55"/>
      <c r="BB1202" s="55"/>
      <c r="BC1202" s="55"/>
      <c r="BD1202" s="55"/>
      <c r="BE1202" s="55"/>
      <c r="BF1202" s="45"/>
      <c r="BG1202" s="41" t="s">
        <v>271</v>
      </c>
    </row>
    <row r="1203" spans="1:59" ht="15.5" x14ac:dyDescent="0.45">
      <c r="A1203" s="41" t="s">
        <v>238</v>
      </c>
      <c r="B1203" s="41" t="s">
        <v>132</v>
      </c>
      <c r="C1203" s="41" t="s">
        <v>451</v>
      </c>
      <c r="D1203" s="41" t="s">
        <v>454</v>
      </c>
      <c r="E1203" s="41" t="s">
        <v>65</v>
      </c>
      <c r="F1203" s="41">
        <v>19.635000000000002</v>
      </c>
      <c r="G1203" s="53">
        <f>Database_Overig_Materieel[[#This Row],[Verbruik '[liter/kWh/kg per uur']]]*G$1275</f>
        <v>5.8660654946401021</v>
      </c>
      <c r="H1203" s="45">
        <v>125</v>
      </c>
      <c r="I1203" s="46">
        <v>35.9</v>
      </c>
      <c r="J1203" s="52">
        <f>Database_Overig_Materieel[[#This Row],[Verbruik '[liter/kWh/kg per uur']]]*J$1275</f>
        <v>3.4490251950000004E-5</v>
      </c>
      <c r="K1203" s="52">
        <f>Database_Overig_Materieel[[#This Row],[Verbruik '[liter/kWh/kg per uur']]]*K$1275</f>
        <v>0.46677920289000002</v>
      </c>
      <c r="L1203" s="52">
        <f>Database_Overig_Materieel[[#This Row],[Verbruik '[liter/kWh/kg per uur']]]*L$1275</f>
        <v>68.120382907500002</v>
      </c>
      <c r="M1203" s="52">
        <f>Database_Overig_Materieel[[#This Row],[Verbruik '[liter/kWh/kg per uur']]]*M$1275</f>
        <v>1.1856064604999999E-5</v>
      </c>
      <c r="N1203" s="52">
        <f>Database_Overig_Materieel[[#This Row],[Verbruik '[liter/kWh/kg per uur']]]*N$1275</f>
        <v>2.2419812415000004E-2</v>
      </c>
      <c r="O1203" s="52">
        <f>Database_Overig_Materieel[[#This Row],[Verbruik '[liter/kWh/kg per uur']]]*O$1275</f>
        <v>0.130598020245</v>
      </c>
      <c r="P1203" s="52">
        <f>Database_Overig_Materieel[[#This Row],[Verbruik '[liter/kWh/kg per uur']]]*P$1275</f>
        <v>2.0058526950000002E-2</v>
      </c>
      <c r="Q1203" s="52">
        <f>Database_Overig_Materieel[[#This Row],[Verbruik '[liter/kWh/kg per uur']]]*Q$1275</f>
        <v>16.788347152500002</v>
      </c>
      <c r="R1203" s="52">
        <f>Database_Overig_Materieel[[#This Row],[Verbruik '[liter/kWh/kg per uur']]]*R$1275</f>
        <v>0.33495212982</v>
      </c>
      <c r="S1203" s="52">
        <f>Database_Overig_Materieel[[#This Row],[Verbruik '[liter/kWh/kg per uur']]]*S$1275</f>
        <v>1126.24455405</v>
      </c>
      <c r="T1203" s="52">
        <f>Database_Overig_Materieel[[#This Row],[Verbruik '[liter/kWh/kg per uur']]]*T$1275</f>
        <v>6.0297789090000005E-2</v>
      </c>
      <c r="U1203" s="52"/>
      <c r="V1203" s="52"/>
      <c r="W1203" s="52"/>
      <c r="X1203" s="52"/>
      <c r="Y1203" s="52"/>
      <c r="Z1203" s="52"/>
      <c r="AA1203" s="52"/>
      <c r="AB1203" s="52"/>
      <c r="AC1203" s="52"/>
      <c r="AD1203" s="52"/>
      <c r="AE1203" s="52"/>
      <c r="AF1203" s="52"/>
      <c r="AG1203" s="52"/>
      <c r="AH1203" s="52"/>
      <c r="AI1203" s="52"/>
      <c r="AJ1203" s="52"/>
      <c r="AK1203" s="52"/>
      <c r="AL1203" s="52"/>
      <c r="AM1203" s="52"/>
      <c r="AN1203" s="52"/>
      <c r="AO1203" s="52"/>
      <c r="AP1203" s="52">
        <f>Database_Overig_Materieel[[#This Row],[Verbruik '[liter/kWh/kg per uur']]]*AP$1275</f>
        <v>7.7388477936000006</v>
      </c>
      <c r="AQ1203" s="52"/>
      <c r="AR1203" s="52"/>
      <c r="AS1203" s="52">
        <f>Database_Overig_Materieel[[#This Row],[Verbruik '[liter/kWh/kg per uur']]]*AS$1275</f>
        <v>1041.795381165</v>
      </c>
      <c r="AT1203" s="52"/>
      <c r="AU1203" s="52"/>
      <c r="AV1203" s="52"/>
      <c r="AW1203" s="52">
        <f>Database_Overig_Materieel[[#This Row],[Verbruik '[liter/kWh/kg per uur']]]*AW$1275</f>
        <v>9.8574336630000009E-2</v>
      </c>
      <c r="AX1203" s="52">
        <f>Database_Overig_Materieel[[#This Row],[Verbruik '[liter/kWh/kg per uur']]]*AX$1275</f>
        <v>7.1551510799999999E-3</v>
      </c>
      <c r="AY1203" s="52">
        <f>Database_Overig_Materieel[[#This Row],[Verbruik '[liter/kWh/kg per uur']]]*AY$1275</f>
        <v>1.7557266122550002</v>
      </c>
      <c r="AZ1203" s="52">
        <f>Database_Overig_Materieel[[#This Row],[Verbruik '[liter/kWh/kg per uur']]]*AZ$1275</f>
        <v>0</v>
      </c>
      <c r="BA1203" s="52"/>
      <c r="BB1203" s="52"/>
      <c r="BC1203" s="52"/>
      <c r="BD1203" s="52"/>
      <c r="BE1203" s="52"/>
      <c r="BF1203" s="45"/>
      <c r="BG1203" s="41" t="s">
        <v>271</v>
      </c>
    </row>
    <row r="1204" spans="1:59" x14ac:dyDescent="0.35">
      <c r="A1204" s="41" t="s">
        <v>239</v>
      </c>
      <c r="B1204" s="41" t="s">
        <v>132</v>
      </c>
      <c r="C1204" s="41" t="s">
        <v>451</v>
      </c>
      <c r="D1204" s="41" t="s">
        <v>454</v>
      </c>
      <c r="E1204" s="41" t="s">
        <v>65</v>
      </c>
      <c r="F1204" s="49">
        <f>$F$1198*($I$1198/Database_Overig_Materieel[[#This Row],[Stookwaarde '[MJ/liter']]])</f>
        <v>21.295966767371603</v>
      </c>
      <c r="G1204" s="53">
        <f>Database_Overig_Materieel[[#This Row],[Verbruik '[liter/kWh/kg per uur']]]*G$1276</f>
        <v>5.5434585420752223</v>
      </c>
      <c r="H1204" s="45">
        <v>125</v>
      </c>
      <c r="I1204" s="45">
        <v>33.1</v>
      </c>
      <c r="J1204" s="52">
        <f>Database_Overig_Materieel[[#This Row],[Verbruik '[liter/kWh/kg per uur']]]*J$1276</f>
        <v>1.0890778700800605E-4</v>
      </c>
      <c r="K1204" s="52">
        <f>Database_Overig_Materieel[[#This Row],[Verbruik '[liter/kWh/kg per uur']]]*K$1276</f>
        <v>0.63502296361454691</v>
      </c>
      <c r="L1204" s="52">
        <f>Database_Overig_Materieel[[#This Row],[Verbruik '[liter/kWh/kg per uur']]]*L$1276</f>
        <v>78.263876833019637</v>
      </c>
      <c r="M1204" s="52">
        <f>Database_Overig_Materieel[[#This Row],[Verbruik '[liter/kWh/kg per uur']]]*M$1276</f>
        <v>1.1321383148836858E-6</v>
      </c>
      <c r="N1204" s="52">
        <f>Database_Overig_Materieel[[#This Row],[Verbruik '[liter/kWh/kg per uur']]]*N$1276</f>
        <v>1.5858382388791541E-2</v>
      </c>
      <c r="O1204" s="52">
        <f>Database_Overig_Materieel[[#This Row],[Verbruik '[liter/kWh/kg per uur']]]*O$1276</f>
        <v>9.028041783625379E-2</v>
      </c>
      <c r="P1204" s="52">
        <f>Database_Overig_Materieel[[#This Row],[Verbruik '[liter/kWh/kg per uur']]]*P$1276</f>
        <v>1.5951488355498488E-2</v>
      </c>
      <c r="Q1204" s="52">
        <f>Database_Overig_Materieel[[#This Row],[Verbruik '[liter/kWh/kg per uur']]]*Q$1276</f>
        <v>15.716933299764655</v>
      </c>
      <c r="R1204" s="52">
        <f>Database_Overig_Materieel[[#This Row],[Verbruik '[liter/kWh/kg per uur']]]*R$1276</f>
        <v>0.12671447350844411</v>
      </c>
      <c r="S1204" s="52">
        <f>Database_Overig_Materieel[[#This Row],[Verbruik '[liter/kWh/kg per uur']]]*S$1276</f>
        <v>481.42113948815711</v>
      </c>
      <c r="T1204" s="52">
        <f>Database_Overig_Materieel[[#This Row],[Verbruik '[liter/kWh/kg per uur']]]*T$1276</f>
        <v>6.3596039077567987E-2</v>
      </c>
      <c r="U1204" s="52"/>
      <c r="V1204" s="52"/>
      <c r="W1204" s="52"/>
      <c r="X1204" s="52"/>
      <c r="Y1204" s="52"/>
      <c r="Z1204" s="52"/>
      <c r="AA1204" s="52"/>
      <c r="AB1204" s="52"/>
      <c r="AC1204" s="52"/>
      <c r="AD1204" s="52"/>
      <c r="AE1204" s="52"/>
      <c r="AF1204" s="52"/>
      <c r="AG1204" s="52"/>
      <c r="AH1204" s="52"/>
      <c r="AI1204" s="52"/>
      <c r="AJ1204" s="52"/>
      <c r="AK1204" s="52"/>
      <c r="AL1204" s="52"/>
      <c r="AM1204" s="52"/>
      <c r="AN1204" s="52"/>
      <c r="AO1204" s="52"/>
      <c r="AP1204" s="52">
        <f>Database_Overig_Materieel[[#This Row],[Verbruik '[liter/kWh/kg per uur']]]*AP$1276</f>
        <v>9.4153856047703943</v>
      </c>
      <c r="AQ1204" s="52"/>
      <c r="AR1204" s="52"/>
      <c r="AS1204" s="52">
        <f>Database_Overig_Materieel[[#This Row],[Verbruik '[liter/kWh/kg per uur']]]*AS$1276</f>
        <v>1354.7702273357402</v>
      </c>
      <c r="AT1204" s="52"/>
      <c r="AU1204" s="52"/>
      <c r="AV1204" s="52"/>
      <c r="AW1204" s="52">
        <f>Database_Overig_Materieel[[#This Row],[Verbruik '[liter/kWh/kg per uur']]]*AW$1276</f>
        <v>6.1271669488776444E-2</v>
      </c>
      <c r="AX1204" s="52">
        <f>Database_Overig_Materieel[[#This Row],[Verbruik '[liter/kWh/kg per uur']]]*AX$1276</f>
        <v>2.0945775889848945E-3</v>
      </c>
      <c r="AY1204" s="52">
        <f>Database_Overig_Materieel[[#This Row],[Verbruik '[liter/kWh/kg per uur']]]*AY$1276</f>
        <v>2.3042210487135955</v>
      </c>
      <c r="AZ1204" s="52">
        <f>Database_Overig_Materieel[[#This Row],[Verbruik '[liter/kWh/kg per uur']]]*AZ$1276</f>
        <v>0</v>
      </c>
      <c r="BA1204" s="52"/>
      <c r="BB1204" s="52"/>
      <c r="BC1204" s="52"/>
      <c r="BD1204" s="52"/>
      <c r="BE1204" s="52"/>
      <c r="BF1204" s="45"/>
      <c r="BG1204" s="41" t="s">
        <v>271</v>
      </c>
    </row>
    <row r="1205" spans="1:59" x14ac:dyDescent="0.35">
      <c r="A1205" s="41" t="s">
        <v>240</v>
      </c>
      <c r="B1205" s="41" t="s">
        <v>132</v>
      </c>
      <c r="C1205" s="41" t="s">
        <v>451</v>
      </c>
      <c r="D1205" s="41" t="s">
        <v>454</v>
      </c>
      <c r="E1205" s="41" t="s">
        <v>65</v>
      </c>
      <c r="F1205" s="49">
        <f>$F$1198*($I$1198/Database_Overig_Materieel[[#This Row],[Stookwaarde '[MJ/liter']]])</f>
        <v>20.550918367346942</v>
      </c>
      <c r="G1205" s="53">
        <f>Database_Overig_Materieel[[#This Row],[Verbruik '[liter/kWh/kg per uur']]]*G$1277</f>
        <v>4.3862311989156444</v>
      </c>
      <c r="H1205" s="45">
        <v>125</v>
      </c>
      <c r="I1205" s="45">
        <v>34.299999999999997</v>
      </c>
      <c r="J1205" s="52">
        <f>Database_Overig_Materieel[[#This Row],[Verbruik '[liter/kWh/kg per uur']]]*J$1277</f>
        <v>7.9708175452040825E-5</v>
      </c>
      <c r="K1205" s="52">
        <f>Database_Overig_Materieel[[#This Row],[Verbruik '[liter/kWh/kg per uur']]]*K$1277</f>
        <v>0.17351060228969392</v>
      </c>
      <c r="L1205" s="52">
        <f>Database_Overig_Materieel[[#This Row],[Verbruik '[liter/kWh/kg per uur']]]*L$1277</f>
        <v>29.585437061602043</v>
      </c>
      <c r="M1205" s="52">
        <f>Database_Overig_Materieel[[#This Row],[Verbruik '[liter/kWh/kg per uur']]]*M$1277</f>
        <v>2.8295942972448983E-6</v>
      </c>
      <c r="N1205" s="52">
        <f>Database_Overig_Materieel[[#This Row],[Verbruik '[liter/kWh/kg per uur']]]*N$1277</f>
        <v>2.4115598463673473E-2</v>
      </c>
      <c r="O1205" s="52">
        <f>Database_Overig_Materieel[[#This Row],[Verbruik '[liter/kWh/kg per uur']]]*O$1277</f>
        <v>0.18486831393642858</v>
      </c>
      <c r="P1205" s="52">
        <f>Database_Overig_Materieel[[#This Row],[Verbruik '[liter/kWh/kg per uur']]]*P$1277</f>
        <v>9.1682044733265314E-2</v>
      </c>
      <c r="Q1205" s="52">
        <f>Database_Overig_Materieel[[#This Row],[Verbruik '[liter/kWh/kg per uur']]]*Q$1277</f>
        <v>16.430452041872453</v>
      </c>
      <c r="R1205" s="52">
        <f>Database_Overig_Materieel[[#This Row],[Verbruik '[liter/kWh/kg per uur']]]*R$1277</f>
        <v>11.699088294973471</v>
      </c>
      <c r="S1205" s="52">
        <f>Database_Overig_Materieel[[#This Row],[Verbruik '[liter/kWh/kg per uur']]]*S$1277</f>
        <v>984.98151387428584</v>
      </c>
      <c r="T1205" s="52">
        <f>Database_Overig_Materieel[[#This Row],[Verbruik '[liter/kWh/kg per uur']]]*T$1277</f>
        <v>5.0222143182581638</v>
      </c>
      <c r="U1205" s="52"/>
      <c r="V1205" s="52"/>
      <c r="W1205" s="52"/>
      <c r="X1205" s="52"/>
      <c r="Y1205" s="52"/>
      <c r="Z1205" s="52"/>
      <c r="AA1205" s="52"/>
      <c r="AB1205" s="52"/>
      <c r="AC1205" s="52"/>
      <c r="AD1205" s="52"/>
      <c r="AE1205" s="52"/>
      <c r="AF1205" s="52"/>
      <c r="AG1205" s="52"/>
      <c r="AH1205" s="52"/>
      <c r="AI1205" s="52"/>
      <c r="AJ1205" s="52"/>
      <c r="AK1205" s="52"/>
      <c r="AL1205" s="52"/>
      <c r="AM1205" s="52"/>
      <c r="AN1205" s="52"/>
      <c r="AO1205" s="52"/>
      <c r="AP1205" s="52">
        <f>Database_Overig_Materieel[[#This Row],[Verbruik '[liter/kWh/kg per uur']]]*AP$1277</f>
        <v>161.39257859158164</v>
      </c>
      <c r="AQ1205" s="52"/>
      <c r="AR1205" s="52"/>
      <c r="AS1205" s="52">
        <f>Database_Overig_Materieel[[#This Row],[Verbruik '[liter/kWh/kg per uur']]]*AS$1277</f>
        <v>366.63017160336739</v>
      </c>
      <c r="AT1205" s="52"/>
      <c r="AU1205" s="52"/>
      <c r="AV1205" s="52"/>
      <c r="AW1205" s="52">
        <f>Database_Overig_Materieel[[#This Row],[Verbruik '[liter/kWh/kg per uur']]]*AW$1277</f>
        <v>1.2588531836403063</v>
      </c>
      <c r="AX1205" s="52">
        <f>Database_Overig_Materieel[[#This Row],[Verbruik '[liter/kWh/kg per uur']]]*AX$1277</f>
        <v>2.1270406019387759E-3</v>
      </c>
      <c r="AY1205" s="52">
        <f>Database_Overig_Materieel[[#This Row],[Verbruik '[liter/kWh/kg per uur']]]*AY$1277</f>
        <v>5.8094546489908172</v>
      </c>
      <c r="AZ1205" s="52">
        <f>Database_Overig_Materieel[[#This Row],[Verbruik '[liter/kWh/kg per uur']]]*AZ$1277</f>
        <v>0</v>
      </c>
      <c r="BA1205" s="52"/>
      <c r="BB1205" s="52"/>
      <c r="BC1205" s="52"/>
      <c r="BD1205" s="52"/>
      <c r="BE1205" s="52"/>
      <c r="BF1205" s="45"/>
      <c r="BG1205" s="41" t="s">
        <v>271</v>
      </c>
    </row>
    <row r="1206" spans="1:59" x14ac:dyDescent="0.35">
      <c r="A1206" s="41" t="s">
        <v>241</v>
      </c>
      <c r="B1206" s="41" t="s">
        <v>132</v>
      </c>
      <c r="C1206" s="41" t="s">
        <v>451</v>
      </c>
      <c r="D1206" s="41" t="s">
        <v>454</v>
      </c>
      <c r="E1206" s="41" t="s">
        <v>65</v>
      </c>
      <c r="F1206" s="49">
        <f>$F$1198*($I$1198/Database_Overig_Materieel[[#This Row],[Stookwaarde '[MJ/liter']]])</f>
        <v>20.431782608695652</v>
      </c>
      <c r="G1206" s="53">
        <f>Database_Overig_Materieel[[#This Row],[Verbruik '[liter/kWh/kg per uur']]]*G$1278</f>
        <v>5.777181906571867</v>
      </c>
      <c r="H1206" s="45">
        <v>125</v>
      </c>
      <c r="I1206" s="45">
        <v>34.5</v>
      </c>
      <c r="J1206" s="52">
        <f>Database_Overig_Materieel[[#This Row],[Verbruik '[liter/kWh/kg per uur']]]*J$1278</f>
        <v>4.5761676462173912E-5</v>
      </c>
      <c r="K1206" s="52">
        <f>Database_Overig_Materieel[[#This Row],[Verbruik '[liter/kWh/kg per uur']]]*K$1278</f>
        <v>0.11305252657695652</v>
      </c>
      <c r="L1206" s="52">
        <f>Database_Overig_Materieel[[#This Row],[Verbruik '[liter/kWh/kg per uur']]]*L$1278</f>
        <v>28.207755383834783</v>
      </c>
      <c r="M1206" s="52">
        <f>Database_Overig_Materieel[[#This Row],[Verbruik '[liter/kWh/kg per uur']]]*M$1278</f>
        <v>1.7719075263521738E-6</v>
      </c>
      <c r="N1206" s="52">
        <f>Database_Overig_Materieel[[#This Row],[Verbruik '[liter/kWh/kg per uur']]]*N$1278</f>
        <v>2.0496755677391305E-2</v>
      </c>
      <c r="O1206" s="52">
        <f>Database_Overig_Materieel[[#This Row],[Verbruik '[liter/kWh/kg per uur']]]*O$1278</f>
        <v>0.10139770655060869</v>
      </c>
      <c r="P1206" s="52">
        <f>Database_Overig_Materieel[[#This Row],[Verbruik '[liter/kWh/kg per uur']]]*P$1278</f>
        <v>4.4574855505782607E-2</v>
      </c>
      <c r="Q1206" s="52">
        <f>Database_Overig_Materieel[[#This Row],[Verbruik '[liter/kWh/kg per uur']]]*Q$1278</f>
        <v>15.861966386419999</v>
      </c>
      <c r="R1206" s="52">
        <f>Database_Overig_Materieel[[#This Row],[Verbruik '[liter/kWh/kg per uur']]]*R$1278</f>
        <v>10.412311224867391</v>
      </c>
      <c r="S1206" s="52">
        <f>Database_Overig_Materieel[[#This Row],[Verbruik '[liter/kWh/kg per uur']]]*S$1278</f>
        <v>688.41203563239139</v>
      </c>
      <c r="T1206" s="52">
        <f>Database_Overig_Materieel[[#This Row],[Verbruik '[liter/kWh/kg per uur']]]*T$1278</f>
        <v>4.5953579937147824</v>
      </c>
      <c r="U1206" s="52"/>
      <c r="V1206" s="52"/>
      <c r="W1206" s="52"/>
      <c r="X1206" s="52"/>
      <c r="Y1206" s="52"/>
      <c r="Z1206" s="52"/>
      <c r="AA1206" s="52"/>
      <c r="AB1206" s="52"/>
      <c r="AC1206" s="52"/>
      <c r="AD1206" s="52"/>
      <c r="AE1206" s="52"/>
      <c r="AF1206" s="52"/>
      <c r="AG1206" s="52"/>
      <c r="AH1206" s="52"/>
      <c r="AI1206" s="52"/>
      <c r="AJ1206" s="52"/>
      <c r="AK1206" s="52"/>
      <c r="AL1206" s="52"/>
      <c r="AM1206" s="52"/>
      <c r="AN1206" s="52"/>
      <c r="AO1206" s="52"/>
      <c r="AP1206" s="52">
        <f>Database_Overig_Materieel[[#This Row],[Verbruik '[liter/kWh/kg per uur']]]*AP$1278</f>
        <v>50.543802606621739</v>
      </c>
      <c r="AQ1206" s="52"/>
      <c r="AR1206" s="52"/>
      <c r="AS1206" s="52">
        <f>Database_Overig_Materieel[[#This Row],[Verbruik '[liter/kWh/kg per uur']]]*AS$1278</f>
        <v>237.2820759439565</v>
      </c>
      <c r="AT1206" s="52"/>
      <c r="AU1206" s="52"/>
      <c r="AV1206" s="52"/>
      <c r="AW1206" s="52">
        <f>Database_Overig_Materieel[[#This Row],[Verbruik '[liter/kWh/kg per uur']]]*AW$1278</f>
        <v>0.39787635717930436</v>
      </c>
      <c r="AX1206" s="52">
        <f>Database_Overig_Materieel[[#This Row],[Verbruik '[liter/kWh/kg per uur']]]*AX$1278</f>
        <v>1.2923020772869567E-3</v>
      </c>
      <c r="AY1206" s="52">
        <f>Database_Overig_Materieel[[#This Row],[Verbruik '[liter/kWh/kg per uur']]]*AY$1278</f>
        <v>5.0131011129865213</v>
      </c>
      <c r="AZ1206" s="52">
        <f>Database_Overig_Materieel[[#This Row],[Verbruik '[liter/kWh/kg per uur']]]*AZ$1278</f>
        <v>0</v>
      </c>
      <c r="BA1206" s="52"/>
      <c r="BB1206" s="52"/>
      <c r="BC1206" s="52"/>
      <c r="BD1206" s="52"/>
      <c r="BE1206" s="52"/>
      <c r="BF1206" s="45"/>
      <c r="BG1206" s="41" t="s">
        <v>271</v>
      </c>
    </row>
    <row r="1207" spans="1:59" x14ac:dyDescent="0.35">
      <c r="A1207" s="41" t="s">
        <v>182</v>
      </c>
      <c r="B1207" s="41" t="s">
        <v>132</v>
      </c>
      <c r="C1207" s="41" t="s">
        <v>451</v>
      </c>
      <c r="D1207" s="41" t="s">
        <v>454</v>
      </c>
      <c r="E1207" s="41" t="s">
        <v>65</v>
      </c>
      <c r="F1207" s="49">
        <f>$F$1198*($I$1198/Database_Overig_Materieel[[#This Row],[Stookwaarde '[MJ/liter']]])</f>
        <v>20.491177325581397</v>
      </c>
      <c r="G1207" s="54">
        <f>Database_Overig_Materieel[[#This Row],[Verbruik '[liter/kWh/kg per uur']]]*G$1279</f>
        <v>1.4117755268726815</v>
      </c>
      <c r="H1207" s="45">
        <v>125</v>
      </c>
      <c r="I1207" s="45">
        <v>34.4</v>
      </c>
      <c r="J1207" s="55">
        <f>Database_Overig_Materieel[[#This Row],[Verbruik '[liter/kWh/kg per uur']]]*J$1279</f>
        <v>2.8021465122399859E-5</v>
      </c>
      <c r="K1207" s="55">
        <f>Database_Overig_Materieel[[#This Row],[Verbruik '[liter/kWh/kg per uur']]]*K$1279</f>
        <v>7.686870198011457E-2</v>
      </c>
      <c r="L1207" s="55">
        <f>Database_Overig_Materieel[[#This Row],[Verbruik '[liter/kWh/kg per uur']]]*L$1279</f>
        <v>8.1795710596103408</v>
      </c>
      <c r="M1207" s="55">
        <f>Database_Overig_Materieel[[#This Row],[Verbruik '[liter/kWh/kg per uur']]]*M$1279</f>
        <v>1.0554091533898257E-6</v>
      </c>
      <c r="N1207" s="55">
        <f>Database_Overig_Materieel[[#This Row],[Verbruik '[liter/kWh/kg per uur']]]*N$1279</f>
        <v>9.0279443449837078E-3</v>
      </c>
      <c r="O1207" s="55">
        <f>Database_Overig_Materieel[[#This Row],[Verbruik '[liter/kWh/kg per uur']]]*O$1279</f>
        <v>4.1825062119873448E-2</v>
      </c>
      <c r="P1207" s="55">
        <f>Database_Overig_Materieel[[#This Row],[Verbruik '[liter/kWh/kg per uur']]]*P$1279</f>
        <v>7.5815130678779791E-3</v>
      </c>
      <c r="Q1207" s="55">
        <f>Database_Overig_Materieel[[#This Row],[Verbruik '[liter/kWh/kg per uur']]]*Q$1279</f>
        <v>7.9245547074754805</v>
      </c>
      <c r="R1207" s="55">
        <f>Database_Overig_Materieel[[#This Row],[Verbruik '[liter/kWh/kg per uur']]]*R$1279</f>
        <v>5.7283914134888314E-2</v>
      </c>
      <c r="S1207" s="55">
        <f>Database_Overig_Materieel[[#This Row],[Verbruik '[liter/kWh/kg per uur']]]*S$1279</f>
        <v>197.14645014059971</v>
      </c>
      <c r="T1207" s="55">
        <f>Database_Overig_Materieel[[#This Row],[Verbruik '[liter/kWh/kg per uur']]]*T$1279</f>
        <v>3.7149916186504379E-2</v>
      </c>
      <c r="U1207" s="55"/>
      <c r="V1207" s="55"/>
      <c r="W1207" s="55"/>
      <c r="X1207" s="55"/>
      <c r="Y1207" s="55"/>
      <c r="Z1207" s="55"/>
      <c r="AA1207" s="55"/>
      <c r="AB1207" s="55"/>
      <c r="AC1207" s="55"/>
      <c r="AD1207" s="55"/>
      <c r="AE1207" s="55"/>
      <c r="AF1207" s="55"/>
      <c r="AG1207" s="55"/>
      <c r="AH1207" s="55"/>
      <c r="AI1207" s="55"/>
      <c r="AJ1207" s="55"/>
      <c r="AK1207" s="55"/>
      <c r="AL1207" s="55"/>
      <c r="AM1207" s="55"/>
      <c r="AN1207" s="55"/>
      <c r="AO1207" s="55"/>
      <c r="AP1207" s="55">
        <f>Database_Overig_Materieel[[#This Row],[Verbruik '[liter/kWh/kg per uur']]]*AP$1279</f>
        <v>5.2851643292113213</v>
      </c>
      <c r="AQ1207" s="55"/>
      <c r="AR1207" s="55"/>
      <c r="AS1207" s="55">
        <f>Database_Overig_Materieel[[#This Row],[Verbruik '[liter/kWh/kg per uur']]]*AS$1279</f>
        <v>162.01135161192164</v>
      </c>
      <c r="AT1207" s="55"/>
      <c r="AU1207" s="55"/>
      <c r="AV1207" s="55"/>
      <c r="AW1207" s="55">
        <f>Database_Overig_Materieel[[#This Row],[Verbruik '[liter/kWh/kg per uur']]]*AW$1279</f>
        <v>4.0696900980674168E-2</v>
      </c>
      <c r="AX1207" s="55">
        <f>Database_Overig_Materieel[[#This Row],[Verbruik '[liter/kWh/kg per uur']]]*AX$1279</f>
        <v>6.5699324713344557E-4</v>
      </c>
      <c r="AY1207" s="55">
        <f>Database_Overig_Materieel[[#This Row],[Verbruik '[liter/kWh/kg per uur']]]*AY$1279</f>
        <v>1.5386260968668217</v>
      </c>
      <c r="AZ1207" s="55">
        <f>Database_Overig_Materieel[[#This Row],[Verbruik '[liter/kWh/kg per uur']]]*AZ$1279</f>
        <v>3.9461322836109591E-4</v>
      </c>
      <c r="BA1207" s="55"/>
      <c r="BB1207" s="55"/>
      <c r="BC1207" s="55"/>
      <c r="BD1207" s="55"/>
      <c r="BE1207" s="55"/>
      <c r="BF1207" s="45"/>
      <c r="BG1207" s="41" t="s">
        <v>271</v>
      </c>
    </row>
    <row r="1208" spans="1:59" ht="15.5" x14ac:dyDescent="0.45">
      <c r="A1208" s="41" t="s">
        <v>242</v>
      </c>
      <c r="B1208" s="41" t="s">
        <v>132</v>
      </c>
      <c r="C1208" s="41" t="s">
        <v>451</v>
      </c>
      <c r="D1208" s="41" t="s">
        <v>454</v>
      </c>
      <c r="E1208" s="41" t="s">
        <v>65</v>
      </c>
      <c r="F1208" s="41">
        <v>19.635000000000002</v>
      </c>
      <c r="G1208" s="53">
        <f>Database_Overig_Materieel[[#This Row],[Verbruik '[liter/kWh/kg per uur']]]*G$1280</f>
        <v>5.8660180995235525</v>
      </c>
      <c r="H1208" s="45">
        <v>125</v>
      </c>
      <c r="I1208" s="46">
        <v>35.9</v>
      </c>
      <c r="J1208" s="52">
        <f>Database_Overig_Materieel[[#This Row],[Verbruik '[liter/kWh/kg per uur']]]*J$1280</f>
        <v>3.4490251950000004E-5</v>
      </c>
      <c r="K1208" s="52">
        <f>Database_Overig_Materieel[[#This Row],[Verbruik '[liter/kWh/kg per uur']]]*K$1280</f>
        <v>0.46677920289000002</v>
      </c>
      <c r="L1208" s="52">
        <f>Database_Overig_Materieel[[#This Row],[Verbruik '[liter/kWh/kg per uur']]]*L$1280</f>
        <v>68.120382907500002</v>
      </c>
      <c r="M1208" s="52">
        <f>Database_Overig_Materieel[[#This Row],[Verbruik '[liter/kWh/kg per uur']]]*M$1280</f>
        <v>1.1856064604999999E-5</v>
      </c>
      <c r="N1208" s="52">
        <f>Database_Overig_Materieel[[#This Row],[Verbruik '[liter/kWh/kg per uur']]]*N$1280</f>
        <v>2.2419812415000004E-2</v>
      </c>
      <c r="O1208" s="52">
        <f>Database_Overig_Materieel[[#This Row],[Verbruik '[liter/kWh/kg per uur']]]*O$1280</f>
        <v>0.130598020245</v>
      </c>
      <c r="P1208" s="52">
        <f>Database_Overig_Materieel[[#This Row],[Verbruik '[liter/kWh/kg per uur']]]*P$1280</f>
        <v>2.0058526950000002E-2</v>
      </c>
      <c r="Q1208" s="52">
        <f>Database_Overig_Materieel[[#This Row],[Verbruik '[liter/kWh/kg per uur']]]*Q$1280</f>
        <v>16.787820541800002</v>
      </c>
      <c r="R1208" s="52">
        <f>Database_Overig_Materieel[[#This Row],[Verbruik '[liter/kWh/kg per uur']]]*R$1280</f>
        <v>0.33495212982</v>
      </c>
      <c r="S1208" s="52">
        <f>Database_Overig_Materieel[[#This Row],[Verbruik '[liter/kWh/kg per uur']]]*S$1280</f>
        <v>1126.24455405</v>
      </c>
      <c r="T1208" s="52">
        <f>Database_Overig_Materieel[[#This Row],[Verbruik '[liter/kWh/kg per uur']]]*T$1280</f>
        <v>6.0297789090000005E-2</v>
      </c>
      <c r="U1208" s="52"/>
      <c r="V1208" s="52"/>
      <c r="W1208" s="52"/>
      <c r="X1208" s="52"/>
      <c r="Y1208" s="52"/>
      <c r="Z1208" s="52"/>
      <c r="AA1208" s="52"/>
      <c r="AB1208" s="52"/>
      <c r="AC1208" s="52"/>
      <c r="AD1208" s="52"/>
      <c r="AE1208" s="52"/>
      <c r="AF1208" s="52"/>
      <c r="AG1208" s="52"/>
      <c r="AH1208" s="52"/>
      <c r="AI1208" s="52"/>
      <c r="AJ1208" s="52"/>
      <c r="AK1208" s="52"/>
      <c r="AL1208" s="52"/>
      <c r="AM1208" s="52"/>
      <c r="AN1208" s="52"/>
      <c r="AO1208" s="52"/>
      <c r="AP1208" s="52">
        <f>Database_Overig_Materieel[[#This Row],[Verbruik '[liter/kWh/kg per uur']]]*AP$1280</f>
        <v>7.7388477936000006</v>
      </c>
      <c r="AQ1208" s="52"/>
      <c r="AR1208" s="52"/>
      <c r="AS1208" s="52">
        <f>Database_Overig_Materieel[[#This Row],[Verbruik '[liter/kWh/kg per uur']]]*AS$1280</f>
        <v>1041.795381165</v>
      </c>
      <c r="AT1208" s="52"/>
      <c r="AU1208" s="52"/>
      <c r="AV1208" s="52"/>
      <c r="AW1208" s="52">
        <f>Database_Overig_Materieel[[#This Row],[Verbruik '[liter/kWh/kg per uur']]]*AW$1280</f>
        <v>9.8574336630000009E-2</v>
      </c>
      <c r="AX1208" s="52">
        <f>Database_Overig_Materieel[[#This Row],[Verbruik '[liter/kWh/kg per uur']]]*AX$1280</f>
        <v>7.1551510799999999E-3</v>
      </c>
      <c r="AY1208" s="52">
        <f>Database_Overig_Materieel[[#This Row],[Verbruik '[liter/kWh/kg per uur']]]*AY$1280</f>
        <v>1.7557266122550002</v>
      </c>
      <c r="AZ1208" s="52">
        <f>Database_Overig_Materieel[[#This Row],[Verbruik '[liter/kWh/kg per uur']]]*AZ$1280</f>
        <v>0</v>
      </c>
      <c r="BA1208" s="52"/>
      <c r="BB1208" s="52"/>
      <c r="BC1208" s="52"/>
      <c r="BD1208" s="52"/>
      <c r="BE1208" s="52"/>
      <c r="BF1208" s="45"/>
      <c r="BG1208" s="41" t="s">
        <v>271</v>
      </c>
    </row>
    <row r="1209" spans="1:59" x14ac:dyDescent="0.35">
      <c r="A1209" s="41" t="s">
        <v>243</v>
      </c>
      <c r="B1209" s="41" t="s">
        <v>132</v>
      </c>
      <c r="C1209" s="41" t="s">
        <v>451</v>
      </c>
      <c r="D1209" s="41" t="s">
        <v>454</v>
      </c>
      <c r="E1209" s="41" t="s">
        <v>65</v>
      </c>
      <c r="F1209" s="49">
        <f>$F$1198*($I$1198/Database_Overig_Materieel[[#This Row],[Stookwaarde '[MJ/liter']]])</f>
        <v>21.295966767371603</v>
      </c>
      <c r="G1209" s="53">
        <f>Database_Overig_Materieel[[#This Row],[Verbruik '[liter/kWh/kg per uur']]]*G$1281</f>
        <v>5.5434231725488852</v>
      </c>
      <c r="H1209" s="45">
        <v>125</v>
      </c>
      <c r="I1209" s="45">
        <v>33.1</v>
      </c>
      <c r="J1209" s="52">
        <f>Database_Overig_Materieel[[#This Row],[Verbruik '[liter/kWh/kg per uur']]]*J$1281</f>
        <v>1.0890778700800605E-4</v>
      </c>
      <c r="K1209" s="52">
        <f>Database_Overig_Materieel[[#This Row],[Verbruik '[liter/kWh/kg per uur']]]*K$1281</f>
        <v>0.63502296361454691</v>
      </c>
      <c r="L1209" s="52">
        <f>Database_Overig_Materieel[[#This Row],[Verbruik '[liter/kWh/kg per uur']]]*L$1281</f>
        <v>78.263876833019637</v>
      </c>
      <c r="M1209" s="52">
        <f>Database_Overig_Materieel[[#This Row],[Verbruik '[liter/kWh/kg per uur']]]*M$1281</f>
        <v>1.1321383148836858E-6</v>
      </c>
      <c r="N1209" s="52">
        <f>Database_Overig_Materieel[[#This Row],[Verbruik '[liter/kWh/kg per uur']]]*N$1281</f>
        <v>1.5858382388791541E-2</v>
      </c>
      <c r="O1209" s="52">
        <f>Database_Overig_Materieel[[#This Row],[Verbruik '[liter/kWh/kg per uur']]]*O$1281</f>
        <v>9.028041783625379E-2</v>
      </c>
      <c r="P1209" s="52">
        <f>Database_Overig_Materieel[[#This Row],[Verbruik '[liter/kWh/kg per uur']]]*P$1281</f>
        <v>1.5951488355498488E-2</v>
      </c>
      <c r="Q1209" s="52">
        <f>Database_Overig_Materieel[[#This Row],[Verbruik '[liter/kWh/kg per uur']]]*Q$1281</f>
        <v>15.716446261004684</v>
      </c>
      <c r="R1209" s="52">
        <f>Database_Overig_Materieel[[#This Row],[Verbruik '[liter/kWh/kg per uur']]]*R$1281</f>
        <v>0.12671447350844411</v>
      </c>
      <c r="S1209" s="52">
        <f>Database_Overig_Materieel[[#This Row],[Verbruik '[liter/kWh/kg per uur']]]*S$1281</f>
        <v>481.42113948815711</v>
      </c>
      <c r="T1209" s="52">
        <f>Database_Overig_Materieel[[#This Row],[Verbruik '[liter/kWh/kg per uur']]]*T$1281</f>
        <v>6.3596039077567987E-2</v>
      </c>
      <c r="U1209" s="52"/>
      <c r="V1209" s="52"/>
      <c r="W1209" s="52"/>
      <c r="X1209" s="52"/>
      <c r="Y1209" s="52"/>
      <c r="Z1209" s="52"/>
      <c r="AA1209" s="52"/>
      <c r="AB1209" s="52"/>
      <c r="AC1209" s="52"/>
      <c r="AD1209" s="52"/>
      <c r="AE1209" s="52"/>
      <c r="AF1209" s="52"/>
      <c r="AG1209" s="52"/>
      <c r="AH1209" s="52"/>
      <c r="AI1209" s="52"/>
      <c r="AJ1209" s="52"/>
      <c r="AK1209" s="52"/>
      <c r="AL1209" s="52"/>
      <c r="AM1209" s="52"/>
      <c r="AN1209" s="52"/>
      <c r="AO1209" s="52"/>
      <c r="AP1209" s="52">
        <f>Database_Overig_Materieel[[#This Row],[Verbruik '[liter/kWh/kg per uur']]]*AP$1281</f>
        <v>9.4153856047703943</v>
      </c>
      <c r="AQ1209" s="52"/>
      <c r="AR1209" s="52"/>
      <c r="AS1209" s="52">
        <f>Database_Overig_Materieel[[#This Row],[Verbruik '[liter/kWh/kg per uur']]]*AS$1281</f>
        <v>1354.7702273357402</v>
      </c>
      <c r="AT1209" s="52"/>
      <c r="AU1209" s="52"/>
      <c r="AV1209" s="52"/>
      <c r="AW1209" s="52">
        <f>Database_Overig_Materieel[[#This Row],[Verbruik '[liter/kWh/kg per uur']]]*AW$1281</f>
        <v>6.1271669488776444E-2</v>
      </c>
      <c r="AX1209" s="52">
        <f>Database_Overig_Materieel[[#This Row],[Verbruik '[liter/kWh/kg per uur']]]*AX$1281</f>
        <v>2.0945775889848945E-3</v>
      </c>
      <c r="AY1209" s="52">
        <f>Database_Overig_Materieel[[#This Row],[Verbruik '[liter/kWh/kg per uur']]]*AY$1281</f>
        <v>2.3042210487135955</v>
      </c>
      <c r="AZ1209" s="52">
        <f>Database_Overig_Materieel[[#This Row],[Verbruik '[liter/kWh/kg per uur']]]*AZ$1281</f>
        <v>0</v>
      </c>
      <c r="BA1209" s="52"/>
      <c r="BB1209" s="52"/>
      <c r="BC1209" s="52"/>
      <c r="BD1209" s="52"/>
      <c r="BE1209" s="52"/>
      <c r="BF1209" s="45"/>
      <c r="BG1209" s="41" t="s">
        <v>271</v>
      </c>
    </row>
    <row r="1210" spans="1:59" x14ac:dyDescent="0.35">
      <c r="A1210" s="41" t="s">
        <v>244</v>
      </c>
      <c r="B1210" s="41" t="s">
        <v>132</v>
      </c>
      <c r="C1210" s="41" t="s">
        <v>451</v>
      </c>
      <c r="D1210" s="41" t="s">
        <v>454</v>
      </c>
      <c r="E1210" s="41" t="s">
        <v>65</v>
      </c>
      <c r="F1210" s="49">
        <f>$F$1198*($I$1198/Database_Overig_Materieel[[#This Row],[Stookwaarde '[MJ/liter']]])</f>
        <v>20.550918367346942</v>
      </c>
      <c r="G1210" s="53">
        <f>Database_Overig_Materieel[[#This Row],[Verbruik '[liter/kWh/kg per uur']]]*G$1282</f>
        <v>4.386188663834985</v>
      </c>
      <c r="H1210" s="45">
        <v>125</v>
      </c>
      <c r="I1210" s="45">
        <v>34.299999999999997</v>
      </c>
      <c r="J1210" s="52">
        <f>Database_Overig_Materieel[[#This Row],[Verbruik '[liter/kWh/kg per uur']]]*J$1282</f>
        <v>7.9708175452040825E-5</v>
      </c>
      <c r="K1210" s="52">
        <f>Database_Overig_Materieel[[#This Row],[Verbruik '[liter/kWh/kg per uur']]]*K$1282</f>
        <v>0.17351060228969392</v>
      </c>
      <c r="L1210" s="52">
        <f>Database_Overig_Materieel[[#This Row],[Verbruik '[liter/kWh/kg per uur']]]*L$1282</f>
        <v>29.585531595826534</v>
      </c>
      <c r="M1210" s="52">
        <f>Database_Overig_Materieel[[#This Row],[Verbruik '[liter/kWh/kg per uur']]]*M$1282</f>
        <v>2.8295942972448983E-6</v>
      </c>
      <c r="N1210" s="52">
        <f>Database_Overig_Materieel[[#This Row],[Verbruik '[liter/kWh/kg per uur']]]*N$1282</f>
        <v>2.4115598463673473E-2</v>
      </c>
      <c r="O1210" s="52">
        <f>Database_Overig_Materieel[[#This Row],[Verbruik '[liter/kWh/kg per uur']]]*O$1282</f>
        <v>0.18486831393642858</v>
      </c>
      <c r="P1210" s="52">
        <f>Database_Overig_Materieel[[#This Row],[Verbruik '[liter/kWh/kg per uur']]]*P$1282</f>
        <v>9.1682044733265314E-2</v>
      </c>
      <c r="Q1210" s="52">
        <f>Database_Overig_Materieel[[#This Row],[Verbruik '[liter/kWh/kg per uur']]]*Q$1282</f>
        <v>16.430020472586737</v>
      </c>
      <c r="R1210" s="52">
        <f>Database_Overig_Materieel[[#This Row],[Verbruik '[liter/kWh/kg per uur']]]*R$1282</f>
        <v>11.699088294973471</v>
      </c>
      <c r="S1210" s="52">
        <f>Database_Overig_Materieel[[#This Row],[Verbruik '[liter/kWh/kg per uur']]]*S$1282</f>
        <v>984.98151387428584</v>
      </c>
      <c r="T1210" s="52">
        <f>Database_Overig_Materieel[[#This Row],[Verbruik '[liter/kWh/kg per uur']]]*T$1282</f>
        <v>5.0222143182581638</v>
      </c>
      <c r="U1210" s="52"/>
      <c r="V1210" s="52"/>
      <c r="W1210" s="52"/>
      <c r="X1210" s="52"/>
      <c r="Y1210" s="52"/>
      <c r="Z1210" s="52"/>
      <c r="AA1210" s="52"/>
      <c r="AB1210" s="52"/>
      <c r="AC1210" s="52"/>
      <c r="AD1210" s="52"/>
      <c r="AE1210" s="52"/>
      <c r="AF1210" s="52"/>
      <c r="AG1210" s="52"/>
      <c r="AH1210" s="52"/>
      <c r="AI1210" s="52"/>
      <c r="AJ1210" s="52"/>
      <c r="AK1210" s="52"/>
      <c r="AL1210" s="52"/>
      <c r="AM1210" s="52"/>
      <c r="AN1210" s="52"/>
      <c r="AO1210" s="52"/>
      <c r="AP1210" s="52">
        <f>Database_Overig_Materieel[[#This Row],[Verbruik '[liter/kWh/kg per uur']]]*AP$1282</f>
        <v>161.39257859158164</v>
      </c>
      <c r="AQ1210" s="52"/>
      <c r="AR1210" s="52"/>
      <c r="AS1210" s="52">
        <f>Database_Overig_Materieel[[#This Row],[Verbruik '[liter/kWh/kg per uur']]]*AS$1282</f>
        <v>366.63017160336739</v>
      </c>
      <c r="AT1210" s="52"/>
      <c r="AU1210" s="52"/>
      <c r="AV1210" s="52"/>
      <c r="AW1210" s="52">
        <f>Database_Overig_Materieel[[#This Row],[Verbruik '[liter/kWh/kg per uur']]]*AW$1282</f>
        <v>1.2588531836403063</v>
      </c>
      <c r="AX1210" s="52">
        <f>Database_Overig_Materieel[[#This Row],[Verbruik '[liter/kWh/kg per uur']]]*AX$1282</f>
        <v>2.1270406019387759E-3</v>
      </c>
      <c r="AY1210" s="52">
        <f>Database_Overig_Materieel[[#This Row],[Verbruik '[liter/kWh/kg per uur']]]*AY$1282</f>
        <v>5.8094546489908172</v>
      </c>
      <c r="AZ1210" s="52">
        <f>Database_Overig_Materieel[[#This Row],[Verbruik '[liter/kWh/kg per uur']]]*AZ$1282</f>
        <v>0</v>
      </c>
      <c r="BA1210" s="52"/>
      <c r="BB1210" s="52"/>
      <c r="BC1210" s="52"/>
      <c r="BD1210" s="52"/>
      <c r="BE1210" s="52"/>
      <c r="BF1210" s="45"/>
      <c r="BG1210" s="41" t="s">
        <v>271</v>
      </c>
    </row>
    <row r="1211" spans="1:59" x14ac:dyDescent="0.35">
      <c r="A1211" s="41" t="s">
        <v>245</v>
      </c>
      <c r="B1211" s="41" t="s">
        <v>132</v>
      </c>
      <c r="C1211" s="41" t="s">
        <v>451</v>
      </c>
      <c r="D1211" s="41" t="s">
        <v>454</v>
      </c>
      <c r="E1211" s="41" t="s">
        <v>65</v>
      </c>
      <c r="F1211" s="49">
        <f>$F$1198*($I$1198/Database_Overig_Materieel[[#This Row],[Stookwaarde '[MJ/liter']]])</f>
        <v>20.431782608695652</v>
      </c>
      <c r="G1211" s="53">
        <f>Database_Overig_Materieel[[#This Row],[Verbruik '[liter/kWh/kg per uur']]]*G$1283</f>
        <v>5.777181906571867</v>
      </c>
      <c r="H1211" s="45">
        <v>125</v>
      </c>
      <c r="I1211" s="45">
        <v>34.5</v>
      </c>
      <c r="J1211" s="52">
        <f>Database_Overig_Materieel[[#This Row],[Verbruik '[liter/kWh/kg per uur']]]*J$1283</f>
        <v>4.5761676462173912E-5</v>
      </c>
      <c r="K1211" s="52">
        <f>Database_Overig_Materieel[[#This Row],[Verbruik '[liter/kWh/kg per uur']]]*K$1283</f>
        <v>0.11305252657695652</v>
      </c>
      <c r="L1211" s="52">
        <f>Database_Overig_Materieel[[#This Row],[Verbruik '[liter/kWh/kg per uur']]]*L$1283</f>
        <v>28.207755383834783</v>
      </c>
      <c r="M1211" s="52">
        <f>Database_Overig_Materieel[[#This Row],[Verbruik '[liter/kWh/kg per uur']]]*M$1283</f>
        <v>1.7719075263521738E-6</v>
      </c>
      <c r="N1211" s="52">
        <f>Database_Overig_Materieel[[#This Row],[Verbruik '[liter/kWh/kg per uur']]]*N$1283</f>
        <v>2.0496755677391305E-2</v>
      </c>
      <c r="O1211" s="52">
        <f>Database_Overig_Materieel[[#This Row],[Verbruik '[liter/kWh/kg per uur']]]*O$1283</f>
        <v>0.10139770655060869</v>
      </c>
      <c r="P1211" s="52">
        <f>Database_Overig_Materieel[[#This Row],[Verbruik '[liter/kWh/kg per uur']]]*P$1283</f>
        <v>4.4574855505782607E-2</v>
      </c>
      <c r="Q1211" s="52">
        <f>Database_Overig_Materieel[[#This Row],[Verbruik '[liter/kWh/kg per uur']]]*Q$1283</f>
        <v>15.861496455419999</v>
      </c>
      <c r="R1211" s="52">
        <f>Database_Overig_Materieel[[#This Row],[Verbruik '[liter/kWh/kg per uur']]]*R$1283</f>
        <v>10.412311224867391</v>
      </c>
      <c r="S1211" s="52">
        <f>Database_Overig_Materieel[[#This Row],[Verbruik '[liter/kWh/kg per uur']]]*S$1283</f>
        <v>688.41203563239139</v>
      </c>
      <c r="T1211" s="52">
        <f>Database_Overig_Materieel[[#This Row],[Verbruik '[liter/kWh/kg per uur']]]*T$1283</f>
        <v>4.5953579937147824</v>
      </c>
      <c r="U1211" s="52"/>
      <c r="V1211" s="52"/>
      <c r="W1211" s="52"/>
      <c r="X1211" s="52"/>
      <c r="Y1211" s="52"/>
      <c r="Z1211" s="52"/>
      <c r="AA1211" s="52"/>
      <c r="AB1211" s="52"/>
      <c r="AC1211" s="52"/>
      <c r="AD1211" s="52"/>
      <c r="AE1211" s="52"/>
      <c r="AF1211" s="52"/>
      <c r="AG1211" s="52"/>
      <c r="AH1211" s="52"/>
      <c r="AI1211" s="52"/>
      <c r="AJ1211" s="52"/>
      <c r="AK1211" s="52"/>
      <c r="AL1211" s="52"/>
      <c r="AM1211" s="52"/>
      <c r="AN1211" s="52"/>
      <c r="AO1211" s="52"/>
      <c r="AP1211" s="52">
        <f>Database_Overig_Materieel[[#This Row],[Verbruik '[liter/kWh/kg per uur']]]*AP$1283</f>
        <v>50.543802606621739</v>
      </c>
      <c r="AQ1211" s="52"/>
      <c r="AR1211" s="52"/>
      <c r="AS1211" s="52">
        <f>Database_Overig_Materieel[[#This Row],[Verbruik '[liter/kWh/kg per uur']]]*AS$1283</f>
        <v>237.2820759439565</v>
      </c>
      <c r="AT1211" s="52"/>
      <c r="AU1211" s="52"/>
      <c r="AV1211" s="52"/>
      <c r="AW1211" s="52">
        <f>Database_Overig_Materieel[[#This Row],[Verbruik '[liter/kWh/kg per uur']]]*AW$1283</f>
        <v>0.39787635717930436</v>
      </c>
      <c r="AX1211" s="52">
        <f>Database_Overig_Materieel[[#This Row],[Verbruik '[liter/kWh/kg per uur']]]*AX$1283</f>
        <v>1.2923020772869567E-3</v>
      </c>
      <c r="AY1211" s="52">
        <f>Database_Overig_Materieel[[#This Row],[Verbruik '[liter/kWh/kg per uur']]]*AY$1283</f>
        <v>5.0131011129865213</v>
      </c>
      <c r="AZ1211" s="52">
        <f>Database_Overig_Materieel[[#This Row],[Verbruik '[liter/kWh/kg per uur']]]*AZ$1283</f>
        <v>0</v>
      </c>
      <c r="BA1211" s="52"/>
      <c r="BB1211" s="52"/>
      <c r="BC1211" s="52"/>
      <c r="BD1211" s="52"/>
      <c r="BE1211" s="52"/>
      <c r="BF1211" s="45"/>
      <c r="BG1211" s="41" t="s">
        <v>271</v>
      </c>
    </row>
    <row r="1212" spans="1:59" x14ac:dyDescent="0.35">
      <c r="A1212" s="41" t="s">
        <v>246</v>
      </c>
      <c r="B1212" s="41" t="s">
        <v>132</v>
      </c>
      <c r="C1212" s="41" t="s">
        <v>451</v>
      </c>
      <c r="D1212" s="41" t="s">
        <v>454</v>
      </c>
      <c r="E1212" s="41" t="s">
        <v>65</v>
      </c>
      <c r="F1212" s="49">
        <f>$F$1198*($I$1198/Database_Overig_Materieel[[#This Row],[Stookwaarde '[MJ/liter']]])</f>
        <v>20.491177325581397</v>
      </c>
      <c r="G1212" s="54">
        <f>Database_Overig_Materieel[[#This Row],[Verbruik '[liter/kWh/kg per uur']]]*G$1284</f>
        <v>1.4117755268726815</v>
      </c>
      <c r="H1212" s="45">
        <v>125</v>
      </c>
      <c r="I1212" s="45">
        <v>34.4</v>
      </c>
      <c r="J1212" s="55">
        <f>Database_Overig_Materieel[[#This Row],[Verbruik '[liter/kWh/kg per uur']]]*J$1284</f>
        <v>2.8021465122399859E-5</v>
      </c>
      <c r="K1212" s="55">
        <f>Database_Overig_Materieel[[#This Row],[Verbruik '[liter/kWh/kg per uur']]]*K$1284</f>
        <v>7.686870198011457E-2</v>
      </c>
      <c r="L1212" s="55">
        <f>Database_Overig_Materieel[[#This Row],[Verbruik '[liter/kWh/kg per uur']]]*L$1284</f>
        <v>8.1795710596103408</v>
      </c>
      <c r="M1212" s="55">
        <f>Database_Overig_Materieel[[#This Row],[Verbruik '[liter/kWh/kg per uur']]]*M$1284</f>
        <v>1.0554091533898257E-6</v>
      </c>
      <c r="N1212" s="55">
        <f>Database_Overig_Materieel[[#This Row],[Verbruik '[liter/kWh/kg per uur']]]*N$1284</f>
        <v>9.0279443449837078E-3</v>
      </c>
      <c r="O1212" s="55">
        <f>Database_Overig_Materieel[[#This Row],[Verbruik '[liter/kWh/kg per uur']]]*O$1284</f>
        <v>4.1825062119873448E-2</v>
      </c>
      <c r="P1212" s="55">
        <f>Database_Overig_Materieel[[#This Row],[Verbruik '[liter/kWh/kg per uur']]]*P$1284</f>
        <v>7.5815130678779791E-3</v>
      </c>
      <c r="Q1212" s="55">
        <f>Database_Overig_Materieel[[#This Row],[Verbruik '[liter/kWh/kg per uur']]]*Q$1284</f>
        <v>7.9245547074754805</v>
      </c>
      <c r="R1212" s="55">
        <f>Database_Overig_Materieel[[#This Row],[Verbruik '[liter/kWh/kg per uur']]]*R$1284</f>
        <v>5.7283914134888314E-2</v>
      </c>
      <c r="S1212" s="55">
        <f>Database_Overig_Materieel[[#This Row],[Verbruik '[liter/kWh/kg per uur']]]*S$1284</f>
        <v>197.14645014059971</v>
      </c>
      <c r="T1212" s="55">
        <f>Database_Overig_Materieel[[#This Row],[Verbruik '[liter/kWh/kg per uur']]]*T$1284</f>
        <v>3.7149916186504379E-2</v>
      </c>
      <c r="U1212" s="55"/>
      <c r="V1212" s="55"/>
      <c r="W1212" s="55"/>
      <c r="X1212" s="55"/>
      <c r="Y1212" s="55"/>
      <c r="Z1212" s="55"/>
      <c r="AA1212" s="55"/>
      <c r="AB1212" s="55"/>
      <c r="AC1212" s="55"/>
      <c r="AD1212" s="55"/>
      <c r="AE1212" s="55"/>
      <c r="AF1212" s="55"/>
      <c r="AG1212" s="55"/>
      <c r="AH1212" s="55"/>
      <c r="AI1212" s="55"/>
      <c r="AJ1212" s="55"/>
      <c r="AK1212" s="55"/>
      <c r="AL1212" s="55"/>
      <c r="AM1212" s="55"/>
      <c r="AN1212" s="55"/>
      <c r="AO1212" s="55"/>
      <c r="AP1212" s="55">
        <f>Database_Overig_Materieel[[#This Row],[Verbruik '[liter/kWh/kg per uur']]]*AP$1284</f>
        <v>5.2851643292113213</v>
      </c>
      <c r="AQ1212" s="55"/>
      <c r="AR1212" s="55"/>
      <c r="AS1212" s="55">
        <f>Database_Overig_Materieel[[#This Row],[Verbruik '[liter/kWh/kg per uur']]]*AS$1284</f>
        <v>162.01135161192164</v>
      </c>
      <c r="AT1212" s="55"/>
      <c r="AU1212" s="55"/>
      <c r="AV1212" s="55"/>
      <c r="AW1212" s="55">
        <f>Database_Overig_Materieel[[#This Row],[Verbruik '[liter/kWh/kg per uur']]]*AW$1284</f>
        <v>4.0696900980674168E-2</v>
      </c>
      <c r="AX1212" s="55">
        <f>Database_Overig_Materieel[[#This Row],[Verbruik '[liter/kWh/kg per uur']]]*AX$1284</f>
        <v>6.5699324713344557E-4</v>
      </c>
      <c r="AY1212" s="55">
        <f>Database_Overig_Materieel[[#This Row],[Verbruik '[liter/kWh/kg per uur']]]*AY$1284</f>
        <v>1.5386260968668217</v>
      </c>
      <c r="AZ1212" s="55">
        <f>Database_Overig_Materieel[[#This Row],[Verbruik '[liter/kWh/kg per uur']]]*AZ$1284</f>
        <v>3.9461322836109591E-4</v>
      </c>
      <c r="BA1212" s="55"/>
      <c r="BB1212" s="55"/>
      <c r="BC1212" s="55"/>
      <c r="BD1212" s="55"/>
      <c r="BE1212" s="55"/>
      <c r="BF1212" s="45"/>
      <c r="BG1212" s="41" t="s">
        <v>271</v>
      </c>
    </row>
    <row r="1213" spans="1:59" x14ac:dyDescent="0.35">
      <c r="A1213" s="45" t="s">
        <v>294</v>
      </c>
      <c r="B1213" s="41" t="s">
        <v>132</v>
      </c>
      <c r="C1213" s="41" t="s">
        <v>451</v>
      </c>
      <c r="D1213" s="41" t="s">
        <v>454</v>
      </c>
      <c r="E1213" s="41" t="s">
        <v>65</v>
      </c>
      <c r="F1213" s="60">
        <f>F1198*3.1</f>
        <v>60.868500000000004</v>
      </c>
      <c r="G1213" s="54">
        <f>Database_Overig_Materieel[[#This Row],[Verbruik '[liter/kWh/kg per uur']]]*G$1285</f>
        <v>3.9562054956270005</v>
      </c>
      <c r="H1213" s="45">
        <v>125</v>
      </c>
      <c r="I1213" s="45">
        <v>3.6</v>
      </c>
      <c r="J1213" s="55">
        <f>Database_Overig_Materieel[[#This Row],[Verbruik '[liter/kWh/kg per uur']]]*J$1285</f>
        <v>1.0895461500000001E-3</v>
      </c>
      <c r="K1213" s="55">
        <f>Database_Overig_Materieel[[#This Row],[Verbruik '[liter/kWh/kg per uur']]]*K$1285</f>
        <v>9.5563545000000014E-2</v>
      </c>
      <c r="L1213" s="55">
        <f>Database_Overig_Materieel[[#This Row],[Verbruik '[liter/kWh/kg per uur']]]*L$1285</f>
        <v>13.695412500000002</v>
      </c>
      <c r="M1213" s="55">
        <f>Database_Overig_Materieel[[#This Row],[Verbruik '[liter/kWh/kg per uur']]]*M$1285</f>
        <v>1.3756281000000001E-6</v>
      </c>
      <c r="N1213" s="55">
        <f>Database_Overig_Materieel[[#This Row],[Verbruik '[liter/kWh/kg per uur']]]*N$1285</f>
        <v>1.7834470500000001E-2</v>
      </c>
      <c r="O1213" s="55">
        <f>Database_Overig_Materieel[[#This Row],[Verbruik '[liter/kWh/kg per uur']]]*O$1285</f>
        <v>0.13086727500000001</v>
      </c>
      <c r="P1213" s="55">
        <f>Database_Overig_Materieel[[#This Row],[Verbruik '[liter/kWh/kg per uur']]]*P$1285</f>
        <v>1.8504024000000001E-2</v>
      </c>
      <c r="Q1213" s="55">
        <f>Database_Overig_Materieel[[#This Row],[Verbruik '[liter/kWh/kg per uur']]]*Q$1285</f>
        <v>25.8691125</v>
      </c>
      <c r="R1213" s="55">
        <f>Database_Overig_Materieel[[#This Row],[Verbruik '[liter/kWh/kg per uur']]]*R$1285</f>
        <v>0.42851424000000005</v>
      </c>
      <c r="S1213" s="55">
        <f>Database_Overig_Materieel[[#This Row],[Verbruik '[liter/kWh/kg per uur']]]*S$1285</f>
        <v>1406.0623500000002</v>
      </c>
      <c r="T1213" s="55">
        <f>Database_Overig_Materieel[[#This Row],[Verbruik '[liter/kWh/kg per uur']]]*T$1285</f>
        <v>0.80955105000000005</v>
      </c>
      <c r="U1213" s="55"/>
      <c r="V1213" s="55"/>
      <c r="W1213" s="55"/>
      <c r="X1213" s="55"/>
      <c r="Y1213" s="55"/>
      <c r="Z1213" s="55"/>
      <c r="AA1213" s="55"/>
      <c r="AB1213" s="55"/>
      <c r="AC1213" s="55"/>
      <c r="AD1213" s="55"/>
      <c r="AE1213" s="55"/>
      <c r="AF1213" s="55"/>
      <c r="AG1213" s="55"/>
      <c r="AH1213" s="55"/>
      <c r="AI1213" s="55"/>
      <c r="AJ1213" s="55"/>
      <c r="AK1213" s="55"/>
      <c r="AL1213" s="55"/>
      <c r="AM1213" s="55"/>
      <c r="AN1213" s="55"/>
      <c r="AO1213" s="55"/>
      <c r="AP1213" s="55">
        <f>Database_Overig_Materieel[[#This Row],[Verbruik '[liter/kWh/kg per uur']]]*AP$1285</f>
        <v>529.55595000000005</v>
      </c>
      <c r="AQ1213" s="55"/>
      <c r="AR1213" s="55"/>
      <c r="AS1213" s="55">
        <f>Database_Overig_Materieel[[#This Row],[Verbruik '[liter/kWh/kg per uur']]]*AS$1285</f>
        <v>186.86629500000001</v>
      </c>
      <c r="AT1213" s="55"/>
      <c r="AU1213" s="55"/>
      <c r="AV1213" s="55"/>
      <c r="AW1213" s="55">
        <f>Database_Overig_Materieel[[#This Row],[Verbruik '[liter/kWh/kg per uur']]]*AW$1285</f>
        <v>529.55595000000005</v>
      </c>
      <c r="AX1213" s="55">
        <f>Database_Overig_Materieel[[#This Row],[Verbruik '[liter/kWh/kg per uur']]]*AX$1285</f>
        <v>2.4956085E-3</v>
      </c>
      <c r="AY1213" s="55">
        <f>Database_Overig_Materieel[[#This Row],[Verbruik '[liter/kWh/kg per uur']]]*AY$1285</f>
        <v>4.6320928500000003</v>
      </c>
      <c r="AZ1213" s="55">
        <f>Database_Overig_Materieel[[#This Row],[Verbruik '[liter/kWh/kg per uur']]]*AZ$1285</f>
        <v>5.4903387000000009E-4</v>
      </c>
      <c r="BA1213" s="55"/>
      <c r="BB1213" s="55"/>
      <c r="BC1213" s="55"/>
      <c r="BD1213" s="55"/>
      <c r="BE1213" s="55"/>
      <c r="BF1213" s="45" t="s">
        <v>277</v>
      </c>
      <c r="BG1213" s="45" t="s">
        <v>276</v>
      </c>
    </row>
    <row r="1214" spans="1:59" x14ac:dyDescent="0.35">
      <c r="A1214" s="45" t="s">
        <v>295</v>
      </c>
      <c r="B1214" s="41" t="s">
        <v>132</v>
      </c>
      <c r="C1214" s="41" t="s">
        <v>451</v>
      </c>
      <c r="D1214" s="41" t="s">
        <v>454</v>
      </c>
      <c r="E1214" s="41" t="s">
        <v>65</v>
      </c>
      <c r="F1214" s="60">
        <f>F1198*3.1</f>
        <v>60.868500000000004</v>
      </c>
      <c r="G1214" s="54">
        <f>Database_Overig_Materieel[[#This Row],[Verbruik '[liter/kWh/kg per uur']]]*G$1286</f>
        <v>5.0759648821035004</v>
      </c>
      <c r="H1214" s="45">
        <v>125</v>
      </c>
      <c r="I1214" s="45">
        <v>3.6</v>
      </c>
      <c r="J1214" s="55">
        <f>Database_Overig_Materieel[[#This Row],[Verbruik '[liter/kWh/kg per uur']]]*J$1286</f>
        <v>8.5824585000000007E-4</v>
      </c>
      <c r="K1214" s="55">
        <f>Database_Overig_Materieel[[#This Row],[Verbruik '[liter/kWh/kg per uur']]]*K$1286</f>
        <v>0.35486335500000005</v>
      </c>
      <c r="L1214" s="55">
        <f>Database_Overig_Materieel[[#This Row],[Verbruik '[liter/kWh/kg per uur']]]*L$1286</f>
        <v>42.181870500000002</v>
      </c>
      <c r="M1214" s="55">
        <f>Database_Overig_Materieel[[#This Row],[Verbruik '[liter/kWh/kg per uur']]]*M$1286</f>
        <v>2.9521222500000001E-6</v>
      </c>
      <c r="N1214" s="55">
        <f>Database_Overig_Materieel[[#This Row],[Verbruik '[liter/kWh/kg per uur']]]*N$1286</f>
        <v>1.5947547000000003E-2</v>
      </c>
      <c r="O1214" s="55">
        <f>Database_Overig_Materieel[[#This Row],[Verbruik '[liter/kWh/kg per uur']]]*O$1286</f>
        <v>0.12660647999999999</v>
      </c>
      <c r="P1214" s="55">
        <f>Database_Overig_Materieel[[#This Row],[Verbruik '[liter/kWh/kg per uur']]]*P$1286</f>
        <v>1.51562565E-2</v>
      </c>
      <c r="Q1214" s="55">
        <f>Database_Overig_Materieel[[#This Row],[Verbruik '[liter/kWh/kg per uur']]]*Q$1286</f>
        <v>22.703950500000001</v>
      </c>
      <c r="R1214" s="55">
        <f>Database_Overig_Materieel[[#This Row],[Verbruik '[liter/kWh/kg per uur']]]*R$1286</f>
        <v>0.36277626000000002</v>
      </c>
      <c r="S1214" s="55">
        <f>Database_Overig_Materieel[[#This Row],[Verbruik '[liter/kWh/kg per uur']]]*S$1286</f>
        <v>1326.9333000000001</v>
      </c>
      <c r="T1214" s="55">
        <f>Database_Overig_Materieel[[#This Row],[Verbruik '[liter/kWh/kg per uur']]]*T$1286</f>
        <v>0.80346420000000007</v>
      </c>
      <c r="U1214" s="55"/>
      <c r="V1214" s="55"/>
      <c r="W1214" s="55"/>
      <c r="X1214" s="55"/>
      <c r="Y1214" s="55"/>
      <c r="Z1214" s="55"/>
      <c r="AA1214" s="55"/>
      <c r="AB1214" s="55"/>
      <c r="AC1214" s="55"/>
      <c r="AD1214" s="55"/>
      <c r="AE1214" s="55"/>
      <c r="AF1214" s="55"/>
      <c r="AG1214" s="55"/>
      <c r="AH1214" s="55"/>
      <c r="AI1214" s="55"/>
      <c r="AJ1214" s="55"/>
      <c r="AK1214" s="55"/>
      <c r="AL1214" s="55"/>
      <c r="AM1214" s="55"/>
      <c r="AN1214" s="55"/>
      <c r="AO1214" s="55"/>
      <c r="AP1214" s="55">
        <f>Database_Overig_Materieel[[#This Row],[Verbruik '[liter/kWh/kg per uur']]]*AP$1286</f>
        <v>14.5475715</v>
      </c>
      <c r="AQ1214" s="55"/>
      <c r="AR1214" s="55"/>
      <c r="AS1214" s="55">
        <f>Database_Overig_Materieel[[#This Row],[Verbruik '[liter/kWh/kg per uur']]]*AS$1286</f>
        <v>663.46665000000007</v>
      </c>
      <c r="AT1214" s="55"/>
      <c r="AU1214" s="55"/>
      <c r="AV1214" s="55"/>
      <c r="AW1214" s="55">
        <f>Database_Overig_Materieel[[#This Row],[Verbruik '[liter/kWh/kg per uur']]]*AW$1286</f>
        <v>14.5475715</v>
      </c>
      <c r="AX1214" s="55">
        <f>Database_Overig_Materieel[[#This Row],[Verbruik '[liter/kWh/kg per uur']]]*AX$1286</f>
        <v>1.9599656999999999E-3</v>
      </c>
      <c r="AY1214" s="55">
        <f>Database_Overig_Materieel[[#This Row],[Verbruik '[liter/kWh/kg per uur']]]*AY$1286</f>
        <v>3.4512439500000003</v>
      </c>
      <c r="AZ1214" s="55">
        <f>Database_Overig_Materieel[[#This Row],[Verbruik '[liter/kWh/kg per uur']]]*AZ$1286</f>
        <v>5.6364231E-4</v>
      </c>
      <c r="BA1214" s="55"/>
      <c r="BB1214" s="55"/>
      <c r="BC1214" s="55"/>
      <c r="BD1214" s="55"/>
      <c r="BE1214" s="55"/>
      <c r="BF1214" s="45" t="s">
        <v>277</v>
      </c>
      <c r="BG1214" s="45" t="s">
        <v>276</v>
      </c>
    </row>
    <row r="1215" spans="1:59" x14ac:dyDescent="0.35">
      <c r="A1215" s="45" t="s">
        <v>370</v>
      </c>
      <c r="B1215" s="45" t="s">
        <v>132</v>
      </c>
      <c r="C1215" s="41" t="s">
        <v>451</v>
      </c>
      <c r="D1215" s="41" t="s">
        <v>455</v>
      </c>
      <c r="E1215" s="45" t="s">
        <v>65</v>
      </c>
      <c r="F1215" s="45">
        <v>63.99</v>
      </c>
      <c r="G1215" s="54">
        <f>Database_Overig_Materieel[[#This Row],[Verbruik '[liter/kWh/kg per uur']]]*G$1270</f>
        <v>20.393580395164587</v>
      </c>
      <c r="H1215" s="132">
        <v>100</v>
      </c>
      <c r="I1215" s="45">
        <v>35.9</v>
      </c>
      <c r="J1215" s="55">
        <f>Database_Overig_Materieel[[#This Row],[Verbruik '[liter/kWh/kg per uur']]]*J$1270</f>
        <v>1.030239E-4</v>
      </c>
      <c r="K1215" s="55">
        <f>Database_Overig_Materieel[[#This Row],[Verbruik '[liter/kWh/kg per uur']]]*K$1270</f>
        <v>1.5037463789100001</v>
      </c>
      <c r="L1215" s="55">
        <f>Database_Overig_Materieel[[#This Row],[Verbruik '[liter/kWh/kg per uur']]]*L$1270</f>
        <v>220.088479401</v>
      </c>
      <c r="M1215" s="55">
        <f>Database_Overig_Materieel[[#This Row],[Verbruik '[liter/kWh/kg per uur']]]*M$1270</f>
        <v>3.8330010000000001E-5</v>
      </c>
      <c r="N1215" s="55">
        <f>Database_Overig_Materieel[[#This Row],[Verbruik '[liter/kWh/kg per uur']]]*N$1270</f>
        <v>7.2462659940000007E-2</v>
      </c>
      <c r="O1215" s="55">
        <f>Database_Overig_Materieel[[#This Row],[Verbruik '[liter/kWh/kg per uur']]]*O$1270</f>
        <v>0.64549208609999997</v>
      </c>
      <c r="P1215" s="55">
        <f>Database_Overig_Materieel[[#This Row],[Verbruik '[liter/kWh/kg per uur']]]*P$1270</f>
        <v>0.12350242773</v>
      </c>
      <c r="Q1215" s="55">
        <f>Database_Overig_Materieel[[#This Row],[Verbruik '[liter/kWh/kg per uur']]]*Q$1270</f>
        <v>54.488010357900002</v>
      </c>
      <c r="R1215" s="55">
        <f>Database_Overig_Materieel[[#This Row],[Verbruik '[liter/kWh/kg per uur']]]*R$1270</f>
        <v>1.07906516172</v>
      </c>
      <c r="S1215" s="55">
        <f>Database_Overig_Materieel[[#This Row],[Verbruik '[liter/kWh/kg per uur']]]*S$1270</f>
        <v>3610.5276708900001</v>
      </c>
      <c r="T1215" s="55">
        <f>Database_Overig_Materieel[[#This Row],[Verbruik '[liter/kWh/kg per uur']]]*T$1270</f>
        <v>0.19382199857999999</v>
      </c>
      <c r="U1215" s="55"/>
      <c r="V1215" s="55"/>
      <c r="W1215" s="55"/>
      <c r="X1215" s="55"/>
      <c r="Y1215" s="55"/>
      <c r="Z1215" s="55"/>
      <c r="AA1215" s="55"/>
      <c r="AB1215" s="55"/>
      <c r="AC1215" s="55"/>
      <c r="AD1215" s="55"/>
      <c r="AE1215" s="55"/>
      <c r="AF1215" s="55"/>
      <c r="AG1215" s="55"/>
      <c r="AH1215" s="55"/>
      <c r="AI1215" s="55"/>
      <c r="AJ1215" s="55"/>
      <c r="AK1215" s="55"/>
      <c r="AL1215" s="55"/>
      <c r="AM1215" s="55"/>
      <c r="AN1215" s="55"/>
      <c r="AO1215" s="55"/>
      <c r="AP1215" s="55">
        <f>Database_Overig_Materieel[[#This Row],[Verbruik '[liter/kWh/kg per uur']]]*AP$1270</f>
        <v>24.476901286499999</v>
      </c>
      <c r="AQ1215" s="55"/>
      <c r="AR1215" s="55"/>
      <c r="AS1215" s="55">
        <f>Database_Overig_Materieel[[#This Row],[Verbruik '[liter/kWh/kg per uur']]]*AS$1270</f>
        <v>3356.48577114</v>
      </c>
      <c r="AT1215" s="55"/>
      <c r="AU1215" s="55"/>
      <c r="AV1215" s="55"/>
      <c r="AW1215" s="55">
        <f>Database_Overig_Materieel[[#This Row],[Verbruik '[liter/kWh/kg per uur']]]*AW$1270</f>
        <v>0.31710007737000001</v>
      </c>
      <c r="AX1215" s="55">
        <f>Database_Overig_Materieel[[#This Row],[Verbruik '[liter/kWh/kg per uur']]]*AX$1270</f>
        <v>2.3170842989999999E-2</v>
      </c>
      <c r="AY1215" s="55">
        <f>Database_Overig_Materieel[[#This Row],[Verbruik '[liter/kWh/kg per uur']]]*AY$1270</f>
        <v>5.6307622319100004</v>
      </c>
      <c r="AZ1215" s="55">
        <f>Database_Overig_Materieel[[#This Row],[Verbruik '[liter/kWh/kg per uur']]]*AZ$1270</f>
        <v>0</v>
      </c>
      <c r="BA1215" s="55"/>
      <c r="BB1215" s="55"/>
      <c r="BC1215" s="55"/>
      <c r="BD1215" s="55"/>
      <c r="BE1215" s="55"/>
      <c r="BF1215" s="45"/>
      <c r="BG1215" s="133" t="s">
        <v>387</v>
      </c>
    </row>
    <row r="1216" spans="1:59" x14ac:dyDescent="0.35">
      <c r="A1216" s="45" t="s">
        <v>371</v>
      </c>
      <c r="B1216" s="45" t="s">
        <v>132</v>
      </c>
      <c r="C1216" s="41" t="s">
        <v>451</v>
      </c>
      <c r="D1216" s="41" t="s">
        <v>455</v>
      </c>
      <c r="E1216" s="45" t="s">
        <v>65</v>
      </c>
      <c r="F1216" s="60">
        <f>$F1215*($I1215/Database_Overig_Materieel[[#This Row],[Stookwaarde '[MJ/liter']]])</f>
        <v>69.40305135951661</v>
      </c>
      <c r="G1216" s="54">
        <f>Database_Overig_Materieel[[#This Row],[Verbruik '[liter/kWh/kg per uur']]]*G$1271</f>
        <v>19.485627774449021</v>
      </c>
      <c r="H1216" s="132">
        <v>100</v>
      </c>
      <c r="I1216" s="45">
        <v>33.1</v>
      </c>
      <c r="J1216" s="55">
        <f>Database_Overig_Materieel[[#This Row],[Verbruik '[liter/kWh/kg per uur']]]*J$1271</f>
        <v>3.4539191942628398E-4</v>
      </c>
      <c r="K1216" s="55">
        <f>Database_Overig_Materieel[[#This Row],[Verbruik '[liter/kWh/kg per uur']]]*K$1271</f>
        <v>2.0514152532784893</v>
      </c>
      <c r="L1216" s="55">
        <f>Database_Overig_Materieel[[#This Row],[Verbruik '[liter/kWh/kg per uur']]]*L$1271</f>
        <v>253.07599894452869</v>
      </c>
      <c r="M1216" s="55">
        <f>Database_Overig_Materieel[[#This Row],[Verbruik '[liter/kWh/kg per uur']]]*M$1271</f>
        <v>3.365825901172205E-6</v>
      </c>
      <c r="N1216" s="55">
        <f>Database_Overig_Materieel[[#This Row],[Verbruik '[liter/kWh/kg per uur']]]*N$1271</f>
        <v>5.0853420210453165E-2</v>
      </c>
      <c r="O1216" s="55">
        <f>Database_Overig_Materieel[[#This Row],[Verbruik '[liter/kWh/kg per uur']]]*O$1271</f>
        <v>0.52206932398676731</v>
      </c>
      <c r="P1216" s="55">
        <f>Database_Overig_Materieel[[#This Row],[Verbruik '[liter/kWh/kg per uur']]]*P$1271</f>
        <v>0.11222521986969788</v>
      </c>
      <c r="Q1216" s="55">
        <f>Database_Overig_Materieel[[#This Row],[Verbruik '[liter/kWh/kg per uur']]]*Q$1271</f>
        <v>50.249096610892749</v>
      </c>
      <c r="R1216" s="55">
        <f>Database_Overig_Materieel[[#This Row],[Verbruik '[liter/kWh/kg per uur']]]*R$1271</f>
        <v>0.39910793789311172</v>
      </c>
      <c r="S1216" s="55">
        <f>Database_Overig_Materieel[[#This Row],[Verbruik '[liter/kWh/kg per uur']]]*S$1271</f>
        <v>1506.8746093225377</v>
      </c>
      <c r="T1216" s="55">
        <f>Database_Overig_Materieel[[#This Row],[Verbruik '[liter/kWh/kg per uur']]]*T$1271</f>
        <v>0.20447041170181265</v>
      </c>
      <c r="U1216" s="55"/>
      <c r="V1216" s="55"/>
      <c r="W1216" s="55"/>
      <c r="X1216" s="55"/>
      <c r="Y1216" s="55"/>
      <c r="Z1216" s="55"/>
      <c r="AA1216" s="55"/>
      <c r="AB1216" s="55"/>
      <c r="AC1216" s="55"/>
      <c r="AD1216" s="55"/>
      <c r="AE1216" s="55"/>
      <c r="AF1216" s="55"/>
      <c r="AG1216" s="55"/>
      <c r="AH1216" s="55"/>
      <c r="AI1216" s="55"/>
      <c r="AJ1216" s="55"/>
      <c r="AK1216" s="55"/>
      <c r="AL1216" s="55"/>
      <c r="AM1216" s="55"/>
      <c r="AN1216" s="55"/>
      <c r="AO1216" s="55"/>
      <c r="AP1216" s="55">
        <f>Database_Overig_Materieel[[#This Row],[Verbruik '[liter/kWh/kg per uur']]]*AP$1271</f>
        <v>29.913731890654077</v>
      </c>
      <c r="AQ1216" s="55"/>
      <c r="AR1216" s="55"/>
      <c r="AS1216" s="55">
        <f>Database_Overig_Materieel[[#This Row],[Verbruik '[liter/kWh/kg per uur']]]*AS$1271</f>
        <v>4375.0604359590634</v>
      </c>
      <c r="AT1216" s="55"/>
      <c r="AU1216" s="55"/>
      <c r="AV1216" s="55"/>
      <c r="AW1216" s="55">
        <f>Database_Overig_Materieel[[#This Row],[Verbruik '[liter/kWh/kg per uur']]]*AW$1271</f>
        <v>0.19538111048356493</v>
      </c>
      <c r="AX1216" s="55">
        <f>Database_Overig_Materieel[[#This Row],[Verbruik '[liter/kWh/kg per uur']]]*AX$1271</f>
        <v>6.6732144330996978E-3</v>
      </c>
      <c r="AY1216" s="55">
        <f>Database_Overig_Materieel[[#This Row],[Verbruik '[liter/kWh/kg per uur']]]*AY$1271</f>
        <v>7.4149893878166155</v>
      </c>
      <c r="AZ1216" s="55">
        <f>Database_Overig_Materieel[[#This Row],[Verbruik '[liter/kWh/kg per uur']]]*AZ$1271</f>
        <v>0</v>
      </c>
      <c r="BA1216" s="55"/>
      <c r="BB1216" s="55"/>
      <c r="BC1216" s="55"/>
      <c r="BD1216" s="55"/>
      <c r="BE1216" s="55"/>
      <c r="BF1216" s="45"/>
      <c r="BG1216" s="45" t="s">
        <v>271</v>
      </c>
    </row>
    <row r="1217" spans="1:59" x14ac:dyDescent="0.35">
      <c r="A1217" s="45" t="s">
        <v>372</v>
      </c>
      <c r="B1217" s="45" t="s">
        <v>132</v>
      </c>
      <c r="C1217" s="41" t="s">
        <v>451</v>
      </c>
      <c r="D1217" s="41" t="s">
        <v>455</v>
      </c>
      <c r="E1217" s="45" t="s">
        <v>65</v>
      </c>
      <c r="F1217" s="60">
        <f>$F1215*($I1215/Database_Overig_Materieel[[#This Row],[Stookwaarde '[MJ/liter']]])</f>
        <v>66.974956268221575</v>
      </c>
      <c r="G1217" s="54">
        <f>Database_Overig_Materieel[[#This Row],[Verbruik '[liter/kWh/kg per uur']]]*G$1272</f>
        <v>15.513268500353906</v>
      </c>
      <c r="H1217" s="132">
        <v>100</v>
      </c>
      <c r="I1217" s="45">
        <v>34.299999999999997</v>
      </c>
      <c r="J1217" s="55">
        <f>Database_Overig_Materieel[[#This Row],[Verbruik '[liter/kWh/kg per uur']]]*J$1272</f>
        <v>2.5088684668163265E-4</v>
      </c>
      <c r="K1217" s="55">
        <f>Database_Overig_Materieel[[#This Row],[Verbruik '[liter/kWh/kg per uur']]]*K$1272</f>
        <v>0.54860238186113708</v>
      </c>
      <c r="L1217" s="55">
        <f>Database_Overig_Materieel[[#This Row],[Verbruik '[liter/kWh/kg per uur']]]*L$1272</f>
        <v>94.570821634303215</v>
      </c>
      <c r="M1217" s="55">
        <f>Database_Overig_Materieel[[#This Row],[Verbruik '[liter/kWh/kg per uur']]]*M$1272</f>
        <v>8.9200595505830902E-6</v>
      </c>
      <c r="N1217" s="55">
        <f>Database_Overig_Materieel[[#This Row],[Verbruik '[liter/kWh/kg per uur']]]*N$1272</f>
        <v>7.7820411861603517E-2</v>
      </c>
      <c r="O1217" s="55">
        <f>Database_Overig_Materieel[[#This Row],[Verbruik '[liter/kWh/kg per uur']]]*O$1272</f>
        <v>0.84529782148172017</v>
      </c>
      <c r="P1217" s="55">
        <f>Database_Overig_Materieel[[#This Row],[Verbruik '[liter/kWh/kg per uur']]]*P$1272</f>
        <v>0.36285249772285716</v>
      </c>
      <c r="Q1217" s="55">
        <f>Database_Overig_Materieel[[#This Row],[Verbruik '[liter/kWh/kg per uur']]]*Q$1272</f>
        <v>52.713958737542271</v>
      </c>
      <c r="R1217" s="55">
        <f>Database_Overig_Materieel[[#This Row],[Verbruik '[liter/kWh/kg per uur']]]*R$1272</f>
        <v>38.114152986340237</v>
      </c>
      <c r="S1217" s="55">
        <f>Database_Overig_Materieel[[#This Row],[Verbruik '[liter/kWh/kg per uur']]]*S$1272</f>
        <v>3152.2327766519825</v>
      </c>
      <c r="T1217" s="55">
        <f>Database_Overig_Materieel[[#This Row],[Verbruik '[liter/kWh/kg per uur']]]*T$1272</f>
        <v>16.364681576813702</v>
      </c>
      <c r="U1217" s="55"/>
      <c r="V1217" s="55"/>
      <c r="W1217" s="55"/>
      <c r="X1217" s="55"/>
      <c r="Y1217" s="55"/>
      <c r="Z1217" s="55"/>
      <c r="AA1217" s="55"/>
      <c r="AB1217" s="55"/>
      <c r="AC1217" s="55"/>
      <c r="AD1217" s="55"/>
      <c r="AE1217" s="55"/>
      <c r="AF1217" s="55"/>
      <c r="AG1217" s="55"/>
      <c r="AH1217" s="55"/>
      <c r="AI1217" s="55"/>
      <c r="AJ1217" s="55"/>
      <c r="AK1217" s="55"/>
      <c r="AL1217" s="55"/>
      <c r="AM1217" s="55"/>
      <c r="AN1217" s="55"/>
      <c r="AO1217" s="55"/>
      <c r="AP1217" s="55">
        <f>Database_Overig_Materieel[[#This Row],[Verbruik '[liter/kWh/kg per uur']]]*AP$1272</f>
        <v>525.25680079980179</v>
      </c>
      <c r="AQ1217" s="55"/>
      <c r="AR1217" s="55"/>
      <c r="AS1217" s="55">
        <f>Database_Overig_Materieel[[#This Row],[Verbruik '[liter/kWh/kg per uur']]]*AS$1272</f>
        <v>1157.4923375820699</v>
      </c>
      <c r="AT1217" s="55"/>
      <c r="AU1217" s="55"/>
      <c r="AV1217" s="55"/>
      <c r="AW1217" s="55">
        <f>Database_Overig_Materieel[[#This Row],[Verbruik '[liter/kWh/kg per uur']]]*AW$1272</f>
        <v>4.0985666730364727</v>
      </c>
      <c r="AX1217" s="55">
        <f>Database_Overig_Materieel[[#This Row],[Verbruik '[liter/kWh/kg per uur']]]*AX$1272</f>
        <v>6.7895861916909628E-3</v>
      </c>
      <c r="AY1217" s="55">
        <f>Database_Overig_Materieel[[#This Row],[Verbruik '[liter/kWh/kg per uur']]]*AY$1272</f>
        <v>18.844953076802625</v>
      </c>
      <c r="AZ1217" s="55">
        <f>Database_Overig_Materieel[[#This Row],[Verbruik '[liter/kWh/kg per uur']]]*AZ$1272</f>
        <v>0</v>
      </c>
      <c r="BA1217" s="55"/>
      <c r="BB1217" s="55"/>
      <c r="BC1217" s="55"/>
      <c r="BD1217" s="55"/>
      <c r="BE1217" s="55"/>
      <c r="BF1217" s="45"/>
      <c r="BG1217" s="45" t="s">
        <v>271</v>
      </c>
    </row>
    <row r="1218" spans="1:59" x14ac:dyDescent="0.35">
      <c r="A1218" s="45" t="s">
        <v>373</v>
      </c>
      <c r="B1218" s="45" t="s">
        <v>132</v>
      </c>
      <c r="C1218" s="41" t="s">
        <v>451</v>
      </c>
      <c r="D1218" s="41" t="s">
        <v>455</v>
      </c>
      <c r="E1218" s="45" t="s">
        <v>65</v>
      </c>
      <c r="F1218" s="60">
        <f>$F1215*($I1215/Database_Overig_Materieel[[#This Row],[Stookwaarde '[MJ/liter']]])</f>
        <v>66.586695652173916</v>
      </c>
      <c r="G1218" s="54">
        <f>Database_Overig_Materieel[[#This Row],[Verbruik '[liter/kWh/kg per uur']]]*G$1273</f>
        <v>20.032255607224883</v>
      </c>
      <c r="H1218" s="132">
        <v>100</v>
      </c>
      <c r="I1218" s="45">
        <v>34.5</v>
      </c>
      <c r="J1218" s="55">
        <f>Database_Overig_Materieel[[#This Row],[Verbruik '[liter/kWh/kg per uur']]]*J$1273</f>
        <v>1.3993393851391303E-4</v>
      </c>
      <c r="K1218" s="55">
        <f>Database_Overig_Materieel[[#This Row],[Verbruik '[liter/kWh/kg per uur']]]*K$1273</f>
        <v>0.35095956216104351</v>
      </c>
      <c r="L1218" s="55">
        <f>Database_Overig_Materieel[[#This Row],[Verbruik '[liter/kWh/kg per uur']]]*L$1273</f>
        <v>90.013699682060874</v>
      </c>
      <c r="M1218" s="55">
        <f>Database_Overig_Materieel[[#This Row],[Verbruik '[liter/kWh/kg per uur']]]*M$1273</f>
        <v>5.4621532550347829E-6</v>
      </c>
      <c r="N1218" s="55">
        <f>Database_Overig_Materieel[[#This Row],[Verbruik '[liter/kWh/kg per uur']]]*N$1273</f>
        <v>6.5998735129565222E-2</v>
      </c>
      <c r="O1218" s="55">
        <f>Database_Overig_Materieel[[#This Row],[Verbruik '[liter/kWh/kg per uur']]]*O$1273</f>
        <v>0.55032898497417393</v>
      </c>
      <c r="P1218" s="55">
        <f>Database_Overig_Materieel[[#This Row],[Verbruik '[liter/kWh/kg per uur']]]*P$1273</f>
        <v>0.20340058136791309</v>
      </c>
      <c r="Q1218" s="55">
        <f>Database_Overig_Materieel[[#This Row],[Verbruik '[liter/kWh/kg per uur']]]*Q$1273</f>
        <v>50.75576336196</v>
      </c>
      <c r="R1218" s="55">
        <f>Database_Overig_Materieel[[#This Row],[Verbruik '[liter/kWh/kg per uur']]]*R$1273</f>
        <v>33.920109082119133</v>
      </c>
      <c r="S1218" s="55">
        <f>Database_Overig_Materieel[[#This Row],[Verbruik '[liter/kWh/kg per uur']]]*S$1273</f>
        <v>2183.6244541421743</v>
      </c>
      <c r="T1218" s="55">
        <f>Database_Overig_Materieel[[#This Row],[Verbruik '[liter/kWh/kg per uur']]]*T$1273</f>
        <v>14.973472770824348</v>
      </c>
      <c r="U1218" s="55"/>
      <c r="V1218" s="55"/>
      <c r="W1218" s="55"/>
      <c r="X1218" s="55"/>
      <c r="Y1218" s="55"/>
      <c r="Z1218" s="55"/>
      <c r="AA1218" s="55"/>
      <c r="AB1218" s="55"/>
      <c r="AC1218" s="55"/>
      <c r="AD1218" s="55"/>
      <c r="AE1218" s="55"/>
      <c r="AF1218" s="55"/>
      <c r="AG1218" s="55"/>
      <c r="AH1218" s="55"/>
      <c r="AI1218" s="55"/>
      <c r="AJ1218" s="55"/>
      <c r="AK1218" s="55"/>
      <c r="AL1218" s="55"/>
      <c r="AM1218" s="55"/>
      <c r="AN1218" s="55"/>
      <c r="AO1218" s="55"/>
      <c r="AP1218" s="55">
        <f>Database_Overig_Materieel[[#This Row],[Verbruik '[liter/kWh/kg per uur']]]*AP$1273</f>
        <v>163.9772357054087</v>
      </c>
      <c r="AQ1218" s="55"/>
      <c r="AR1218" s="55"/>
      <c r="AS1218" s="55">
        <f>Database_Overig_Materieel[[#This Row],[Verbruik '[liter/kWh/kg per uur']]]*AS$1273</f>
        <v>734.59601251982622</v>
      </c>
      <c r="AT1218" s="55"/>
      <c r="AU1218" s="55"/>
      <c r="AV1218" s="55"/>
      <c r="AW1218" s="55">
        <f>Database_Overig_Materieel[[#This Row],[Verbruik '[liter/kWh/kg per uur']]]*AW$1273</f>
        <v>1.292518344506087</v>
      </c>
      <c r="AX1218" s="55">
        <f>Database_Overig_Materieel[[#This Row],[Verbruik '[liter/kWh/kg per uur']]]*AX$1273</f>
        <v>4.0639658197304347E-3</v>
      </c>
      <c r="AY1218" s="55">
        <f>Database_Overig_Materieel[[#This Row],[Verbruik '[liter/kWh/kg per uur']]]*AY$1273</f>
        <v>16.246468562032174</v>
      </c>
      <c r="AZ1218" s="55">
        <f>Database_Overig_Materieel[[#This Row],[Verbruik '[liter/kWh/kg per uur']]]*AZ$1273</f>
        <v>0</v>
      </c>
      <c r="BA1218" s="55"/>
      <c r="BB1218" s="55"/>
      <c r="BC1218" s="55"/>
      <c r="BD1218" s="55"/>
      <c r="BE1218" s="55"/>
      <c r="BF1218" s="45"/>
      <c r="BG1218" s="45" t="s">
        <v>271</v>
      </c>
    </row>
    <row r="1219" spans="1:59" x14ac:dyDescent="0.35">
      <c r="A1219" s="45" t="s">
        <v>374</v>
      </c>
      <c r="B1219" s="45" t="s">
        <v>132</v>
      </c>
      <c r="C1219" s="41" t="s">
        <v>451</v>
      </c>
      <c r="D1219" s="41" t="s">
        <v>455</v>
      </c>
      <c r="E1219" s="45" t="s">
        <v>65</v>
      </c>
      <c r="F1219" s="60">
        <f>$F1215*($I1215/Database_Overig_Materieel[[#This Row],[Stookwaarde '[MJ/liter']]])</f>
        <v>66.780261627906981</v>
      </c>
      <c r="G1219" s="54">
        <f>Database_Overig_Materieel[[#This Row],[Verbruik '[liter/kWh/kg per uur']]]*G$1274</f>
        <v>5.8394402195736674</v>
      </c>
      <c r="H1219" s="132">
        <v>100</v>
      </c>
      <c r="I1219" s="45">
        <v>34.4</v>
      </c>
      <c r="J1219" s="55">
        <f>Database_Overig_Materieel[[#This Row],[Verbruik '[liter/kWh/kg per uur']]]*J$1274</f>
        <v>8.1541707898460754E-5</v>
      </c>
      <c r="K1219" s="55">
        <f>Database_Overig_Materieel[[#This Row],[Verbruik '[liter/kWh/kg per uur']]]*K$1274</f>
        <v>0.23182327508806766</v>
      </c>
      <c r="L1219" s="55">
        <f>Database_Overig_Materieel[[#This Row],[Verbruik '[liter/kWh/kg per uur']]]*L$1274</f>
        <v>24.597705100192599</v>
      </c>
      <c r="M1219" s="55">
        <f>Database_Overig_Materieel[[#This Row],[Verbruik '[liter/kWh/kg per uur']]]*M$1274</f>
        <v>3.1018683587232561E-6</v>
      </c>
      <c r="N1219" s="55">
        <f>Database_Overig_Materieel[[#This Row],[Verbruik '[liter/kWh/kg per uur']]]*N$1274</f>
        <v>2.8552082301650277E-2</v>
      </c>
      <c r="O1219" s="55">
        <f>Database_Overig_Materieel[[#This Row],[Verbruik '[liter/kWh/kg per uur']]]*O$1274</f>
        <v>0.36251208049048494</v>
      </c>
      <c r="P1219" s="55">
        <f>Database_Overig_Materieel[[#This Row],[Verbruik '[liter/kWh/kg per uur']]]*P$1274</f>
        <v>8.4508758593499655E-2</v>
      </c>
      <c r="Q1219" s="55">
        <f>Database_Overig_Materieel[[#This Row],[Verbruik '[liter/kWh/kg per uur']]]*Q$1274</f>
        <v>24.829305307087203</v>
      </c>
      <c r="R1219" s="55">
        <f>Database_Overig_Materieel[[#This Row],[Verbruik '[liter/kWh/kg per uur']]]*R$1274</f>
        <v>0.17201366254214479</v>
      </c>
      <c r="S1219" s="55">
        <f>Database_Overig_Materieel[[#This Row],[Verbruik '[liter/kWh/kg per uur']]]*S$1274</f>
        <v>577.37786380529928</v>
      </c>
      <c r="T1219" s="55">
        <f>Database_Overig_Materieel[[#This Row],[Verbruik '[liter/kWh/kg per uur']]]*T$1274</f>
        <v>0.11816916713823346</v>
      </c>
      <c r="U1219" s="55"/>
      <c r="V1219" s="55"/>
      <c r="W1219" s="55"/>
      <c r="X1219" s="55"/>
      <c r="Y1219" s="55"/>
      <c r="Z1219" s="55"/>
      <c r="AA1219" s="55"/>
      <c r="AB1219" s="55"/>
      <c r="AC1219" s="55"/>
      <c r="AD1219" s="55"/>
      <c r="AE1219" s="55"/>
      <c r="AF1219" s="55"/>
      <c r="AG1219" s="55"/>
      <c r="AH1219" s="55"/>
      <c r="AI1219" s="55"/>
      <c r="AJ1219" s="55"/>
      <c r="AK1219" s="55"/>
      <c r="AL1219" s="55"/>
      <c r="AM1219" s="55"/>
      <c r="AN1219" s="55"/>
      <c r="AO1219" s="55"/>
      <c r="AP1219" s="55">
        <f>Database_Overig_Materieel[[#This Row],[Verbruik '[liter/kWh/kg per uur']]]*AP$1274</f>
        <v>16.43314336570954</v>
      </c>
      <c r="AQ1219" s="55"/>
      <c r="AR1219" s="55"/>
      <c r="AS1219" s="55">
        <f>Database_Overig_Materieel[[#This Row],[Verbruik '[liter/kWh/kg per uur']]]*AS$1274</f>
        <v>486.591117118672</v>
      </c>
      <c r="AT1219" s="55"/>
      <c r="AU1219" s="55"/>
      <c r="AV1219" s="55"/>
      <c r="AW1219" s="55">
        <f>Database_Overig_Materieel[[#This Row],[Verbruik '[liter/kWh/kg per uur']]]*AW$1274</f>
        <v>0.12693329821772381</v>
      </c>
      <c r="AX1219" s="55">
        <f>Database_Overig_Materieel[[#This Row],[Verbruik '[liter/kWh/kg per uur']]]*AX$1274</f>
        <v>1.9800105567684308E-3</v>
      </c>
      <c r="AY1219" s="55">
        <f>Database_Overig_Materieel[[#This Row],[Verbruik '[liter/kWh/kg per uur']]]*AY$1274</f>
        <v>4.8627595470057026</v>
      </c>
      <c r="AZ1219" s="55">
        <f>Database_Overig_Materieel[[#This Row],[Verbruik '[liter/kWh/kg per uur']]]*AZ$1274</f>
        <v>1.1618659642123256E-3</v>
      </c>
      <c r="BA1219" s="55"/>
      <c r="BB1219" s="55"/>
      <c r="BC1219" s="55"/>
      <c r="BD1219" s="55"/>
      <c r="BE1219" s="55"/>
      <c r="BF1219" s="45"/>
      <c r="BG1219" s="45" t="s">
        <v>271</v>
      </c>
    </row>
    <row r="1220" spans="1:59" x14ac:dyDescent="0.35">
      <c r="A1220" s="45" t="s">
        <v>375</v>
      </c>
      <c r="B1220" s="45" t="s">
        <v>132</v>
      </c>
      <c r="C1220" s="41" t="s">
        <v>451</v>
      </c>
      <c r="D1220" s="41" t="s">
        <v>455</v>
      </c>
      <c r="E1220" s="45" t="s">
        <v>65</v>
      </c>
      <c r="F1220" s="45">
        <v>63.99</v>
      </c>
      <c r="G1220" s="54">
        <f>Database_Overig_Materieel[[#This Row],[Verbruik '[liter/kWh/kg per uur']]]*G$1275</f>
        <v>19.117368525694935</v>
      </c>
      <c r="H1220" s="132">
        <v>100</v>
      </c>
      <c r="I1220" s="45">
        <v>35.9</v>
      </c>
      <c r="J1220" s="55">
        <f>Database_Overig_Materieel[[#This Row],[Verbruik '[liter/kWh/kg per uur']]]*J$1275</f>
        <v>1.1240291430000001E-4</v>
      </c>
      <c r="K1220" s="55">
        <f>Database_Overig_Materieel[[#This Row],[Verbruik '[liter/kWh/kg per uur']]]*K$1275</f>
        <v>1.5212223678600001</v>
      </c>
      <c r="L1220" s="55">
        <f>Database_Overig_Materieel[[#This Row],[Verbruik '[liter/kWh/kg per uur']]]*L$1275</f>
        <v>222.00271465500001</v>
      </c>
      <c r="M1220" s="55">
        <f>Database_Overig_Materieel[[#This Row],[Verbruik '[liter/kWh/kg per uur']]]*M$1275</f>
        <v>3.863863377E-5</v>
      </c>
      <c r="N1220" s="55">
        <f>Database_Overig_Materieel[[#This Row],[Verbruik '[liter/kWh/kg per uur']]]*N$1275</f>
        <v>7.3065637710000006E-2</v>
      </c>
      <c r="O1220" s="55">
        <f>Database_Overig_Materieel[[#This Row],[Verbruik '[liter/kWh/kg per uur']]]*O$1275</f>
        <v>0.42561585513</v>
      </c>
      <c r="P1220" s="55">
        <f>Database_Overig_Materieel[[#This Row],[Verbruik '[liter/kWh/kg per uur']]]*P$1275</f>
        <v>6.5370264300000008E-2</v>
      </c>
      <c r="Q1220" s="55">
        <f>Database_Overig_Materieel[[#This Row],[Verbruik '[liter/kWh/kg per uur']]]*Q$1275</f>
        <v>54.712825785</v>
      </c>
      <c r="R1220" s="55">
        <f>Database_Overig_Materieel[[#This Row],[Verbruik '[liter/kWh/kg per uur']]]*R$1275</f>
        <v>1.09160105868</v>
      </c>
      <c r="S1220" s="55">
        <f>Database_Overig_Materieel[[#This Row],[Verbruik '[liter/kWh/kg per uur']]]*S$1275</f>
        <v>3670.4043296999998</v>
      </c>
      <c r="T1220" s="55">
        <f>Database_Overig_Materieel[[#This Row],[Verbruik '[liter/kWh/kg per uur']]]*T$1275</f>
        <v>0.19650906666000001</v>
      </c>
      <c r="U1220" s="55"/>
      <c r="V1220" s="55"/>
      <c r="W1220" s="55"/>
      <c r="X1220" s="55"/>
      <c r="Y1220" s="55"/>
      <c r="Z1220" s="55"/>
      <c r="AA1220" s="55"/>
      <c r="AB1220" s="55"/>
      <c r="AC1220" s="55"/>
      <c r="AD1220" s="55"/>
      <c r="AE1220" s="55"/>
      <c r="AF1220" s="55"/>
      <c r="AG1220" s="55"/>
      <c r="AH1220" s="55"/>
      <c r="AI1220" s="55"/>
      <c r="AJ1220" s="55"/>
      <c r="AK1220" s="55"/>
      <c r="AL1220" s="55"/>
      <c r="AM1220" s="55"/>
      <c r="AN1220" s="55"/>
      <c r="AO1220" s="55"/>
      <c r="AP1220" s="55">
        <f>Database_Overig_Materieel[[#This Row],[Verbruik '[liter/kWh/kg per uur']]]*AP$1275</f>
        <v>25.220721686400001</v>
      </c>
      <c r="AQ1220" s="55"/>
      <c r="AR1220" s="55"/>
      <c r="AS1220" s="55">
        <f>Database_Overig_Materieel[[#This Row],[Verbruik '[liter/kWh/kg per uur']]]*AS$1275</f>
        <v>3395.18647521</v>
      </c>
      <c r="AT1220" s="55"/>
      <c r="AU1220" s="55"/>
      <c r="AV1220" s="55"/>
      <c r="AW1220" s="55">
        <f>Database_Overig_Materieel[[#This Row],[Verbruik '[liter/kWh/kg per uur']]]*AW$1275</f>
        <v>0.32125142862</v>
      </c>
      <c r="AX1220" s="55">
        <f>Database_Overig_Materieel[[#This Row],[Verbruik '[liter/kWh/kg per uur']]]*AX$1275</f>
        <v>2.3318467919999999E-2</v>
      </c>
      <c r="AY1220" s="55">
        <f>Database_Overig_Materieel[[#This Row],[Verbruik '[liter/kWh/kg per uur']]]*AY$1275</f>
        <v>5.7218714498700001</v>
      </c>
      <c r="AZ1220" s="55">
        <f>Database_Overig_Materieel[[#This Row],[Verbruik '[liter/kWh/kg per uur']]]*AZ$1275</f>
        <v>0</v>
      </c>
      <c r="BA1220" s="55"/>
      <c r="BB1220" s="55"/>
      <c r="BC1220" s="55"/>
      <c r="BD1220" s="55"/>
      <c r="BE1220" s="55"/>
      <c r="BF1220" s="45"/>
      <c r="BG1220" s="133" t="s">
        <v>387</v>
      </c>
    </row>
    <row r="1221" spans="1:59" x14ac:dyDescent="0.35">
      <c r="A1221" s="45" t="s">
        <v>376</v>
      </c>
      <c r="B1221" s="45" t="s">
        <v>132</v>
      </c>
      <c r="C1221" s="41" t="s">
        <v>451</v>
      </c>
      <c r="D1221" s="41" t="s">
        <v>455</v>
      </c>
      <c r="E1221" s="45" t="s">
        <v>65</v>
      </c>
      <c r="F1221" s="60">
        <f>$F1220*($I1220/Database_Overig_Materieel[[#This Row],[Stookwaarde '[MJ/liter']]])</f>
        <v>69.40305135951661</v>
      </c>
      <c r="G1221" s="54">
        <f>Database_Overig_Materieel[[#This Row],[Verbruik '[liter/kWh/kg per uur']]]*G$1276</f>
        <v>18.066000107328417</v>
      </c>
      <c r="H1221" s="132">
        <v>100</v>
      </c>
      <c r="I1221" s="45">
        <v>33.1</v>
      </c>
      <c r="J1221" s="55">
        <f>Database_Overig_Materieel[[#This Row],[Verbruik '[liter/kWh/kg per uur']]]*J$1276</f>
        <v>3.5492789868308156E-4</v>
      </c>
      <c r="K1221" s="55">
        <f>Database_Overig_Materieel[[#This Row],[Verbruik '[liter/kWh/kg per uur']]]*K$1276</f>
        <v>2.0695247996788821</v>
      </c>
      <c r="L1221" s="55">
        <f>Database_Overig_Materieel[[#This Row],[Verbruik '[liter/kWh/kg per uur']]]*L$1276</f>
        <v>255.06012113801509</v>
      </c>
      <c r="M1221" s="55">
        <f>Database_Overig_Materieel[[#This Row],[Verbruik '[liter/kWh/kg per uur']]]*M$1276</f>
        <v>3.6896119566797575E-6</v>
      </c>
      <c r="N1221" s="55">
        <f>Database_Overig_Materieel[[#This Row],[Verbruik '[liter/kWh/kg per uur']]]*N$1276</f>
        <v>5.1682092643685798E-2</v>
      </c>
      <c r="O1221" s="55">
        <f>Database_Overig_Materieel[[#This Row],[Verbruik '[liter/kWh/kg per uur']]]*O$1276</f>
        <v>0.294221743689426</v>
      </c>
      <c r="P1221" s="55">
        <f>Database_Overig_Materieel[[#This Row],[Verbruik '[liter/kWh/kg per uur']]]*P$1276</f>
        <v>5.1985522784229597E-2</v>
      </c>
      <c r="Q1221" s="55">
        <f>Database_Overig_Materieel[[#This Row],[Verbruik '[liter/kWh/kg per uur']]]*Q$1276</f>
        <v>51.221113412372809</v>
      </c>
      <c r="R1221" s="55">
        <f>Database_Overig_Materieel[[#This Row],[Verbruik '[liter/kWh/kg per uur']]]*R$1276</f>
        <v>0.41295946828649538</v>
      </c>
      <c r="S1221" s="55">
        <f>Database_Overig_Materieel[[#This Row],[Verbruik '[liter/kWh/kg per uur']]]*S$1276</f>
        <v>1568.9400924801207</v>
      </c>
      <c r="T1221" s="55">
        <f>Database_Overig_Materieel[[#This Row],[Verbruik '[liter/kWh/kg per uur']]]*T$1276</f>
        <v>0.20725798525966768</v>
      </c>
      <c r="U1221" s="55"/>
      <c r="V1221" s="55"/>
      <c r="W1221" s="55"/>
      <c r="X1221" s="55"/>
      <c r="Y1221" s="55"/>
      <c r="Z1221" s="55"/>
      <c r="AA1221" s="55"/>
      <c r="AB1221" s="55"/>
      <c r="AC1221" s="55"/>
      <c r="AD1221" s="55"/>
      <c r="AE1221" s="55"/>
      <c r="AF1221" s="55"/>
      <c r="AG1221" s="55"/>
      <c r="AH1221" s="55"/>
      <c r="AI1221" s="55"/>
      <c r="AJ1221" s="55"/>
      <c r="AK1221" s="55"/>
      <c r="AL1221" s="55"/>
      <c r="AM1221" s="55"/>
      <c r="AN1221" s="55"/>
      <c r="AO1221" s="55"/>
      <c r="AP1221" s="55">
        <f>Database_Overig_Materieel[[#This Row],[Verbruik '[liter/kWh/kg per uur']]]*AP$1276</f>
        <v>30.684518708900303</v>
      </c>
      <c r="AQ1221" s="55"/>
      <c r="AR1221" s="55"/>
      <c r="AS1221" s="55">
        <f>Database_Overig_Materieel[[#This Row],[Verbruik '[liter/kWh/kg per uur']]]*AS$1276</f>
        <v>4415.1640869474923</v>
      </c>
      <c r="AT1221" s="55"/>
      <c r="AU1221" s="55"/>
      <c r="AV1221" s="55"/>
      <c r="AW1221" s="55">
        <f>Database_Overig_Materieel[[#This Row],[Verbruik '[liter/kWh/kg per uur']]]*AW$1276</f>
        <v>0.19968291981598188</v>
      </c>
      <c r="AX1221" s="55">
        <f>Database_Overig_Materieel[[#This Row],[Verbruik '[liter/kWh/kg per uur']]]*AX$1276</f>
        <v>6.8261787582960722E-3</v>
      </c>
      <c r="AY1221" s="55">
        <f>Database_Overig_Materieel[[#This Row],[Verbruik '[liter/kWh/kg per uur']]]*AY$1276</f>
        <v>7.5094018287335338</v>
      </c>
      <c r="AZ1221" s="55">
        <f>Database_Overig_Materieel[[#This Row],[Verbruik '[liter/kWh/kg per uur']]]*AZ$1276</f>
        <v>0</v>
      </c>
      <c r="BA1221" s="55"/>
      <c r="BB1221" s="55"/>
      <c r="BC1221" s="55"/>
      <c r="BD1221" s="55"/>
      <c r="BE1221" s="55"/>
      <c r="BF1221" s="45"/>
      <c r="BG1221" s="45" t="s">
        <v>271</v>
      </c>
    </row>
    <row r="1222" spans="1:59" x14ac:dyDescent="0.35">
      <c r="A1222" s="45" t="s">
        <v>377</v>
      </c>
      <c r="B1222" s="45" t="s">
        <v>132</v>
      </c>
      <c r="C1222" s="41" t="s">
        <v>451</v>
      </c>
      <c r="D1222" s="41" t="s">
        <v>455</v>
      </c>
      <c r="E1222" s="45" t="s">
        <v>65</v>
      </c>
      <c r="F1222" s="60">
        <f>$F1220*($I1220/Database_Overig_Materieel[[#This Row],[Stookwaarde '[MJ/liter']]])</f>
        <v>66.974956268221575</v>
      </c>
      <c r="G1222" s="54">
        <f>Database_Overig_Materieel[[#This Row],[Verbruik '[liter/kWh/kg per uur']]]*G$1277</f>
        <v>14.294623601660913</v>
      </c>
      <c r="H1222" s="132">
        <v>100</v>
      </c>
      <c r="I1222" s="45">
        <v>34.299999999999997</v>
      </c>
      <c r="J1222" s="55">
        <f>Database_Overig_Materieel[[#This Row],[Verbruik '[liter/kWh/kg per uur']]]*J$1277</f>
        <v>2.5976705613323618E-4</v>
      </c>
      <c r="K1222" s="55">
        <f>Database_Overig_Materieel[[#This Row],[Verbruik '[liter/kWh/kg per uur']]]*K$1277</f>
        <v>0.56546694374930029</v>
      </c>
      <c r="L1222" s="55">
        <f>Database_Overig_Materieel[[#This Row],[Verbruik '[liter/kWh/kg per uur']]]*L$1277</f>
        <v>96.418238735518955</v>
      </c>
      <c r="M1222" s="55">
        <f>Database_Overig_Materieel[[#This Row],[Verbruik '[liter/kWh/kg per uur']]]*M$1277</f>
        <v>9.2215808037026247E-6</v>
      </c>
      <c r="N1222" s="55">
        <f>Database_Overig_Materieel[[#This Row],[Verbruik '[liter/kWh/kg per uur']]]*N$1277</f>
        <v>7.8592164282682217E-2</v>
      </c>
      <c r="O1222" s="55">
        <f>Database_Overig_Materieel[[#This Row],[Verbruik '[liter/kWh/kg per uur']]]*O$1277</f>
        <v>0.60248145703040812</v>
      </c>
      <c r="P1222" s="55">
        <f>Database_Overig_Materieel[[#This Row],[Verbruik '[liter/kWh/kg per uur']]]*P$1277</f>
        <v>0.29878961255317782</v>
      </c>
      <c r="Q1222" s="55">
        <f>Database_Overig_Materieel[[#This Row],[Verbruik '[liter/kWh/kg per uur']]]*Q$1277</f>
        <v>53.546454095208453</v>
      </c>
      <c r="R1222" s="55">
        <f>Database_Overig_Materieel[[#This Row],[Verbruik '[liter/kWh/kg per uur']]]*R$1277</f>
        <v>38.127051693167928</v>
      </c>
      <c r="S1222" s="55">
        <f>Database_Overig_Materieel[[#This Row],[Verbruik '[liter/kWh/kg per uur']]]*S$1277</f>
        <v>3210.0314271869388</v>
      </c>
      <c r="T1222" s="55">
        <f>Database_Overig_Materieel[[#This Row],[Verbruik '[liter/kWh/kg per uur']]]*T$1277</f>
        <v>16.367277526118659</v>
      </c>
      <c r="U1222" s="55"/>
      <c r="V1222" s="55"/>
      <c r="W1222" s="55"/>
      <c r="X1222" s="55"/>
      <c r="Y1222" s="55"/>
      <c r="Z1222" s="55"/>
      <c r="AA1222" s="55"/>
      <c r="AB1222" s="55"/>
      <c r="AC1222" s="55"/>
      <c r="AD1222" s="55"/>
      <c r="AE1222" s="55"/>
      <c r="AF1222" s="55"/>
      <c r="AG1222" s="55"/>
      <c r="AH1222" s="55"/>
      <c r="AI1222" s="55"/>
      <c r="AJ1222" s="55"/>
      <c r="AK1222" s="55"/>
      <c r="AL1222" s="55"/>
      <c r="AM1222" s="55"/>
      <c r="AN1222" s="55"/>
      <c r="AO1222" s="55"/>
      <c r="AP1222" s="55">
        <f>Database_Overig_Materieel[[#This Row],[Verbruik '[liter/kWh/kg per uur']]]*AP$1277</f>
        <v>525.97459149861515</v>
      </c>
      <c r="AQ1222" s="55"/>
      <c r="AR1222" s="55"/>
      <c r="AS1222" s="55">
        <f>Database_Overig_Materieel[[#This Row],[Verbruik '[liter/kWh/kg per uur']]]*AS$1277</f>
        <v>1194.8390466462683</v>
      </c>
      <c r="AT1222" s="55"/>
      <c r="AU1222" s="55"/>
      <c r="AV1222" s="55"/>
      <c r="AW1222" s="55">
        <f>Database_Overig_Materieel[[#This Row],[Verbruik '[liter/kWh/kg per uur']]]*AW$1277</f>
        <v>4.1025727130706997</v>
      </c>
      <c r="AX1222" s="55">
        <f>Database_Overig_Materieel[[#This Row],[Verbruik '[liter/kWh/kg per uur']]]*AX$1277</f>
        <v>6.9319749487172008E-3</v>
      </c>
      <c r="AY1222" s="55">
        <f>Database_Overig_Materieel[[#This Row],[Verbruik '[liter/kWh/kg per uur']]]*AY$1277</f>
        <v>18.932875120393295</v>
      </c>
      <c r="AZ1222" s="55">
        <f>Database_Overig_Materieel[[#This Row],[Verbruik '[liter/kWh/kg per uur']]]*AZ$1277</f>
        <v>0</v>
      </c>
      <c r="BA1222" s="55"/>
      <c r="BB1222" s="55"/>
      <c r="BC1222" s="55"/>
      <c r="BD1222" s="55"/>
      <c r="BE1222" s="55"/>
      <c r="BF1222" s="45"/>
      <c r="BG1222" s="45" t="s">
        <v>271</v>
      </c>
    </row>
    <row r="1223" spans="1:59" x14ac:dyDescent="0.35">
      <c r="A1223" s="45" t="s">
        <v>378</v>
      </c>
      <c r="B1223" s="45" t="s">
        <v>132</v>
      </c>
      <c r="C1223" s="41" t="s">
        <v>451</v>
      </c>
      <c r="D1223" s="41" t="s">
        <v>455</v>
      </c>
      <c r="E1223" s="45" t="s">
        <v>65</v>
      </c>
      <c r="F1223" s="60">
        <f>$F1220*($I1220/Database_Overig_Materieel[[#This Row],[Stookwaarde '[MJ/liter']]])</f>
        <v>66.586695652173916</v>
      </c>
      <c r="G1223" s="54">
        <f>Database_Overig_Materieel[[#This Row],[Verbruik '[liter/kWh/kg per uur']]]*G$1278</f>
        <v>18.827699017139487</v>
      </c>
      <c r="H1223" s="132">
        <v>100</v>
      </c>
      <c r="I1223" s="45">
        <v>34.5</v>
      </c>
      <c r="J1223" s="55">
        <f>Database_Overig_Materieel[[#This Row],[Verbruik '[liter/kWh/kg per uur']]]*J$1278</f>
        <v>1.4913621985304348E-4</v>
      </c>
      <c r="K1223" s="55">
        <f>Database_Overig_Materieel[[#This Row],[Verbruik '[liter/kWh/kg per uur']]]*K$1278</f>
        <v>0.3684355067817392</v>
      </c>
      <c r="L1223" s="55">
        <f>Database_Overig_Materieel[[#This Row],[Verbruik '[liter/kWh/kg per uur']]]*L$1278</f>
        <v>91.92840677420871</v>
      </c>
      <c r="M1223" s="55">
        <f>Database_Overig_Materieel[[#This Row],[Verbruik '[liter/kWh/kg per uur']]]*M$1278</f>
        <v>5.7746046657130434E-6</v>
      </c>
      <c r="N1223" s="55">
        <f>Database_Overig_Materieel[[#This Row],[Verbruik '[liter/kWh/kg per uur']]]*N$1278</f>
        <v>6.6798441344347828E-2</v>
      </c>
      <c r="O1223" s="55">
        <f>Database_Overig_Materieel[[#This Row],[Verbruik '[liter/kWh/kg per uur']]]*O$1278</f>
        <v>0.33045272432765216</v>
      </c>
      <c r="P1223" s="55">
        <f>Database_Overig_Materieel[[#This Row],[Verbruik '[liter/kWh/kg per uur']]]*P$1278</f>
        <v>0.14526839846269565</v>
      </c>
      <c r="Q1223" s="55">
        <f>Database_Overig_Materieel[[#This Row],[Verbruik '[liter/kWh/kg per uur']]]*Q$1278</f>
        <v>51.693772807079995</v>
      </c>
      <c r="R1223" s="55">
        <f>Database_Overig_Materieel[[#This Row],[Verbruik '[liter/kWh/kg per uur']]]*R$1278</f>
        <v>33.933475695404354</v>
      </c>
      <c r="S1223" s="55">
        <f>Database_Overig_Materieel[[#This Row],[Verbruik '[liter/kWh/kg per uur']]]*S$1278</f>
        <v>2243.5185210143482</v>
      </c>
      <c r="T1223" s="55">
        <f>Database_Overig_Materieel[[#This Row],[Verbruik '[liter/kWh/kg per uur']]]*T$1278</f>
        <v>14.976162873328695</v>
      </c>
      <c r="U1223" s="55"/>
      <c r="V1223" s="55"/>
      <c r="W1223" s="55"/>
      <c r="X1223" s="55"/>
      <c r="Y1223" s="55"/>
      <c r="Z1223" s="55"/>
      <c r="AA1223" s="55"/>
      <c r="AB1223" s="55"/>
      <c r="AC1223" s="55"/>
      <c r="AD1223" s="55"/>
      <c r="AE1223" s="55"/>
      <c r="AF1223" s="55"/>
      <c r="AG1223" s="55"/>
      <c r="AH1223" s="55"/>
      <c r="AI1223" s="55"/>
      <c r="AJ1223" s="55"/>
      <c r="AK1223" s="55"/>
      <c r="AL1223" s="55"/>
      <c r="AM1223" s="55"/>
      <c r="AN1223" s="55"/>
      <c r="AO1223" s="55"/>
      <c r="AP1223" s="55">
        <f>Database_Overig_Materieel[[#This Row],[Verbruik '[liter/kWh/kg per uur']]]*AP$1278</f>
        <v>164.72105570653045</v>
      </c>
      <c r="AQ1223" s="55"/>
      <c r="AR1223" s="55"/>
      <c r="AS1223" s="55">
        <f>Database_Overig_Materieel[[#This Row],[Verbruik '[liter/kWh/kg per uur']]]*AS$1278</f>
        <v>773.29666613973905</v>
      </c>
      <c r="AT1223" s="55"/>
      <c r="AU1223" s="55"/>
      <c r="AV1223" s="55"/>
      <c r="AW1223" s="55">
        <f>Database_Overig_Materieel[[#This Row],[Verbruik '[liter/kWh/kg per uur']]]*AW$1278</f>
        <v>1.2966696254598262</v>
      </c>
      <c r="AX1223" s="55">
        <f>Database_Overig_Materieel[[#This Row],[Verbruik '[liter/kWh/kg per uur']]]*AX$1278</f>
        <v>4.2115818653217394E-3</v>
      </c>
      <c r="AY1223" s="55">
        <f>Database_Overig_Materieel[[#This Row],[Verbruik '[liter/kWh/kg per uur']]]*AY$1278</f>
        <v>16.337577805959132</v>
      </c>
      <c r="AZ1223" s="55">
        <f>Database_Overig_Materieel[[#This Row],[Verbruik '[liter/kWh/kg per uur']]]*AZ$1278</f>
        <v>0</v>
      </c>
      <c r="BA1223" s="55"/>
      <c r="BB1223" s="55"/>
      <c r="BC1223" s="55"/>
      <c r="BD1223" s="55"/>
      <c r="BE1223" s="55"/>
      <c r="BF1223" s="45"/>
      <c r="BG1223" s="45" t="s">
        <v>271</v>
      </c>
    </row>
    <row r="1224" spans="1:59" x14ac:dyDescent="0.35">
      <c r="A1224" s="45" t="s">
        <v>379</v>
      </c>
      <c r="B1224" s="45" t="s">
        <v>132</v>
      </c>
      <c r="C1224" s="41" t="s">
        <v>451</v>
      </c>
      <c r="D1224" s="41" t="s">
        <v>455</v>
      </c>
      <c r="E1224" s="45" t="s">
        <v>65</v>
      </c>
      <c r="F1224" s="60">
        <f>$F1220*($I1220/Database_Overig_Materieel[[#This Row],[Stookwaarde '[MJ/liter']]])</f>
        <v>66.780261627906981</v>
      </c>
      <c r="G1224" s="54">
        <f>Database_Overig_Materieel[[#This Row],[Verbruik '[liter/kWh/kg per uur']]]*G$1279</f>
        <v>4.6009430081274711</v>
      </c>
      <c r="H1224" s="132">
        <v>100</v>
      </c>
      <c r="I1224" s="45">
        <v>34.4</v>
      </c>
      <c r="J1224" s="55">
        <f>Database_Overig_Materieel[[#This Row],[Verbruik '[liter/kWh/kg per uur']]]*J$1279</f>
        <v>9.132129122395553E-5</v>
      </c>
      <c r="K1224" s="55">
        <f>Database_Overig_Materieel[[#This Row],[Verbruik '[liter/kWh/kg per uur']]]*K$1279</f>
        <v>0.25051327933320761</v>
      </c>
      <c r="L1224" s="55">
        <f>Database_Overig_Materieel[[#This Row],[Verbruik '[liter/kWh/kg per uur']]]*L$1279</f>
        <v>26.6570283730311</v>
      </c>
      <c r="M1224" s="55">
        <f>Database_Overig_Materieel[[#This Row],[Verbruik '[liter/kWh/kg per uur']]]*M$1279</f>
        <v>3.4395534364866278E-6</v>
      </c>
      <c r="N1224" s="55">
        <f>Database_Overig_Materieel[[#This Row],[Verbruik '[liter/kWh/kg per uur']]]*N$1279</f>
        <v>2.9421856818716959E-2</v>
      </c>
      <c r="O1224" s="55">
        <f>Database_Overig_Materieel[[#This Row],[Verbruik '[liter/kWh/kg per uur']]]*O$1279</f>
        <v>0.13630688693917503</v>
      </c>
      <c r="P1224" s="55">
        <f>Database_Overig_Materieel[[#This Row],[Verbruik '[liter/kWh/kg per uur']]]*P$1279</f>
        <v>2.4707971541304399E-2</v>
      </c>
      <c r="Q1224" s="55">
        <f>Database_Overig_Materieel[[#This Row],[Verbruik '[liter/kWh/kg per uur']]]*Q$1279</f>
        <v>25.825936120771885</v>
      </c>
      <c r="R1224" s="55">
        <f>Database_Overig_Materieel[[#This Row],[Verbruik '[liter/kWh/kg per uur']]]*R$1279</f>
        <v>0.18668691955648092</v>
      </c>
      <c r="S1224" s="55">
        <f>Database_Overig_Materieel[[#This Row],[Verbruik '[liter/kWh/kg per uur']]]*S$1279</f>
        <v>642.49561214652283</v>
      </c>
      <c r="T1224" s="55">
        <f>Database_Overig_Materieel[[#This Row],[Verbruik '[liter/kWh/kg per uur']]]*T$1279</f>
        <v>0.12107069706006697</v>
      </c>
      <c r="U1224" s="55"/>
      <c r="V1224" s="55"/>
      <c r="W1224" s="55"/>
      <c r="X1224" s="55"/>
      <c r="Y1224" s="55"/>
      <c r="Z1224" s="55"/>
      <c r="AA1224" s="55"/>
      <c r="AB1224" s="55"/>
      <c r="AC1224" s="55"/>
      <c r="AD1224" s="55"/>
      <c r="AE1224" s="55"/>
      <c r="AF1224" s="55"/>
      <c r="AG1224" s="55"/>
      <c r="AH1224" s="55"/>
      <c r="AI1224" s="55"/>
      <c r="AJ1224" s="55"/>
      <c r="AK1224" s="55"/>
      <c r="AL1224" s="55"/>
      <c r="AM1224" s="55"/>
      <c r="AN1224" s="55"/>
      <c r="AO1224" s="55"/>
      <c r="AP1224" s="55">
        <f>Database_Overig_Materieel[[#This Row],[Verbruik '[liter/kWh/kg per uur']]]*AP$1279</f>
        <v>17.224225384580212</v>
      </c>
      <c r="AQ1224" s="55"/>
      <c r="AR1224" s="55"/>
      <c r="AS1224" s="55">
        <f>Database_Overig_Materieel[[#This Row],[Verbruik '[liter/kWh/kg per uur']]]*AS$1279</f>
        <v>527.99115811799675</v>
      </c>
      <c r="AT1224" s="55"/>
      <c r="AU1224" s="55"/>
      <c r="AV1224" s="55"/>
      <c r="AW1224" s="55">
        <f>Database_Overig_Materieel[[#This Row],[Verbruik '[liter/kWh/kg per uur']]]*AW$1279</f>
        <v>0.13263023650386249</v>
      </c>
      <c r="AX1224" s="55">
        <f>Database_Overig_Materieel[[#This Row],[Verbruik '[liter/kWh/kg per uur']]]*AX$1279</f>
        <v>2.1411254333623215E-3</v>
      </c>
      <c r="AY1224" s="55">
        <f>Database_Overig_Materieel[[#This Row],[Verbruik '[liter/kWh/kg per uur']]]*AY$1279</f>
        <v>5.0143460116377856</v>
      </c>
      <c r="AZ1224" s="55">
        <f>Database_Overig_Materieel[[#This Row],[Verbruik '[liter/kWh/kg per uur']]]*AZ$1279</f>
        <v>1.2860351659193547E-3</v>
      </c>
      <c r="BA1224" s="55"/>
      <c r="BB1224" s="55"/>
      <c r="BC1224" s="55"/>
      <c r="BD1224" s="55"/>
      <c r="BE1224" s="55"/>
      <c r="BF1224" s="45"/>
      <c r="BG1224" s="45" t="s">
        <v>271</v>
      </c>
    </row>
    <row r="1225" spans="1:59" x14ac:dyDescent="0.35">
      <c r="A1225" s="45" t="s">
        <v>380</v>
      </c>
      <c r="B1225" s="45" t="s">
        <v>132</v>
      </c>
      <c r="C1225" s="41" t="s">
        <v>451</v>
      </c>
      <c r="D1225" s="41" t="s">
        <v>455</v>
      </c>
      <c r="E1225" s="45" t="s">
        <v>65</v>
      </c>
      <c r="F1225" s="101">
        <v>63.99</v>
      </c>
      <c r="G1225" s="54">
        <f>Database_Overig_Materieel[[#This Row],[Verbruik '[liter/kWh/kg per uur']]]*G$1280</f>
        <v>19.117214066132522</v>
      </c>
      <c r="H1225" s="132">
        <v>100</v>
      </c>
      <c r="I1225" s="45">
        <v>35.9</v>
      </c>
      <c r="J1225" s="55">
        <f>Database_Overig_Materieel[[#This Row],[Verbruik '[liter/kWh/kg per uur']]]*J$1280</f>
        <v>1.1240291430000001E-4</v>
      </c>
      <c r="K1225" s="55">
        <f>Database_Overig_Materieel[[#This Row],[Verbruik '[liter/kWh/kg per uur']]]*K$1280</f>
        <v>1.5212223678600001</v>
      </c>
      <c r="L1225" s="55">
        <f>Database_Overig_Materieel[[#This Row],[Verbruik '[liter/kWh/kg per uur']]]*L$1280</f>
        <v>222.00271465500001</v>
      </c>
      <c r="M1225" s="55">
        <f>Database_Overig_Materieel[[#This Row],[Verbruik '[liter/kWh/kg per uur']]]*M$1280</f>
        <v>3.863863377E-5</v>
      </c>
      <c r="N1225" s="55">
        <f>Database_Overig_Materieel[[#This Row],[Verbruik '[liter/kWh/kg per uur']]]*N$1280</f>
        <v>7.3065637710000006E-2</v>
      </c>
      <c r="O1225" s="55">
        <f>Database_Overig_Materieel[[#This Row],[Verbruik '[liter/kWh/kg per uur']]]*O$1280</f>
        <v>0.42561585513</v>
      </c>
      <c r="P1225" s="55">
        <f>Database_Overig_Materieel[[#This Row],[Verbruik '[liter/kWh/kg per uur']]]*P$1280</f>
        <v>6.5370264300000008E-2</v>
      </c>
      <c r="Q1225" s="55">
        <f>Database_Overig_Materieel[[#This Row],[Verbruik '[liter/kWh/kg per uur']]]*Q$1280</f>
        <v>54.711109573200005</v>
      </c>
      <c r="R1225" s="55">
        <f>Database_Overig_Materieel[[#This Row],[Verbruik '[liter/kWh/kg per uur']]]*R$1280</f>
        <v>1.09160105868</v>
      </c>
      <c r="S1225" s="55">
        <f>Database_Overig_Materieel[[#This Row],[Verbruik '[liter/kWh/kg per uur']]]*S$1280</f>
        <v>3670.4043296999998</v>
      </c>
      <c r="T1225" s="55">
        <f>Database_Overig_Materieel[[#This Row],[Verbruik '[liter/kWh/kg per uur']]]*T$1280</f>
        <v>0.19650906666000001</v>
      </c>
      <c r="U1225" s="55"/>
      <c r="V1225" s="55"/>
      <c r="W1225" s="55"/>
      <c r="X1225" s="55"/>
      <c r="Y1225" s="55"/>
      <c r="Z1225" s="55"/>
      <c r="AA1225" s="55"/>
      <c r="AB1225" s="55"/>
      <c r="AC1225" s="55"/>
      <c r="AD1225" s="55"/>
      <c r="AE1225" s="55"/>
      <c r="AF1225" s="55"/>
      <c r="AG1225" s="55"/>
      <c r="AH1225" s="55"/>
      <c r="AI1225" s="55"/>
      <c r="AJ1225" s="55"/>
      <c r="AK1225" s="55"/>
      <c r="AL1225" s="55"/>
      <c r="AM1225" s="55"/>
      <c r="AN1225" s="55"/>
      <c r="AO1225" s="55"/>
      <c r="AP1225" s="55">
        <f>Database_Overig_Materieel[[#This Row],[Verbruik '[liter/kWh/kg per uur']]]*AP$1280</f>
        <v>25.220721686400001</v>
      </c>
      <c r="AQ1225" s="55"/>
      <c r="AR1225" s="55"/>
      <c r="AS1225" s="55">
        <f>Database_Overig_Materieel[[#This Row],[Verbruik '[liter/kWh/kg per uur']]]*AS$1280</f>
        <v>3395.18647521</v>
      </c>
      <c r="AT1225" s="55"/>
      <c r="AU1225" s="55"/>
      <c r="AV1225" s="55"/>
      <c r="AW1225" s="55">
        <f>Database_Overig_Materieel[[#This Row],[Verbruik '[liter/kWh/kg per uur']]]*AW$1280</f>
        <v>0.32125142862</v>
      </c>
      <c r="AX1225" s="55">
        <f>Database_Overig_Materieel[[#This Row],[Verbruik '[liter/kWh/kg per uur']]]*AX$1280</f>
        <v>2.3318467919999999E-2</v>
      </c>
      <c r="AY1225" s="55">
        <f>Database_Overig_Materieel[[#This Row],[Verbruik '[liter/kWh/kg per uur']]]*AY$1280</f>
        <v>5.7218714498700001</v>
      </c>
      <c r="AZ1225" s="55">
        <f>Database_Overig_Materieel[[#This Row],[Verbruik '[liter/kWh/kg per uur']]]*AZ$1280</f>
        <v>0</v>
      </c>
      <c r="BA1225" s="55"/>
      <c r="BB1225" s="55"/>
      <c r="BC1225" s="55"/>
      <c r="BD1225" s="55"/>
      <c r="BE1225" s="55"/>
      <c r="BF1225" s="45"/>
      <c r="BG1225" s="133" t="s">
        <v>387</v>
      </c>
    </row>
    <row r="1226" spans="1:59" x14ac:dyDescent="0.35">
      <c r="A1226" s="45" t="s">
        <v>381</v>
      </c>
      <c r="B1226" s="45" t="s">
        <v>132</v>
      </c>
      <c r="C1226" s="41" t="s">
        <v>451</v>
      </c>
      <c r="D1226" s="41" t="s">
        <v>455</v>
      </c>
      <c r="E1226" s="45" t="s">
        <v>65</v>
      </c>
      <c r="F1226" s="130">
        <v>69.400000000000006</v>
      </c>
      <c r="G1226" s="54">
        <f>Database_Overig_Materieel[[#This Row],[Verbruik '[liter/kWh/kg per uur']]]*G$1281</f>
        <v>18.065090558101716</v>
      </c>
      <c r="H1226" s="132">
        <v>100</v>
      </c>
      <c r="I1226" s="45">
        <v>33.1</v>
      </c>
      <c r="J1226" s="55">
        <f>Database_Overig_Materieel[[#This Row],[Verbruik '[liter/kWh/kg per uur']]]*J$1281</f>
        <v>3.5491229400000005E-4</v>
      </c>
      <c r="K1226" s="55">
        <f>Database_Overig_Materieel[[#This Row],[Verbruik '[liter/kWh/kg per uur']]]*K$1281</f>
        <v>2.0694338114000002</v>
      </c>
      <c r="L1226" s="55">
        <f>Database_Overig_Materieel[[#This Row],[Verbruik '[liter/kWh/kg per uur']]]*L$1281</f>
        <v>255.04890722000002</v>
      </c>
      <c r="M1226" s="55">
        <f>Database_Overig_Materieel[[#This Row],[Verbruik '[liter/kWh/kg per uur']]]*M$1281</f>
        <v>3.6894497399999998E-6</v>
      </c>
      <c r="N1226" s="55">
        <f>Database_Overig_Materieel[[#This Row],[Verbruik '[liter/kWh/kg per uur']]]*N$1281</f>
        <v>5.1679820400000007E-2</v>
      </c>
      <c r="O1226" s="55">
        <f>Database_Overig_Materieel[[#This Row],[Verbruik '[liter/kWh/kg per uur']]]*O$1281</f>
        <v>0.29420880800000004</v>
      </c>
      <c r="P1226" s="55">
        <f>Database_Overig_Materieel[[#This Row],[Verbruik '[liter/kWh/kg per uur']]]*P$1281</f>
        <v>5.1983237199999997E-2</v>
      </c>
      <c r="Q1226" s="55">
        <f>Database_Overig_Materieel[[#This Row],[Verbruik '[liter/kWh/kg per uur']]]*Q$1281</f>
        <v>51.217274258000003</v>
      </c>
      <c r="R1226" s="55">
        <f>Database_Overig_Materieel[[#This Row],[Verbruik '[liter/kWh/kg per uur']]]*R$1281</f>
        <v>0.41294131220000002</v>
      </c>
      <c r="S1226" s="55">
        <f>Database_Overig_Materieel[[#This Row],[Verbruik '[liter/kWh/kg per uur']]]*S$1281</f>
        <v>1568.8711128</v>
      </c>
      <c r="T1226" s="55">
        <f>Database_Overig_Materieel[[#This Row],[Verbruik '[liter/kWh/kg per uur']]]*T$1281</f>
        <v>0.20724887300000003</v>
      </c>
      <c r="U1226" s="55"/>
      <c r="V1226" s="55"/>
      <c r="W1226" s="55"/>
      <c r="X1226" s="55"/>
      <c r="Y1226" s="55"/>
      <c r="Z1226" s="55"/>
      <c r="AA1226" s="55"/>
      <c r="AB1226" s="55"/>
      <c r="AC1226" s="55"/>
      <c r="AD1226" s="55"/>
      <c r="AE1226" s="55"/>
      <c r="AF1226" s="55"/>
      <c r="AG1226" s="55"/>
      <c r="AH1226" s="55"/>
      <c r="AI1226" s="55"/>
      <c r="AJ1226" s="55"/>
      <c r="AK1226" s="55"/>
      <c r="AL1226" s="55"/>
      <c r="AM1226" s="55"/>
      <c r="AN1226" s="55"/>
      <c r="AO1226" s="55"/>
      <c r="AP1226" s="55">
        <f>Database_Overig_Materieel[[#This Row],[Verbruik '[liter/kWh/kg per uur']]]*AP$1281</f>
        <v>30.683169640000006</v>
      </c>
      <c r="AQ1226" s="55"/>
      <c r="AR1226" s="55"/>
      <c r="AS1226" s="55">
        <f>Database_Overig_Materieel[[#This Row],[Verbruik '[liter/kWh/kg per uur']]]*AS$1281</f>
        <v>4414.9699707999998</v>
      </c>
      <c r="AT1226" s="55"/>
      <c r="AU1226" s="55"/>
      <c r="AV1226" s="55"/>
      <c r="AW1226" s="55">
        <f>Database_Overig_Materieel[[#This Row],[Verbruik '[liter/kWh/kg per uur']]]*AW$1281</f>
        <v>0.19967414060000005</v>
      </c>
      <c r="AX1226" s="55">
        <f>Database_Overig_Materieel[[#This Row],[Verbruik '[liter/kWh/kg per uur']]]*AX$1281</f>
        <v>6.8258786400000005E-3</v>
      </c>
      <c r="AY1226" s="55">
        <f>Database_Overig_Materieel[[#This Row],[Verbruik '[liter/kWh/kg per uur']]]*AY$1281</f>
        <v>7.5090716720000001</v>
      </c>
      <c r="AZ1226" s="55">
        <f>Database_Overig_Materieel[[#This Row],[Verbruik '[liter/kWh/kg per uur']]]*AZ$1281</f>
        <v>0</v>
      </c>
      <c r="BA1226" s="55"/>
      <c r="BB1226" s="55"/>
      <c r="BC1226" s="55"/>
      <c r="BD1226" s="55"/>
      <c r="BE1226" s="55"/>
      <c r="BF1226" s="45"/>
      <c r="BG1226" s="45" t="s">
        <v>271</v>
      </c>
    </row>
    <row r="1227" spans="1:59" x14ac:dyDescent="0.35">
      <c r="A1227" s="45" t="s">
        <v>382</v>
      </c>
      <c r="B1227" s="45" t="s">
        <v>132</v>
      </c>
      <c r="C1227" s="41" t="s">
        <v>451</v>
      </c>
      <c r="D1227" s="41" t="s">
        <v>455</v>
      </c>
      <c r="E1227" s="45" t="s">
        <v>65</v>
      </c>
      <c r="F1227" s="131">
        <v>66.97</v>
      </c>
      <c r="G1227" s="54">
        <f>Database_Overig_Materieel[[#This Row],[Verbruik '[liter/kWh/kg per uur']]]*G$1282</f>
        <v>14.293427163029026</v>
      </c>
      <c r="H1227" s="132">
        <v>100</v>
      </c>
      <c r="I1227" s="45">
        <v>34.299999999999997</v>
      </c>
      <c r="J1227" s="55">
        <f>Database_Overig_Materieel[[#This Row],[Verbruik '[liter/kWh/kg per uur']]]*J$1282</f>
        <v>2.5974783290000001E-4</v>
      </c>
      <c r="K1227" s="55">
        <f>Database_Overig_Materieel[[#This Row],[Verbruik '[liter/kWh/kg per uur']]]*K$1282</f>
        <v>0.56542509816999997</v>
      </c>
      <c r="L1227" s="55">
        <f>Database_Overig_Materieel[[#This Row],[Verbruik '[liter/kWh/kg per uur']]]*L$1282</f>
        <v>96.411411673000003</v>
      </c>
      <c r="M1227" s="55">
        <f>Database_Overig_Materieel[[#This Row],[Verbruik '[liter/kWh/kg per uur']]]*M$1282</f>
        <v>9.2208983899999995E-6</v>
      </c>
      <c r="N1227" s="55">
        <f>Database_Overig_Materieel[[#This Row],[Verbruik '[liter/kWh/kg per uur']]]*N$1282</f>
        <v>7.8586348319999999E-2</v>
      </c>
      <c r="O1227" s="55">
        <f>Database_Overig_Materieel[[#This Row],[Verbruik '[liter/kWh/kg per uur']]]*O$1282</f>
        <v>0.60243687230999998</v>
      </c>
      <c r="P1227" s="55">
        <f>Database_Overig_Materieel[[#This Row],[Verbruik '[liter/kWh/kg per uur']]]*P$1282</f>
        <v>0.29876750157999998</v>
      </c>
      <c r="Q1227" s="55">
        <f>Database_Overig_Materieel[[#This Row],[Verbruik '[liter/kWh/kg per uur']]]*Q$1282</f>
        <v>53.541085190500006</v>
      </c>
      <c r="R1227" s="55">
        <f>Database_Overig_Materieel[[#This Row],[Verbruik '[liter/kWh/kg per uur']]]*R$1282</f>
        <v>38.124230222199998</v>
      </c>
      <c r="S1227" s="55">
        <f>Database_Overig_Materieel[[#This Row],[Verbruik '[liter/kWh/kg per uur']]]*S$1282</f>
        <v>3209.7938790399999</v>
      </c>
      <c r="T1227" s="55">
        <f>Database_Overig_Materieel[[#This Row],[Verbruik '[liter/kWh/kg per uur']]]*T$1282</f>
        <v>16.3660663179</v>
      </c>
      <c r="U1227" s="55"/>
      <c r="V1227" s="55"/>
      <c r="W1227" s="55"/>
      <c r="X1227" s="55"/>
      <c r="Y1227" s="55"/>
      <c r="Z1227" s="55"/>
      <c r="AA1227" s="55"/>
      <c r="AB1227" s="55"/>
      <c r="AC1227" s="55"/>
      <c r="AD1227" s="55"/>
      <c r="AE1227" s="55"/>
      <c r="AF1227" s="55"/>
      <c r="AG1227" s="55"/>
      <c r="AH1227" s="55"/>
      <c r="AI1227" s="55"/>
      <c r="AJ1227" s="55"/>
      <c r="AK1227" s="55"/>
      <c r="AL1227" s="55"/>
      <c r="AM1227" s="55"/>
      <c r="AN1227" s="55"/>
      <c r="AO1227" s="55"/>
      <c r="AP1227" s="55">
        <f>Database_Overig_Materieel[[#This Row],[Verbruik '[liter/kWh/kg per uur']]]*AP$1282</f>
        <v>525.93566842500002</v>
      </c>
      <c r="AQ1227" s="55"/>
      <c r="AR1227" s="55"/>
      <c r="AS1227" s="55">
        <f>Database_Overig_Materieel[[#This Row],[Verbruik '[liter/kWh/kg per uur']]]*AS$1282</f>
        <v>1194.75062639</v>
      </c>
      <c r="AT1227" s="55"/>
      <c r="AU1227" s="55"/>
      <c r="AV1227" s="55"/>
      <c r="AW1227" s="55">
        <f>Database_Overig_Materieel[[#This Row],[Verbruik '[liter/kWh/kg per uur']]]*AW$1282</f>
        <v>4.1022691152499995</v>
      </c>
      <c r="AX1227" s="55">
        <f>Database_Overig_Materieel[[#This Row],[Verbruik '[liter/kWh/kg per uur']]]*AX$1282</f>
        <v>6.9314619699999995E-3</v>
      </c>
      <c r="AY1227" s="55">
        <f>Database_Overig_Materieel[[#This Row],[Verbruik '[liter/kWh/kg per uur']]]*AY$1282</f>
        <v>18.931474053300001</v>
      </c>
      <c r="AZ1227" s="55">
        <f>Database_Overig_Materieel[[#This Row],[Verbruik '[liter/kWh/kg per uur']]]*AZ$1282</f>
        <v>0</v>
      </c>
      <c r="BA1227" s="55"/>
      <c r="BB1227" s="55"/>
      <c r="BC1227" s="55"/>
      <c r="BD1227" s="55"/>
      <c r="BE1227" s="55"/>
      <c r="BF1227" s="45"/>
      <c r="BG1227" s="45" t="s">
        <v>271</v>
      </c>
    </row>
    <row r="1228" spans="1:59" x14ac:dyDescent="0.35">
      <c r="A1228" s="45" t="s">
        <v>383</v>
      </c>
      <c r="B1228" s="45" t="s">
        <v>132</v>
      </c>
      <c r="C1228" s="41" t="s">
        <v>451</v>
      </c>
      <c r="D1228" s="41" t="s">
        <v>455</v>
      </c>
      <c r="E1228" s="45" t="s">
        <v>65</v>
      </c>
      <c r="F1228" s="130">
        <v>66.59</v>
      </c>
      <c r="G1228" s="54">
        <f>Database_Overig_Materieel[[#This Row],[Verbruik '[liter/kWh/kg per uur']]]*G$1283</f>
        <v>18.82863333691175</v>
      </c>
      <c r="H1228" s="132">
        <v>100</v>
      </c>
      <c r="I1228" s="45">
        <v>34.5</v>
      </c>
      <c r="J1228" s="55">
        <f>Database_Overig_Materieel[[#This Row],[Verbruik '[liter/kWh/kg per uur']]]*J$1283</f>
        <v>1.4914362069999999E-4</v>
      </c>
      <c r="K1228" s="55">
        <f>Database_Overig_Materieel[[#This Row],[Verbruik '[liter/kWh/kg per uur']]]*K$1283</f>
        <v>0.36845379030000003</v>
      </c>
      <c r="L1228" s="55">
        <f>Database_Overig_Materieel[[#This Row],[Verbruik '[liter/kWh/kg per uur']]]*L$1283</f>
        <v>91.93296869800001</v>
      </c>
      <c r="M1228" s="55">
        <f>Database_Overig_Materieel[[#This Row],[Verbruik '[liter/kWh/kg per uur']]]*M$1283</f>
        <v>5.7748912289999998E-6</v>
      </c>
      <c r="N1228" s="55">
        <f>Database_Overig_Materieel[[#This Row],[Verbruik '[liter/kWh/kg per uur']]]*N$1283</f>
        <v>6.6801756200000006E-2</v>
      </c>
      <c r="O1228" s="55">
        <f>Database_Overig_Materieel[[#This Row],[Verbruik '[liter/kWh/kg per uur']]]*O$1283</f>
        <v>0.33046912296000003</v>
      </c>
      <c r="P1228" s="55">
        <f>Database_Overig_Materieel[[#This Row],[Verbruik '[liter/kWh/kg per uur']]]*P$1283</f>
        <v>0.14527560737</v>
      </c>
      <c r="Q1228" s="55">
        <f>Database_Overig_Materieel[[#This Row],[Verbruik '[liter/kWh/kg per uur']]]*Q$1283</f>
        <v>51.694806527399997</v>
      </c>
      <c r="R1228" s="55">
        <f>Database_Overig_Materieel[[#This Row],[Verbruik '[liter/kWh/kg per uur']]]*R$1283</f>
        <v>33.9351596355</v>
      </c>
      <c r="S1228" s="55">
        <f>Database_Overig_Materieel[[#This Row],[Verbruik '[liter/kWh/kg per uur']]]*S$1283</f>
        <v>2243.6298550500005</v>
      </c>
      <c r="T1228" s="55">
        <f>Database_Overig_Materieel[[#This Row],[Verbruik '[liter/kWh/kg per uur']]]*T$1283</f>
        <v>14.976906061599999</v>
      </c>
      <c r="U1228" s="55"/>
      <c r="V1228" s="55"/>
      <c r="W1228" s="55"/>
      <c r="X1228" s="55"/>
      <c r="Y1228" s="55"/>
      <c r="Z1228" s="55"/>
      <c r="AA1228" s="55"/>
      <c r="AB1228" s="55"/>
      <c r="AC1228" s="55"/>
      <c r="AD1228" s="55"/>
      <c r="AE1228" s="55"/>
      <c r="AF1228" s="55"/>
      <c r="AG1228" s="55"/>
      <c r="AH1228" s="55"/>
      <c r="AI1228" s="55"/>
      <c r="AJ1228" s="55"/>
      <c r="AK1228" s="55"/>
      <c r="AL1228" s="55"/>
      <c r="AM1228" s="55"/>
      <c r="AN1228" s="55"/>
      <c r="AO1228" s="55"/>
      <c r="AP1228" s="55">
        <f>Database_Overig_Materieel[[#This Row],[Verbruik '[liter/kWh/kg per uur']]]*AP$1283</f>
        <v>164.72922994700002</v>
      </c>
      <c r="AQ1228" s="55"/>
      <c r="AR1228" s="55"/>
      <c r="AS1228" s="55">
        <f>Database_Overig_Materieel[[#This Row],[Verbruik '[liter/kWh/kg per uur']]]*AS$1283</f>
        <v>773.33504078999999</v>
      </c>
      <c r="AT1228" s="55"/>
      <c r="AU1228" s="55"/>
      <c r="AV1228" s="55"/>
      <c r="AW1228" s="55">
        <f>Database_Overig_Materieel[[#This Row],[Verbruik '[liter/kWh/kg per uur']]]*AW$1283</f>
        <v>1.29673397236</v>
      </c>
      <c r="AX1228" s="55">
        <f>Database_Overig_Materieel[[#This Row],[Verbruik '[liter/kWh/kg per uur']]]*AX$1283</f>
        <v>4.2117908640000009E-3</v>
      </c>
      <c r="AY1228" s="55">
        <f>Database_Overig_Materieel[[#This Row],[Verbruik '[liter/kWh/kg per uur']]]*AY$1283</f>
        <v>16.3383885541</v>
      </c>
      <c r="AZ1228" s="55">
        <f>Database_Overig_Materieel[[#This Row],[Verbruik '[liter/kWh/kg per uur']]]*AZ$1283</f>
        <v>0</v>
      </c>
      <c r="BA1228" s="55"/>
      <c r="BB1228" s="55"/>
      <c r="BC1228" s="55"/>
      <c r="BD1228" s="55"/>
      <c r="BE1228" s="55"/>
      <c r="BF1228" s="45"/>
      <c r="BG1228" s="45" t="s">
        <v>271</v>
      </c>
    </row>
    <row r="1229" spans="1:59" x14ac:dyDescent="0.35">
      <c r="A1229" s="45" t="s">
        <v>384</v>
      </c>
      <c r="B1229" s="45" t="s">
        <v>132</v>
      </c>
      <c r="C1229" s="41" t="s">
        <v>451</v>
      </c>
      <c r="D1229" s="41" t="s">
        <v>455</v>
      </c>
      <c r="E1229" s="45" t="s">
        <v>65</v>
      </c>
      <c r="F1229" s="131">
        <v>66.78</v>
      </c>
      <c r="G1229" s="54">
        <f>Database_Overig_Materieel[[#This Row],[Verbruik '[liter/kWh/kg per uur']]]*G$1284</f>
        <v>4.6009249828149006</v>
      </c>
      <c r="H1229" s="132">
        <v>100</v>
      </c>
      <c r="I1229" s="45">
        <v>34.4</v>
      </c>
      <c r="J1229" s="55">
        <f>Database_Overig_Materieel[[#This Row],[Verbruik '[liter/kWh/kg per uur']]]*J$1284</f>
        <v>9.1320933450600005E-5</v>
      </c>
      <c r="K1229" s="55">
        <f>Database_Overig_Materieel[[#This Row],[Verbruik '[liter/kWh/kg per uur']]]*K$1284</f>
        <v>0.25051229788654439</v>
      </c>
      <c r="L1229" s="55">
        <f>Database_Overig_Materieel[[#This Row],[Verbruik '[liter/kWh/kg per uur']]]*L$1284</f>
        <v>26.656923937643015</v>
      </c>
      <c r="M1229" s="55">
        <f>Database_Overig_Materieel[[#This Row],[Verbruik '[liter/kWh/kg per uur']]]*M$1284</f>
        <v>3.4395399612E-6</v>
      </c>
      <c r="N1229" s="55">
        <f>Database_Overig_Materieel[[#This Row],[Verbruik '[liter/kWh/kg per uur']]]*N$1284</f>
        <v>2.9421741551441401E-2</v>
      </c>
      <c r="O1229" s="55">
        <f>Database_Overig_Materieel[[#This Row],[Verbruik '[liter/kWh/kg per uur']]]*O$1284</f>
        <v>0.13630635292381379</v>
      </c>
      <c r="P1229" s="55">
        <f>Database_Overig_Materieel[[#This Row],[Verbruik '[liter/kWh/kg per uur']]]*P$1284</f>
        <v>2.4707874741820204E-2</v>
      </c>
      <c r="Q1229" s="55">
        <f>Database_Overig_Materieel[[#This Row],[Verbruik '[liter/kWh/kg per uur']]]*Q$1284</f>
        <v>25.825834941389708</v>
      </c>
      <c r="R1229" s="55">
        <f>Database_Overig_Materieel[[#This Row],[Verbruik '[liter/kWh/kg per uur']]]*R$1284</f>
        <v>0.18668618816509622</v>
      </c>
      <c r="S1229" s="55">
        <f>Database_Overig_Materieel[[#This Row],[Verbruik '[liter/kWh/kg per uur']]]*S$1284</f>
        <v>642.49309501379298</v>
      </c>
      <c r="T1229" s="55">
        <f>Database_Overig_Materieel[[#This Row],[Verbruik '[liter/kWh/kg per uur']]]*T$1284</f>
        <v>0.12107022273618299</v>
      </c>
      <c r="U1229" s="55"/>
      <c r="V1229" s="55"/>
      <c r="W1229" s="55"/>
      <c r="X1229" s="55"/>
      <c r="Y1229" s="55"/>
      <c r="Z1229" s="55"/>
      <c r="AA1229" s="55"/>
      <c r="AB1229" s="55"/>
      <c r="AC1229" s="55"/>
      <c r="AD1229" s="55"/>
      <c r="AE1229" s="55"/>
      <c r="AF1229" s="55"/>
      <c r="AG1229" s="55"/>
      <c r="AH1229" s="55"/>
      <c r="AI1229" s="55"/>
      <c r="AJ1229" s="55"/>
      <c r="AK1229" s="55"/>
      <c r="AL1229" s="55"/>
      <c r="AM1229" s="55"/>
      <c r="AN1229" s="55"/>
      <c r="AO1229" s="55"/>
      <c r="AP1229" s="55">
        <f>Database_Overig_Materieel[[#This Row],[Verbruik '[liter/kWh/kg per uur']]]*AP$1284</f>
        <v>17.224157904490632</v>
      </c>
      <c r="AQ1229" s="55"/>
      <c r="AR1229" s="55"/>
      <c r="AS1229" s="55">
        <f>Database_Overig_Materieel[[#This Row],[Verbruik '[liter/kWh/kg per uur']]]*AS$1284</f>
        <v>527.98908958429774</v>
      </c>
      <c r="AT1229" s="55"/>
      <c r="AU1229" s="55"/>
      <c r="AV1229" s="55"/>
      <c r="AW1229" s="55">
        <f>Database_Overig_Materieel[[#This Row],[Verbruik '[liter/kWh/kg per uur']]]*AW$1284</f>
        <v>0.132629716892673</v>
      </c>
      <c r="AX1229" s="55">
        <f>Database_Overig_Materieel[[#This Row],[Verbruik '[liter/kWh/kg per uur']]]*AX$1284</f>
        <v>2.1411170449830001E-3</v>
      </c>
      <c r="AY1229" s="55">
        <f>Database_Overig_Materieel[[#This Row],[Verbruik '[liter/kWh/kg per uur']]]*AY$1284</f>
        <v>5.014326366718465</v>
      </c>
      <c r="AZ1229" s="55">
        <f>Database_Overig_Materieel[[#This Row],[Verbruik '[liter/kWh/kg per uur']]]*AZ$1284</f>
        <v>1.286030127564E-3</v>
      </c>
      <c r="BA1229" s="55"/>
      <c r="BB1229" s="55"/>
      <c r="BC1229" s="55"/>
      <c r="BD1229" s="55"/>
      <c r="BE1229" s="55"/>
      <c r="BF1229" s="45"/>
      <c r="BG1229" s="45" t="s">
        <v>271</v>
      </c>
    </row>
    <row r="1230" spans="1:59" x14ac:dyDescent="0.35">
      <c r="A1230" s="45" t="s">
        <v>385</v>
      </c>
      <c r="B1230" s="45" t="s">
        <v>132</v>
      </c>
      <c r="C1230" s="41" t="s">
        <v>451</v>
      </c>
      <c r="D1230" s="41" t="s">
        <v>455</v>
      </c>
      <c r="E1230" s="45" t="s">
        <v>65</v>
      </c>
      <c r="F1230" s="60">
        <f>F1215*3.1</f>
        <v>198.369</v>
      </c>
      <c r="G1230" s="54">
        <f>Database_Overig_Materieel[[#This Row],[Verbruik '[liter/kWh/kg per uur']]]*G$1285</f>
        <v>12.893180018598001</v>
      </c>
      <c r="H1230" s="132">
        <v>100</v>
      </c>
      <c r="I1230" s="45">
        <v>3.6</v>
      </c>
      <c r="J1230" s="55">
        <f>Database_Overig_Materieel[[#This Row],[Verbruik '[liter/kWh/kg per uur']]]*J$1285</f>
        <v>3.5508051000000002E-3</v>
      </c>
      <c r="K1230" s="55">
        <f>Database_Overig_Materieel[[#This Row],[Verbruik '[liter/kWh/kg per uur']]]*K$1285</f>
        <v>0.31143933000000001</v>
      </c>
      <c r="L1230" s="55">
        <f>Database_Overig_Materieel[[#This Row],[Verbruik '[liter/kWh/kg per uur']]]*L$1285</f>
        <v>44.633025000000004</v>
      </c>
      <c r="M1230" s="55">
        <f>Database_Overig_Materieel[[#This Row],[Verbruik '[liter/kWh/kg per uur']]]*M$1285</f>
        <v>4.4831394000000001E-6</v>
      </c>
      <c r="N1230" s="55">
        <f>Database_Overig_Materieel[[#This Row],[Verbruik '[liter/kWh/kg per uur']]]*N$1285</f>
        <v>5.8122117000000001E-2</v>
      </c>
      <c r="O1230" s="55">
        <f>Database_Overig_Materieel[[#This Row],[Verbruik '[liter/kWh/kg per uur']]]*O$1285</f>
        <v>0.42649334999999999</v>
      </c>
      <c r="P1230" s="55">
        <f>Database_Overig_Materieel[[#This Row],[Verbruik '[liter/kWh/kg per uur']]]*P$1285</f>
        <v>6.0304176000000001E-2</v>
      </c>
      <c r="Q1230" s="55">
        <f>Database_Overig_Materieel[[#This Row],[Verbruik '[liter/kWh/kg per uur']]]*Q$1285</f>
        <v>84.306825000000003</v>
      </c>
      <c r="R1230" s="55">
        <f>Database_Overig_Materieel[[#This Row],[Verbruik '[liter/kWh/kg per uur']]]*R$1285</f>
        <v>1.3965177600000001</v>
      </c>
      <c r="S1230" s="55">
        <f>Database_Overig_Materieel[[#This Row],[Verbruik '[liter/kWh/kg per uur']]]*S$1285</f>
        <v>4582.3239000000003</v>
      </c>
      <c r="T1230" s="55">
        <f>Database_Overig_Materieel[[#This Row],[Verbruik '[liter/kWh/kg per uur']]]*T$1285</f>
        <v>2.6383076999999999</v>
      </c>
      <c r="U1230" s="55"/>
      <c r="V1230" s="55"/>
      <c r="W1230" s="55"/>
      <c r="X1230" s="55"/>
      <c r="Y1230" s="55"/>
      <c r="Z1230" s="55"/>
      <c r="AA1230" s="55"/>
      <c r="AB1230" s="55"/>
      <c r="AC1230" s="55"/>
      <c r="AD1230" s="55"/>
      <c r="AE1230" s="55"/>
      <c r="AF1230" s="55"/>
      <c r="AG1230" s="55"/>
      <c r="AH1230" s="55"/>
      <c r="AI1230" s="55"/>
      <c r="AJ1230" s="55"/>
      <c r="AK1230" s="55"/>
      <c r="AL1230" s="55"/>
      <c r="AM1230" s="55"/>
      <c r="AN1230" s="55"/>
      <c r="AO1230" s="55"/>
      <c r="AP1230" s="55">
        <f>Database_Overig_Materieel[[#This Row],[Verbruik '[liter/kWh/kg per uur']]]*AP$1285</f>
        <v>1725.8102999999999</v>
      </c>
      <c r="AQ1230" s="55"/>
      <c r="AR1230" s="55"/>
      <c r="AS1230" s="55">
        <f>Database_Overig_Materieel[[#This Row],[Verbruik '[liter/kWh/kg per uur']]]*AS$1285</f>
        <v>608.99282999999991</v>
      </c>
      <c r="AT1230" s="55"/>
      <c r="AU1230" s="55"/>
      <c r="AV1230" s="55"/>
      <c r="AW1230" s="55">
        <f>Database_Overig_Materieel[[#This Row],[Verbruik '[liter/kWh/kg per uur']]]*AW$1285</f>
        <v>1725.8102999999999</v>
      </c>
      <c r="AX1230" s="55">
        <f>Database_Overig_Materieel[[#This Row],[Verbruik '[liter/kWh/kg per uur']]]*AX$1285</f>
        <v>8.1331289999999994E-3</v>
      </c>
      <c r="AY1230" s="55">
        <f>Database_Overig_Materieel[[#This Row],[Verbruik '[liter/kWh/kg per uur']]]*AY$1285</f>
        <v>15.095880900000001</v>
      </c>
      <c r="AZ1230" s="55">
        <f>Database_Overig_Materieel[[#This Row],[Verbruik '[liter/kWh/kg per uur']]]*AZ$1285</f>
        <v>1.78928838E-3</v>
      </c>
      <c r="BA1230" s="55"/>
      <c r="BB1230" s="55"/>
      <c r="BC1230" s="55"/>
      <c r="BD1230" s="55"/>
      <c r="BE1230" s="55"/>
      <c r="BF1230" s="45" t="s">
        <v>277</v>
      </c>
      <c r="BG1230" s="45" t="s">
        <v>276</v>
      </c>
    </row>
    <row r="1231" spans="1:59" x14ac:dyDescent="0.35">
      <c r="A1231" s="45" t="s">
        <v>386</v>
      </c>
      <c r="B1231" s="45" t="s">
        <v>132</v>
      </c>
      <c r="C1231" s="41" t="s">
        <v>451</v>
      </c>
      <c r="D1231" s="41" t="s">
        <v>455</v>
      </c>
      <c r="E1231" s="45" t="s">
        <v>65</v>
      </c>
      <c r="F1231" s="60">
        <f>F1215*3.1</f>
        <v>198.369</v>
      </c>
      <c r="G1231" s="54">
        <f>Database_Overig_Materieel[[#This Row],[Verbruik '[liter/kWh/kg per uur']]]*G$1286</f>
        <v>16.542449340758999</v>
      </c>
      <c r="H1231" s="132">
        <v>100</v>
      </c>
      <c r="I1231" s="45">
        <v>3.6</v>
      </c>
      <c r="J1231" s="55">
        <f>Database_Overig_Materieel[[#This Row],[Verbruik '[liter/kWh/kg per uur']]]*J$1286</f>
        <v>2.7970029000000001E-3</v>
      </c>
      <c r="K1231" s="55">
        <f>Database_Overig_Materieel[[#This Row],[Verbruik '[liter/kWh/kg per uur']]]*K$1286</f>
        <v>1.1564912700000001</v>
      </c>
      <c r="L1231" s="55">
        <f>Database_Overig_Materieel[[#This Row],[Verbruik '[liter/kWh/kg per uur']]]*L$1286</f>
        <v>137.469717</v>
      </c>
      <c r="M1231" s="55">
        <f>Database_Overig_Materieel[[#This Row],[Verbruik '[liter/kWh/kg per uur']]]*M$1286</f>
        <v>9.6208965000000001E-6</v>
      </c>
      <c r="N1231" s="55">
        <f>Database_Overig_Materieel[[#This Row],[Verbruik '[liter/kWh/kg per uur']]]*N$1286</f>
        <v>5.1972678000000008E-2</v>
      </c>
      <c r="O1231" s="55">
        <f>Database_Overig_Materieel[[#This Row],[Verbruik '[liter/kWh/kg per uur']]]*O$1286</f>
        <v>0.41260751999999995</v>
      </c>
      <c r="P1231" s="55">
        <f>Database_Overig_Materieel[[#This Row],[Verbruik '[liter/kWh/kg per uur']]]*P$1286</f>
        <v>4.9393880999999994E-2</v>
      </c>
      <c r="Q1231" s="55">
        <f>Database_Overig_Materieel[[#This Row],[Verbruik '[liter/kWh/kg per uur']]]*Q$1286</f>
        <v>73.991636999999997</v>
      </c>
      <c r="R1231" s="55">
        <f>Database_Overig_Materieel[[#This Row],[Verbruik '[liter/kWh/kg per uur']]]*R$1286</f>
        <v>1.18227924</v>
      </c>
      <c r="S1231" s="55">
        <f>Database_Overig_Materieel[[#This Row],[Verbruik '[liter/kWh/kg per uur']]]*S$1286</f>
        <v>4324.4441999999999</v>
      </c>
      <c r="T1231" s="55">
        <f>Database_Overig_Materieel[[#This Row],[Verbruik '[liter/kWh/kg per uur']]]*T$1286</f>
        <v>2.6184707999999999</v>
      </c>
      <c r="U1231" s="55"/>
      <c r="V1231" s="55"/>
      <c r="W1231" s="55"/>
      <c r="X1231" s="55"/>
      <c r="Y1231" s="55"/>
      <c r="Z1231" s="55"/>
      <c r="AA1231" s="55"/>
      <c r="AB1231" s="55"/>
      <c r="AC1231" s="55"/>
      <c r="AD1231" s="55"/>
      <c r="AE1231" s="55"/>
      <c r="AF1231" s="55"/>
      <c r="AG1231" s="55"/>
      <c r="AH1231" s="55"/>
      <c r="AI1231" s="55"/>
      <c r="AJ1231" s="55"/>
      <c r="AK1231" s="55"/>
      <c r="AL1231" s="55"/>
      <c r="AM1231" s="55"/>
      <c r="AN1231" s="55"/>
      <c r="AO1231" s="55"/>
      <c r="AP1231" s="55">
        <f>Database_Overig_Materieel[[#This Row],[Verbruik '[liter/kWh/kg per uur']]]*AP$1286</f>
        <v>47.410190999999998</v>
      </c>
      <c r="AQ1231" s="55"/>
      <c r="AR1231" s="55"/>
      <c r="AS1231" s="55">
        <f>Database_Overig_Materieel[[#This Row],[Verbruik '[liter/kWh/kg per uur']]]*AS$1286</f>
        <v>2162.2221</v>
      </c>
      <c r="AT1231" s="55"/>
      <c r="AU1231" s="55"/>
      <c r="AV1231" s="55"/>
      <c r="AW1231" s="55">
        <f>Database_Overig_Materieel[[#This Row],[Verbruik '[liter/kWh/kg per uur']]]*AW$1286</f>
        <v>47.410190999999998</v>
      </c>
      <c r="AX1231" s="55">
        <f>Database_Overig_Materieel[[#This Row],[Verbruik '[liter/kWh/kg per uur']]]*AX$1286</f>
        <v>6.3874817999999989E-3</v>
      </c>
      <c r="AY1231" s="55">
        <f>Database_Overig_Materieel[[#This Row],[Verbruik '[liter/kWh/kg per uur']]]*AY$1286</f>
        <v>11.2475223</v>
      </c>
      <c r="AZ1231" s="55">
        <f>Database_Overig_Materieel[[#This Row],[Verbruik '[liter/kWh/kg per uur']]]*AZ$1286</f>
        <v>1.8368969399999999E-3</v>
      </c>
      <c r="BA1231" s="55"/>
      <c r="BB1231" s="55"/>
      <c r="BC1231" s="55"/>
      <c r="BD1231" s="55"/>
      <c r="BE1231" s="55"/>
      <c r="BF1231" s="45" t="s">
        <v>277</v>
      </c>
      <c r="BG1231" s="45" t="s">
        <v>276</v>
      </c>
    </row>
    <row r="1232" spans="1:59" x14ac:dyDescent="0.35">
      <c r="A1232" s="45" t="s">
        <v>388</v>
      </c>
      <c r="B1232" s="45" t="s">
        <v>132</v>
      </c>
      <c r="C1232" s="41" t="s">
        <v>451</v>
      </c>
      <c r="D1232" s="41" t="s">
        <v>456</v>
      </c>
      <c r="E1232" s="45" t="s">
        <v>65</v>
      </c>
      <c r="F1232" s="60">
        <v>10</v>
      </c>
      <c r="G1232" s="54">
        <f>Database_Overig_Materieel[[#This Row],[Verbruik '[liter/kWh/kg per uur']]]*G$1270</f>
        <v>3.1869949046983259</v>
      </c>
      <c r="H1232" s="132">
        <v>125</v>
      </c>
      <c r="I1232" s="45">
        <v>35.9</v>
      </c>
      <c r="J1232" s="55">
        <f>Database_Overig_Materieel[[#This Row],[Verbruik '[liter/kWh/kg per uur']]]*J$1270</f>
        <v>1.6100000000000002E-5</v>
      </c>
      <c r="K1232" s="45">
        <f>Database_Overig_Materieel[[#This Row],[Verbruik '[liter/kWh/kg per uur']]]*K$1270</f>
        <v>0.23499709000000002</v>
      </c>
      <c r="L1232" s="45">
        <f>Database_Overig_Materieel[[#This Row],[Verbruik '[liter/kWh/kg per uur']]]*L$1270</f>
        <v>34.394199</v>
      </c>
      <c r="M1232" s="45">
        <f>Database_Overig_Materieel[[#This Row],[Verbruik '[liter/kWh/kg per uur']]]*M$1270</f>
        <v>5.9900000000000002E-6</v>
      </c>
      <c r="N1232" s="45">
        <f>Database_Overig_Materieel[[#This Row],[Verbruik '[liter/kWh/kg per uur']]]*N$1270</f>
        <v>1.132406E-2</v>
      </c>
      <c r="O1232" s="45">
        <f>Database_Overig_Materieel[[#This Row],[Verbruik '[liter/kWh/kg per uur']]]*O$1270</f>
        <v>0.1008739</v>
      </c>
      <c r="P1232" s="45">
        <f>Database_Overig_Materieel[[#This Row],[Verbruik '[liter/kWh/kg per uur']]]*P$1270</f>
        <v>1.9300270000000001E-2</v>
      </c>
      <c r="Q1232" s="45">
        <f>Database_Overig_Materieel[[#This Row],[Verbruik '[liter/kWh/kg per uur']]]*Q$1270</f>
        <v>8.5150821000000008</v>
      </c>
      <c r="R1232" s="45">
        <f>Database_Overig_Materieel[[#This Row],[Verbruik '[liter/kWh/kg per uur']]]*R$1270</f>
        <v>0.16863027999999999</v>
      </c>
      <c r="S1232" s="45">
        <f>Database_Overig_Materieel[[#This Row],[Verbruik '[liter/kWh/kg per uur']]]*S$1270</f>
        <v>564.23311000000001</v>
      </c>
      <c r="T1232" s="45">
        <f>Database_Overig_Materieel[[#This Row],[Verbruik '[liter/kWh/kg per uur']]]*T$1270</f>
        <v>3.0289419999999997E-2</v>
      </c>
      <c r="U1232" s="45"/>
      <c r="V1232" s="45"/>
      <c r="W1232" s="45"/>
      <c r="X1232" s="45"/>
      <c r="Y1232" s="45"/>
      <c r="Z1232" s="45"/>
      <c r="AA1232" s="45"/>
      <c r="AB1232" s="45"/>
      <c r="AC1232" s="45"/>
      <c r="AD1232" s="45"/>
      <c r="AE1232" s="45"/>
      <c r="AF1232" s="45"/>
      <c r="AG1232" s="45"/>
      <c r="AH1232" s="45"/>
      <c r="AI1232" s="45"/>
      <c r="AJ1232" s="45"/>
      <c r="AK1232" s="45"/>
      <c r="AL1232" s="45"/>
      <c r="AM1232" s="45"/>
      <c r="AN1232" s="45"/>
      <c r="AO1232" s="45"/>
      <c r="AP1232" s="45">
        <f>Database_Overig_Materieel[[#This Row],[Verbruik '[liter/kWh/kg per uur']]]*AP$1270</f>
        <v>3.8251134999999996</v>
      </c>
      <c r="AQ1232" s="45"/>
      <c r="AR1232" s="45"/>
      <c r="AS1232" s="45">
        <f>Database_Overig_Materieel[[#This Row],[Verbruik '[liter/kWh/kg per uur']]]*AS$1270</f>
        <v>524.53286000000003</v>
      </c>
      <c r="AT1232" s="45"/>
      <c r="AU1232" s="45"/>
      <c r="AV1232" s="45"/>
      <c r="AW1232" s="45">
        <f>Database_Overig_Materieel[[#This Row],[Verbruik '[liter/kWh/kg per uur']]]*AW$1270</f>
        <v>4.9554630000000002E-2</v>
      </c>
      <c r="AX1232" s="45">
        <f>Database_Overig_Materieel[[#This Row],[Verbruik '[liter/kWh/kg per uur']]]*AX$1270</f>
        <v>3.62101E-3</v>
      </c>
      <c r="AY1232" s="45">
        <f>Database_Overig_Materieel[[#This Row],[Verbruik '[liter/kWh/kg per uur']]]*AY$1270</f>
        <v>0.87994409000000007</v>
      </c>
      <c r="AZ1232" s="45">
        <f>Database_Overig_Materieel[[#This Row],[Verbruik '[liter/kWh/kg per uur']]]*AZ$1270</f>
        <v>0</v>
      </c>
      <c r="BA1232" s="45"/>
      <c r="BB1232" s="45"/>
      <c r="BC1232" s="45"/>
      <c r="BD1232" s="45"/>
      <c r="BE1232" s="45"/>
      <c r="BF1232" s="45"/>
      <c r="BG1232" s="45" t="s">
        <v>387</v>
      </c>
    </row>
    <row r="1233" spans="1:59" x14ac:dyDescent="0.35">
      <c r="A1233" s="45" t="s">
        <v>389</v>
      </c>
      <c r="B1233" s="45" t="s">
        <v>132</v>
      </c>
      <c r="C1233" s="41" t="s">
        <v>451</v>
      </c>
      <c r="D1233" s="41" t="s">
        <v>456</v>
      </c>
      <c r="E1233" s="45" t="s">
        <v>65</v>
      </c>
      <c r="F1233" s="60">
        <f>$F1232*($I1232/Database_Overig_Materieel[[#This Row],[Stookwaarde '[MJ/liter']]])</f>
        <v>10.845921450151057</v>
      </c>
      <c r="G1233" s="54">
        <f>Database_Overig_Materieel[[#This Row],[Verbruik '[liter/kWh/kg per uur']]]*G$1271</f>
        <v>3.0451051374353839</v>
      </c>
      <c r="H1233" s="132">
        <v>125</v>
      </c>
      <c r="I1233" s="45">
        <v>33.1</v>
      </c>
      <c r="J1233" s="55">
        <f>Database_Overig_Materieel[[#This Row],[Verbruik '[liter/kWh/kg per uur']]]*J$1271</f>
        <v>5.3975921148036257E-5</v>
      </c>
      <c r="K1233" s="45">
        <f>Database_Overig_Materieel[[#This Row],[Verbruik '[liter/kWh/kg per uur']]]*K$1271</f>
        <v>0.32058372453172207</v>
      </c>
      <c r="L1233" s="45">
        <f>Database_Overig_Materieel[[#This Row],[Verbruik '[liter/kWh/kg per uur']]]*L$1271</f>
        <v>39.549304413897282</v>
      </c>
      <c r="M1233" s="45">
        <f>Database_Overig_Materieel[[#This Row],[Verbruik '[liter/kWh/kg per uur']]]*M$1271</f>
        <v>5.2599248338368578E-7</v>
      </c>
      <c r="N1233" s="45">
        <f>Database_Overig_Materieel[[#This Row],[Verbruik '[liter/kWh/kg per uur']]]*N$1271</f>
        <v>7.9470886404833831E-3</v>
      </c>
      <c r="O1233" s="45">
        <f>Database_Overig_Materieel[[#This Row],[Verbruik '[liter/kWh/kg per uur']]]*O$1271</f>
        <v>8.1586079697885186E-2</v>
      </c>
      <c r="P1233" s="45">
        <f>Database_Overig_Materieel[[#This Row],[Verbruik '[liter/kWh/kg per uur']]]*P$1271</f>
        <v>1.7537930906344413E-2</v>
      </c>
      <c r="Q1233" s="45">
        <f>Database_Overig_Materieel[[#This Row],[Verbruik '[liter/kWh/kg per uur']]]*Q$1271</f>
        <v>7.852648321752266</v>
      </c>
      <c r="R1233" s="45">
        <f>Database_Overig_Materieel[[#This Row],[Verbruik '[liter/kWh/kg per uur']]]*R$1271</f>
        <v>6.2370360664652562E-2</v>
      </c>
      <c r="S1233" s="45">
        <f>Database_Overig_Materieel[[#This Row],[Verbruik '[liter/kWh/kg per uur']]]*S$1271</f>
        <v>235.48595238670694</v>
      </c>
      <c r="T1233" s="45">
        <f>Database_Overig_Materieel[[#This Row],[Verbruik '[liter/kWh/kg per uur']]]*T$1271</f>
        <v>3.1953494561933533E-2</v>
      </c>
      <c r="U1233" s="45"/>
      <c r="V1233" s="45"/>
      <c r="W1233" s="45"/>
      <c r="X1233" s="45"/>
      <c r="Y1233" s="45"/>
      <c r="Z1233" s="45"/>
      <c r="AA1233" s="45"/>
      <c r="AB1233" s="45"/>
      <c r="AC1233" s="45"/>
      <c r="AD1233" s="45"/>
      <c r="AE1233" s="45"/>
      <c r="AF1233" s="45"/>
      <c r="AG1233" s="45"/>
      <c r="AH1233" s="45"/>
      <c r="AI1233" s="45"/>
      <c r="AJ1233" s="45"/>
      <c r="AK1233" s="45"/>
      <c r="AL1233" s="45"/>
      <c r="AM1233" s="45"/>
      <c r="AN1233" s="45"/>
      <c r="AO1233" s="45"/>
      <c r="AP1233" s="45">
        <f>Database_Overig_Materieel[[#This Row],[Verbruik '[liter/kWh/kg per uur']]]*AP$1271</f>
        <v>4.6747510377643504</v>
      </c>
      <c r="AQ1233" s="45"/>
      <c r="AR1233" s="45"/>
      <c r="AS1233" s="45">
        <f>Database_Overig_Materieel[[#This Row],[Verbruik '[liter/kWh/kg per uur']]]*AS$1271</f>
        <v>683.71002280966763</v>
      </c>
      <c r="AT1233" s="45"/>
      <c r="AU1233" s="45"/>
      <c r="AV1233" s="45"/>
      <c r="AW1233" s="45">
        <f>Database_Overig_Materieel[[#This Row],[Verbruik '[liter/kWh/kg per uur']]]*AW$1271</f>
        <v>3.0533069305135951E-2</v>
      </c>
      <c r="AX1233" s="45">
        <f>Database_Overig_Materieel[[#This Row],[Verbruik '[liter/kWh/kg per uur']]]*AX$1271</f>
        <v>1.0428527009063444E-3</v>
      </c>
      <c r="AY1233" s="45">
        <f>Database_Overig_Materieel[[#This Row],[Verbruik '[liter/kWh/kg per uur']]]*AY$1271</f>
        <v>1.1587731501510574</v>
      </c>
      <c r="AZ1233" s="45">
        <f>Database_Overig_Materieel[[#This Row],[Verbruik '[liter/kWh/kg per uur']]]*AZ$1271</f>
        <v>0</v>
      </c>
      <c r="BA1233" s="45"/>
      <c r="BB1233" s="45"/>
      <c r="BC1233" s="45"/>
      <c r="BD1233" s="45"/>
      <c r="BE1233" s="45"/>
      <c r="BF1233" s="45"/>
      <c r="BG1233" s="45" t="s">
        <v>271</v>
      </c>
    </row>
    <row r="1234" spans="1:59" x14ac:dyDescent="0.35">
      <c r="A1234" s="45" t="s">
        <v>390</v>
      </c>
      <c r="B1234" s="45" t="s">
        <v>132</v>
      </c>
      <c r="C1234" s="41" t="s">
        <v>451</v>
      </c>
      <c r="D1234" s="41" t="s">
        <v>456</v>
      </c>
      <c r="E1234" s="45" t="s">
        <v>65</v>
      </c>
      <c r="F1234" s="60">
        <f>$F1232*($I1232/Database_Overig_Materieel[[#This Row],[Stookwaarde '[MJ/liter']]])</f>
        <v>10.466472303206997</v>
      </c>
      <c r="G1234" s="54">
        <f>Database_Overig_Materieel[[#This Row],[Verbruik '[liter/kWh/kg per uur']]]*G$1272</f>
        <v>2.4243270042747156</v>
      </c>
      <c r="H1234" s="132">
        <v>125</v>
      </c>
      <c r="I1234" s="45">
        <v>34.299999999999997</v>
      </c>
      <c r="J1234" s="55">
        <f>Database_Overig_Materieel[[#This Row],[Verbruik '[liter/kWh/kg per uur']]]*J$1272</f>
        <v>3.9207195918367344E-5</v>
      </c>
      <c r="K1234" s="45">
        <f>Database_Overig_Materieel[[#This Row],[Verbruik '[liter/kWh/kg per uur']]]*K$1272</f>
        <v>8.5732517871720121E-2</v>
      </c>
      <c r="L1234" s="45">
        <f>Database_Overig_Materieel[[#This Row],[Verbruik '[liter/kWh/kg per uur']]]*L$1272</f>
        <v>14.779000099125366</v>
      </c>
      <c r="M1234" s="45">
        <f>Database_Overig_Materieel[[#This Row],[Verbruik '[liter/kWh/kg per uur']]]*M$1272</f>
        <v>1.3939771137026238E-6</v>
      </c>
      <c r="N1234" s="45">
        <f>Database_Overig_Materieel[[#This Row],[Verbruik '[liter/kWh/kg per uur']]]*N$1272</f>
        <v>1.2161339562682217E-2</v>
      </c>
      <c r="O1234" s="45">
        <f>Database_Overig_Materieel[[#This Row],[Verbruik '[liter/kWh/kg per uur']]]*O$1272</f>
        <v>0.13209842498542274</v>
      </c>
      <c r="P1234" s="45">
        <f>Database_Overig_Materieel[[#This Row],[Verbruik '[liter/kWh/kg per uur']]]*P$1272</f>
        <v>5.6704562857142864E-2</v>
      </c>
      <c r="Q1234" s="45">
        <f>Database_Overig_Materieel[[#This Row],[Verbruik '[liter/kWh/kg per uur']]]*Q$1272</f>
        <v>8.2378432157434407</v>
      </c>
      <c r="R1234" s="45">
        <f>Database_Overig_Materieel[[#This Row],[Verbruik '[liter/kWh/kg per uur']]]*R$1272</f>
        <v>5.9562670708454819</v>
      </c>
      <c r="S1234" s="45">
        <f>Database_Overig_Materieel[[#This Row],[Verbruik '[liter/kWh/kg per uur']]]*S$1272</f>
        <v>492.61334218658891</v>
      </c>
      <c r="T1234" s="45">
        <f>Database_Overig_Materieel[[#This Row],[Verbruik '[liter/kWh/kg per uur']]]*T$1272</f>
        <v>2.5573810871720113</v>
      </c>
      <c r="U1234" s="45"/>
      <c r="V1234" s="45"/>
      <c r="W1234" s="45"/>
      <c r="X1234" s="45"/>
      <c r="Y1234" s="45"/>
      <c r="Z1234" s="45"/>
      <c r="AA1234" s="45"/>
      <c r="AB1234" s="45"/>
      <c r="AC1234" s="45"/>
      <c r="AD1234" s="45"/>
      <c r="AE1234" s="45"/>
      <c r="AF1234" s="45"/>
      <c r="AG1234" s="45"/>
      <c r="AH1234" s="45"/>
      <c r="AI1234" s="45"/>
      <c r="AJ1234" s="45"/>
      <c r="AK1234" s="45"/>
      <c r="AL1234" s="45"/>
      <c r="AM1234" s="45"/>
      <c r="AN1234" s="45"/>
      <c r="AO1234" s="45"/>
      <c r="AP1234" s="45">
        <f>Database_Overig_Materieel[[#This Row],[Verbruik '[liter/kWh/kg per uur']]]*AP$1272</f>
        <v>82.08420078134111</v>
      </c>
      <c r="AQ1234" s="45"/>
      <c r="AR1234" s="45"/>
      <c r="AS1234" s="45">
        <f>Database_Overig_Materieel[[#This Row],[Verbruik '[liter/kWh/kg per uur']]]*AS$1272</f>
        <v>180.88644125364431</v>
      </c>
      <c r="AT1234" s="45"/>
      <c r="AU1234" s="45"/>
      <c r="AV1234" s="45"/>
      <c r="AW1234" s="45">
        <f>Database_Overig_Materieel[[#This Row],[Verbruik '[liter/kWh/kg per uur']]]*AW$1272</f>
        <v>0.6405011209620991</v>
      </c>
      <c r="AX1234" s="45">
        <f>Database_Overig_Materieel[[#This Row],[Verbruik '[liter/kWh/kg per uur']]]*AX$1272</f>
        <v>1.0610386297376093E-3</v>
      </c>
      <c r="AY1234" s="45">
        <f>Database_Overig_Materieel[[#This Row],[Verbruik '[liter/kWh/kg per uur']]]*AY$1272</f>
        <v>2.9449840720116622</v>
      </c>
      <c r="AZ1234" s="45">
        <f>Database_Overig_Materieel[[#This Row],[Verbruik '[liter/kWh/kg per uur']]]*AZ$1272</f>
        <v>0</v>
      </c>
      <c r="BA1234" s="45"/>
      <c r="BB1234" s="45"/>
      <c r="BC1234" s="45"/>
      <c r="BD1234" s="45"/>
      <c r="BE1234" s="45"/>
      <c r="BF1234" s="45"/>
      <c r="BG1234" s="45" t="s">
        <v>271</v>
      </c>
    </row>
    <row r="1235" spans="1:59" x14ac:dyDescent="0.35">
      <c r="A1235" s="45" t="s">
        <v>391</v>
      </c>
      <c r="B1235" s="45" t="s">
        <v>132</v>
      </c>
      <c r="C1235" s="41" t="s">
        <v>451</v>
      </c>
      <c r="D1235" s="41" t="s">
        <v>456</v>
      </c>
      <c r="E1235" s="45" t="s">
        <v>65</v>
      </c>
      <c r="F1235" s="60">
        <f>$F1232*($I1232/Database_Overig_Materieel[[#This Row],[Stookwaarde '[MJ/liter']]])</f>
        <v>10.405797101449274</v>
      </c>
      <c r="G1235" s="54">
        <f>Database_Overig_Materieel[[#This Row],[Verbruik '[liter/kWh/kg per uur']]]*G$1273</f>
        <v>3.1305290837982311</v>
      </c>
      <c r="H1235" s="132">
        <v>125</v>
      </c>
      <c r="I1235" s="45">
        <v>34.5</v>
      </c>
      <c r="J1235" s="55">
        <f>Database_Overig_Materieel[[#This Row],[Verbruik '[liter/kWh/kg per uur']]]*J$1273</f>
        <v>2.1868094782608687E-5</v>
      </c>
      <c r="K1235" s="45">
        <f>Database_Overig_Materieel[[#This Row],[Verbruik '[liter/kWh/kg per uur']]]*K$1273</f>
        <v>5.4846001275362308E-2</v>
      </c>
      <c r="L1235" s="45">
        <f>Database_Overig_Materieel[[#This Row],[Verbruik '[liter/kWh/kg per uur']]]*L$1273</f>
        <v>14.066838518840576</v>
      </c>
      <c r="M1235" s="45">
        <f>Database_Overig_Materieel[[#This Row],[Verbruik '[liter/kWh/kg per uur']]]*M$1273</f>
        <v>8.5359482028985491E-7</v>
      </c>
      <c r="N1235" s="45">
        <f>Database_Overig_Materieel[[#This Row],[Verbruik '[liter/kWh/kg per uur']]]*N$1273</f>
        <v>1.0313913913043477E-2</v>
      </c>
      <c r="O1235" s="45">
        <f>Database_Overig_Materieel[[#This Row],[Verbruik '[liter/kWh/kg per uur']]]*O$1273</f>
        <v>8.6002341768115928E-2</v>
      </c>
      <c r="P1235" s="45">
        <f>Database_Overig_Materieel[[#This Row],[Verbruik '[liter/kWh/kg per uur']]]*P$1273</f>
        <v>3.178630744927536E-2</v>
      </c>
      <c r="Q1235" s="45">
        <f>Database_Overig_Materieel[[#This Row],[Verbruik '[liter/kWh/kg per uur']]]*Q$1273</f>
        <v>7.9318273733333315</v>
      </c>
      <c r="R1235" s="45">
        <f>Database_Overig_Materieel[[#This Row],[Verbruik '[liter/kWh/kg per uur']]]*R$1273</f>
        <v>5.300845301159419</v>
      </c>
      <c r="S1235" s="45">
        <f>Database_Overig_Materieel[[#This Row],[Verbruik '[liter/kWh/kg per uur']]]*S$1273</f>
        <v>341.24464043478258</v>
      </c>
      <c r="T1235" s="45">
        <f>Database_Overig_Materieel[[#This Row],[Verbruik '[liter/kWh/kg per uur']]]*T$1273</f>
        <v>2.3399707408695649</v>
      </c>
      <c r="U1235" s="45"/>
      <c r="V1235" s="45"/>
      <c r="W1235" s="45"/>
      <c r="X1235" s="45"/>
      <c r="Y1235" s="45"/>
      <c r="Z1235" s="45"/>
      <c r="AA1235" s="45"/>
      <c r="AB1235" s="45"/>
      <c r="AC1235" s="45"/>
      <c r="AD1235" s="45"/>
      <c r="AE1235" s="45"/>
      <c r="AF1235" s="45"/>
      <c r="AG1235" s="45"/>
      <c r="AH1235" s="45"/>
      <c r="AI1235" s="45"/>
      <c r="AJ1235" s="45"/>
      <c r="AK1235" s="45"/>
      <c r="AL1235" s="45"/>
      <c r="AM1235" s="45"/>
      <c r="AN1235" s="45"/>
      <c r="AO1235" s="45"/>
      <c r="AP1235" s="45">
        <f>Database_Overig_Materieel[[#This Row],[Verbruik '[liter/kWh/kg per uur']]]*AP$1273</f>
        <v>25.62544705507246</v>
      </c>
      <c r="AQ1235" s="45"/>
      <c r="AR1235" s="45"/>
      <c r="AS1235" s="45">
        <f>Database_Overig_Materieel[[#This Row],[Verbruik '[liter/kWh/kg per uur']]]*AS$1273</f>
        <v>114.79856423188406</v>
      </c>
      <c r="AT1235" s="45"/>
      <c r="AU1235" s="45"/>
      <c r="AV1235" s="45"/>
      <c r="AW1235" s="45">
        <f>Database_Overig_Materieel[[#This Row],[Verbruik '[liter/kWh/kg per uur']]]*AW$1273</f>
        <v>0.20198755188405795</v>
      </c>
      <c r="AX1235" s="45">
        <f>Database_Overig_Materieel[[#This Row],[Verbruik '[liter/kWh/kg per uur']]]*AX$1273</f>
        <v>6.3509389275362307E-4</v>
      </c>
      <c r="AY1235" s="45">
        <f>Database_Overig_Materieel[[#This Row],[Verbruik '[liter/kWh/kg per uur']]]*AY$1273</f>
        <v>2.538907417101449</v>
      </c>
      <c r="AZ1235" s="45">
        <f>Database_Overig_Materieel[[#This Row],[Verbruik '[liter/kWh/kg per uur']]]*AZ$1273</f>
        <v>0</v>
      </c>
      <c r="BA1235" s="45"/>
      <c r="BB1235" s="45"/>
      <c r="BC1235" s="45"/>
      <c r="BD1235" s="45"/>
      <c r="BE1235" s="45"/>
      <c r="BF1235" s="45"/>
      <c r="BG1235" s="45" t="s">
        <v>271</v>
      </c>
    </row>
    <row r="1236" spans="1:59" x14ac:dyDescent="0.35">
      <c r="A1236" s="45" t="s">
        <v>392</v>
      </c>
      <c r="B1236" s="45" t="s">
        <v>132</v>
      </c>
      <c r="C1236" s="41" t="s">
        <v>451</v>
      </c>
      <c r="D1236" s="41" t="s">
        <v>456</v>
      </c>
      <c r="E1236" s="45" t="s">
        <v>65</v>
      </c>
      <c r="F1236" s="60">
        <f>$F1232*($I1232/Database_Overig_Materieel[[#This Row],[Stookwaarde '[MJ/liter']]])</f>
        <v>10.436046511627907</v>
      </c>
      <c r="G1236" s="54">
        <f>Database_Overig_Materieel[[#This Row],[Verbruik '[liter/kWh/kg per uur']]]*G$1274</f>
        <v>0.91255512104604886</v>
      </c>
      <c r="H1236" s="132">
        <v>125</v>
      </c>
      <c r="I1236" s="45">
        <v>34.4</v>
      </c>
      <c r="J1236" s="55">
        <f>Database_Overig_Materieel[[#This Row],[Verbruik '[liter/kWh/kg per uur']]]*J$1274</f>
        <v>1.2742882934593024E-5</v>
      </c>
      <c r="K1236" s="45">
        <f>Database_Overig_Materieel[[#This Row],[Verbruik '[liter/kWh/kg per uur']]]*K$1274</f>
        <v>3.6228047364911337E-2</v>
      </c>
      <c r="L1236" s="45">
        <f>Database_Overig_Materieel[[#This Row],[Verbruik '[liter/kWh/kg per uur']]]*L$1274</f>
        <v>3.8439920456622279</v>
      </c>
      <c r="M1236" s="45">
        <f>Database_Overig_Materieel[[#This Row],[Verbruik '[liter/kWh/kg per uur']]]*M$1274</f>
        <v>4.8474267209302327E-7</v>
      </c>
      <c r="N1236" s="45">
        <f>Database_Overig_Materieel[[#This Row],[Verbruik '[liter/kWh/kg per uur']]]*N$1274</f>
        <v>4.4619600408892443E-3</v>
      </c>
      <c r="O1236" s="45">
        <f>Database_Overig_Materieel[[#This Row],[Verbruik '[liter/kWh/kg per uur']]]*O$1274</f>
        <v>5.6651364352318316E-2</v>
      </c>
      <c r="P1236" s="45">
        <f>Database_Overig_Materieel[[#This Row],[Verbruik '[liter/kWh/kg per uur']]]*P$1274</f>
        <v>1.3206557054774129E-2</v>
      </c>
      <c r="Q1236" s="45">
        <f>Database_Overig_Materieel[[#This Row],[Verbruik '[liter/kWh/kg per uur']]]*Q$1274</f>
        <v>3.8801852331750588</v>
      </c>
      <c r="R1236" s="45">
        <f>Database_Overig_Materieel[[#This Row],[Verbruik '[liter/kWh/kg per uur']]]*R$1274</f>
        <v>2.6881334980800871E-2</v>
      </c>
      <c r="S1236" s="45">
        <f>Database_Overig_Materieel[[#This Row],[Verbruik '[liter/kWh/kg per uur']]]*S$1274</f>
        <v>90.229389561697033</v>
      </c>
      <c r="T1236" s="45">
        <f>Database_Overig_Materieel[[#This Row],[Verbruik '[liter/kWh/kg per uur']]]*T$1274</f>
        <v>1.8466817805631107E-2</v>
      </c>
      <c r="U1236" s="45"/>
      <c r="V1236" s="45"/>
      <c r="W1236" s="45"/>
      <c r="X1236" s="45"/>
      <c r="Y1236" s="45"/>
      <c r="Z1236" s="45"/>
      <c r="AA1236" s="45"/>
      <c r="AB1236" s="45"/>
      <c r="AC1236" s="45"/>
      <c r="AD1236" s="45"/>
      <c r="AE1236" s="45"/>
      <c r="AF1236" s="45"/>
      <c r="AG1236" s="45"/>
      <c r="AH1236" s="45"/>
      <c r="AI1236" s="45"/>
      <c r="AJ1236" s="45"/>
      <c r="AK1236" s="45"/>
      <c r="AL1236" s="45"/>
      <c r="AM1236" s="45"/>
      <c r="AN1236" s="45"/>
      <c r="AO1236" s="45"/>
      <c r="AP1236" s="45">
        <f>Database_Overig_Materieel[[#This Row],[Verbruik '[liter/kWh/kg per uur']]]*AP$1274</f>
        <v>2.5680799133785808</v>
      </c>
      <c r="AQ1236" s="45"/>
      <c r="AR1236" s="45"/>
      <c r="AS1236" s="45">
        <f>Database_Overig_Materieel[[#This Row],[Verbruik '[liter/kWh/kg per uur']]]*AS$1274</f>
        <v>76.041743572225656</v>
      </c>
      <c r="AT1236" s="45"/>
      <c r="AU1236" s="45"/>
      <c r="AV1236" s="45"/>
      <c r="AW1236" s="45">
        <f>Database_Overig_Materieel[[#This Row],[Verbruik '[liter/kWh/kg per uur']]]*AW$1274</f>
        <v>1.9836427288283141E-2</v>
      </c>
      <c r="AX1236" s="45">
        <f>Database_Overig_Materieel[[#This Row],[Verbruik '[liter/kWh/kg per uur']]]*AX$1274</f>
        <v>3.0942499715087211E-4</v>
      </c>
      <c r="AY1236" s="45">
        <f>Database_Overig_Materieel[[#This Row],[Verbruik '[liter/kWh/kg per uur']]]*AY$1274</f>
        <v>0.75992491748799851</v>
      </c>
      <c r="AZ1236" s="45">
        <f>Database_Overig_Materieel[[#This Row],[Verbruik '[liter/kWh/kg per uur']]]*AZ$1274</f>
        <v>1.8156992720930233E-4</v>
      </c>
      <c r="BA1236" s="45"/>
      <c r="BB1236" s="45"/>
      <c r="BC1236" s="45"/>
      <c r="BD1236" s="45"/>
      <c r="BE1236" s="45"/>
      <c r="BF1236" s="45"/>
      <c r="BG1236" s="45" t="s">
        <v>271</v>
      </c>
    </row>
    <row r="1237" spans="1:59" x14ac:dyDescent="0.35">
      <c r="A1237" s="45" t="s">
        <v>393</v>
      </c>
      <c r="B1237" s="45" t="s">
        <v>132</v>
      </c>
      <c r="C1237" s="41" t="s">
        <v>451</v>
      </c>
      <c r="D1237" s="41" t="s">
        <v>456</v>
      </c>
      <c r="E1237" s="45" t="s">
        <v>65</v>
      </c>
      <c r="F1237" s="60">
        <v>10</v>
      </c>
      <c r="G1237" s="54">
        <f>Database_Overig_Materieel[[#This Row],[Verbruik '[liter/kWh/kg per uur']]]*G$1275</f>
        <v>2.9875556377082257</v>
      </c>
      <c r="H1237" s="132">
        <v>125</v>
      </c>
      <c r="I1237" s="45">
        <v>35.9</v>
      </c>
      <c r="J1237" s="55">
        <f>Database_Overig_Materieel[[#This Row],[Verbruik '[liter/kWh/kg per uur']]]*J$1275</f>
        <v>1.75657E-5</v>
      </c>
      <c r="K1237" s="45">
        <f>Database_Overig_Materieel[[#This Row],[Verbruik '[liter/kWh/kg per uur']]]*K$1275</f>
        <v>0.23772814</v>
      </c>
      <c r="L1237" s="45">
        <f>Database_Overig_Materieel[[#This Row],[Verbruik '[liter/kWh/kg per uur']]]*L$1275</f>
        <v>34.693345000000001</v>
      </c>
      <c r="M1237" s="45">
        <f>Database_Overig_Materieel[[#This Row],[Verbruik '[liter/kWh/kg per uur']]]*M$1275</f>
        <v>6.0382299999999996E-6</v>
      </c>
      <c r="N1237" s="45">
        <f>Database_Overig_Materieel[[#This Row],[Verbruik '[liter/kWh/kg per uur']]]*N$1275</f>
        <v>1.1418290000000001E-2</v>
      </c>
      <c r="O1237" s="45">
        <f>Database_Overig_Materieel[[#This Row],[Verbruik '[liter/kWh/kg per uur']]]*O$1275</f>
        <v>6.6512870000000002E-2</v>
      </c>
      <c r="P1237" s="45">
        <f>Database_Overig_Materieel[[#This Row],[Verbruik '[liter/kWh/kg per uur']]]*P$1275</f>
        <v>1.0215700000000001E-2</v>
      </c>
      <c r="Q1237" s="45">
        <f>Database_Overig_Materieel[[#This Row],[Verbruik '[liter/kWh/kg per uur']]]*Q$1275</f>
        <v>8.5502149999999997</v>
      </c>
      <c r="R1237" s="45">
        <f>Database_Overig_Materieel[[#This Row],[Verbruik '[liter/kWh/kg per uur']]]*R$1275</f>
        <v>0.17058931999999999</v>
      </c>
      <c r="S1237" s="45">
        <f>Database_Overig_Materieel[[#This Row],[Verbruik '[liter/kWh/kg per uur']]]*S$1275</f>
        <v>573.59029999999996</v>
      </c>
      <c r="T1237" s="45">
        <f>Database_Overig_Materieel[[#This Row],[Verbruik '[liter/kWh/kg per uur']]]*T$1275</f>
        <v>3.0709340000000002E-2</v>
      </c>
      <c r="U1237" s="45"/>
      <c r="V1237" s="45"/>
      <c r="W1237" s="45"/>
      <c r="X1237" s="45"/>
      <c r="Y1237" s="45"/>
      <c r="Z1237" s="45"/>
      <c r="AA1237" s="45"/>
      <c r="AB1237" s="45"/>
      <c r="AC1237" s="45"/>
      <c r="AD1237" s="45"/>
      <c r="AE1237" s="45"/>
      <c r="AF1237" s="45"/>
      <c r="AG1237" s="45"/>
      <c r="AH1237" s="45"/>
      <c r="AI1237" s="45"/>
      <c r="AJ1237" s="45"/>
      <c r="AK1237" s="45"/>
      <c r="AL1237" s="45"/>
      <c r="AM1237" s="45"/>
      <c r="AN1237" s="45"/>
      <c r="AO1237" s="45"/>
      <c r="AP1237" s="45">
        <f>Database_Overig_Materieel[[#This Row],[Verbruik '[liter/kWh/kg per uur']]]*AP$1275</f>
        <v>3.9413535999999998</v>
      </c>
      <c r="AQ1237" s="45"/>
      <c r="AR1237" s="45"/>
      <c r="AS1237" s="45">
        <f>Database_Overig_Materieel[[#This Row],[Verbruik '[liter/kWh/kg per uur']]]*AS$1275</f>
        <v>530.58078999999998</v>
      </c>
      <c r="AT1237" s="45"/>
      <c r="AU1237" s="45"/>
      <c r="AV1237" s="45"/>
      <c r="AW1237" s="45">
        <f>Database_Overig_Materieel[[#This Row],[Verbruik '[liter/kWh/kg per uur']]]*AW$1275</f>
        <v>5.0203379999999999E-2</v>
      </c>
      <c r="AX1237" s="45">
        <f>Database_Overig_Materieel[[#This Row],[Verbruik '[liter/kWh/kg per uur']]]*AX$1275</f>
        <v>3.6440800000000001E-3</v>
      </c>
      <c r="AY1237" s="45">
        <f>Database_Overig_Materieel[[#This Row],[Verbruik '[liter/kWh/kg per uur']]]*AY$1275</f>
        <v>0.89418212999999991</v>
      </c>
      <c r="AZ1237" s="45">
        <f>Database_Overig_Materieel[[#This Row],[Verbruik '[liter/kWh/kg per uur']]]*AZ$1275</f>
        <v>0</v>
      </c>
      <c r="BA1237" s="45"/>
      <c r="BB1237" s="45"/>
      <c r="BC1237" s="45"/>
      <c r="BD1237" s="45"/>
      <c r="BE1237" s="45"/>
      <c r="BF1237" s="45"/>
      <c r="BG1237" s="45" t="s">
        <v>387</v>
      </c>
    </row>
    <row r="1238" spans="1:59" x14ac:dyDescent="0.35">
      <c r="A1238" s="45" t="s">
        <v>394</v>
      </c>
      <c r="B1238" s="45" t="s">
        <v>132</v>
      </c>
      <c r="C1238" s="41" t="s">
        <v>451</v>
      </c>
      <c r="D1238" s="41" t="s">
        <v>456</v>
      </c>
      <c r="E1238" s="45" t="s">
        <v>65</v>
      </c>
      <c r="F1238" s="60">
        <f>$F1237*($I1237/Database_Overig_Materieel[[#This Row],[Stookwaarde '[MJ/liter']]])</f>
        <v>10.845921450151057</v>
      </c>
      <c r="G1238" s="54">
        <f>Database_Overig_Materieel[[#This Row],[Verbruik '[liter/kWh/kg per uur']]]*G$1276</f>
        <v>2.8232536501529015</v>
      </c>
      <c r="H1238" s="132">
        <v>125</v>
      </c>
      <c r="I1238" s="45">
        <v>33.1</v>
      </c>
      <c r="J1238" s="55">
        <f>Database_Overig_Materieel[[#This Row],[Verbruik '[liter/kWh/kg per uur']]]*J$1276</f>
        <v>5.5466150755287012E-5</v>
      </c>
      <c r="K1238" s="45">
        <f>Database_Overig_Materieel[[#This Row],[Verbruik '[liter/kWh/kg per uur']]]*K$1276</f>
        <v>0.32341378335347432</v>
      </c>
      <c r="L1238" s="45">
        <f>Database_Overig_Materieel[[#This Row],[Verbruik '[liter/kWh/kg per uur']]]*L$1276</f>
        <v>39.859371954682778</v>
      </c>
      <c r="M1238" s="45">
        <f>Database_Overig_Materieel[[#This Row],[Verbruik '[liter/kWh/kg per uur']]]*M$1276</f>
        <v>5.7659196072507542E-7</v>
      </c>
      <c r="N1238" s="45">
        <f>Database_Overig_Materieel[[#This Row],[Verbruik '[liter/kWh/kg per uur']]]*N$1276</f>
        <v>8.0765889425981879E-3</v>
      </c>
      <c r="O1238" s="45">
        <f>Database_Overig_Materieel[[#This Row],[Verbruik '[liter/kWh/kg per uur']]]*O$1276</f>
        <v>4.597933172205438E-2</v>
      </c>
      <c r="P1238" s="45">
        <f>Database_Overig_Materieel[[#This Row],[Verbruik '[liter/kWh/kg per uur']]]*P$1276</f>
        <v>8.1240073111782472E-3</v>
      </c>
      <c r="Q1238" s="45">
        <f>Database_Overig_Materieel[[#This Row],[Verbruik '[liter/kWh/kg per uur']]]*Q$1276</f>
        <v>8.004549681570996</v>
      </c>
      <c r="R1238" s="45">
        <f>Database_Overig_Materieel[[#This Row],[Verbruik '[liter/kWh/kg per uur']]]*R$1276</f>
        <v>6.4535000513595162E-2</v>
      </c>
      <c r="S1238" s="45">
        <f>Database_Overig_Materieel[[#This Row],[Verbruik '[liter/kWh/kg per uur']]]*S$1276</f>
        <v>245.1851996374622</v>
      </c>
      <c r="T1238" s="45">
        <f>Database_Overig_Materieel[[#This Row],[Verbruik '[liter/kWh/kg per uur']]]*T$1276</f>
        <v>3.2389120996978854E-2</v>
      </c>
      <c r="U1238" s="45"/>
      <c r="V1238" s="45"/>
      <c r="W1238" s="45"/>
      <c r="X1238" s="45"/>
      <c r="Y1238" s="45"/>
      <c r="Z1238" s="45"/>
      <c r="AA1238" s="45"/>
      <c r="AB1238" s="45"/>
      <c r="AC1238" s="45"/>
      <c r="AD1238" s="45"/>
      <c r="AE1238" s="45"/>
      <c r="AF1238" s="45"/>
      <c r="AG1238" s="45"/>
      <c r="AH1238" s="45"/>
      <c r="AI1238" s="45"/>
      <c r="AJ1238" s="45"/>
      <c r="AK1238" s="45"/>
      <c r="AL1238" s="45"/>
      <c r="AM1238" s="45"/>
      <c r="AN1238" s="45"/>
      <c r="AO1238" s="45"/>
      <c r="AP1238" s="45">
        <f>Database_Overig_Materieel[[#This Row],[Verbruik '[liter/kWh/kg per uur']]]*AP$1276</f>
        <v>4.7952052990936558</v>
      </c>
      <c r="AQ1238" s="45"/>
      <c r="AR1238" s="45"/>
      <c r="AS1238" s="45">
        <f>Database_Overig_Materieel[[#This Row],[Verbruik '[liter/kWh/kg per uur']]]*AS$1276</f>
        <v>689.97719752265857</v>
      </c>
      <c r="AT1238" s="45"/>
      <c r="AU1238" s="45"/>
      <c r="AV1238" s="45"/>
      <c r="AW1238" s="45">
        <f>Database_Overig_Materieel[[#This Row],[Verbruik '[liter/kWh/kg per uur']]]*AW$1276</f>
        <v>3.1205332054380665E-2</v>
      </c>
      <c r="AX1238" s="45">
        <f>Database_Overig_Materieel[[#This Row],[Verbruik '[liter/kWh/kg per uur']]]*AX$1276</f>
        <v>1.0667571117824774E-3</v>
      </c>
      <c r="AY1238" s="45">
        <f>Database_Overig_Materieel[[#This Row],[Verbruik '[liter/kWh/kg per uur']]]*AY$1276</f>
        <v>1.1735273993957702</v>
      </c>
      <c r="AZ1238" s="45">
        <f>Database_Overig_Materieel[[#This Row],[Verbruik '[liter/kWh/kg per uur']]]*AZ$1276</f>
        <v>0</v>
      </c>
      <c r="BA1238" s="45"/>
      <c r="BB1238" s="45"/>
      <c r="BC1238" s="45"/>
      <c r="BD1238" s="45"/>
      <c r="BE1238" s="45"/>
      <c r="BF1238" s="45"/>
      <c r="BG1238" s="45" t="s">
        <v>271</v>
      </c>
    </row>
    <row r="1239" spans="1:59" x14ac:dyDescent="0.35">
      <c r="A1239" s="45" t="s">
        <v>395</v>
      </c>
      <c r="B1239" s="45" t="s">
        <v>132</v>
      </c>
      <c r="C1239" s="41" t="s">
        <v>451</v>
      </c>
      <c r="D1239" s="41" t="s">
        <v>456</v>
      </c>
      <c r="E1239" s="45" t="s">
        <v>65</v>
      </c>
      <c r="F1239" s="60">
        <f>$F1237*($I1237/Database_Overig_Materieel[[#This Row],[Stookwaarde '[MJ/liter']]])</f>
        <v>10.466472303206997</v>
      </c>
      <c r="G1239" s="54">
        <f>Database_Overig_Materieel[[#This Row],[Verbruik '[liter/kWh/kg per uur']]]*G$1277</f>
        <v>2.2338839821317258</v>
      </c>
      <c r="H1239" s="132">
        <v>125</v>
      </c>
      <c r="I1239" s="45">
        <v>34.299999999999997</v>
      </c>
      <c r="J1239" s="55">
        <f>Database_Overig_Materieel[[#This Row],[Verbruik '[liter/kWh/kg per uur']]]*J$1277</f>
        <v>4.0594945481049563E-5</v>
      </c>
      <c r="K1239" s="45">
        <f>Database_Overig_Materieel[[#This Row],[Verbruik '[liter/kWh/kg per uur']]]*K$1277</f>
        <v>8.8368017463556853E-2</v>
      </c>
      <c r="L1239" s="45">
        <f>Database_Overig_Materieel[[#This Row],[Verbruik '[liter/kWh/kg per uur']]]*L$1277</f>
        <v>15.067704131195335</v>
      </c>
      <c r="M1239" s="45">
        <f>Database_Overig_Materieel[[#This Row],[Verbruik '[liter/kWh/kg per uur']]]*M$1277</f>
        <v>1.4410971720116619E-6</v>
      </c>
      <c r="N1239" s="45">
        <f>Database_Overig_Materieel[[#This Row],[Verbruik '[liter/kWh/kg per uur']]]*N$1277</f>
        <v>1.2281944723032069E-2</v>
      </c>
      <c r="O1239" s="45">
        <f>Database_Overig_Materieel[[#This Row],[Verbruik '[liter/kWh/kg per uur']]]*O$1277</f>
        <v>9.4152438979591829E-2</v>
      </c>
      <c r="P1239" s="45">
        <f>Database_Overig_Materieel[[#This Row],[Verbruik '[liter/kWh/kg per uur']]]*P$1277</f>
        <v>4.6693172769679298E-2</v>
      </c>
      <c r="Q1239" s="45">
        <f>Database_Overig_Materieel[[#This Row],[Verbruik '[liter/kWh/kg per uur']]]*Q$1277</f>
        <v>8.3679409431486871</v>
      </c>
      <c r="R1239" s="45">
        <f>Database_Overig_Materieel[[#This Row],[Verbruik '[liter/kWh/kg per uur']]]*R$1277</f>
        <v>5.9582828087463557</v>
      </c>
      <c r="S1239" s="45">
        <f>Database_Overig_Materieel[[#This Row],[Verbruik '[liter/kWh/kg per uur']]]*S$1277</f>
        <v>501.64579265306122</v>
      </c>
      <c r="T1239" s="45">
        <f>Database_Overig_Materieel[[#This Row],[Verbruik '[liter/kWh/kg per uur']]]*T$1277</f>
        <v>2.557786767638484</v>
      </c>
      <c r="U1239" s="45"/>
      <c r="V1239" s="45"/>
      <c r="W1239" s="45"/>
      <c r="X1239" s="45"/>
      <c r="Y1239" s="45"/>
      <c r="Z1239" s="45"/>
      <c r="AA1239" s="45"/>
      <c r="AB1239" s="45"/>
      <c r="AC1239" s="45"/>
      <c r="AD1239" s="45"/>
      <c r="AE1239" s="45"/>
      <c r="AF1239" s="45"/>
      <c r="AG1239" s="45"/>
      <c r="AH1239" s="45"/>
      <c r="AI1239" s="45"/>
      <c r="AJ1239" s="45"/>
      <c r="AK1239" s="45"/>
      <c r="AL1239" s="45"/>
      <c r="AM1239" s="45"/>
      <c r="AN1239" s="45"/>
      <c r="AO1239" s="45"/>
      <c r="AP1239" s="45">
        <f>Database_Overig_Materieel[[#This Row],[Verbruik '[liter/kWh/kg per uur']]]*AP$1277</f>
        <v>82.196373104956265</v>
      </c>
      <c r="AQ1239" s="45"/>
      <c r="AR1239" s="45"/>
      <c r="AS1239" s="45">
        <f>Database_Overig_Materieel[[#This Row],[Verbruik '[liter/kWh/kg per uur']]]*AS$1277</f>
        <v>186.7227764723032</v>
      </c>
      <c r="AT1239" s="45"/>
      <c r="AU1239" s="45"/>
      <c r="AV1239" s="45"/>
      <c r="AW1239" s="45">
        <f>Database_Overig_Materieel[[#This Row],[Verbruik '[liter/kWh/kg per uur']]]*AW$1277</f>
        <v>0.64112716253644308</v>
      </c>
      <c r="AX1239" s="45">
        <f>Database_Overig_Materieel[[#This Row],[Verbruik '[liter/kWh/kg per uur']]]*AX$1277</f>
        <v>1.0832903498542274E-3</v>
      </c>
      <c r="AY1239" s="45">
        <f>Database_Overig_Materieel[[#This Row],[Verbruik '[liter/kWh/kg per uur']]]*AY$1277</f>
        <v>2.9587240381924196</v>
      </c>
      <c r="AZ1239" s="45">
        <f>Database_Overig_Materieel[[#This Row],[Verbruik '[liter/kWh/kg per uur']]]*AZ$1277</f>
        <v>0</v>
      </c>
      <c r="BA1239" s="45"/>
      <c r="BB1239" s="45"/>
      <c r="BC1239" s="45"/>
      <c r="BD1239" s="45"/>
      <c r="BE1239" s="45"/>
      <c r="BF1239" s="45"/>
      <c r="BG1239" s="45" t="s">
        <v>271</v>
      </c>
    </row>
    <row r="1240" spans="1:59" x14ac:dyDescent="0.35">
      <c r="A1240" s="45" t="s">
        <v>396</v>
      </c>
      <c r="B1240" s="45" t="s">
        <v>132</v>
      </c>
      <c r="C1240" s="41" t="s">
        <v>451</v>
      </c>
      <c r="D1240" s="41" t="s">
        <v>456</v>
      </c>
      <c r="E1240" s="45" t="s">
        <v>65</v>
      </c>
      <c r="F1240" s="60">
        <f>$F1237*($I1237/Database_Overig_Materieel[[#This Row],[Stookwaarde '[MJ/liter']]])</f>
        <v>10.405797101449274</v>
      </c>
      <c r="G1240" s="54">
        <f>Database_Overig_Materieel[[#This Row],[Verbruik '[liter/kWh/kg per uur']]]*G$1278</f>
        <v>2.9422877038817754</v>
      </c>
      <c r="H1240" s="132">
        <v>125</v>
      </c>
      <c r="I1240" s="45">
        <v>34.5</v>
      </c>
      <c r="J1240" s="55">
        <f>Database_Overig_Materieel[[#This Row],[Verbruik '[liter/kWh/kg per uur']]]*J$1278</f>
        <v>2.3306175942028982E-5</v>
      </c>
      <c r="K1240" s="45">
        <f>Database_Overig_Materieel[[#This Row],[Verbruik '[liter/kWh/kg per uur']]]*K$1278</f>
        <v>5.7577044347826081E-2</v>
      </c>
      <c r="L1240" s="45">
        <f>Database_Overig_Materieel[[#This Row],[Verbruik '[liter/kWh/kg per uur']]]*L$1278</f>
        <v>14.366058255072462</v>
      </c>
      <c r="M1240" s="45">
        <f>Database_Overig_Materieel[[#This Row],[Verbruik '[liter/kWh/kg per uur']]]*M$1278</f>
        <v>9.0242298260869542E-7</v>
      </c>
      <c r="N1240" s="45">
        <f>Database_Overig_Materieel[[#This Row],[Verbruik '[liter/kWh/kg per uur']]]*N$1278</f>
        <v>1.0438887536231883E-2</v>
      </c>
      <c r="O1240" s="45">
        <f>Database_Overig_Materieel[[#This Row],[Verbruik '[liter/kWh/kg per uur']]]*O$1278</f>
        <v>5.1641307130434771E-2</v>
      </c>
      <c r="P1240" s="45">
        <f>Database_Overig_Materieel[[#This Row],[Verbruik '[liter/kWh/kg per uur']]]*P$1278</f>
        <v>2.2701734405797099E-2</v>
      </c>
      <c r="Q1240" s="45">
        <f>Database_Overig_Materieel[[#This Row],[Verbruik '[liter/kWh/kg per uur']]]*Q$1278</f>
        <v>8.0784142533333316</v>
      </c>
      <c r="R1240" s="45">
        <f>Database_Overig_Materieel[[#This Row],[Verbruik '[liter/kWh/kg per uur']]]*R$1278</f>
        <v>5.3029341608695644</v>
      </c>
      <c r="S1240" s="45">
        <f>Database_Overig_Materieel[[#This Row],[Verbruik '[liter/kWh/kg per uur']]]*S$1278</f>
        <v>350.60455086956517</v>
      </c>
      <c r="T1240" s="45">
        <f>Database_Overig_Materieel[[#This Row],[Verbruik '[liter/kWh/kg per uur']]]*T$1278</f>
        <v>2.3403911350724633</v>
      </c>
      <c r="U1240" s="45"/>
      <c r="V1240" s="45"/>
      <c r="W1240" s="45"/>
      <c r="X1240" s="45"/>
      <c r="Y1240" s="45"/>
      <c r="Z1240" s="45"/>
      <c r="AA1240" s="45"/>
      <c r="AB1240" s="45"/>
      <c r="AC1240" s="45"/>
      <c r="AD1240" s="45"/>
      <c r="AE1240" s="45"/>
      <c r="AF1240" s="45"/>
      <c r="AG1240" s="45"/>
      <c r="AH1240" s="45"/>
      <c r="AI1240" s="45"/>
      <c r="AJ1240" s="45"/>
      <c r="AK1240" s="45"/>
      <c r="AL1240" s="45"/>
      <c r="AM1240" s="45"/>
      <c r="AN1240" s="45"/>
      <c r="AO1240" s="45"/>
      <c r="AP1240" s="45">
        <f>Database_Overig_Materieel[[#This Row],[Verbruik '[liter/kWh/kg per uur']]]*AP$1278</f>
        <v>25.741687092753619</v>
      </c>
      <c r="AQ1240" s="45"/>
      <c r="AR1240" s="45"/>
      <c r="AS1240" s="45">
        <f>Database_Overig_Materieel[[#This Row],[Verbruik '[liter/kWh/kg per uur']]]*AS$1278</f>
        <v>120.84648634782606</v>
      </c>
      <c r="AT1240" s="45"/>
      <c r="AU1240" s="45"/>
      <c r="AV1240" s="45"/>
      <c r="AW1240" s="45">
        <f>Database_Overig_Materieel[[#This Row],[Verbruik '[liter/kWh/kg per uur']]]*AW$1278</f>
        <v>0.20263629089855067</v>
      </c>
      <c r="AX1240" s="45">
        <f>Database_Overig_Materieel[[#This Row],[Verbruik '[liter/kWh/kg per uur']]]*AX$1278</f>
        <v>6.5816250434782599E-4</v>
      </c>
      <c r="AY1240" s="45">
        <f>Database_Overig_Materieel[[#This Row],[Verbruik '[liter/kWh/kg per uur']]]*AY$1278</f>
        <v>2.5531454611594198</v>
      </c>
      <c r="AZ1240" s="45">
        <f>Database_Overig_Materieel[[#This Row],[Verbruik '[liter/kWh/kg per uur']]]*AZ$1278</f>
        <v>0</v>
      </c>
      <c r="BA1240" s="45"/>
      <c r="BB1240" s="45"/>
      <c r="BC1240" s="45"/>
      <c r="BD1240" s="45"/>
      <c r="BE1240" s="45"/>
      <c r="BF1240" s="45"/>
      <c r="BG1240" s="45" t="s">
        <v>271</v>
      </c>
    </row>
    <row r="1241" spans="1:59" x14ac:dyDescent="0.35">
      <c r="A1241" s="45" t="s">
        <v>397</v>
      </c>
      <c r="B1241" s="45" t="s">
        <v>132</v>
      </c>
      <c r="C1241" s="41" t="s">
        <v>451</v>
      </c>
      <c r="D1241" s="41" t="s">
        <v>456</v>
      </c>
      <c r="E1241" s="45" t="s">
        <v>65</v>
      </c>
      <c r="F1241" s="60">
        <f>$F1237*($I1237/Database_Overig_Materieel[[#This Row],[Stookwaarde '[MJ/liter']]])</f>
        <v>10.436046511627907</v>
      </c>
      <c r="G1241" s="54">
        <f>Database_Overig_Materieel[[#This Row],[Verbruik '[liter/kWh/kg per uur']]]*G$1279</f>
        <v>0.71900969028402417</v>
      </c>
      <c r="H1241" s="132">
        <v>125</v>
      </c>
      <c r="I1241" s="45">
        <v>34.4</v>
      </c>
      <c r="J1241" s="55">
        <f>Database_Overig_Materieel[[#This Row],[Verbruik '[liter/kWh/kg per uur']]]*J$1279</f>
        <v>1.4271181625872094E-5</v>
      </c>
      <c r="K1241" s="45">
        <f>Database_Overig_Materieel[[#This Row],[Verbruik '[liter/kWh/kg per uur']]]*K$1279</f>
        <v>3.9148816898454071E-2</v>
      </c>
      <c r="L1241" s="45">
        <f>Database_Overig_Materieel[[#This Row],[Verbruik '[liter/kWh/kg per uur']]]*L$1279</f>
        <v>4.1658115913472571</v>
      </c>
      <c r="M1241" s="45">
        <f>Database_Overig_Materieel[[#This Row],[Verbruik '[liter/kWh/kg per uur']]]*M$1279</f>
        <v>5.3751421104651167E-7</v>
      </c>
      <c r="N1241" s="45">
        <f>Database_Overig_Materieel[[#This Row],[Verbruik '[liter/kWh/kg per uur']]]*N$1279</f>
        <v>4.5978835472287793E-3</v>
      </c>
      <c r="O1241" s="45">
        <f>Database_Overig_Materieel[[#This Row],[Verbruik '[liter/kWh/kg per uur']]]*O$1279</f>
        <v>2.130127940915378E-2</v>
      </c>
      <c r="P1241" s="45">
        <f>Database_Overig_Materieel[[#This Row],[Verbruik '[liter/kWh/kg per uur']]]*P$1279</f>
        <v>3.8612238695584305E-3</v>
      </c>
      <c r="Q1241" s="45">
        <f>Database_Overig_Materieel[[#This Row],[Verbruik '[liter/kWh/kg per uur']]]*Q$1279</f>
        <v>4.035933133422704</v>
      </c>
      <c r="R1241" s="45">
        <f>Database_Overig_Materieel[[#This Row],[Verbruik '[liter/kWh/kg per uur']]]*R$1279</f>
        <v>2.9174389679087503E-2</v>
      </c>
      <c r="S1241" s="45">
        <f>Database_Overig_Materieel[[#This Row],[Verbruik '[liter/kWh/kg per uur']]]*S$1279</f>
        <v>100.40562777723439</v>
      </c>
      <c r="T1241" s="45">
        <f>Database_Overig_Materieel[[#This Row],[Verbruik '[liter/kWh/kg per uur']]]*T$1279</f>
        <v>1.8920252705120641E-2</v>
      </c>
      <c r="U1241" s="45"/>
      <c r="V1241" s="45"/>
      <c r="W1241" s="45"/>
      <c r="X1241" s="45"/>
      <c r="Y1241" s="45"/>
      <c r="Z1241" s="45"/>
      <c r="AA1241" s="45"/>
      <c r="AB1241" s="45"/>
      <c r="AC1241" s="45"/>
      <c r="AD1241" s="45"/>
      <c r="AE1241" s="45"/>
      <c r="AF1241" s="45"/>
      <c r="AG1241" s="45"/>
      <c r="AH1241" s="45"/>
      <c r="AI1241" s="45"/>
      <c r="AJ1241" s="45"/>
      <c r="AK1241" s="45"/>
      <c r="AL1241" s="45"/>
      <c r="AM1241" s="45"/>
      <c r="AN1241" s="45"/>
      <c r="AO1241" s="45"/>
      <c r="AP1241" s="45">
        <f>Database_Overig_Materieel[[#This Row],[Verbruik '[liter/kWh/kg per uur']]]*AP$1279</f>
        <v>2.6917057953711847</v>
      </c>
      <c r="AQ1241" s="45"/>
      <c r="AR1241" s="45"/>
      <c r="AS1241" s="45">
        <f>Database_Overig_Materieel[[#This Row],[Verbruik '[liter/kWh/kg per uur']]]*AS$1279</f>
        <v>82.511510879511917</v>
      </c>
      <c r="AT1241" s="45"/>
      <c r="AU1241" s="45"/>
      <c r="AV1241" s="45"/>
      <c r="AW1241" s="45">
        <f>Database_Overig_Materieel[[#This Row],[Verbruik '[liter/kWh/kg per uur']]]*AW$1279</f>
        <v>2.0726713002635174E-2</v>
      </c>
      <c r="AX1241" s="45">
        <f>Database_Overig_Materieel[[#This Row],[Verbruik '[liter/kWh/kg per uur']]]*AX$1279</f>
        <v>3.3460313070203491E-4</v>
      </c>
      <c r="AY1241" s="45">
        <f>Database_Overig_Materieel[[#This Row],[Verbruik '[liter/kWh/kg per uur']]]*AY$1279</f>
        <v>0.78361400400652992</v>
      </c>
      <c r="AZ1241" s="45">
        <f>Database_Overig_Materieel[[#This Row],[Verbruik '[liter/kWh/kg per uur']]]*AZ$1279</f>
        <v>2.009743969244186E-4</v>
      </c>
      <c r="BA1241" s="45"/>
      <c r="BB1241" s="45"/>
      <c r="BC1241" s="45"/>
      <c r="BD1241" s="45"/>
      <c r="BE1241" s="45"/>
      <c r="BF1241" s="45"/>
      <c r="BG1241" s="45" t="s">
        <v>271</v>
      </c>
    </row>
    <row r="1242" spans="1:59" x14ac:dyDescent="0.35">
      <c r="A1242" s="45" t="s">
        <v>398</v>
      </c>
      <c r="B1242" s="45" t="s">
        <v>132</v>
      </c>
      <c r="C1242" s="41" t="s">
        <v>451</v>
      </c>
      <c r="D1242" s="41" t="s">
        <v>456</v>
      </c>
      <c r="E1242" s="45" t="s">
        <v>65</v>
      </c>
      <c r="F1242" s="60">
        <v>10</v>
      </c>
      <c r="G1242" s="54">
        <f>Database_Overig_Materieel[[#This Row],[Verbruik '[liter/kWh/kg per uur']]]*G$1280</f>
        <v>2.9875314996300242</v>
      </c>
      <c r="H1242" s="132">
        <v>125</v>
      </c>
      <c r="I1242" s="45">
        <v>35.9</v>
      </c>
      <c r="J1242" s="55">
        <f>Database_Overig_Materieel[[#This Row],[Verbruik '[liter/kWh/kg per uur']]]*J$1280</f>
        <v>1.75657E-5</v>
      </c>
      <c r="K1242" s="45">
        <f>Database_Overig_Materieel[[#This Row],[Verbruik '[liter/kWh/kg per uur']]]*K$1280</f>
        <v>0.23772814</v>
      </c>
      <c r="L1242" s="45">
        <f>Database_Overig_Materieel[[#This Row],[Verbruik '[liter/kWh/kg per uur']]]*L$1280</f>
        <v>34.693345000000001</v>
      </c>
      <c r="M1242" s="45">
        <f>Database_Overig_Materieel[[#This Row],[Verbruik '[liter/kWh/kg per uur']]]*M$1280</f>
        <v>6.0382299999999996E-6</v>
      </c>
      <c r="N1242" s="45">
        <f>Database_Overig_Materieel[[#This Row],[Verbruik '[liter/kWh/kg per uur']]]*N$1280</f>
        <v>1.1418290000000001E-2</v>
      </c>
      <c r="O1242" s="45">
        <f>Database_Overig_Materieel[[#This Row],[Verbruik '[liter/kWh/kg per uur']]]*O$1280</f>
        <v>6.6512870000000002E-2</v>
      </c>
      <c r="P1242" s="45">
        <f>Database_Overig_Materieel[[#This Row],[Verbruik '[liter/kWh/kg per uur']]]*P$1280</f>
        <v>1.0215700000000001E-2</v>
      </c>
      <c r="Q1242" s="45">
        <f>Database_Overig_Materieel[[#This Row],[Verbruik '[liter/kWh/kg per uur']]]*Q$1280</f>
        <v>8.5499468000000007</v>
      </c>
      <c r="R1242" s="45">
        <f>Database_Overig_Materieel[[#This Row],[Verbruik '[liter/kWh/kg per uur']]]*R$1280</f>
        <v>0.17058931999999999</v>
      </c>
      <c r="S1242" s="45">
        <f>Database_Overig_Materieel[[#This Row],[Verbruik '[liter/kWh/kg per uur']]]*S$1280</f>
        <v>573.59029999999996</v>
      </c>
      <c r="T1242" s="45">
        <f>Database_Overig_Materieel[[#This Row],[Verbruik '[liter/kWh/kg per uur']]]*T$1280</f>
        <v>3.0709340000000002E-2</v>
      </c>
      <c r="U1242" s="45"/>
      <c r="V1242" s="45"/>
      <c r="W1242" s="45"/>
      <c r="X1242" s="45"/>
      <c r="Y1242" s="45"/>
      <c r="Z1242" s="45"/>
      <c r="AA1242" s="45"/>
      <c r="AB1242" s="45"/>
      <c r="AC1242" s="45"/>
      <c r="AD1242" s="45"/>
      <c r="AE1242" s="45"/>
      <c r="AF1242" s="45"/>
      <c r="AG1242" s="45"/>
      <c r="AH1242" s="45"/>
      <c r="AI1242" s="45"/>
      <c r="AJ1242" s="45"/>
      <c r="AK1242" s="45"/>
      <c r="AL1242" s="45"/>
      <c r="AM1242" s="45"/>
      <c r="AN1242" s="45"/>
      <c r="AO1242" s="45"/>
      <c r="AP1242" s="45">
        <f>Database_Overig_Materieel[[#This Row],[Verbruik '[liter/kWh/kg per uur']]]*AP$1280</f>
        <v>3.9413535999999998</v>
      </c>
      <c r="AQ1242" s="45"/>
      <c r="AR1242" s="45"/>
      <c r="AS1242" s="45">
        <f>Database_Overig_Materieel[[#This Row],[Verbruik '[liter/kWh/kg per uur']]]*AS$1280</f>
        <v>530.58078999999998</v>
      </c>
      <c r="AT1242" s="45"/>
      <c r="AU1242" s="45"/>
      <c r="AV1242" s="45"/>
      <c r="AW1242" s="45">
        <f>Database_Overig_Materieel[[#This Row],[Verbruik '[liter/kWh/kg per uur']]]*AW$1280</f>
        <v>5.0203379999999999E-2</v>
      </c>
      <c r="AX1242" s="45">
        <f>Database_Overig_Materieel[[#This Row],[Verbruik '[liter/kWh/kg per uur']]]*AX$1280</f>
        <v>3.6440800000000001E-3</v>
      </c>
      <c r="AY1242" s="45">
        <f>Database_Overig_Materieel[[#This Row],[Verbruik '[liter/kWh/kg per uur']]]*AY$1280</f>
        <v>0.89418212999999991</v>
      </c>
      <c r="AZ1242" s="45">
        <f>Database_Overig_Materieel[[#This Row],[Verbruik '[liter/kWh/kg per uur']]]*AZ$1280</f>
        <v>0</v>
      </c>
      <c r="BA1242" s="45"/>
      <c r="BB1242" s="45"/>
      <c r="BC1242" s="45"/>
      <c r="BD1242" s="45"/>
      <c r="BE1242" s="45"/>
      <c r="BF1242" s="45"/>
      <c r="BG1242" s="45" t="s">
        <v>387</v>
      </c>
    </row>
    <row r="1243" spans="1:59" x14ac:dyDescent="0.35">
      <c r="A1243" s="45" t="s">
        <v>399</v>
      </c>
      <c r="B1243" s="45" t="s">
        <v>132</v>
      </c>
      <c r="C1243" s="41" t="s">
        <v>451</v>
      </c>
      <c r="D1243" s="41" t="s">
        <v>456</v>
      </c>
      <c r="E1243" s="45" t="s">
        <v>65</v>
      </c>
      <c r="F1243" s="60">
        <f>$F1242*($I1242/Database_Overig_Materieel[[#This Row],[Stookwaarde '[MJ/liter']]])</f>
        <v>10.845921450151057</v>
      </c>
      <c r="G1243" s="54">
        <f>Database_Overig_Materieel[[#This Row],[Verbruik '[liter/kWh/kg per uur']]]*G$1281</f>
        <v>2.8232356366431799</v>
      </c>
      <c r="H1243" s="132">
        <v>125</v>
      </c>
      <c r="I1243" s="45">
        <v>33.1</v>
      </c>
      <c r="J1243" s="55">
        <f>Database_Overig_Materieel[[#This Row],[Verbruik '[liter/kWh/kg per uur']]]*J$1281</f>
        <v>5.5466150755287012E-5</v>
      </c>
      <c r="K1243" s="45">
        <f>Database_Overig_Materieel[[#This Row],[Verbruik '[liter/kWh/kg per uur']]]*K$1281</f>
        <v>0.32341378335347432</v>
      </c>
      <c r="L1243" s="45">
        <f>Database_Overig_Materieel[[#This Row],[Verbruik '[liter/kWh/kg per uur']]]*L$1281</f>
        <v>39.859371954682778</v>
      </c>
      <c r="M1243" s="45">
        <f>Database_Overig_Materieel[[#This Row],[Verbruik '[liter/kWh/kg per uur']]]*M$1281</f>
        <v>5.7659196072507542E-7</v>
      </c>
      <c r="N1243" s="45">
        <f>Database_Overig_Materieel[[#This Row],[Verbruik '[liter/kWh/kg per uur']]]*N$1281</f>
        <v>8.0765889425981879E-3</v>
      </c>
      <c r="O1243" s="45">
        <f>Database_Overig_Materieel[[#This Row],[Verbruik '[liter/kWh/kg per uur']]]*O$1281</f>
        <v>4.597933172205438E-2</v>
      </c>
      <c r="P1243" s="45">
        <f>Database_Overig_Materieel[[#This Row],[Verbruik '[liter/kWh/kg per uur']]]*P$1281</f>
        <v>8.1240073111782472E-3</v>
      </c>
      <c r="Q1243" s="45">
        <f>Database_Overig_Materieel[[#This Row],[Verbruik '[liter/kWh/kg per uur']]]*Q$1281</f>
        <v>8.0043016353474314</v>
      </c>
      <c r="R1243" s="45">
        <f>Database_Overig_Materieel[[#This Row],[Verbruik '[liter/kWh/kg per uur']]]*R$1281</f>
        <v>6.4535000513595162E-2</v>
      </c>
      <c r="S1243" s="45">
        <f>Database_Overig_Materieel[[#This Row],[Verbruik '[liter/kWh/kg per uur']]]*S$1281</f>
        <v>245.1851996374622</v>
      </c>
      <c r="T1243" s="45">
        <f>Database_Overig_Materieel[[#This Row],[Verbruik '[liter/kWh/kg per uur']]]*T$1281</f>
        <v>3.2389120996978854E-2</v>
      </c>
      <c r="U1243" s="45"/>
      <c r="V1243" s="45"/>
      <c r="W1243" s="45"/>
      <c r="X1243" s="45"/>
      <c r="Y1243" s="45"/>
      <c r="Z1243" s="45"/>
      <c r="AA1243" s="45"/>
      <c r="AB1243" s="45"/>
      <c r="AC1243" s="45"/>
      <c r="AD1243" s="45"/>
      <c r="AE1243" s="45"/>
      <c r="AF1243" s="45"/>
      <c r="AG1243" s="45"/>
      <c r="AH1243" s="45"/>
      <c r="AI1243" s="45"/>
      <c r="AJ1243" s="45"/>
      <c r="AK1243" s="45"/>
      <c r="AL1243" s="45"/>
      <c r="AM1243" s="45"/>
      <c r="AN1243" s="45"/>
      <c r="AO1243" s="45"/>
      <c r="AP1243" s="45">
        <f>Database_Overig_Materieel[[#This Row],[Verbruik '[liter/kWh/kg per uur']]]*AP$1281</f>
        <v>4.7952052990936558</v>
      </c>
      <c r="AQ1243" s="45"/>
      <c r="AR1243" s="45"/>
      <c r="AS1243" s="45">
        <f>Database_Overig_Materieel[[#This Row],[Verbruik '[liter/kWh/kg per uur']]]*AS$1281</f>
        <v>689.97719752265857</v>
      </c>
      <c r="AT1243" s="45"/>
      <c r="AU1243" s="45"/>
      <c r="AV1243" s="45"/>
      <c r="AW1243" s="45">
        <f>Database_Overig_Materieel[[#This Row],[Verbruik '[liter/kWh/kg per uur']]]*AW$1281</f>
        <v>3.1205332054380665E-2</v>
      </c>
      <c r="AX1243" s="45">
        <f>Database_Overig_Materieel[[#This Row],[Verbruik '[liter/kWh/kg per uur']]]*AX$1281</f>
        <v>1.0667571117824774E-3</v>
      </c>
      <c r="AY1243" s="45">
        <f>Database_Overig_Materieel[[#This Row],[Verbruik '[liter/kWh/kg per uur']]]*AY$1281</f>
        <v>1.1735273993957702</v>
      </c>
      <c r="AZ1243" s="45">
        <f>Database_Overig_Materieel[[#This Row],[Verbruik '[liter/kWh/kg per uur']]]*AZ$1281</f>
        <v>0</v>
      </c>
      <c r="BA1243" s="45"/>
      <c r="BB1243" s="45"/>
      <c r="BC1243" s="45"/>
      <c r="BD1243" s="45"/>
      <c r="BE1243" s="45"/>
      <c r="BF1243" s="45"/>
      <c r="BG1243" s="45" t="s">
        <v>271</v>
      </c>
    </row>
    <row r="1244" spans="1:59" x14ac:dyDescent="0.35">
      <c r="A1244" s="45" t="s">
        <v>400</v>
      </c>
      <c r="B1244" s="45" t="s">
        <v>132</v>
      </c>
      <c r="C1244" s="41" t="s">
        <v>451</v>
      </c>
      <c r="D1244" s="41" t="s">
        <v>456</v>
      </c>
      <c r="E1244" s="45" t="s">
        <v>65</v>
      </c>
      <c r="F1244" s="60">
        <f>$F1242*($I1242/Database_Overig_Materieel[[#This Row],[Stookwaarde '[MJ/liter']]])</f>
        <v>10.466472303206997</v>
      </c>
      <c r="G1244" s="54">
        <f>Database_Overig_Materieel[[#This Row],[Verbruik '[liter/kWh/kg per uur']]]*G$1282</f>
        <v>2.2338623192436895</v>
      </c>
      <c r="H1244" s="132">
        <v>125</v>
      </c>
      <c r="I1244" s="45">
        <v>34.299999999999997</v>
      </c>
      <c r="J1244" s="55">
        <f>Database_Overig_Materieel[[#This Row],[Verbruik '[liter/kWh/kg per uur']]]*J$1282</f>
        <v>4.0594945481049563E-5</v>
      </c>
      <c r="K1244" s="45">
        <f>Database_Overig_Materieel[[#This Row],[Verbruik '[liter/kWh/kg per uur']]]*K$1282</f>
        <v>8.8368017463556853E-2</v>
      </c>
      <c r="L1244" s="45">
        <f>Database_Overig_Materieel[[#This Row],[Verbruik '[liter/kWh/kg per uur']]]*L$1282</f>
        <v>15.06775227696793</v>
      </c>
      <c r="M1244" s="45">
        <f>Database_Overig_Materieel[[#This Row],[Verbruik '[liter/kWh/kg per uur']]]*M$1282</f>
        <v>1.4410971720116619E-6</v>
      </c>
      <c r="N1244" s="45">
        <f>Database_Overig_Materieel[[#This Row],[Verbruik '[liter/kWh/kg per uur']]]*N$1282</f>
        <v>1.2281944723032069E-2</v>
      </c>
      <c r="O1244" s="45">
        <f>Database_Overig_Materieel[[#This Row],[Verbruik '[liter/kWh/kg per uur']]]*O$1282</f>
        <v>9.4152438979591829E-2</v>
      </c>
      <c r="P1244" s="45">
        <f>Database_Overig_Materieel[[#This Row],[Verbruik '[liter/kWh/kg per uur']]]*P$1282</f>
        <v>4.6693172769679298E-2</v>
      </c>
      <c r="Q1244" s="45">
        <f>Database_Overig_Materieel[[#This Row],[Verbruik '[liter/kWh/kg per uur']]]*Q$1282</f>
        <v>8.3677211472303217</v>
      </c>
      <c r="R1244" s="45">
        <f>Database_Overig_Materieel[[#This Row],[Verbruik '[liter/kWh/kg per uur']]]*R$1282</f>
        <v>5.9582828087463557</v>
      </c>
      <c r="S1244" s="45">
        <f>Database_Overig_Materieel[[#This Row],[Verbruik '[liter/kWh/kg per uur']]]*S$1282</f>
        <v>501.64579265306122</v>
      </c>
      <c r="T1244" s="45">
        <f>Database_Overig_Materieel[[#This Row],[Verbruik '[liter/kWh/kg per uur']]]*T$1282</f>
        <v>2.557786767638484</v>
      </c>
      <c r="U1244" s="45"/>
      <c r="V1244" s="45"/>
      <c r="W1244" s="45"/>
      <c r="X1244" s="45"/>
      <c r="Y1244" s="45"/>
      <c r="Z1244" s="45"/>
      <c r="AA1244" s="45"/>
      <c r="AB1244" s="45"/>
      <c r="AC1244" s="45"/>
      <c r="AD1244" s="45"/>
      <c r="AE1244" s="45"/>
      <c r="AF1244" s="45"/>
      <c r="AG1244" s="45"/>
      <c r="AH1244" s="45"/>
      <c r="AI1244" s="45"/>
      <c r="AJ1244" s="45"/>
      <c r="AK1244" s="45"/>
      <c r="AL1244" s="45"/>
      <c r="AM1244" s="45"/>
      <c r="AN1244" s="45"/>
      <c r="AO1244" s="45"/>
      <c r="AP1244" s="45">
        <f>Database_Overig_Materieel[[#This Row],[Verbruik '[liter/kWh/kg per uur']]]*AP$1282</f>
        <v>82.196373104956265</v>
      </c>
      <c r="AQ1244" s="45"/>
      <c r="AR1244" s="45"/>
      <c r="AS1244" s="45">
        <f>Database_Overig_Materieel[[#This Row],[Verbruik '[liter/kWh/kg per uur']]]*AS$1282</f>
        <v>186.7227764723032</v>
      </c>
      <c r="AT1244" s="45"/>
      <c r="AU1244" s="45"/>
      <c r="AV1244" s="45"/>
      <c r="AW1244" s="45">
        <f>Database_Overig_Materieel[[#This Row],[Verbruik '[liter/kWh/kg per uur']]]*AW$1282</f>
        <v>0.64112716253644308</v>
      </c>
      <c r="AX1244" s="45">
        <f>Database_Overig_Materieel[[#This Row],[Verbruik '[liter/kWh/kg per uur']]]*AX$1282</f>
        <v>1.0832903498542274E-3</v>
      </c>
      <c r="AY1244" s="45">
        <f>Database_Overig_Materieel[[#This Row],[Verbruik '[liter/kWh/kg per uur']]]*AY$1282</f>
        <v>2.9587240381924196</v>
      </c>
      <c r="AZ1244" s="45">
        <f>Database_Overig_Materieel[[#This Row],[Verbruik '[liter/kWh/kg per uur']]]*AZ$1282</f>
        <v>0</v>
      </c>
      <c r="BA1244" s="45"/>
      <c r="BB1244" s="45"/>
      <c r="BC1244" s="45"/>
      <c r="BD1244" s="45"/>
      <c r="BE1244" s="45"/>
      <c r="BF1244" s="45"/>
      <c r="BG1244" s="45" t="s">
        <v>271</v>
      </c>
    </row>
    <row r="1245" spans="1:59" x14ac:dyDescent="0.35">
      <c r="A1245" s="45" t="s">
        <v>401</v>
      </c>
      <c r="B1245" s="45" t="s">
        <v>132</v>
      </c>
      <c r="C1245" s="41" t="s">
        <v>451</v>
      </c>
      <c r="D1245" s="41" t="s">
        <v>456</v>
      </c>
      <c r="E1245" s="45" t="s">
        <v>65</v>
      </c>
      <c r="F1245" s="60">
        <f>$F1242*($I1242/Database_Overig_Materieel[[#This Row],[Stookwaarde '[MJ/liter']]])</f>
        <v>10.405797101449274</v>
      </c>
      <c r="G1245" s="54">
        <f>Database_Overig_Materieel[[#This Row],[Verbruik '[liter/kWh/kg per uur']]]*G$1283</f>
        <v>2.9422877038817754</v>
      </c>
      <c r="H1245" s="132">
        <v>125</v>
      </c>
      <c r="I1245" s="45">
        <v>34.5</v>
      </c>
      <c r="J1245" s="55">
        <f>Database_Overig_Materieel[[#This Row],[Verbruik '[liter/kWh/kg per uur']]]*J$1283</f>
        <v>2.3306175942028982E-5</v>
      </c>
      <c r="K1245" s="45">
        <f>Database_Overig_Materieel[[#This Row],[Verbruik '[liter/kWh/kg per uur']]]*K$1283</f>
        <v>5.7577044347826081E-2</v>
      </c>
      <c r="L1245" s="45">
        <f>Database_Overig_Materieel[[#This Row],[Verbruik '[liter/kWh/kg per uur']]]*L$1283</f>
        <v>14.366058255072462</v>
      </c>
      <c r="M1245" s="45">
        <f>Database_Overig_Materieel[[#This Row],[Verbruik '[liter/kWh/kg per uur']]]*M$1283</f>
        <v>9.0242298260869542E-7</v>
      </c>
      <c r="N1245" s="45">
        <f>Database_Overig_Materieel[[#This Row],[Verbruik '[liter/kWh/kg per uur']]]*N$1283</f>
        <v>1.0438887536231883E-2</v>
      </c>
      <c r="O1245" s="45">
        <f>Database_Overig_Materieel[[#This Row],[Verbruik '[liter/kWh/kg per uur']]]*O$1283</f>
        <v>5.1641307130434771E-2</v>
      </c>
      <c r="P1245" s="45">
        <f>Database_Overig_Materieel[[#This Row],[Verbruik '[liter/kWh/kg per uur']]]*P$1283</f>
        <v>2.2701734405797099E-2</v>
      </c>
      <c r="Q1245" s="45">
        <f>Database_Overig_Materieel[[#This Row],[Verbruik '[liter/kWh/kg per uur']]]*Q$1283</f>
        <v>8.0781749199999986</v>
      </c>
      <c r="R1245" s="45">
        <f>Database_Overig_Materieel[[#This Row],[Verbruik '[liter/kWh/kg per uur']]]*R$1283</f>
        <v>5.3029341608695644</v>
      </c>
      <c r="S1245" s="45">
        <f>Database_Overig_Materieel[[#This Row],[Verbruik '[liter/kWh/kg per uur']]]*S$1283</f>
        <v>350.60455086956517</v>
      </c>
      <c r="T1245" s="45">
        <f>Database_Overig_Materieel[[#This Row],[Verbruik '[liter/kWh/kg per uur']]]*T$1283</f>
        <v>2.3403911350724633</v>
      </c>
      <c r="U1245" s="45"/>
      <c r="V1245" s="45"/>
      <c r="W1245" s="45"/>
      <c r="X1245" s="45"/>
      <c r="Y1245" s="45"/>
      <c r="Z1245" s="45"/>
      <c r="AA1245" s="45"/>
      <c r="AB1245" s="45"/>
      <c r="AC1245" s="45"/>
      <c r="AD1245" s="45"/>
      <c r="AE1245" s="45"/>
      <c r="AF1245" s="45"/>
      <c r="AG1245" s="45"/>
      <c r="AH1245" s="45"/>
      <c r="AI1245" s="45"/>
      <c r="AJ1245" s="45"/>
      <c r="AK1245" s="45"/>
      <c r="AL1245" s="45"/>
      <c r="AM1245" s="45"/>
      <c r="AN1245" s="45"/>
      <c r="AO1245" s="45"/>
      <c r="AP1245" s="45">
        <f>Database_Overig_Materieel[[#This Row],[Verbruik '[liter/kWh/kg per uur']]]*AP$1283</f>
        <v>25.741687092753619</v>
      </c>
      <c r="AQ1245" s="45"/>
      <c r="AR1245" s="45"/>
      <c r="AS1245" s="45">
        <f>Database_Overig_Materieel[[#This Row],[Verbruik '[liter/kWh/kg per uur']]]*AS$1283</f>
        <v>120.84648634782606</v>
      </c>
      <c r="AT1245" s="45"/>
      <c r="AU1245" s="45"/>
      <c r="AV1245" s="45"/>
      <c r="AW1245" s="45">
        <f>Database_Overig_Materieel[[#This Row],[Verbruik '[liter/kWh/kg per uur']]]*AW$1283</f>
        <v>0.20263629089855067</v>
      </c>
      <c r="AX1245" s="45">
        <f>Database_Overig_Materieel[[#This Row],[Verbruik '[liter/kWh/kg per uur']]]*AX$1283</f>
        <v>6.5816250434782599E-4</v>
      </c>
      <c r="AY1245" s="45">
        <f>Database_Overig_Materieel[[#This Row],[Verbruik '[liter/kWh/kg per uur']]]*AY$1283</f>
        <v>2.5531454611594198</v>
      </c>
      <c r="AZ1245" s="45">
        <f>Database_Overig_Materieel[[#This Row],[Verbruik '[liter/kWh/kg per uur']]]*AZ$1283</f>
        <v>0</v>
      </c>
      <c r="BA1245" s="45"/>
      <c r="BB1245" s="45"/>
      <c r="BC1245" s="45"/>
      <c r="BD1245" s="45"/>
      <c r="BE1245" s="45"/>
      <c r="BF1245" s="45"/>
      <c r="BG1245" s="45" t="s">
        <v>271</v>
      </c>
    </row>
    <row r="1246" spans="1:59" x14ac:dyDescent="0.35">
      <c r="A1246" s="45" t="s">
        <v>402</v>
      </c>
      <c r="B1246" s="45" t="s">
        <v>132</v>
      </c>
      <c r="C1246" s="41" t="s">
        <v>451</v>
      </c>
      <c r="D1246" s="41" t="s">
        <v>456</v>
      </c>
      <c r="E1246" s="45" t="s">
        <v>65</v>
      </c>
      <c r="F1246" s="60">
        <f>$F1242*($I1242/Database_Overig_Materieel[[#This Row],[Stookwaarde '[MJ/liter']]])</f>
        <v>10.436046511627907</v>
      </c>
      <c r="G1246" s="54">
        <f>Database_Overig_Materieel[[#This Row],[Verbruik '[liter/kWh/kg per uur']]]*G$1284</f>
        <v>0.71900969028402417</v>
      </c>
      <c r="H1246" s="132">
        <v>125</v>
      </c>
      <c r="I1246" s="45">
        <v>34.4</v>
      </c>
      <c r="J1246" s="55">
        <f>Database_Overig_Materieel[[#This Row],[Verbruik '[liter/kWh/kg per uur']]]*J$1284</f>
        <v>1.4271181625872094E-5</v>
      </c>
      <c r="K1246" s="45">
        <f>Database_Overig_Materieel[[#This Row],[Verbruik '[liter/kWh/kg per uur']]]*K$1284</f>
        <v>3.9148816898454071E-2</v>
      </c>
      <c r="L1246" s="45">
        <f>Database_Overig_Materieel[[#This Row],[Verbruik '[liter/kWh/kg per uur']]]*L$1284</f>
        <v>4.1658115913472571</v>
      </c>
      <c r="M1246" s="45">
        <f>Database_Overig_Materieel[[#This Row],[Verbruik '[liter/kWh/kg per uur']]]*M$1284</f>
        <v>5.3751421104651167E-7</v>
      </c>
      <c r="N1246" s="45">
        <f>Database_Overig_Materieel[[#This Row],[Verbruik '[liter/kWh/kg per uur']]]*N$1284</f>
        <v>4.5978835472287793E-3</v>
      </c>
      <c r="O1246" s="45">
        <f>Database_Overig_Materieel[[#This Row],[Verbruik '[liter/kWh/kg per uur']]]*O$1284</f>
        <v>2.130127940915378E-2</v>
      </c>
      <c r="P1246" s="45">
        <f>Database_Overig_Materieel[[#This Row],[Verbruik '[liter/kWh/kg per uur']]]*P$1284</f>
        <v>3.8612238695584305E-3</v>
      </c>
      <c r="Q1246" s="45">
        <f>Database_Overig_Materieel[[#This Row],[Verbruik '[liter/kWh/kg per uur']]]*Q$1284</f>
        <v>4.035933133422704</v>
      </c>
      <c r="R1246" s="45">
        <f>Database_Overig_Materieel[[#This Row],[Verbruik '[liter/kWh/kg per uur']]]*R$1284</f>
        <v>2.9174389679087503E-2</v>
      </c>
      <c r="S1246" s="45">
        <f>Database_Overig_Materieel[[#This Row],[Verbruik '[liter/kWh/kg per uur']]]*S$1284</f>
        <v>100.40562777723439</v>
      </c>
      <c r="T1246" s="45">
        <f>Database_Overig_Materieel[[#This Row],[Verbruik '[liter/kWh/kg per uur']]]*T$1284</f>
        <v>1.8920252705120641E-2</v>
      </c>
      <c r="U1246" s="45"/>
      <c r="V1246" s="45"/>
      <c r="W1246" s="45"/>
      <c r="X1246" s="45"/>
      <c r="Y1246" s="45"/>
      <c r="Z1246" s="45"/>
      <c r="AA1246" s="45"/>
      <c r="AB1246" s="45"/>
      <c r="AC1246" s="45"/>
      <c r="AD1246" s="45"/>
      <c r="AE1246" s="45"/>
      <c r="AF1246" s="45"/>
      <c r="AG1246" s="45"/>
      <c r="AH1246" s="45"/>
      <c r="AI1246" s="45"/>
      <c r="AJ1246" s="45"/>
      <c r="AK1246" s="45"/>
      <c r="AL1246" s="45"/>
      <c r="AM1246" s="45"/>
      <c r="AN1246" s="45"/>
      <c r="AO1246" s="45"/>
      <c r="AP1246" s="45">
        <f>Database_Overig_Materieel[[#This Row],[Verbruik '[liter/kWh/kg per uur']]]*AP$1284</f>
        <v>2.6917057953711847</v>
      </c>
      <c r="AQ1246" s="45"/>
      <c r="AR1246" s="45"/>
      <c r="AS1246" s="45">
        <f>Database_Overig_Materieel[[#This Row],[Verbruik '[liter/kWh/kg per uur']]]*AS$1284</f>
        <v>82.511510879511917</v>
      </c>
      <c r="AT1246" s="45"/>
      <c r="AU1246" s="45"/>
      <c r="AV1246" s="45"/>
      <c r="AW1246" s="45">
        <f>Database_Overig_Materieel[[#This Row],[Verbruik '[liter/kWh/kg per uur']]]*AW$1284</f>
        <v>2.0726713002635174E-2</v>
      </c>
      <c r="AX1246" s="45">
        <f>Database_Overig_Materieel[[#This Row],[Verbruik '[liter/kWh/kg per uur']]]*AX$1284</f>
        <v>3.3460313070203491E-4</v>
      </c>
      <c r="AY1246" s="45">
        <f>Database_Overig_Materieel[[#This Row],[Verbruik '[liter/kWh/kg per uur']]]*AY$1284</f>
        <v>0.78361400400652992</v>
      </c>
      <c r="AZ1246" s="45">
        <f>Database_Overig_Materieel[[#This Row],[Verbruik '[liter/kWh/kg per uur']]]*AZ$1284</f>
        <v>2.009743969244186E-4</v>
      </c>
      <c r="BA1246" s="45"/>
      <c r="BB1246" s="45"/>
      <c r="BC1246" s="45"/>
      <c r="BD1246" s="45"/>
      <c r="BE1246" s="45"/>
      <c r="BF1246" s="45"/>
      <c r="BG1246" s="45" t="s">
        <v>271</v>
      </c>
    </row>
    <row r="1247" spans="1:59" x14ac:dyDescent="0.35">
      <c r="A1247" s="45" t="s">
        <v>403</v>
      </c>
      <c r="B1247" s="45" t="s">
        <v>132</v>
      </c>
      <c r="C1247" s="41" t="s">
        <v>451</v>
      </c>
      <c r="D1247" s="41" t="s">
        <v>456</v>
      </c>
      <c r="E1247" s="45" t="s">
        <v>65</v>
      </c>
      <c r="F1247" s="60">
        <f>F1232*3.1</f>
        <v>31</v>
      </c>
      <c r="G1247" s="54">
        <f>Database_Overig_Materieel[[#This Row],[Verbruik '[liter/kWh/kg per uur']]]*G$1285</f>
        <v>2.0148742020000001</v>
      </c>
      <c r="H1247" s="132">
        <v>125</v>
      </c>
      <c r="I1247" s="45">
        <v>3.6</v>
      </c>
      <c r="J1247" s="55">
        <f>Database_Overig_Materieel[[#This Row],[Verbruik '[liter/kWh/kg per uur']]]*J$1285</f>
        <v>5.549000000000001E-4</v>
      </c>
      <c r="K1247" s="45">
        <f>Database_Overig_Materieel[[#This Row],[Verbruik '[liter/kWh/kg per uur']]]*K$1285</f>
        <v>4.8669999999999998E-2</v>
      </c>
      <c r="L1247" s="45">
        <f>Database_Overig_Materieel[[#This Row],[Verbruik '[liter/kWh/kg per uur']]]*L$1285</f>
        <v>6.9750000000000005</v>
      </c>
      <c r="M1247" s="45">
        <f>Database_Overig_Materieel[[#This Row],[Verbruik '[liter/kWh/kg per uur']]]*M$1285</f>
        <v>7.0060000000000001E-7</v>
      </c>
      <c r="N1247" s="45">
        <f>Database_Overig_Materieel[[#This Row],[Verbruik '[liter/kWh/kg per uur']]]*N$1285</f>
        <v>9.0830000000000008E-3</v>
      </c>
      <c r="O1247" s="45">
        <f>Database_Overig_Materieel[[#This Row],[Verbruik '[liter/kWh/kg per uur']]]*O$1285</f>
        <v>6.6650000000000001E-2</v>
      </c>
      <c r="P1247" s="45">
        <f>Database_Overig_Materieel[[#This Row],[Verbruik '[liter/kWh/kg per uur']]]*P$1285</f>
        <v>9.4240000000000001E-3</v>
      </c>
      <c r="Q1247" s="45">
        <f>Database_Overig_Materieel[[#This Row],[Verbruik '[liter/kWh/kg per uur']]]*Q$1285</f>
        <v>13.174999999999999</v>
      </c>
      <c r="R1247" s="45">
        <f>Database_Overig_Materieel[[#This Row],[Verbruik '[liter/kWh/kg per uur']]]*R$1285</f>
        <v>0.21824000000000002</v>
      </c>
      <c r="S1247" s="45">
        <f>Database_Overig_Materieel[[#This Row],[Verbruik '[liter/kWh/kg per uur']]]*S$1285</f>
        <v>716.1</v>
      </c>
      <c r="T1247" s="45">
        <f>Database_Overig_Materieel[[#This Row],[Verbruik '[liter/kWh/kg per uur']]]*T$1285</f>
        <v>0.4123</v>
      </c>
      <c r="U1247" s="45"/>
      <c r="V1247" s="45"/>
      <c r="W1247" s="45"/>
      <c r="X1247" s="45"/>
      <c r="Y1247" s="45"/>
      <c r="Z1247" s="45"/>
      <c r="AA1247" s="45"/>
      <c r="AB1247" s="45"/>
      <c r="AC1247" s="45"/>
      <c r="AD1247" s="45"/>
      <c r="AE1247" s="45"/>
      <c r="AF1247" s="45"/>
      <c r="AG1247" s="45"/>
      <c r="AH1247" s="45"/>
      <c r="AI1247" s="45"/>
      <c r="AJ1247" s="45"/>
      <c r="AK1247" s="45"/>
      <c r="AL1247" s="45"/>
      <c r="AM1247" s="45"/>
      <c r="AN1247" s="45"/>
      <c r="AO1247" s="45"/>
      <c r="AP1247" s="45">
        <f>Database_Overig_Materieel[[#This Row],[Verbruik '[liter/kWh/kg per uur']]]*AP$1285</f>
        <v>269.7</v>
      </c>
      <c r="AQ1247" s="45"/>
      <c r="AR1247" s="45"/>
      <c r="AS1247" s="45">
        <f>Database_Overig_Materieel[[#This Row],[Verbruik '[liter/kWh/kg per uur']]]*AS$1285</f>
        <v>95.17</v>
      </c>
      <c r="AT1247" s="45"/>
      <c r="AU1247" s="45"/>
      <c r="AV1247" s="45"/>
      <c r="AW1247" s="45">
        <f>Database_Overig_Materieel[[#This Row],[Verbruik '[liter/kWh/kg per uur']]]*AW$1285</f>
        <v>269.7</v>
      </c>
      <c r="AX1247" s="45">
        <f>Database_Overig_Materieel[[#This Row],[Verbruik '[liter/kWh/kg per uur']]]*AX$1285</f>
        <v>1.271E-3</v>
      </c>
      <c r="AY1247" s="45">
        <f>Database_Overig_Materieel[[#This Row],[Verbruik '[liter/kWh/kg per uur']]]*AY$1285</f>
        <v>2.3591000000000002</v>
      </c>
      <c r="AZ1247" s="45">
        <f>Database_Overig_Materieel[[#This Row],[Verbruik '[liter/kWh/kg per uur']]]*AZ$1285</f>
        <v>2.7962000000000001E-4</v>
      </c>
      <c r="BA1247" s="45"/>
      <c r="BB1247" s="45"/>
      <c r="BC1247" s="45"/>
      <c r="BD1247" s="45"/>
      <c r="BE1247" s="45"/>
      <c r="BF1247" s="45" t="s">
        <v>277</v>
      </c>
      <c r="BG1247" s="45" t="s">
        <v>276</v>
      </c>
    </row>
    <row r="1248" spans="1:59" x14ac:dyDescent="0.35">
      <c r="A1248" s="45" t="s">
        <v>404</v>
      </c>
      <c r="B1248" s="45" t="s">
        <v>132</v>
      </c>
      <c r="C1248" s="41" t="s">
        <v>451</v>
      </c>
      <c r="D1248" s="41" t="s">
        <v>456</v>
      </c>
      <c r="E1248" s="45" t="s">
        <v>65</v>
      </c>
      <c r="F1248" s="60">
        <f>F1232*3.1</f>
        <v>31</v>
      </c>
      <c r="G1248" s="54">
        <f>Database_Overig_Materieel[[#This Row],[Verbruik '[liter/kWh/kg per uur']]]*G$1286</f>
        <v>2.585161641</v>
      </c>
      <c r="H1248" s="132">
        <v>125</v>
      </c>
      <c r="I1248" s="45">
        <v>3.6</v>
      </c>
      <c r="J1248" s="55">
        <f>Database_Overig_Materieel[[#This Row],[Verbruik '[liter/kWh/kg per uur']]]*J$1286</f>
        <v>4.371E-4</v>
      </c>
      <c r="K1248" s="45">
        <f>Database_Overig_Materieel[[#This Row],[Verbruik '[liter/kWh/kg per uur']]]*K$1286</f>
        <v>0.18073</v>
      </c>
      <c r="L1248" s="45">
        <f>Database_Overig_Materieel[[#This Row],[Verbruik '[liter/kWh/kg per uur']]]*L$1286</f>
        <v>21.482999999999997</v>
      </c>
      <c r="M1248" s="45">
        <f>Database_Overig_Materieel[[#This Row],[Verbruik '[liter/kWh/kg per uur']]]*M$1286</f>
        <v>1.5034999999999999E-6</v>
      </c>
      <c r="N1248" s="45">
        <f>Database_Overig_Materieel[[#This Row],[Verbruik '[liter/kWh/kg per uur']]]*N$1286</f>
        <v>8.1220000000000007E-3</v>
      </c>
      <c r="O1248" s="45">
        <f>Database_Overig_Materieel[[#This Row],[Verbruik '[liter/kWh/kg per uur']]]*O$1286</f>
        <v>6.4479999999999996E-2</v>
      </c>
      <c r="P1248" s="45">
        <f>Database_Overig_Materieel[[#This Row],[Verbruik '[liter/kWh/kg per uur']]]*P$1286</f>
        <v>7.7189999999999993E-3</v>
      </c>
      <c r="Q1248" s="45">
        <f>Database_Overig_Materieel[[#This Row],[Verbruik '[liter/kWh/kg per uur']]]*Q$1286</f>
        <v>11.563000000000001</v>
      </c>
      <c r="R1248" s="45">
        <f>Database_Overig_Materieel[[#This Row],[Verbruik '[liter/kWh/kg per uur']]]*R$1286</f>
        <v>0.18476000000000001</v>
      </c>
      <c r="S1248" s="45">
        <f>Database_Overig_Materieel[[#This Row],[Verbruik '[liter/kWh/kg per uur']]]*S$1286</f>
        <v>675.80000000000007</v>
      </c>
      <c r="T1248" s="45">
        <f>Database_Overig_Materieel[[#This Row],[Verbruik '[liter/kWh/kg per uur']]]*T$1286</f>
        <v>0.40920000000000001</v>
      </c>
      <c r="U1248" s="45"/>
      <c r="V1248" s="45"/>
      <c r="W1248" s="45"/>
      <c r="X1248" s="45"/>
      <c r="Y1248" s="45"/>
      <c r="Z1248" s="45"/>
      <c r="AA1248" s="45"/>
      <c r="AB1248" s="45"/>
      <c r="AC1248" s="45"/>
      <c r="AD1248" s="45"/>
      <c r="AE1248" s="45"/>
      <c r="AF1248" s="45"/>
      <c r="AG1248" s="45"/>
      <c r="AH1248" s="45"/>
      <c r="AI1248" s="45"/>
      <c r="AJ1248" s="45"/>
      <c r="AK1248" s="45"/>
      <c r="AL1248" s="45"/>
      <c r="AM1248" s="45"/>
      <c r="AN1248" s="45"/>
      <c r="AO1248" s="45"/>
      <c r="AP1248" s="45">
        <f>Database_Overig_Materieel[[#This Row],[Verbruik '[liter/kWh/kg per uur']]]*AP$1286</f>
        <v>7.4089999999999998</v>
      </c>
      <c r="AQ1248" s="45"/>
      <c r="AR1248" s="45"/>
      <c r="AS1248" s="45">
        <f>Database_Overig_Materieel[[#This Row],[Verbruik '[liter/kWh/kg per uur']]]*AS$1286</f>
        <v>337.90000000000003</v>
      </c>
      <c r="AT1248" s="45"/>
      <c r="AU1248" s="45"/>
      <c r="AV1248" s="45"/>
      <c r="AW1248" s="45">
        <f>Database_Overig_Materieel[[#This Row],[Verbruik '[liter/kWh/kg per uur']]]*AW$1286</f>
        <v>7.4089999999999998</v>
      </c>
      <c r="AX1248" s="45">
        <f>Database_Overig_Materieel[[#This Row],[Verbruik '[liter/kWh/kg per uur']]]*AX$1286</f>
        <v>9.9819999999999987E-4</v>
      </c>
      <c r="AY1248" s="45">
        <f>Database_Overig_Materieel[[#This Row],[Verbruik '[liter/kWh/kg per uur']]]*AY$1286</f>
        <v>1.7577</v>
      </c>
      <c r="AZ1248" s="45">
        <f>Database_Overig_Materieel[[#This Row],[Verbruik '[liter/kWh/kg per uur']]]*AZ$1286</f>
        <v>2.8706000000000001E-4</v>
      </c>
      <c r="BA1248" s="45"/>
      <c r="BB1248" s="45"/>
      <c r="BC1248" s="45"/>
      <c r="BD1248" s="45"/>
      <c r="BE1248" s="45"/>
      <c r="BF1248" s="45" t="s">
        <v>277</v>
      </c>
      <c r="BG1248" s="45" t="s">
        <v>276</v>
      </c>
    </row>
    <row r="1249" spans="1:59" x14ac:dyDescent="0.35">
      <c r="A1249" s="45" t="s">
        <v>421</v>
      </c>
      <c r="B1249" s="45" t="s">
        <v>132</v>
      </c>
      <c r="C1249" s="41" t="s">
        <v>451</v>
      </c>
      <c r="D1249" s="41" t="s">
        <v>457</v>
      </c>
      <c r="E1249" s="45" t="s">
        <v>65</v>
      </c>
      <c r="F1249" s="60">
        <v>5</v>
      </c>
      <c r="G1249" s="54">
        <f>Database_Overig_Materieel[[#This Row],[Verbruik '[liter/kWh/kg per uur']]]*G$1270</f>
        <v>1.593497452349163</v>
      </c>
      <c r="H1249" s="132">
        <v>125</v>
      </c>
      <c r="I1249" s="45">
        <v>35.9</v>
      </c>
      <c r="J1249" s="55">
        <f>Database_Overig_Materieel[[#This Row],[Verbruik '[liter/kWh/kg per uur']]]*J$1270</f>
        <v>8.0500000000000009E-6</v>
      </c>
      <c r="K1249" s="45">
        <f>Database_Overig_Materieel[[#This Row],[Verbruik '[liter/kWh/kg per uur']]]*K$1270</f>
        <v>0.11749854500000001</v>
      </c>
      <c r="L1249" s="45">
        <f>Database_Overig_Materieel[[#This Row],[Verbruik '[liter/kWh/kg per uur']]]*L$1270</f>
        <v>17.1970995</v>
      </c>
      <c r="M1249" s="45">
        <f>Database_Overig_Materieel[[#This Row],[Verbruik '[liter/kWh/kg per uur']]]*M$1270</f>
        <v>2.9950000000000001E-6</v>
      </c>
      <c r="N1249" s="45">
        <f>Database_Overig_Materieel[[#This Row],[Verbruik '[liter/kWh/kg per uur']]]*N$1270</f>
        <v>5.6620300000000002E-3</v>
      </c>
      <c r="O1249" s="45">
        <f>Database_Overig_Materieel[[#This Row],[Verbruik '[liter/kWh/kg per uur']]]*O$1270</f>
        <v>5.0436950000000001E-2</v>
      </c>
      <c r="P1249" s="45">
        <f>Database_Overig_Materieel[[#This Row],[Verbruik '[liter/kWh/kg per uur']]]*P$1270</f>
        <v>9.6501350000000007E-3</v>
      </c>
      <c r="Q1249" s="45">
        <f>Database_Overig_Materieel[[#This Row],[Verbruik '[liter/kWh/kg per uur']]]*Q$1270</f>
        <v>4.2575410500000004</v>
      </c>
      <c r="R1249" s="45">
        <f>Database_Overig_Materieel[[#This Row],[Verbruik '[liter/kWh/kg per uur']]]*R$1270</f>
        <v>8.4315139999999997E-2</v>
      </c>
      <c r="S1249" s="45">
        <f>Database_Overig_Materieel[[#This Row],[Verbruik '[liter/kWh/kg per uur']]]*S$1270</f>
        <v>282.11655500000001</v>
      </c>
      <c r="T1249" s="45">
        <f>Database_Overig_Materieel[[#This Row],[Verbruik '[liter/kWh/kg per uur']]]*T$1270</f>
        <v>1.5144709999999999E-2</v>
      </c>
      <c r="U1249" s="45"/>
      <c r="V1249" s="45"/>
      <c r="W1249" s="45"/>
      <c r="X1249" s="45"/>
      <c r="Y1249" s="45"/>
      <c r="Z1249" s="45"/>
      <c r="AA1249" s="45"/>
      <c r="AB1249" s="45"/>
      <c r="AC1249" s="45"/>
      <c r="AD1249" s="45"/>
      <c r="AE1249" s="45"/>
      <c r="AF1249" s="45"/>
      <c r="AG1249" s="45"/>
      <c r="AH1249" s="45"/>
      <c r="AI1249" s="45"/>
      <c r="AJ1249" s="45"/>
      <c r="AK1249" s="45"/>
      <c r="AL1249" s="45"/>
      <c r="AM1249" s="45"/>
      <c r="AN1249" s="45"/>
      <c r="AO1249" s="45"/>
      <c r="AP1249" s="45">
        <f>Database_Overig_Materieel[[#This Row],[Verbruik '[liter/kWh/kg per uur']]]*AP$1270</f>
        <v>1.9125567499999998</v>
      </c>
      <c r="AQ1249" s="45"/>
      <c r="AR1249" s="45"/>
      <c r="AS1249" s="45">
        <f>Database_Overig_Materieel[[#This Row],[Verbruik '[liter/kWh/kg per uur']]]*AS$1270</f>
        <v>262.26643000000001</v>
      </c>
      <c r="AT1249" s="45"/>
      <c r="AU1249" s="45"/>
      <c r="AV1249" s="45"/>
      <c r="AW1249" s="45">
        <f>Database_Overig_Materieel[[#This Row],[Verbruik '[liter/kWh/kg per uur']]]*AW$1270</f>
        <v>2.4777315000000001E-2</v>
      </c>
      <c r="AX1249" s="45">
        <f>Database_Overig_Materieel[[#This Row],[Verbruik '[liter/kWh/kg per uur']]]*AX$1270</f>
        <v>1.810505E-3</v>
      </c>
      <c r="AY1249" s="45">
        <f>Database_Overig_Materieel[[#This Row],[Verbruik '[liter/kWh/kg per uur']]]*AY$1270</f>
        <v>0.43997204500000003</v>
      </c>
      <c r="AZ1249" s="45">
        <f>Database_Overig_Materieel[[#This Row],[Verbruik '[liter/kWh/kg per uur']]]*AZ$1270</f>
        <v>0</v>
      </c>
      <c r="BA1249" s="45"/>
      <c r="BB1249" s="45"/>
      <c r="BC1249" s="45"/>
      <c r="BD1249" s="45"/>
      <c r="BE1249" s="45"/>
      <c r="BF1249" s="45"/>
      <c r="BG1249" s="45" t="s">
        <v>387</v>
      </c>
    </row>
    <row r="1250" spans="1:59" x14ac:dyDescent="0.35">
      <c r="A1250" s="45" t="s">
        <v>405</v>
      </c>
      <c r="B1250" s="45" t="s">
        <v>132</v>
      </c>
      <c r="C1250" s="41" t="s">
        <v>451</v>
      </c>
      <c r="D1250" s="41" t="s">
        <v>457</v>
      </c>
      <c r="E1250" s="45" t="s">
        <v>65</v>
      </c>
      <c r="F1250" s="60">
        <f>$F1249*($I1249/Database_Overig_Materieel[[#This Row],[Stookwaarde '[MJ/liter']]])</f>
        <v>5.4229607250755283</v>
      </c>
      <c r="G1250" s="54">
        <f>Database_Overig_Materieel[[#This Row],[Verbruik '[liter/kWh/kg per uur']]]*G$1271</f>
        <v>1.522552568717692</v>
      </c>
      <c r="H1250" s="132">
        <v>125</v>
      </c>
      <c r="I1250" s="45">
        <v>33.1</v>
      </c>
      <c r="J1250" s="55">
        <f>Database_Overig_Materieel[[#This Row],[Verbruik '[liter/kWh/kg per uur']]]*J$1271</f>
        <v>2.6987960574018128E-5</v>
      </c>
      <c r="K1250" s="45">
        <f>Database_Overig_Materieel[[#This Row],[Verbruik '[liter/kWh/kg per uur']]]*K$1271</f>
        <v>0.16029186226586103</v>
      </c>
      <c r="L1250" s="45">
        <f>Database_Overig_Materieel[[#This Row],[Verbruik '[liter/kWh/kg per uur']]]*L$1271</f>
        <v>19.774652206948641</v>
      </c>
      <c r="M1250" s="45">
        <f>Database_Overig_Materieel[[#This Row],[Verbruik '[liter/kWh/kg per uur']]]*M$1271</f>
        <v>2.6299624169184289E-7</v>
      </c>
      <c r="N1250" s="45">
        <f>Database_Overig_Materieel[[#This Row],[Verbruik '[liter/kWh/kg per uur']]]*N$1271</f>
        <v>3.9735443202416915E-3</v>
      </c>
      <c r="O1250" s="45">
        <f>Database_Overig_Materieel[[#This Row],[Verbruik '[liter/kWh/kg per uur']]]*O$1271</f>
        <v>4.0793039848942593E-2</v>
      </c>
      <c r="P1250" s="45">
        <f>Database_Overig_Materieel[[#This Row],[Verbruik '[liter/kWh/kg per uur']]]*P$1271</f>
        <v>8.7689654531722065E-3</v>
      </c>
      <c r="Q1250" s="45">
        <f>Database_Overig_Materieel[[#This Row],[Verbruik '[liter/kWh/kg per uur']]]*Q$1271</f>
        <v>3.926324160876133</v>
      </c>
      <c r="R1250" s="45">
        <f>Database_Overig_Materieel[[#This Row],[Verbruik '[liter/kWh/kg per uur']]]*R$1271</f>
        <v>3.1185180332326281E-2</v>
      </c>
      <c r="S1250" s="45">
        <f>Database_Overig_Materieel[[#This Row],[Verbruik '[liter/kWh/kg per uur']]]*S$1271</f>
        <v>117.74297619335347</v>
      </c>
      <c r="T1250" s="45">
        <f>Database_Overig_Materieel[[#This Row],[Verbruik '[liter/kWh/kg per uur']]]*T$1271</f>
        <v>1.5976747280966767E-2</v>
      </c>
      <c r="U1250" s="45"/>
      <c r="V1250" s="45"/>
      <c r="W1250" s="45"/>
      <c r="X1250" s="45"/>
      <c r="Y1250" s="45"/>
      <c r="Z1250" s="45"/>
      <c r="AA1250" s="45"/>
      <c r="AB1250" s="45"/>
      <c r="AC1250" s="45"/>
      <c r="AD1250" s="45"/>
      <c r="AE1250" s="45"/>
      <c r="AF1250" s="45"/>
      <c r="AG1250" s="45"/>
      <c r="AH1250" s="45"/>
      <c r="AI1250" s="45"/>
      <c r="AJ1250" s="45"/>
      <c r="AK1250" s="45"/>
      <c r="AL1250" s="45"/>
      <c r="AM1250" s="45"/>
      <c r="AN1250" s="45"/>
      <c r="AO1250" s="45"/>
      <c r="AP1250" s="45">
        <f>Database_Overig_Materieel[[#This Row],[Verbruik '[liter/kWh/kg per uur']]]*AP$1271</f>
        <v>2.3373755188821752</v>
      </c>
      <c r="AQ1250" s="45"/>
      <c r="AR1250" s="45"/>
      <c r="AS1250" s="45">
        <f>Database_Overig_Materieel[[#This Row],[Verbruik '[liter/kWh/kg per uur']]]*AS$1271</f>
        <v>341.85501140483382</v>
      </c>
      <c r="AT1250" s="45"/>
      <c r="AU1250" s="45"/>
      <c r="AV1250" s="45"/>
      <c r="AW1250" s="45">
        <f>Database_Overig_Materieel[[#This Row],[Verbruik '[liter/kWh/kg per uur']]]*AW$1271</f>
        <v>1.5266534652567975E-2</v>
      </c>
      <c r="AX1250" s="45">
        <f>Database_Overig_Materieel[[#This Row],[Verbruik '[liter/kWh/kg per uur']]]*AX$1271</f>
        <v>5.214263504531722E-4</v>
      </c>
      <c r="AY1250" s="45">
        <f>Database_Overig_Materieel[[#This Row],[Verbruik '[liter/kWh/kg per uur']]]*AY$1271</f>
        <v>0.57938657507552871</v>
      </c>
      <c r="AZ1250" s="45">
        <f>Database_Overig_Materieel[[#This Row],[Verbruik '[liter/kWh/kg per uur']]]*AZ$1271</f>
        <v>0</v>
      </c>
      <c r="BA1250" s="45"/>
      <c r="BB1250" s="45"/>
      <c r="BC1250" s="45"/>
      <c r="BD1250" s="45"/>
      <c r="BE1250" s="45"/>
      <c r="BF1250" s="45"/>
      <c r="BG1250" s="45" t="s">
        <v>271</v>
      </c>
    </row>
    <row r="1251" spans="1:59" x14ac:dyDescent="0.35">
      <c r="A1251" s="45" t="s">
        <v>406</v>
      </c>
      <c r="B1251" s="45" t="s">
        <v>132</v>
      </c>
      <c r="C1251" s="41" t="s">
        <v>451</v>
      </c>
      <c r="D1251" s="41" t="s">
        <v>457</v>
      </c>
      <c r="E1251" s="45" t="s">
        <v>65</v>
      </c>
      <c r="F1251" s="60">
        <f>$F1249*($I1249/Database_Overig_Materieel[[#This Row],[Stookwaarde '[MJ/liter']]])</f>
        <v>5.2332361516034984</v>
      </c>
      <c r="G1251" s="54">
        <f>Database_Overig_Materieel[[#This Row],[Verbruik '[liter/kWh/kg per uur']]]*G$1272</f>
        <v>1.2121635021373578</v>
      </c>
      <c r="H1251" s="132">
        <v>125</v>
      </c>
      <c r="I1251" s="45">
        <v>34.299999999999997</v>
      </c>
      <c r="J1251" s="55">
        <f>Database_Overig_Materieel[[#This Row],[Verbruik '[liter/kWh/kg per uur']]]*J$1272</f>
        <v>1.9603597959183672E-5</v>
      </c>
      <c r="K1251" s="45">
        <f>Database_Overig_Materieel[[#This Row],[Verbruik '[liter/kWh/kg per uur']]]*K$1272</f>
        <v>4.286625893586006E-2</v>
      </c>
      <c r="L1251" s="45">
        <f>Database_Overig_Materieel[[#This Row],[Verbruik '[liter/kWh/kg per uur']]]*L$1272</f>
        <v>7.3895000495626828</v>
      </c>
      <c r="M1251" s="45">
        <f>Database_Overig_Materieel[[#This Row],[Verbruik '[liter/kWh/kg per uur']]]*M$1272</f>
        <v>6.9698855685131189E-7</v>
      </c>
      <c r="N1251" s="45">
        <f>Database_Overig_Materieel[[#This Row],[Verbruik '[liter/kWh/kg per uur']]]*N$1272</f>
        <v>6.0806697813411085E-3</v>
      </c>
      <c r="O1251" s="45">
        <f>Database_Overig_Materieel[[#This Row],[Verbruik '[liter/kWh/kg per uur']]]*O$1272</f>
        <v>6.6049212492711368E-2</v>
      </c>
      <c r="P1251" s="45">
        <f>Database_Overig_Materieel[[#This Row],[Verbruik '[liter/kWh/kg per uur']]]*P$1272</f>
        <v>2.8352281428571432E-2</v>
      </c>
      <c r="Q1251" s="45">
        <f>Database_Overig_Materieel[[#This Row],[Verbruik '[liter/kWh/kg per uur']]]*Q$1272</f>
        <v>4.1189216078717203</v>
      </c>
      <c r="R1251" s="45">
        <f>Database_Overig_Materieel[[#This Row],[Verbruik '[liter/kWh/kg per uur']]]*R$1272</f>
        <v>2.978133535422741</v>
      </c>
      <c r="S1251" s="45">
        <f>Database_Overig_Materieel[[#This Row],[Verbruik '[liter/kWh/kg per uur']]]*S$1272</f>
        <v>246.30667109329445</v>
      </c>
      <c r="T1251" s="45">
        <f>Database_Overig_Materieel[[#This Row],[Verbruik '[liter/kWh/kg per uur']]]*T$1272</f>
        <v>1.2786905435860056</v>
      </c>
      <c r="U1251" s="45"/>
      <c r="V1251" s="45"/>
      <c r="W1251" s="45"/>
      <c r="X1251" s="45"/>
      <c r="Y1251" s="45"/>
      <c r="Z1251" s="45"/>
      <c r="AA1251" s="45"/>
      <c r="AB1251" s="45"/>
      <c r="AC1251" s="45"/>
      <c r="AD1251" s="45"/>
      <c r="AE1251" s="45"/>
      <c r="AF1251" s="45"/>
      <c r="AG1251" s="45"/>
      <c r="AH1251" s="45"/>
      <c r="AI1251" s="45"/>
      <c r="AJ1251" s="45"/>
      <c r="AK1251" s="45"/>
      <c r="AL1251" s="45"/>
      <c r="AM1251" s="45"/>
      <c r="AN1251" s="45"/>
      <c r="AO1251" s="45"/>
      <c r="AP1251" s="45">
        <f>Database_Overig_Materieel[[#This Row],[Verbruik '[liter/kWh/kg per uur']]]*AP$1272</f>
        <v>41.042100390670555</v>
      </c>
      <c r="AQ1251" s="45"/>
      <c r="AR1251" s="45"/>
      <c r="AS1251" s="45">
        <f>Database_Overig_Materieel[[#This Row],[Verbruik '[liter/kWh/kg per uur']]]*AS$1272</f>
        <v>90.443220626822153</v>
      </c>
      <c r="AT1251" s="45"/>
      <c r="AU1251" s="45"/>
      <c r="AV1251" s="45"/>
      <c r="AW1251" s="45">
        <f>Database_Overig_Materieel[[#This Row],[Verbruik '[liter/kWh/kg per uur']]]*AW$1272</f>
        <v>0.32025056048104955</v>
      </c>
      <c r="AX1251" s="45">
        <f>Database_Overig_Materieel[[#This Row],[Verbruik '[liter/kWh/kg per uur']]]*AX$1272</f>
        <v>5.3051931486880466E-4</v>
      </c>
      <c r="AY1251" s="45">
        <f>Database_Overig_Materieel[[#This Row],[Verbruik '[liter/kWh/kg per uur']]]*AY$1272</f>
        <v>1.4724920360058311</v>
      </c>
      <c r="AZ1251" s="45">
        <f>Database_Overig_Materieel[[#This Row],[Verbruik '[liter/kWh/kg per uur']]]*AZ$1272</f>
        <v>0</v>
      </c>
      <c r="BA1251" s="45"/>
      <c r="BB1251" s="45"/>
      <c r="BC1251" s="45"/>
      <c r="BD1251" s="45"/>
      <c r="BE1251" s="45"/>
      <c r="BF1251" s="45"/>
      <c r="BG1251" s="45" t="s">
        <v>271</v>
      </c>
    </row>
    <row r="1252" spans="1:59" x14ac:dyDescent="0.35">
      <c r="A1252" s="45" t="s">
        <v>407</v>
      </c>
      <c r="B1252" s="45" t="s">
        <v>132</v>
      </c>
      <c r="C1252" s="41" t="s">
        <v>451</v>
      </c>
      <c r="D1252" s="41" t="s">
        <v>457</v>
      </c>
      <c r="E1252" s="45" t="s">
        <v>65</v>
      </c>
      <c r="F1252" s="60">
        <f>$F1249*($I1249/Database_Overig_Materieel[[#This Row],[Stookwaarde '[MJ/liter']]])</f>
        <v>5.2028985507246368</v>
      </c>
      <c r="G1252" s="54">
        <f>Database_Overig_Materieel[[#This Row],[Verbruik '[liter/kWh/kg per uur']]]*G$1273</f>
        <v>1.5652645418991156</v>
      </c>
      <c r="H1252" s="132">
        <v>125</v>
      </c>
      <c r="I1252" s="45">
        <v>34.5</v>
      </c>
      <c r="J1252" s="55">
        <f>Database_Overig_Materieel[[#This Row],[Verbruik '[liter/kWh/kg per uur']]]*J$1273</f>
        <v>1.0934047391304344E-5</v>
      </c>
      <c r="K1252" s="45">
        <f>Database_Overig_Materieel[[#This Row],[Verbruik '[liter/kWh/kg per uur']]]*K$1273</f>
        <v>2.7423000637681154E-2</v>
      </c>
      <c r="L1252" s="45">
        <f>Database_Overig_Materieel[[#This Row],[Verbruik '[liter/kWh/kg per uur']]]*L$1273</f>
        <v>7.0334192594202882</v>
      </c>
      <c r="M1252" s="45">
        <f>Database_Overig_Materieel[[#This Row],[Verbruik '[liter/kWh/kg per uur']]]*M$1273</f>
        <v>4.2679741014492745E-7</v>
      </c>
      <c r="N1252" s="45">
        <f>Database_Overig_Materieel[[#This Row],[Verbruik '[liter/kWh/kg per uur']]]*N$1273</f>
        <v>5.1569569565217384E-3</v>
      </c>
      <c r="O1252" s="45">
        <f>Database_Overig_Materieel[[#This Row],[Verbruik '[liter/kWh/kg per uur']]]*O$1273</f>
        <v>4.3001170884057964E-2</v>
      </c>
      <c r="P1252" s="45">
        <f>Database_Overig_Materieel[[#This Row],[Verbruik '[liter/kWh/kg per uur']]]*P$1273</f>
        <v>1.589315372463768E-2</v>
      </c>
      <c r="Q1252" s="45">
        <f>Database_Overig_Materieel[[#This Row],[Verbruik '[liter/kWh/kg per uur']]]*Q$1273</f>
        <v>3.9659136866666658</v>
      </c>
      <c r="R1252" s="45">
        <f>Database_Overig_Materieel[[#This Row],[Verbruik '[liter/kWh/kg per uur']]]*R$1273</f>
        <v>2.6504226505797095</v>
      </c>
      <c r="S1252" s="45">
        <f>Database_Overig_Materieel[[#This Row],[Verbruik '[liter/kWh/kg per uur']]]*S$1273</f>
        <v>170.62232021739129</v>
      </c>
      <c r="T1252" s="45">
        <f>Database_Overig_Materieel[[#This Row],[Verbruik '[liter/kWh/kg per uur']]]*T$1273</f>
        <v>1.1699853704347825</v>
      </c>
      <c r="U1252" s="45"/>
      <c r="V1252" s="45"/>
      <c r="W1252" s="45"/>
      <c r="X1252" s="45"/>
      <c r="Y1252" s="45"/>
      <c r="Z1252" s="45"/>
      <c r="AA1252" s="45"/>
      <c r="AB1252" s="45"/>
      <c r="AC1252" s="45"/>
      <c r="AD1252" s="45"/>
      <c r="AE1252" s="45"/>
      <c r="AF1252" s="45"/>
      <c r="AG1252" s="45"/>
      <c r="AH1252" s="45"/>
      <c r="AI1252" s="45"/>
      <c r="AJ1252" s="45"/>
      <c r="AK1252" s="45"/>
      <c r="AL1252" s="45"/>
      <c r="AM1252" s="45"/>
      <c r="AN1252" s="45"/>
      <c r="AO1252" s="45"/>
      <c r="AP1252" s="45">
        <f>Database_Overig_Materieel[[#This Row],[Verbruik '[liter/kWh/kg per uur']]]*AP$1273</f>
        <v>12.81272352753623</v>
      </c>
      <c r="AQ1252" s="45"/>
      <c r="AR1252" s="45"/>
      <c r="AS1252" s="45">
        <f>Database_Overig_Materieel[[#This Row],[Verbruik '[liter/kWh/kg per uur']]]*AS$1273</f>
        <v>57.399282115942029</v>
      </c>
      <c r="AT1252" s="45"/>
      <c r="AU1252" s="45"/>
      <c r="AV1252" s="45"/>
      <c r="AW1252" s="45">
        <f>Database_Overig_Materieel[[#This Row],[Verbruik '[liter/kWh/kg per uur']]]*AW$1273</f>
        <v>0.10099377594202898</v>
      </c>
      <c r="AX1252" s="45">
        <f>Database_Overig_Materieel[[#This Row],[Verbruik '[liter/kWh/kg per uur']]]*AX$1273</f>
        <v>3.1754694637681154E-4</v>
      </c>
      <c r="AY1252" s="45">
        <f>Database_Overig_Materieel[[#This Row],[Verbruik '[liter/kWh/kg per uur']]]*AY$1273</f>
        <v>1.2694537085507245</v>
      </c>
      <c r="AZ1252" s="45">
        <f>Database_Overig_Materieel[[#This Row],[Verbruik '[liter/kWh/kg per uur']]]*AZ$1273</f>
        <v>0</v>
      </c>
      <c r="BA1252" s="45"/>
      <c r="BB1252" s="45"/>
      <c r="BC1252" s="45"/>
      <c r="BD1252" s="45"/>
      <c r="BE1252" s="45"/>
      <c r="BF1252" s="45"/>
      <c r="BG1252" s="45" t="s">
        <v>271</v>
      </c>
    </row>
    <row r="1253" spans="1:59" x14ac:dyDescent="0.35">
      <c r="A1253" s="45" t="s">
        <v>408</v>
      </c>
      <c r="B1253" s="45" t="s">
        <v>132</v>
      </c>
      <c r="C1253" s="41" t="s">
        <v>451</v>
      </c>
      <c r="D1253" s="41" t="s">
        <v>457</v>
      </c>
      <c r="E1253" s="45" t="s">
        <v>65</v>
      </c>
      <c r="F1253" s="60">
        <f>$F1249*($I1249/Database_Overig_Materieel[[#This Row],[Stookwaarde '[MJ/liter']]])</f>
        <v>5.2180232558139537</v>
      </c>
      <c r="G1253" s="54">
        <f>Database_Overig_Materieel[[#This Row],[Verbruik '[liter/kWh/kg per uur']]]*G$1274</f>
        <v>0.45627756052302443</v>
      </c>
      <c r="H1253" s="132">
        <v>125</v>
      </c>
      <c r="I1253" s="45">
        <v>34.4</v>
      </c>
      <c r="J1253" s="55">
        <f>Database_Overig_Materieel[[#This Row],[Verbruik '[liter/kWh/kg per uur']]]*J$1274</f>
        <v>6.3714414672965118E-6</v>
      </c>
      <c r="K1253" s="45">
        <f>Database_Overig_Materieel[[#This Row],[Verbruik '[liter/kWh/kg per uur']]]*K$1274</f>
        <v>1.8114023682455668E-2</v>
      </c>
      <c r="L1253" s="45">
        <f>Database_Overig_Materieel[[#This Row],[Verbruik '[liter/kWh/kg per uur']]]*L$1274</f>
        <v>1.9219960228311139</v>
      </c>
      <c r="M1253" s="45">
        <f>Database_Overig_Materieel[[#This Row],[Verbruik '[liter/kWh/kg per uur']]]*M$1274</f>
        <v>2.4237133604651163E-7</v>
      </c>
      <c r="N1253" s="45">
        <f>Database_Overig_Materieel[[#This Row],[Verbruik '[liter/kWh/kg per uur']]]*N$1274</f>
        <v>2.2309800204446222E-3</v>
      </c>
      <c r="O1253" s="45">
        <f>Database_Overig_Materieel[[#This Row],[Verbruik '[liter/kWh/kg per uur']]]*O$1274</f>
        <v>2.8325682176159158E-2</v>
      </c>
      <c r="P1253" s="45">
        <f>Database_Overig_Materieel[[#This Row],[Verbruik '[liter/kWh/kg per uur']]]*P$1274</f>
        <v>6.6032785273870643E-3</v>
      </c>
      <c r="Q1253" s="45">
        <f>Database_Overig_Materieel[[#This Row],[Verbruik '[liter/kWh/kg per uur']]]*Q$1274</f>
        <v>1.9400926165875294</v>
      </c>
      <c r="R1253" s="45">
        <f>Database_Overig_Materieel[[#This Row],[Verbruik '[liter/kWh/kg per uur']]]*R$1274</f>
        <v>1.3440667490400435E-2</v>
      </c>
      <c r="S1253" s="45">
        <f>Database_Overig_Materieel[[#This Row],[Verbruik '[liter/kWh/kg per uur']]]*S$1274</f>
        <v>45.114694780848517</v>
      </c>
      <c r="T1253" s="45">
        <f>Database_Overig_Materieel[[#This Row],[Verbruik '[liter/kWh/kg per uur']]]*T$1274</f>
        <v>9.2334089028155535E-3</v>
      </c>
      <c r="U1253" s="45"/>
      <c r="V1253" s="45"/>
      <c r="W1253" s="45"/>
      <c r="X1253" s="45"/>
      <c r="Y1253" s="45"/>
      <c r="Z1253" s="45"/>
      <c r="AA1253" s="45"/>
      <c r="AB1253" s="45"/>
      <c r="AC1253" s="45"/>
      <c r="AD1253" s="45"/>
      <c r="AE1253" s="45"/>
      <c r="AF1253" s="45"/>
      <c r="AG1253" s="45"/>
      <c r="AH1253" s="45"/>
      <c r="AI1253" s="45"/>
      <c r="AJ1253" s="45"/>
      <c r="AK1253" s="45"/>
      <c r="AL1253" s="45"/>
      <c r="AM1253" s="45"/>
      <c r="AN1253" s="45"/>
      <c r="AO1253" s="45"/>
      <c r="AP1253" s="45">
        <f>Database_Overig_Materieel[[#This Row],[Verbruik '[liter/kWh/kg per uur']]]*AP$1274</f>
        <v>1.2840399566892904</v>
      </c>
      <c r="AQ1253" s="45"/>
      <c r="AR1253" s="45"/>
      <c r="AS1253" s="45">
        <f>Database_Overig_Materieel[[#This Row],[Verbruik '[liter/kWh/kg per uur']]]*AS$1274</f>
        <v>38.020871786112828</v>
      </c>
      <c r="AT1253" s="45"/>
      <c r="AU1253" s="45"/>
      <c r="AV1253" s="45"/>
      <c r="AW1253" s="45">
        <f>Database_Overig_Materieel[[#This Row],[Verbruik '[liter/kWh/kg per uur']]]*AW$1274</f>
        <v>9.9182136441415703E-3</v>
      </c>
      <c r="AX1253" s="45">
        <f>Database_Overig_Materieel[[#This Row],[Verbruik '[liter/kWh/kg per uur']]]*AX$1274</f>
        <v>1.5471249857543606E-4</v>
      </c>
      <c r="AY1253" s="45">
        <f>Database_Overig_Materieel[[#This Row],[Verbruik '[liter/kWh/kg per uur']]]*AY$1274</f>
        <v>0.37996245874399925</v>
      </c>
      <c r="AZ1253" s="45">
        <f>Database_Overig_Materieel[[#This Row],[Verbruik '[liter/kWh/kg per uur']]]*AZ$1274</f>
        <v>9.0784963604651167E-5</v>
      </c>
      <c r="BA1253" s="45"/>
      <c r="BB1253" s="45"/>
      <c r="BC1253" s="45"/>
      <c r="BD1253" s="45"/>
      <c r="BE1253" s="45"/>
      <c r="BF1253" s="45"/>
      <c r="BG1253" s="45" t="s">
        <v>271</v>
      </c>
    </row>
    <row r="1254" spans="1:59" x14ac:dyDescent="0.35">
      <c r="A1254" s="45" t="s">
        <v>409</v>
      </c>
      <c r="B1254" s="45" t="s">
        <v>132</v>
      </c>
      <c r="C1254" s="41" t="s">
        <v>451</v>
      </c>
      <c r="D1254" s="41" t="s">
        <v>457</v>
      </c>
      <c r="E1254" s="45" t="s">
        <v>65</v>
      </c>
      <c r="F1254" s="60">
        <v>5</v>
      </c>
      <c r="G1254" s="54">
        <f>Database_Overig_Materieel[[#This Row],[Verbruik '[liter/kWh/kg per uur']]]*G$1275</f>
        <v>1.4937778188541129</v>
      </c>
      <c r="H1254" s="132">
        <v>125</v>
      </c>
      <c r="I1254" s="45">
        <v>35.9</v>
      </c>
      <c r="J1254" s="55">
        <f>Database_Overig_Materieel[[#This Row],[Verbruik '[liter/kWh/kg per uur']]]*J$1275</f>
        <v>8.7828500000000001E-6</v>
      </c>
      <c r="K1254" s="45">
        <f>Database_Overig_Materieel[[#This Row],[Verbruik '[liter/kWh/kg per uur']]]*K$1275</f>
        <v>0.11886407</v>
      </c>
      <c r="L1254" s="45">
        <f>Database_Overig_Materieel[[#This Row],[Verbruik '[liter/kWh/kg per uur']]]*L$1275</f>
        <v>17.3466725</v>
      </c>
      <c r="M1254" s="45">
        <f>Database_Overig_Materieel[[#This Row],[Verbruik '[liter/kWh/kg per uur']]]*M$1275</f>
        <v>3.0191149999999998E-6</v>
      </c>
      <c r="N1254" s="45">
        <f>Database_Overig_Materieel[[#This Row],[Verbruik '[liter/kWh/kg per uur']]]*N$1275</f>
        <v>5.7091450000000005E-3</v>
      </c>
      <c r="O1254" s="45">
        <f>Database_Overig_Materieel[[#This Row],[Verbruik '[liter/kWh/kg per uur']]]*O$1275</f>
        <v>3.3256435000000001E-2</v>
      </c>
      <c r="P1254" s="45">
        <f>Database_Overig_Materieel[[#This Row],[Verbruik '[liter/kWh/kg per uur']]]*P$1275</f>
        <v>5.1078500000000006E-3</v>
      </c>
      <c r="Q1254" s="45">
        <f>Database_Overig_Materieel[[#This Row],[Verbruik '[liter/kWh/kg per uur']]]*Q$1275</f>
        <v>4.2751074999999998</v>
      </c>
      <c r="R1254" s="45">
        <f>Database_Overig_Materieel[[#This Row],[Verbruik '[liter/kWh/kg per uur']]]*R$1275</f>
        <v>8.5294659999999994E-2</v>
      </c>
      <c r="S1254" s="45">
        <f>Database_Overig_Materieel[[#This Row],[Verbruik '[liter/kWh/kg per uur']]]*S$1275</f>
        <v>286.79514999999998</v>
      </c>
      <c r="T1254" s="45">
        <f>Database_Overig_Materieel[[#This Row],[Verbruik '[liter/kWh/kg per uur']]]*T$1275</f>
        <v>1.5354670000000001E-2</v>
      </c>
      <c r="U1254" s="45"/>
      <c r="V1254" s="45"/>
      <c r="W1254" s="45"/>
      <c r="X1254" s="45"/>
      <c r="Y1254" s="45"/>
      <c r="Z1254" s="45"/>
      <c r="AA1254" s="45"/>
      <c r="AB1254" s="45"/>
      <c r="AC1254" s="45"/>
      <c r="AD1254" s="45"/>
      <c r="AE1254" s="45"/>
      <c r="AF1254" s="45"/>
      <c r="AG1254" s="45"/>
      <c r="AH1254" s="45"/>
      <c r="AI1254" s="45"/>
      <c r="AJ1254" s="45"/>
      <c r="AK1254" s="45"/>
      <c r="AL1254" s="45"/>
      <c r="AM1254" s="45"/>
      <c r="AN1254" s="45"/>
      <c r="AO1254" s="45"/>
      <c r="AP1254" s="45">
        <f>Database_Overig_Materieel[[#This Row],[Verbruik '[liter/kWh/kg per uur']]]*AP$1275</f>
        <v>1.9706767999999999</v>
      </c>
      <c r="AQ1254" s="45"/>
      <c r="AR1254" s="45"/>
      <c r="AS1254" s="45">
        <f>Database_Overig_Materieel[[#This Row],[Verbruik '[liter/kWh/kg per uur']]]*AS$1275</f>
        <v>265.29039499999999</v>
      </c>
      <c r="AT1254" s="45"/>
      <c r="AU1254" s="45"/>
      <c r="AV1254" s="45"/>
      <c r="AW1254" s="45">
        <f>Database_Overig_Materieel[[#This Row],[Verbruik '[liter/kWh/kg per uur']]]*AW$1275</f>
        <v>2.5101689999999999E-2</v>
      </c>
      <c r="AX1254" s="45">
        <f>Database_Overig_Materieel[[#This Row],[Verbruik '[liter/kWh/kg per uur']]]*AX$1275</f>
        <v>1.82204E-3</v>
      </c>
      <c r="AY1254" s="45">
        <f>Database_Overig_Materieel[[#This Row],[Verbruik '[liter/kWh/kg per uur']]]*AY$1275</f>
        <v>0.44709106499999995</v>
      </c>
      <c r="AZ1254" s="45">
        <f>Database_Overig_Materieel[[#This Row],[Verbruik '[liter/kWh/kg per uur']]]*AZ$1275</f>
        <v>0</v>
      </c>
      <c r="BA1254" s="45"/>
      <c r="BB1254" s="45"/>
      <c r="BC1254" s="45"/>
      <c r="BD1254" s="45"/>
      <c r="BE1254" s="45"/>
      <c r="BF1254" s="45"/>
      <c r="BG1254" s="45" t="s">
        <v>387</v>
      </c>
    </row>
    <row r="1255" spans="1:59" x14ac:dyDescent="0.35">
      <c r="A1255" s="45" t="s">
        <v>410</v>
      </c>
      <c r="B1255" s="45" t="s">
        <v>132</v>
      </c>
      <c r="C1255" s="41" t="s">
        <v>451</v>
      </c>
      <c r="D1255" s="41" t="s">
        <v>457</v>
      </c>
      <c r="E1255" s="45" t="s">
        <v>65</v>
      </c>
      <c r="F1255" s="60">
        <f>$F1254*($I1254/Database_Overig_Materieel[[#This Row],[Stookwaarde '[MJ/liter']]])</f>
        <v>5.4229607250755283</v>
      </c>
      <c r="G1255" s="54">
        <f>Database_Overig_Materieel[[#This Row],[Verbruik '[liter/kWh/kg per uur']]]*G$1276</f>
        <v>1.4116268250764508</v>
      </c>
      <c r="H1255" s="132">
        <v>125</v>
      </c>
      <c r="I1255" s="45">
        <v>33.1</v>
      </c>
      <c r="J1255" s="55">
        <f>Database_Overig_Materieel[[#This Row],[Verbruik '[liter/kWh/kg per uur']]]*J$1276</f>
        <v>2.7733075377643506E-5</v>
      </c>
      <c r="K1255" s="45">
        <f>Database_Overig_Materieel[[#This Row],[Verbruik '[liter/kWh/kg per uur']]]*K$1276</f>
        <v>0.16170689167673716</v>
      </c>
      <c r="L1255" s="45">
        <f>Database_Overig_Materieel[[#This Row],[Verbruik '[liter/kWh/kg per uur']]]*L$1276</f>
        <v>19.929685977341389</v>
      </c>
      <c r="M1255" s="45">
        <f>Database_Overig_Materieel[[#This Row],[Verbruik '[liter/kWh/kg per uur']]]*M$1276</f>
        <v>2.8829598036253771E-7</v>
      </c>
      <c r="N1255" s="45">
        <f>Database_Overig_Materieel[[#This Row],[Verbruik '[liter/kWh/kg per uur']]]*N$1276</f>
        <v>4.0382944712990939E-3</v>
      </c>
      <c r="O1255" s="45">
        <f>Database_Overig_Materieel[[#This Row],[Verbruik '[liter/kWh/kg per uur']]]*O$1276</f>
        <v>2.298966586102719E-2</v>
      </c>
      <c r="P1255" s="45">
        <f>Database_Overig_Materieel[[#This Row],[Verbruik '[liter/kWh/kg per uur']]]*P$1276</f>
        <v>4.0620036555891236E-3</v>
      </c>
      <c r="Q1255" s="45">
        <f>Database_Overig_Materieel[[#This Row],[Verbruik '[liter/kWh/kg per uur']]]*Q$1276</f>
        <v>4.002274840785498</v>
      </c>
      <c r="R1255" s="45">
        <f>Database_Overig_Materieel[[#This Row],[Verbruik '[liter/kWh/kg per uur']]]*R$1276</f>
        <v>3.2267500256797581E-2</v>
      </c>
      <c r="S1255" s="45">
        <f>Database_Overig_Materieel[[#This Row],[Verbruik '[liter/kWh/kg per uur']]]*S$1276</f>
        <v>122.5925998187311</v>
      </c>
      <c r="T1255" s="45">
        <f>Database_Overig_Materieel[[#This Row],[Verbruik '[liter/kWh/kg per uur']]]*T$1276</f>
        <v>1.6194560498489427E-2</v>
      </c>
      <c r="U1255" s="45"/>
      <c r="V1255" s="45"/>
      <c r="W1255" s="45"/>
      <c r="X1255" s="45"/>
      <c r="Y1255" s="45"/>
      <c r="Z1255" s="45"/>
      <c r="AA1255" s="45"/>
      <c r="AB1255" s="45"/>
      <c r="AC1255" s="45"/>
      <c r="AD1255" s="45"/>
      <c r="AE1255" s="45"/>
      <c r="AF1255" s="45"/>
      <c r="AG1255" s="45"/>
      <c r="AH1255" s="45"/>
      <c r="AI1255" s="45"/>
      <c r="AJ1255" s="45"/>
      <c r="AK1255" s="45"/>
      <c r="AL1255" s="45"/>
      <c r="AM1255" s="45"/>
      <c r="AN1255" s="45"/>
      <c r="AO1255" s="45"/>
      <c r="AP1255" s="45">
        <f>Database_Overig_Materieel[[#This Row],[Verbruik '[liter/kWh/kg per uur']]]*AP$1276</f>
        <v>2.3976026495468279</v>
      </c>
      <c r="AQ1255" s="45"/>
      <c r="AR1255" s="45"/>
      <c r="AS1255" s="45">
        <f>Database_Overig_Materieel[[#This Row],[Verbruik '[liter/kWh/kg per uur']]]*AS$1276</f>
        <v>344.98859876132929</v>
      </c>
      <c r="AT1255" s="45"/>
      <c r="AU1255" s="45"/>
      <c r="AV1255" s="45"/>
      <c r="AW1255" s="45">
        <f>Database_Overig_Materieel[[#This Row],[Verbruik '[liter/kWh/kg per uur']]]*AW$1276</f>
        <v>1.5602666027190333E-2</v>
      </c>
      <c r="AX1255" s="45">
        <f>Database_Overig_Materieel[[#This Row],[Verbruik '[liter/kWh/kg per uur']]]*AX$1276</f>
        <v>5.3337855589123868E-4</v>
      </c>
      <c r="AY1255" s="45">
        <f>Database_Overig_Materieel[[#This Row],[Verbruik '[liter/kWh/kg per uur']]]*AY$1276</f>
        <v>0.58676369969788511</v>
      </c>
      <c r="AZ1255" s="45">
        <f>Database_Overig_Materieel[[#This Row],[Verbruik '[liter/kWh/kg per uur']]]*AZ$1276</f>
        <v>0</v>
      </c>
      <c r="BA1255" s="45"/>
      <c r="BB1255" s="45"/>
      <c r="BC1255" s="45"/>
      <c r="BD1255" s="45"/>
      <c r="BE1255" s="45"/>
      <c r="BF1255" s="45"/>
      <c r="BG1255" s="45" t="s">
        <v>271</v>
      </c>
    </row>
    <row r="1256" spans="1:59" x14ac:dyDescent="0.35">
      <c r="A1256" s="45" t="s">
        <v>411</v>
      </c>
      <c r="B1256" s="45" t="s">
        <v>132</v>
      </c>
      <c r="C1256" s="41" t="s">
        <v>451</v>
      </c>
      <c r="D1256" s="41" t="s">
        <v>457</v>
      </c>
      <c r="E1256" s="45" t="s">
        <v>65</v>
      </c>
      <c r="F1256" s="60">
        <f>$F1254*($I1254/Database_Overig_Materieel[[#This Row],[Stookwaarde '[MJ/liter']]])</f>
        <v>5.2332361516034984</v>
      </c>
      <c r="G1256" s="54">
        <f>Database_Overig_Materieel[[#This Row],[Verbruik '[liter/kWh/kg per uur']]]*G$1277</f>
        <v>1.1169419910658629</v>
      </c>
      <c r="H1256" s="132">
        <v>125</v>
      </c>
      <c r="I1256" s="45">
        <v>34.299999999999997</v>
      </c>
      <c r="J1256" s="55">
        <f>Database_Overig_Materieel[[#This Row],[Verbruik '[liter/kWh/kg per uur']]]*J$1277</f>
        <v>2.0297472740524782E-5</v>
      </c>
      <c r="K1256" s="45">
        <f>Database_Overig_Materieel[[#This Row],[Verbruik '[liter/kWh/kg per uur']]]*K$1277</f>
        <v>4.4184008731778426E-2</v>
      </c>
      <c r="L1256" s="45">
        <f>Database_Overig_Materieel[[#This Row],[Verbruik '[liter/kWh/kg per uur']]]*L$1277</f>
        <v>7.5338520655976673</v>
      </c>
      <c r="M1256" s="45">
        <f>Database_Overig_Materieel[[#This Row],[Verbruik '[liter/kWh/kg per uur']]]*M$1277</f>
        <v>7.2054858600583096E-7</v>
      </c>
      <c r="N1256" s="45">
        <f>Database_Overig_Materieel[[#This Row],[Verbruik '[liter/kWh/kg per uur']]]*N$1277</f>
        <v>6.1409723615160347E-3</v>
      </c>
      <c r="O1256" s="45">
        <f>Database_Overig_Materieel[[#This Row],[Verbruik '[liter/kWh/kg per uur']]]*O$1277</f>
        <v>4.7076219489795915E-2</v>
      </c>
      <c r="P1256" s="45">
        <f>Database_Overig_Materieel[[#This Row],[Verbruik '[liter/kWh/kg per uur']]]*P$1277</f>
        <v>2.3346586384839649E-2</v>
      </c>
      <c r="Q1256" s="45">
        <f>Database_Overig_Materieel[[#This Row],[Verbruik '[liter/kWh/kg per uur']]]*Q$1277</f>
        <v>4.1839704715743435</v>
      </c>
      <c r="R1256" s="45">
        <f>Database_Overig_Materieel[[#This Row],[Verbruik '[liter/kWh/kg per uur']]]*R$1277</f>
        <v>2.9791414043731779</v>
      </c>
      <c r="S1256" s="45">
        <f>Database_Overig_Materieel[[#This Row],[Verbruik '[liter/kWh/kg per uur']]]*S$1277</f>
        <v>250.82289632653061</v>
      </c>
      <c r="T1256" s="45">
        <f>Database_Overig_Materieel[[#This Row],[Verbruik '[liter/kWh/kg per uur']]]*T$1277</f>
        <v>1.278893383819242</v>
      </c>
      <c r="U1256" s="45"/>
      <c r="V1256" s="45"/>
      <c r="W1256" s="45"/>
      <c r="X1256" s="45"/>
      <c r="Y1256" s="45"/>
      <c r="Z1256" s="45"/>
      <c r="AA1256" s="45"/>
      <c r="AB1256" s="45"/>
      <c r="AC1256" s="45"/>
      <c r="AD1256" s="45"/>
      <c r="AE1256" s="45"/>
      <c r="AF1256" s="45"/>
      <c r="AG1256" s="45"/>
      <c r="AH1256" s="45"/>
      <c r="AI1256" s="45"/>
      <c r="AJ1256" s="45"/>
      <c r="AK1256" s="45"/>
      <c r="AL1256" s="45"/>
      <c r="AM1256" s="45"/>
      <c r="AN1256" s="45"/>
      <c r="AO1256" s="45"/>
      <c r="AP1256" s="45">
        <f>Database_Overig_Materieel[[#This Row],[Verbruik '[liter/kWh/kg per uur']]]*AP$1277</f>
        <v>41.098186552478133</v>
      </c>
      <c r="AQ1256" s="45"/>
      <c r="AR1256" s="45"/>
      <c r="AS1256" s="45">
        <f>Database_Overig_Materieel[[#This Row],[Verbruik '[liter/kWh/kg per uur']]]*AS$1277</f>
        <v>93.361388236151598</v>
      </c>
      <c r="AT1256" s="45"/>
      <c r="AU1256" s="45"/>
      <c r="AV1256" s="45"/>
      <c r="AW1256" s="45">
        <f>Database_Overig_Materieel[[#This Row],[Verbruik '[liter/kWh/kg per uur']]]*AW$1277</f>
        <v>0.32056358126822154</v>
      </c>
      <c r="AX1256" s="45">
        <f>Database_Overig_Materieel[[#This Row],[Verbruik '[liter/kWh/kg per uur']]]*AX$1277</f>
        <v>5.416451749271137E-4</v>
      </c>
      <c r="AY1256" s="45">
        <f>Database_Overig_Materieel[[#This Row],[Verbruik '[liter/kWh/kg per uur']]]*AY$1277</f>
        <v>1.4793620190962098</v>
      </c>
      <c r="AZ1256" s="45">
        <f>Database_Overig_Materieel[[#This Row],[Verbruik '[liter/kWh/kg per uur']]]*AZ$1277</f>
        <v>0</v>
      </c>
      <c r="BA1256" s="45"/>
      <c r="BB1256" s="45"/>
      <c r="BC1256" s="45"/>
      <c r="BD1256" s="45"/>
      <c r="BE1256" s="45"/>
      <c r="BF1256" s="45"/>
      <c r="BG1256" s="45" t="s">
        <v>271</v>
      </c>
    </row>
    <row r="1257" spans="1:59" x14ac:dyDescent="0.35">
      <c r="A1257" s="45" t="s">
        <v>412</v>
      </c>
      <c r="B1257" s="45" t="s">
        <v>132</v>
      </c>
      <c r="C1257" s="41" t="s">
        <v>451</v>
      </c>
      <c r="D1257" s="41" t="s">
        <v>457</v>
      </c>
      <c r="E1257" s="45" t="s">
        <v>65</v>
      </c>
      <c r="F1257" s="60">
        <f>$F1254*($I1254/Database_Overig_Materieel[[#This Row],[Stookwaarde '[MJ/liter']]])</f>
        <v>5.2028985507246368</v>
      </c>
      <c r="G1257" s="54">
        <f>Database_Overig_Materieel[[#This Row],[Verbruik '[liter/kWh/kg per uur']]]*G$1278</f>
        <v>1.4711438519408877</v>
      </c>
      <c r="H1257" s="132">
        <v>125</v>
      </c>
      <c r="I1257" s="45">
        <v>34.5</v>
      </c>
      <c r="J1257" s="55">
        <f>Database_Overig_Materieel[[#This Row],[Verbruik '[liter/kWh/kg per uur']]]*J$1278</f>
        <v>1.1653087971014491E-5</v>
      </c>
      <c r="K1257" s="45">
        <f>Database_Overig_Materieel[[#This Row],[Verbruik '[liter/kWh/kg per uur']]]*K$1278</f>
        <v>2.8788522173913041E-2</v>
      </c>
      <c r="L1257" s="45">
        <f>Database_Overig_Materieel[[#This Row],[Verbruik '[liter/kWh/kg per uur']]]*L$1278</f>
        <v>7.1830291275362308</v>
      </c>
      <c r="M1257" s="45">
        <f>Database_Overig_Materieel[[#This Row],[Verbruik '[liter/kWh/kg per uur']]]*M$1278</f>
        <v>4.5121149130434771E-7</v>
      </c>
      <c r="N1257" s="45">
        <f>Database_Overig_Materieel[[#This Row],[Verbruik '[liter/kWh/kg per uur']]]*N$1278</f>
        <v>5.2194437681159413E-3</v>
      </c>
      <c r="O1257" s="45">
        <f>Database_Overig_Materieel[[#This Row],[Verbruik '[liter/kWh/kg per uur']]]*O$1278</f>
        <v>2.5820653565217386E-2</v>
      </c>
      <c r="P1257" s="45">
        <f>Database_Overig_Materieel[[#This Row],[Verbruik '[liter/kWh/kg per uur']]]*P$1278</f>
        <v>1.1350867202898549E-2</v>
      </c>
      <c r="Q1257" s="45">
        <f>Database_Overig_Materieel[[#This Row],[Verbruik '[liter/kWh/kg per uur']]]*Q$1278</f>
        <v>4.0392071266666658</v>
      </c>
      <c r="R1257" s="45">
        <f>Database_Overig_Materieel[[#This Row],[Verbruik '[liter/kWh/kg per uur']]]*R$1278</f>
        <v>2.6514670804347822</v>
      </c>
      <c r="S1257" s="45">
        <f>Database_Overig_Materieel[[#This Row],[Verbruik '[liter/kWh/kg per uur']]]*S$1278</f>
        <v>175.30227543478259</v>
      </c>
      <c r="T1257" s="45">
        <f>Database_Overig_Materieel[[#This Row],[Verbruik '[liter/kWh/kg per uur']]]*T$1278</f>
        <v>1.1701955675362317</v>
      </c>
      <c r="U1257" s="45"/>
      <c r="V1257" s="45"/>
      <c r="W1257" s="45"/>
      <c r="X1257" s="45"/>
      <c r="Y1257" s="45"/>
      <c r="Z1257" s="45"/>
      <c r="AA1257" s="45"/>
      <c r="AB1257" s="45"/>
      <c r="AC1257" s="45"/>
      <c r="AD1257" s="45"/>
      <c r="AE1257" s="45"/>
      <c r="AF1257" s="45"/>
      <c r="AG1257" s="45"/>
      <c r="AH1257" s="45"/>
      <c r="AI1257" s="45"/>
      <c r="AJ1257" s="45"/>
      <c r="AK1257" s="45"/>
      <c r="AL1257" s="45"/>
      <c r="AM1257" s="45"/>
      <c r="AN1257" s="45"/>
      <c r="AO1257" s="45"/>
      <c r="AP1257" s="45">
        <f>Database_Overig_Materieel[[#This Row],[Verbruik '[liter/kWh/kg per uur']]]*AP$1278</f>
        <v>12.870843546376809</v>
      </c>
      <c r="AQ1257" s="45"/>
      <c r="AR1257" s="45"/>
      <c r="AS1257" s="45">
        <f>Database_Overig_Materieel[[#This Row],[Verbruik '[liter/kWh/kg per uur']]]*AS$1278</f>
        <v>60.423243173913029</v>
      </c>
      <c r="AT1257" s="45"/>
      <c r="AU1257" s="45"/>
      <c r="AV1257" s="45"/>
      <c r="AW1257" s="45">
        <f>Database_Overig_Materieel[[#This Row],[Verbruik '[liter/kWh/kg per uur']]]*AW$1278</f>
        <v>0.10131814544927534</v>
      </c>
      <c r="AX1257" s="45">
        <f>Database_Overig_Materieel[[#This Row],[Verbruik '[liter/kWh/kg per uur']]]*AX$1278</f>
        <v>3.2908125217391299E-4</v>
      </c>
      <c r="AY1257" s="45">
        <f>Database_Overig_Materieel[[#This Row],[Verbruik '[liter/kWh/kg per uur']]]*AY$1278</f>
        <v>1.2765727305797099</v>
      </c>
      <c r="AZ1257" s="45">
        <f>Database_Overig_Materieel[[#This Row],[Verbruik '[liter/kWh/kg per uur']]]*AZ$1278</f>
        <v>0</v>
      </c>
      <c r="BA1257" s="45"/>
      <c r="BB1257" s="45"/>
      <c r="BC1257" s="45"/>
      <c r="BD1257" s="45"/>
      <c r="BE1257" s="45"/>
      <c r="BF1257" s="45"/>
      <c r="BG1257" s="45" t="s">
        <v>271</v>
      </c>
    </row>
    <row r="1258" spans="1:59" x14ac:dyDescent="0.35">
      <c r="A1258" s="45" t="s">
        <v>413</v>
      </c>
      <c r="B1258" s="45" t="s">
        <v>132</v>
      </c>
      <c r="C1258" s="41" t="s">
        <v>451</v>
      </c>
      <c r="D1258" s="41" t="s">
        <v>457</v>
      </c>
      <c r="E1258" s="45" t="s">
        <v>65</v>
      </c>
      <c r="F1258" s="60">
        <f>$F1254*($I1254/Database_Overig_Materieel[[#This Row],[Stookwaarde '[MJ/liter']]])</f>
        <v>5.2180232558139537</v>
      </c>
      <c r="G1258" s="54">
        <f>Database_Overig_Materieel[[#This Row],[Verbruik '[liter/kWh/kg per uur']]]*G$1279</f>
        <v>0.35950484514201209</v>
      </c>
      <c r="H1258" s="132">
        <v>125</v>
      </c>
      <c r="I1258" s="45">
        <v>34.4</v>
      </c>
      <c r="J1258" s="55">
        <f>Database_Overig_Materieel[[#This Row],[Verbruik '[liter/kWh/kg per uur']]]*J$1279</f>
        <v>7.1355908129360468E-6</v>
      </c>
      <c r="K1258" s="45">
        <f>Database_Overig_Materieel[[#This Row],[Verbruik '[liter/kWh/kg per uur']]]*K$1279</f>
        <v>1.9574408449227036E-2</v>
      </c>
      <c r="L1258" s="45">
        <f>Database_Overig_Materieel[[#This Row],[Verbruik '[liter/kWh/kg per uur']]]*L$1279</f>
        <v>2.0829057956736285</v>
      </c>
      <c r="M1258" s="45">
        <f>Database_Overig_Materieel[[#This Row],[Verbruik '[liter/kWh/kg per uur']]]*M$1279</f>
        <v>2.6875710552325583E-7</v>
      </c>
      <c r="N1258" s="45">
        <f>Database_Overig_Materieel[[#This Row],[Verbruik '[liter/kWh/kg per uur']]]*N$1279</f>
        <v>2.2989417736143897E-3</v>
      </c>
      <c r="O1258" s="45">
        <f>Database_Overig_Materieel[[#This Row],[Verbruik '[liter/kWh/kg per uur']]]*O$1279</f>
        <v>1.065063970457689E-2</v>
      </c>
      <c r="P1258" s="45">
        <f>Database_Overig_Materieel[[#This Row],[Verbruik '[liter/kWh/kg per uur']]]*P$1279</f>
        <v>1.9306119347792152E-3</v>
      </c>
      <c r="Q1258" s="45">
        <f>Database_Overig_Materieel[[#This Row],[Verbruik '[liter/kWh/kg per uur']]]*Q$1279</f>
        <v>2.017966566711352</v>
      </c>
      <c r="R1258" s="45">
        <f>Database_Overig_Materieel[[#This Row],[Verbruik '[liter/kWh/kg per uur']]]*R$1279</f>
        <v>1.4587194839543752E-2</v>
      </c>
      <c r="S1258" s="45">
        <f>Database_Overig_Materieel[[#This Row],[Verbruik '[liter/kWh/kg per uur']]]*S$1279</f>
        <v>50.202813888617193</v>
      </c>
      <c r="T1258" s="45">
        <f>Database_Overig_Materieel[[#This Row],[Verbruik '[liter/kWh/kg per uur']]]*T$1279</f>
        <v>9.4601263525603205E-3</v>
      </c>
      <c r="U1258" s="45"/>
      <c r="V1258" s="45"/>
      <c r="W1258" s="45"/>
      <c r="X1258" s="45"/>
      <c r="Y1258" s="45"/>
      <c r="Z1258" s="45"/>
      <c r="AA1258" s="45"/>
      <c r="AB1258" s="45"/>
      <c r="AC1258" s="45"/>
      <c r="AD1258" s="45"/>
      <c r="AE1258" s="45"/>
      <c r="AF1258" s="45"/>
      <c r="AG1258" s="45"/>
      <c r="AH1258" s="45"/>
      <c r="AI1258" s="45"/>
      <c r="AJ1258" s="45"/>
      <c r="AK1258" s="45"/>
      <c r="AL1258" s="45"/>
      <c r="AM1258" s="45"/>
      <c r="AN1258" s="45"/>
      <c r="AO1258" s="45"/>
      <c r="AP1258" s="45">
        <f>Database_Overig_Materieel[[#This Row],[Verbruik '[liter/kWh/kg per uur']]]*AP$1279</f>
        <v>1.3458528976855924</v>
      </c>
      <c r="AQ1258" s="45"/>
      <c r="AR1258" s="45"/>
      <c r="AS1258" s="45">
        <f>Database_Overig_Materieel[[#This Row],[Verbruik '[liter/kWh/kg per uur']]]*AS$1279</f>
        <v>41.255755439755958</v>
      </c>
      <c r="AT1258" s="45"/>
      <c r="AU1258" s="45"/>
      <c r="AV1258" s="45"/>
      <c r="AW1258" s="45">
        <f>Database_Overig_Materieel[[#This Row],[Verbruik '[liter/kWh/kg per uur']]]*AW$1279</f>
        <v>1.0363356501317587E-2</v>
      </c>
      <c r="AX1258" s="45">
        <f>Database_Overig_Materieel[[#This Row],[Verbruik '[liter/kWh/kg per uur']]]*AX$1279</f>
        <v>1.6730156535101746E-4</v>
      </c>
      <c r="AY1258" s="45">
        <f>Database_Overig_Materieel[[#This Row],[Verbruik '[liter/kWh/kg per uur']]]*AY$1279</f>
        <v>0.39180700200326496</v>
      </c>
      <c r="AZ1258" s="45">
        <f>Database_Overig_Materieel[[#This Row],[Verbruik '[liter/kWh/kg per uur']]]*AZ$1279</f>
        <v>1.004871984622093E-4</v>
      </c>
      <c r="BA1258" s="45"/>
      <c r="BB1258" s="45"/>
      <c r="BC1258" s="45"/>
      <c r="BD1258" s="45"/>
      <c r="BE1258" s="45"/>
      <c r="BF1258" s="45"/>
      <c r="BG1258" s="45" t="s">
        <v>271</v>
      </c>
    </row>
    <row r="1259" spans="1:59" x14ac:dyDescent="0.35">
      <c r="A1259" s="45" t="s">
        <v>414</v>
      </c>
      <c r="B1259" s="45" t="s">
        <v>132</v>
      </c>
      <c r="C1259" s="41" t="s">
        <v>451</v>
      </c>
      <c r="D1259" s="41" t="s">
        <v>457</v>
      </c>
      <c r="E1259" s="45" t="s">
        <v>65</v>
      </c>
      <c r="F1259" s="60">
        <v>5</v>
      </c>
      <c r="G1259" s="54">
        <f>Database_Overig_Materieel[[#This Row],[Verbruik '[liter/kWh/kg per uur']]]*G$1280</f>
        <v>1.4937657498150121</v>
      </c>
      <c r="H1259" s="132">
        <v>125</v>
      </c>
      <c r="I1259" s="45">
        <v>35.9</v>
      </c>
      <c r="J1259" s="55">
        <f>Database_Overig_Materieel[[#This Row],[Verbruik '[liter/kWh/kg per uur']]]*J$1280</f>
        <v>8.7828500000000001E-6</v>
      </c>
      <c r="K1259" s="45">
        <f>Database_Overig_Materieel[[#This Row],[Verbruik '[liter/kWh/kg per uur']]]*K$1280</f>
        <v>0.11886407</v>
      </c>
      <c r="L1259" s="45">
        <f>Database_Overig_Materieel[[#This Row],[Verbruik '[liter/kWh/kg per uur']]]*L$1280</f>
        <v>17.3466725</v>
      </c>
      <c r="M1259" s="45">
        <f>Database_Overig_Materieel[[#This Row],[Verbruik '[liter/kWh/kg per uur']]]*M$1280</f>
        <v>3.0191149999999998E-6</v>
      </c>
      <c r="N1259" s="45">
        <f>Database_Overig_Materieel[[#This Row],[Verbruik '[liter/kWh/kg per uur']]]*N$1280</f>
        <v>5.7091450000000005E-3</v>
      </c>
      <c r="O1259" s="45">
        <f>Database_Overig_Materieel[[#This Row],[Verbruik '[liter/kWh/kg per uur']]]*O$1280</f>
        <v>3.3256435000000001E-2</v>
      </c>
      <c r="P1259" s="45">
        <f>Database_Overig_Materieel[[#This Row],[Verbruik '[liter/kWh/kg per uur']]]*P$1280</f>
        <v>5.1078500000000006E-3</v>
      </c>
      <c r="Q1259" s="45">
        <f>Database_Overig_Materieel[[#This Row],[Verbruik '[liter/kWh/kg per uur']]]*Q$1280</f>
        <v>4.2749734000000004</v>
      </c>
      <c r="R1259" s="45">
        <f>Database_Overig_Materieel[[#This Row],[Verbruik '[liter/kWh/kg per uur']]]*R$1280</f>
        <v>8.5294659999999994E-2</v>
      </c>
      <c r="S1259" s="45">
        <f>Database_Overig_Materieel[[#This Row],[Verbruik '[liter/kWh/kg per uur']]]*S$1280</f>
        <v>286.79514999999998</v>
      </c>
      <c r="T1259" s="45">
        <f>Database_Overig_Materieel[[#This Row],[Verbruik '[liter/kWh/kg per uur']]]*T$1280</f>
        <v>1.5354670000000001E-2</v>
      </c>
      <c r="U1259" s="45"/>
      <c r="V1259" s="45"/>
      <c r="W1259" s="45"/>
      <c r="X1259" s="45"/>
      <c r="Y1259" s="45"/>
      <c r="Z1259" s="45"/>
      <c r="AA1259" s="45"/>
      <c r="AB1259" s="45"/>
      <c r="AC1259" s="45"/>
      <c r="AD1259" s="45"/>
      <c r="AE1259" s="45"/>
      <c r="AF1259" s="45"/>
      <c r="AG1259" s="45"/>
      <c r="AH1259" s="45"/>
      <c r="AI1259" s="45"/>
      <c r="AJ1259" s="45"/>
      <c r="AK1259" s="45"/>
      <c r="AL1259" s="45"/>
      <c r="AM1259" s="45"/>
      <c r="AN1259" s="45"/>
      <c r="AO1259" s="45"/>
      <c r="AP1259" s="45">
        <f>Database_Overig_Materieel[[#This Row],[Verbruik '[liter/kWh/kg per uur']]]*AP$1280</f>
        <v>1.9706767999999999</v>
      </c>
      <c r="AQ1259" s="45"/>
      <c r="AR1259" s="45"/>
      <c r="AS1259" s="45">
        <f>Database_Overig_Materieel[[#This Row],[Verbruik '[liter/kWh/kg per uur']]]*AS$1280</f>
        <v>265.29039499999999</v>
      </c>
      <c r="AT1259" s="45"/>
      <c r="AU1259" s="45"/>
      <c r="AV1259" s="45"/>
      <c r="AW1259" s="45">
        <f>Database_Overig_Materieel[[#This Row],[Verbruik '[liter/kWh/kg per uur']]]*AW$1280</f>
        <v>2.5101689999999999E-2</v>
      </c>
      <c r="AX1259" s="45">
        <f>Database_Overig_Materieel[[#This Row],[Verbruik '[liter/kWh/kg per uur']]]*AX$1280</f>
        <v>1.82204E-3</v>
      </c>
      <c r="AY1259" s="45">
        <f>Database_Overig_Materieel[[#This Row],[Verbruik '[liter/kWh/kg per uur']]]*AY$1280</f>
        <v>0.44709106499999995</v>
      </c>
      <c r="AZ1259" s="45">
        <f>Database_Overig_Materieel[[#This Row],[Verbruik '[liter/kWh/kg per uur']]]*AZ$1280</f>
        <v>0</v>
      </c>
      <c r="BA1259" s="45"/>
      <c r="BB1259" s="45"/>
      <c r="BC1259" s="45"/>
      <c r="BD1259" s="45"/>
      <c r="BE1259" s="45"/>
      <c r="BF1259" s="45"/>
      <c r="BG1259" s="45" t="s">
        <v>387</v>
      </c>
    </row>
    <row r="1260" spans="1:59" x14ac:dyDescent="0.35">
      <c r="A1260" s="45" t="s">
        <v>415</v>
      </c>
      <c r="B1260" s="45" t="s">
        <v>132</v>
      </c>
      <c r="C1260" s="41" t="s">
        <v>451</v>
      </c>
      <c r="D1260" s="41" t="s">
        <v>457</v>
      </c>
      <c r="E1260" s="45" t="s">
        <v>65</v>
      </c>
      <c r="F1260" s="60">
        <f>$F1259*($I1259/Database_Overig_Materieel[[#This Row],[Stookwaarde '[MJ/liter']]])</f>
        <v>5.4229607250755283</v>
      </c>
      <c r="G1260" s="54">
        <f>Database_Overig_Materieel[[#This Row],[Verbruik '[liter/kWh/kg per uur']]]*G$1281</f>
        <v>1.4116178183215899</v>
      </c>
      <c r="H1260" s="132">
        <v>125</v>
      </c>
      <c r="I1260" s="45">
        <v>33.1</v>
      </c>
      <c r="J1260" s="55">
        <f>Database_Overig_Materieel[[#This Row],[Verbruik '[liter/kWh/kg per uur']]]*J$1281</f>
        <v>2.7733075377643506E-5</v>
      </c>
      <c r="K1260" s="45">
        <f>Database_Overig_Materieel[[#This Row],[Verbruik '[liter/kWh/kg per uur']]]*K$1281</f>
        <v>0.16170689167673716</v>
      </c>
      <c r="L1260" s="45">
        <f>Database_Overig_Materieel[[#This Row],[Verbruik '[liter/kWh/kg per uur']]]*L$1281</f>
        <v>19.929685977341389</v>
      </c>
      <c r="M1260" s="45">
        <f>Database_Overig_Materieel[[#This Row],[Verbruik '[liter/kWh/kg per uur']]]*M$1281</f>
        <v>2.8829598036253771E-7</v>
      </c>
      <c r="N1260" s="45">
        <f>Database_Overig_Materieel[[#This Row],[Verbruik '[liter/kWh/kg per uur']]]*N$1281</f>
        <v>4.0382944712990939E-3</v>
      </c>
      <c r="O1260" s="45">
        <f>Database_Overig_Materieel[[#This Row],[Verbruik '[liter/kWh/kg per uur']]]*O$1281</f>
        <v>2.298966586102719E-2</v>
      </c>
      <c r="P1260" s="45">
        <f>Database_Overig_Materieel[[#This Row],[Verbruik '[liter/kWh/kg per uur']]]*P$1281</f>
        <v>4.0620036555891236E-3</v>
      </c>
      <c r="Q1260" s="45">
        <f>Database_Overig_Materieel[[#This Row],[Verbruik '[liter/kWh/kg per uur']]]*Q$1281</f>
        <v>4.0021508176737157</v>
      </c>
      <c r="R1260" s="45">
        <f>Database_Overig_Materieel[[#This Row],[Verbruik '[liter/kWh/kg per uur']]]*R$1281</f>
        <v>3.2267500256797581E-2</v>
      </c>
      <c r="S1260" s="45">
        <f>Database_Overig_Materieel[[#This Row],[Verbruik '[liter/kWh/kg per uur']]]*S$1281</f>
        <v>122.5925998187311</v>
      </c>
      <c r="T1260" s="45">
        <f>Database_Overig_Materieel[[#This Row],[Verbruik '[liter/kWh/kg per uur']]]*T$1281</f>
        <v>1.6194560498489427E-2</v>
      </c>
      <c r="U1260" s="45"/>
      <c r="V1260" s="45"/>
      <c r="W1260" s="45"/>
      <c r="X1260" s="45"/>
      <c r="Y1260" s="45"/>
      <c r="Z1260" s="45"/>
      <c r="AA1260" s="45"/>
      <c r="AB1260" s="45"/>
      <c r="AC1260" s="45"/>
      <c r="AD1260" s="45"/>
      <c r="AE1260" s="45"/>
      <c r="AF1260" s="45"/>
      <c r="AG1260" s="45"/>
      <c r="AH1260" s="45"/>
      <c r="AI1260" s="45"/>
      <c r="AJ1260" s="45"/>
      <c r="AK1260" s="45"/>
      <c r="AL1260" s="45"/>
      <c r="AM1260" s="45"/>
      <c r="AN1260" s="45"/>
      <c r="AO1260" s="45"/>
      <c r="AP1260" s="45">
        <f>Database_Overig_Materieel[[#This Row],[Verbruik '[liter/kWh/kg per uur']]]*AP$1281</f>
        <v>2.3976026495468279</v>
      </c>
      <c r="AQ1260" s="45"/>
      <c r="AR1260" s="45"/>
      <c r="AS1260" s="45">
        <f>Database_Overig_Materieel[[#This Row],[Verbruik '[liter/kWh/kg per uur']]]*AS$1281</f>
        <v>344.98859876132929</v>
      </c>
      <c r="AT1260" s="45"/>
      <c r="AU1260" s="45"/>
      <c r="AV1260" s="45"/>
      <c r="AW1260" s="45">
        <f>Database_Overig_Materieel[[#This Row],[Verbruik '[liter/kWh/kg per uur']]]*AW$1281</f>
        <v>1.5602666027190333E-2</v>
      </c>
      <c r="AX1260" s="45">
        <f>Database_Overig_Materieel[[#This Row],[Verbruik '[liter/kWh/kg per uur']]]*AX$1281</f>
        <v>5.3337855589123868E-4</v>
      </c>
      <c r="AY1260" s="45">
        <f>Database_Overig_Materieel[[#This Row],[Verbruik '[liter/kWh/kg per uur']]]*AY$1281</f>
        <v>0.58676369969788511</v>
      </c>
      <c r="AZ1260" s="45">
        <f>Database_Overig_Materieel[[#This Row],[Verbruik '[liter/kWh/kg per uur']]]*AZ$1281</f>
        <v>0</v>
      </c>
      <c r="BA1260" s="45"/>
      <c r="BB1260" s="45"/>
      <c r="BC1260" s="45"/>
      <c r="BD1260" s="45"/>
      <c r="BE1260" s="45"/>
      <c r="BF1260" s="45"/>
      <c r="BG1260" s="45" t="s">
        <v>271</v>
      </c>
    </row>
    <row r="1261" spans="1:59" x14ac:dyDescent="0.35">
      <c r="A1261" s="45" t="s">
        <v>416</v>
      </c>
      <c r="B1261" s="45" t="s">
        <v>132</v>
      </c>
      <c r="C1261" s="41" t="s">
        <v>451</v>
      </c>
      <c r="D1261" s="41" t="s">
        <v>457</v>
      </c>
      <c r="E1261" s="45" t="s">
        <v>65</v>
      </c>
      <c r="F1261" s="60">
        <f>$F1259*($I1259/Database_Overig_Materieel[[#This Row],[Stookwaarde '[MJ/liter']]])</f>
        <v>5.2332361516034984</v>
      </c>
      <c r="G1261" s="54">
        <f>Database_Overig_Materieel[[#This Row],[Verbruik '[liter/kWh/kg per uur']]]*G$1282</f>
        <v>1.1169311596218447</v>
      </c>
      <c r="H1261" s="132">
        <v>125</v>
      </c>
      <c r="I1261" s="45">
        <v>34.299999999999997</v>
      </c>
      <c r="J1261" s="55">
        <f>Database_Overig_Materieel[[#This Row],[Verbruik '[liter/kWh/kg per uur']]]*J$1282</f>
        <v>2.0297472740524782E-5</v>
      </c>
      <c r="K1261" s="45">
        <f>Database_Overig_Materieel[[#This Row],[Verbruik '[liter/kWh/kg per uur']]]*K$1282</f>
        <v>4.4184008731778426E-2</v>
      </c>
      <c r="L1261" s="45">
        <f>Database_Overig_Materieel[[#This Row],[Verbruik '[liter/kWh/kg per uur']]]*L$1282</f>
        <v>7.533876138483965</v>
      </c>
      <c r="M1261" s="45">
        <f>Database_Overig_Materieel[[#This Row],[Verbruik '[liter/kWh/kg per uur']]]*M$1282</f>
        <v>7.2054858600583096E-7</v>
      </c>
      <c r="N1261" s="45">
        <f>Database_Overig_Materieel[[#This Row],[Verbruik '[liter/kWh/kg per uur']]]*N$1282</f>
        <v>6.1409723615160347E-3</v>
      </c>
      <c r="O1261" s="45">
        <f>Database_Overig_Materieel[[#This Row],[Verbruik '[liter/kWh/kg per uur']]]*O$1282</f>
        <v>4.7076219489795915E-2</v>
      </c>
      <c r="P1261" s="45">
        <f>Database_Overig_Materieel[[#This Row],[Verbruik '[liter/kWh/kg per uur']]]*P$1282</f>
        <v>2.3346586384839649E-2</v>
      </c>
      <c r="Q1261" s="45">
        <f>Database_Overig_Materieel[[#This Row],[Verbruik '[liter/kWh/kg per uur']]]*Q$1282</f>
        <v>4.1838605736151608</v>
      </c>
      <c r="R1261" s="45">
        <f>Database_Overig_Materieel[[#This Row],[Verbruik '[liter/kWh/kg per uur']]]*R$1282</f>
        <v>2.9791414043731779</v>
      </c>
      <c r="S1261" s="45">
        <f>Database_Overig_Materieel[[#This Row],[Verbruik '[liter/kWh/kg per uur']]]*S$1282</f>
        <v>250.82289632653061</v>
      </c>
      <c r="T1261" s="45">
        <f>Database_Overig_Materieel[[#This Row],[Verbruik '[liter/kWh/kg per uur']]]*T$1282</f>
        <v>1.278893383819242</v>
      </c>
      <c r="U1261" s="45"/>
      <c r="V1261" s="45"/>
      <c r="W1261" s="45"/>
      <c r="X1261" s="45"/>
      <c r="Y1261" s="45"/>
      <c r="Z1261" s="45"/>
      <c r="AA1261" s="45"/>
      <c r="AB1261" s="45"/>
      <c r="AC1261" s="45"/>
      <c r="AD1261" s="45"/>
      <c r="AE1261" s="45"/>
      <c r="AF1261" s="45"/>
      <c r="AG1261" s="45"/>
      <c r="AH1261" s="45"/>
      <c r="AI1261" s="45"/>
      <c r="AJ1261" s="45"/>
      <c r="AK1261" s="45"/>
      <c r="AL1261" s="45"/>
      <c r="AM1261" s="45"/>
      <c r="AN1261" s="45"/>
      <c r="AO1261" s="45"/>
      <c r="AP1261" s="45">
        <f>Database_Overig_Materieel[[#This Row],[Verbruik '[liter/kWh/kg per uur']]]*AP$1282</f>
        <v>41.098186552478133</v>
      </c>
      <c r="AQ1261" s="45"/>
      <c r="AR1261" s="45"/>
      <c r="AS1261" s="45">
        <f>Database_Overig_Materieel[[#This Row],[Verbruik '[liter/kWh/kg per uur']]]*AS$1282</f>
        <v>93.361388236151598</v>
      </c>
      <c r="AT1261" s="45"/>
      <c r="AU1261" s="45"/>
      <c r="AV1261" s="45"/>
      <c r="AW1261" s="45">
        <f>Database_Overig_Materieel[[#This Row],[Verbruik '[liter/kWh/kg per uur']]]*AW$1282</f>
        <v>0.32056358126822154</v>
      </c>
      <c r="AX1261" s="45">
        <f>Database_Overig_Materieel[[#This Row],[Verbruik '[liter/kWh/kg per uur']]]*AX$1282</f>
        <v>5.416451749271137E-4</v>
      </c>
      <c r="AY1261" s="45">
        <f>Database_Overig_Materieel[[#This Row],[Verbruik '[liter/kWh/kg per uur']]]*AY$1282</f>
        <v>1.4793620190962098</v>
      </c>
      <c r="AZ1261" s="45">
        <f>Database_Overig_Materieel[[#This Row],[Verbruik '[liter/kWh/kg per uur']]]*AZ$1282</f>
        <v>0</v>
      </c>
      <c r="BA1261" s="45"/>
      <c r="BB1261" s="45"/>
      <c r="BC1261" s="45"/>
      <c r="BD1261" s="45"/>
      <c r="BE1261" s="45"/>
      <c r="BF1261" s="45"/>
      <c r="BG1261" s="45" t="s">
        <v>271</v>
      </c>
    </row>
    <row r="1262" spans="1:59" x14ac:dyDescent="0.35">
      <c r="A1262" s="45" t="s">
        <v>417</v>
      </c>
      <c r="B1262" s="45" t="s">
        <v>132</v>
      </c>
      <c r="C1262" s="41" t="s">
        <v>451</v>
      </c>
      <c r="D1262" s="41" t="s">
        <v>457</v>
      </c>
      <c r="E1262" s="45" t="s">
        <v>65</v>
      </c>
      <c r="F1262" s="60">
        <f>$F1259*($I1259/Database_Overig_Materieel[[#This Row],[Stookwaarde '[MJ/liter']]])</f>
        <v>5.2028985507246368</v>
      </c>
      <c r="G1262" s="54">
        <f>Database_Overig_Materieel[[#This Row],[Verbruik '[liter/kWh/kg per uur']]]*G$1283</f>
        <v>1.4711438519408877</v>
      </c>
      <c r="H1262" s="132">
        <v>125</v>
      </c>
      <c r="I1262" s="45">
        <v>34.5</v>
      </c>
      <c r="J1262" s="55">
        <f>Database_Overig_Materieel[[#This Row],[Verbruik '[liter/kWh/kg per uur']]]*J$1283</f>
        <v>1.1653087971014491E-5</v>
      </c>
      <c r="K1262" s="45">
        <f>Database_Overig_Materieel[[#This Row],[Verbruik '[liter/kWh/kg per uur']]]*K$1283</f>
        <v>2.8788522173913041E-2</v>
      </c>
      <c r="L1262" s="45">
        <f>Database_Overig_Materieel[[#This Row],[Verbruik '[liter/kWh/kg per uur']]]*L$1283</f>
        <v>7.1830291275362308</v>
      </c>
      <c r="M1262" s="45">
        <f>Database_Overig_Materieel[[#This Row],[Verbruik '[liter/kWh/kg per uur']]]*M$1283</f>
        <v>4.5121149130434771E-7</v>
      </c>
      <c r="N1262" s="45">
        <f>Database_Overig_Materieel[[#This Row],[Verbruik '[liter/kWh/kg per uur']]]*N$1283</f>
        <v>5.2194437681159413E-3</v>
      </c>
      <c r="O1262" s="45">
        <f>Database_Overig_Materieel[[#This Row],[Verbruik '[liter/kWh/kg per uur']]]*O$1283</f>
        <v>2.5820653565217386E-2</v>
      </c>
      <c r="P1262" s="45">
        <f>Database_Overig_Materieel[[#This Row],[Verbruik '[liter/kWh/kg per uur']]]*P$1283</f>
        <v>1.1350867202898549E-2</v>
      </c>
      <c r="Q1262" s="45">
        <f>Database_Overig_Materieel[[#This Row],[Verbruik '[liter/kWh/kg per uur']]]*Q$1283</f>
        <v>4.0390874599999993</v>
      </c>
      <c r="R1262" s="45">
        <f>Database_Overig_Materieel[[#This Row],[Verbruik '[liter/kWh/kg per uur']]]*R$1283</f>
        <v>2.6514670804347822</v>
      </c>
      <c r="S1262" s="45">
        <f>Database_Overig_Materieel[[#This Row],[Verbruik '[liter/kWh/kg per uur']]]*S$1283</f>
        <v>175.30227543478259</v>
      </c>
      <c r="T1262" s="45">
        <f>Database_Overig_Materieel[[#This Row],[Verbruik '[liter/kWh/kg per uur']]]*T$1283</f>
        <v>1.1701955675362317</v>
      </c>
      <c r="U1262" s="45"/>
      <c r="V1262" s="45"/>
      <c r="W1262" s="45"/>
      <c r="X1262" s="45"/>
      <c r="Y1262" s="45"/>
      <c r="Z1262" s="45"/>
      <c r="AA1262" s="45"/>
      <c r="AB1262" s="45"/>
      <c r="AC1262" s="45"/>
      <c r="AD1262" s="45"/>
      <c r="AE1262" s="45"/>
      <c r="AF1262" s="45"/>
      <c r="AG1262" s="45"/>
      <c r="AH1262" s="45"/>
      <c r="AI1262" s="45"/>
      <c r="AJ1262" s="45"/>
      <c r="AK1262" s="45"/>
      <c r="AL1262" s="45"/>
      <c r="AM1262" s="45"/>
      <c r="AN1262" s="45"/>
      <c r="AO1262" s="45"/>
      <c r="AP1262" s="45">
        <f>Database_Overig_Materieel[[#This Row],[Verbruik '[liter/kWh/kg per uur']]]*AP$1283</f>
        <v>12.870843546376809</v>
      </c>
      <c r="AQ1262" s="45"/>
      <c r="AR1262" s="45"/>
      <c r="AS1262" s="45">
        <f>Database_Overig_Materieel[[#This Row],[Verbruik '[liter/kWh/kg per uur']]]*AS$1283</f>
        <v>60.423243173913029</v>
      </c>
      <c r="AT1262" s="45"/>
      <c r="AU1262" s="45"/>
      <c r="AV1262" s="45"/>
      <c r="AW1262" s="45">
        <f>Database_Overig_Materieel[[#This Row],[Verbruik '[liter/kWh/kg per uur']]]*AW$1283</f>
        <v>0.10131814544927534</v>
      </c>
      <c r="AX1262" s="45">
        <f>Database_Overig_Materieel[[#This Row],[Verbruik '[liter/kWh/kg per uur']]]*AX$1283</f>
        <v>3.2908125217391299E-4</v>
      </c>
      <c r="AY1262" s="45">
        <f>Database_Overig_Materieel[[#This Row],[Verbruik '[liter/kWh/kg per uur']]]*AY$1283</f>
        <v>1.2765727305797099</v>
      </c>
      <c r="AZ1262" s="45">
        <f>Database_Overig_Materieel[[#This Row],[Verbruik '[liter/kWh/kg per uur']]]*AZ$1283</f>
        <v>0</v>
      </c>
      <c r="BA1262" s="45"/>
      <c r="BB1262" s="45"/>
      <c r="BC1262" s="45"/>
      <c r="BD1262" s="45"/>
      <c r="BE1262" s="45"/>
      <c r="BF1262" s="45"/>
      <c r="BG1262" s="45" t="s">
        <v>271</v>
      </c>
    </row>
    <row r="1263" spans="1:59" x14ac:dyDescent="0.35">
      <c r="A1263" s="45" t="s">
        <v>418</v>
      </c>
      <c r="B1263" s="45" t="s">
        <v>132</v>
      </c>
      <c r="C1263" s="41" t="s">
        <v>451</v>
      </c>
      <c r="D1263" s="41" t="s">
        <v>457</v>
      </c>
      <c r="E1263" s="45" t="s">
        <v>65</v>
      </c>
      <c r="F1263" s="60">
        <f>$F1259*($I1259/Database_Overig_Materieel[[#This Row],[Stookwaarde '[MJ/liter']]])</f>
        <v>5.2180232558139537</v>
      </c>
      <c r="G1263" s="54">
        <f>Database_Overig_Materieel[[#This Row],[Verbruik '[liter/kWh/kg per uur']]]*G$1284</f>
        <v>0.35950484514201209</v>
      </c>
      <c r="H1263" s="132">
        <v>125</v>
      </c>
      <c r="I1263" s="45">
        <v>34.4</v>
      </c>
      <c r="J1263" s="55">
        <f>Database_Overig_Materieel[[#This Row],[Verbruik '[liter/kWh/kg per uur']]]*J$1284</f>
        <v>7.1355908129360468E-6</v>
      </c>
      <c r="K1263" s="45">
        <f>Database_Overig_Materieel[[#This Row],[Verbruik '[liter/kWh/kg per uur']]]*K$1284</f>
        <v>1.9574408449227036E-2</v>
      </c>
      <c r="L1263" s="45">
        <f>Database_Overig_Materieel[[#This Row],[Verbruik '[liter/kWh/kg per uur']]]*L$1284</f>
        <v>2.0829057956736285</v>
      </c>
      <c r="M1263" s="45">
        <f>Database_Overig_Materieel[[#This Row],[Verbruik '[liter/kWh/kg per uur']]]*M$1284</f>
        <v>2.6875710552325583E-7</v>
      </c>
      <c r="N1263" s="45">
        <f>Database_Overig_Materieel[[#This Row],[Verbruik '[liter/kWh/kg per uur']]]*N$1284</f>
        <v>2.2989417736143897E-3</v>
      </c>
      <c r="O1263" s="45">
        <f>Database_Overig_Materieel[[#This Row],[Verbruik '[liter/kWh/kg per uur']]]*O$1284</f>
        <v>1.065063970457689E-2</v>
      </c>
      <c r="P1263" s="45">
        <f>Database_Overig_Materieel[[#This Row],[Verbruik '[liter/kWh/kg per uur']]]*P$1284</f>
        <v>1.9306119347792152E-3</v>
      </c>
      <c r="Q1263" s="45">
        <f>Database_Overig_Materieel[[#This Row],[Verbruik '[liter/kWh/kg per uur']]]*Q$1284</f>
        <v>2.017966566711352</v>
      </c>
      <c r="R1263" s="45">
        <f>Database_Overig_Materieel[[#This Row],[Verbruik '[liter/kWh/kg per uur']]]*R$1284</f>
        <v>1.4587194839543752E-2</v>
      </c>
      <c r="S1263" s="45">
        <f>Database_Overig_Materieel[[#This Row],[Verbruik '[liter/kWh/kg per uur']]]*S$1284</f>
        <v>50.202813888617193</v>
      </c>
      <c r="T1263" s="45">
        <f>Database_Overig_Materieel[[#This Row],[Verbruik '[liter/kWh/kg per uur']]]*T$1284</f>
        <v>9.4601263525603205E-3</v>
      </c>
      <c r="U1263" s="45"/>
      <c r="V1263" s="45"/>
      <c r="W1263" s="45"/>
      <c r="X1263" s="45"/>
      <c r="Y1263" s="45"/>
      <c r="Z1263" s="45"/>
      <c r="AA1263" s="45"/>
      <c r="AB1263" s="45"/>
      <c r="AC1263" s="45"/>
      <c r="AD1263" s="45"/>
      <c r="AE1263" s="45"/>
      <c r="AF1263" s="45"/>
      <c r="AG1263" s="45"/>
      <c r="AH1263" s="45"/>
      <c r="AI1263" s="45"/>
      <c r="AJ1263" s="45"/>
      <c r="AK1263" s="45"/>
      <c r="AL1263" s="45"/>
      <c r="AM1263" s="45"/>
      <c r="AN1263" s="45"/>
      <c r="AO1263" s="45"/>
      <c r="AP1263" s="45">
        <f>Database_Overig_Materieel[[#This Row],[Verbruik '[liter/kWh/kg per uur']]]*AP$1284</f>
        <v>1.3458528976855924</v>
      </c>
      <c r="AQ1263" s="45"/>
      <c r="AR1263" s="45"/>
      <c r="AS1263" s="45">
        <f>Database_Overig_Materieel[[#This Row],[Verbruik '[liter/kWh/kg per uur']]]*AS$1284</f>
        <v>41.255755439755958</v>
      </c>
      <c r="AT1263" s="45"/>
      <c r="AU1263" s="45"/>
      <c r="AV1263" s="45"/>
      <c r="AW1263" s="45">
        <f>Database_Overig_Materieel[[#This Row],[Verbruik '[liter/kWh/kg per uur']]]*AW$1284</f>
        <v>1.0363356501317587E-2</v>
      </c>
      <c r="AX1263" s="45">
        <f>Database_Overig_Materieel[[#This Row],[Verbruik '[liter/kWh/kg per uur']]]*AX$1284</f>
        <v>1.6730156535101746E-4</v>
      </c>
      <c r="AY1263" s="45">
        <f>Database_Overig_Materieel[[#This Row],[Verbruik '[liter/kWh/kg per uur']]]*AY$1284</f>
        <v>0.39180700200326496</v>
      </c>
      <c r="AZ1263" s="45">
        <f>Database_Overig_Materieel[[#This Row],[Verbruik '[liter/kWh/kg per uur']]]*AZ$1284</f>
        <v>1.004871984622093E-4</v>
      </c>
      <c r="BA1263" s="45"/>
      <c r="BB1263" s="45"/>
      <c r="BC1263" s="45"/>
      <c r="BD1263" s="45"/>
      <c r="BE1263" s="45"/>
      <c r="BF1263" s="45"/>
      <c r="BG1263" s="45" t="s">
        <v>271</v>
      </c>
    </row>
    <row r="1264" spans="1:59" x14ac:dyDescent="0.35">
      <c r="A1264" s="45" t="s">
        <v>419</v>
      </c>
      <c r="B1264" s="45" t="s">
        <v>132</v>
      </c>
      <c r="C1264" s="41" t="s">
        <v>451</v>
      </c>
      <c r="D1264" s="41" t="s">
        <v>457</v>
      </c>
      <c r="E1264" s="45" t="s">
        <v>65</v>
      </c>
      <c r="F1264" s="60">
        <f>F1249*3.1</f>
        <v>15.5</v>
      </c>
      <c r="G1264" s="54">
        <f>Database_Overig_Materieel[[#This Row],[Verbruik '[liter/kWh/kg per uur']]]*G$1285</f>
        <v>1.0074371010000001</v>
      </c>
      <c r="H1264" s="132">
        <v>125</v>
      </c>
      <c r="I1264" s="45">
        <v>3.6</v>
      </c>
      <c r="J1264" s="55">
        <f>Database_Overig_Materieel[[#This Row],[Verbruik '[liter/kWh/kg per uur']]]*J$1285</f>
        <v>2.7745000000000005E-4</v>
      </c>
      <c r="K1264" s="45">
        <f>Database_Overig_Materieel[[#This Row],[Verbruik '[liter/kWh/kg per uur']]]*K$1285</f>
        <v>2.4334999999999999E-2</v>
      </c>
      <c r="L1264" s="45">
        <f>Database_Overig_Materieel[[#This Row],[Verbruik '[liter/kWh/kg per uur']]]*L$1285</f>
        <v>3.4875000000000003</v>
      </c>
      <c r="M1264" s="45">
        <f>Database_Overig_Materieel[[#This Row],[Verbruik '[liter/kWh/kg per uur']]]*M$1285</f>
        <v>3.5030000000000001E-7</v>
      </c>
      <c r="N1264" s="45">
        <f>Database_Overig_Materieel[[#This Row],[Verbruik '[liter/kWh/kg per uur']]]*N$1285</f>
        <v>4.5415000000000004E-3</v>
      </c>
      <c r="O1264" s="45">
        <f>Database_Overig_Materieel[[#This Row],[Verbruik '[liter/kWh/kg per uur']]]*O$1285</f>
        <v>3.3325E-2</v>
      </c>
      <c r="P1264" s="45">
        <f>Database_Overig_Materieel[[#This Row],[Verbruik '[liter/kWh/kg per uur']]]*P$1285</f>
        <v>4.712E-3</v>
      </c>
      <c r="Q1264" s="45">
        <f>Database_Overig_Materieel[[#This Row],[Verbruik '[liter/kWh/kg per uur']]]*Q$1285</f>
        <v>6.5874999999999995</v>
      </c>
      <c r="R1264" s="45">
        <f>Database_Overig_Materieel[[#This Row],[Verbruik '[liter/kWh/kg per uur']]]*R$1285</f>
        <v>0.10912000000000001</v>
      </c>
      <c r="S1264" s="45">
        <f>Database_Overig_Materieel[[#This Row],[Verbruik '[liter/kWh/kg per uur']]]*S$1285</f>
        <v>358.05</v>
      </c>
      <c r="T1264" s="45">
        <f>Database_Overig_Materieel[[#This Row],[Verbruik '[liter/kWh/kg per uur']]]*T$1285</f>
        <v>0.20615</v>
      </c>
      <c r="U1264" s="45"/>
      <c r="V1264" s="45"/>
      <c r="W1264" s="45"/>
      <c r="X1264" s="45"/>
      <c r="Y1264" s="45"/>
      <c r="Z1264" s="45"/>
      <c r="AA1264" s="45"/>
      <c r="AB1264" s="45"/>
      <c r="AC1264" s="45"/>
      <c r="AD1264" s="45"/>
      <c r="AE1264" s="45"/>
      <c r="AF1264" s="45"/>
      <c r="AG1264" s="45"/>
      <c r="AH1264" s="45"/>
      <c r="AI1264" s="45"/>
      <c r="AJ1264" s="45"/>
      <c r="AK1264" s="45"/>
      <c r="AL1264" s="45"/>
      <c r="AM1264" s="45"/>
      <c r="AN1264" s="45"/>
      <c r="AO1264" s="45"/>
      <c r="AP1264" s="45">
        <f>Database_Overig_Materieel[[#This Row],[Verbruik '[liter/kWh/kg per uur']]]*AP$1285</f>
        <v>134.85</v>
      </c>
      <c r="AQ1264" s="45"/>
      <c r="AR1264" s="45"/>
      <c r="AS1264" s="45">
        <f>Database_Overig_Materieel[[#This Row],[Verbruik '[liter/kWh/kg per uur']]]*AS$1285</f>
        <v>47.585000000000001</v>
      </c>
      <c r="AT1264" s="45"/>
      <c r="AU1264" s="45"/>
      <c r="AV1264" s="45"/>
      <c r="AW1264" s="45">
        <f>Database_Overig_Materieel[[#This Row],[Verbruik '[liter/kWh/kg per uur']]]*AW$1285</f>
        <v>134.85</v>
      </c>
      <c r="AX1264" s="45">
        <f>Database_Overig_Materieel[[#This Row],[Verbruik '[liter/kWh/kg per uur']]]*AX$1285</f>
        <v>6.355E-4</v>
      </c>
      <c r="AY1264" s="45">
        <f>Database_Overig_Materieel[[#This Row],[Verbruik '[liter/kWh/kg per uur']]]*AY$1285</f>
        <v>1.1795500000000001</v>
      </c>
      <c r="AZ1264" s="45">
        <f>Database_Overig_Materieel[[#This Row],[Verbruik '[liter/kWh/kg per uur']]]*AZ$1285</f>
        <v>1.3981E-4</v>
      </c>
      <c r="BA1264" s="45"/>
      <c r="BB1264" s="45"/>
      <c r="BC1264" s="45"/>
      <c r="BD1264" s="45"/>
      <c r="BE1264" s="45"/>
      <c r="BF1264" s="45" t="s">
        <v>277</v>
      </c>
      <c r="BG1264" s="45" t="s">
        <v>276</v>
      </c>
    </row>
    <row r="1265" spans="1:63" x14ac:dyDescent="0.35">
      <c r="A1265" s="45" t="s">
        <v>420</v>
      </c>
      <c r="B1265" s="45" t="s">
        <v>132</v>
      </c>
      <c r="C1265" s="41" t="s">
        <v>451</v>
      </c>
      <c r="D1265" s="41" t="s">
        <v>457</v>
      </c>
      <c r="E1265" s="45" t="s">
        <v>65</v>
      </c>
      <c r="F1265" s="60">
        <f>F1249*3.1</f>
        <v>15.5</v>
      </c>
      <c r="G1265" s="54">
        <f>Database_Overig_Materieel[[#This Row],[Verbruik '[liter/kWh/kg per uur']]]*G$1286</f>
        <v>1.2925808205</v>
      </c>
      <c r="H1265" s="132">
        <v>125</v>
      </c>
      <c r="I1265" s="45">
        <v>3.6</v>
      </c>
      <c r="J1265" s="55">
        <f>Database_Overig_Materieel[[#This Row],[Verbruik '[liter/kWh/kg per uur']]]*J$1286</f>
        <v>2.1855E-4</v>
      </c>
      <c r="K1265" s="45">
        <f>Database_Overig_Materieel[[#This Row],[Verbruik '[liter/kWh/kg per uur']]]*K$1286</f>
        <v>9.0365000000000001E-2</v>
      </c>
      <c r="L1265" s="45">
        <f>Database_Overig_Materieel[[#This Row],[Verbruik '[liter/kWh/kg per uur']]]*L$1286</f>
        <v>10.741499999999998</v>
      </c>
      <c r="M1265" s="45">
        <f>Database_Overig_Materieel[[#This Row],[Verbruik '[liter/kWh/kg per uur']]]*M$1286</f>
        <v>7.5174999999999994E-7</v>
      </c>
      <c r="N1265" s="45">
        <f>Database_Overig_Materieel[[#This Row],[Verbruik '[liter/kWh/kg per uur']]]*N$1286</f>
        <v>4.0610000000000004E-3</v>
      </c>
      <c r="O1265" s="45">
        <f>Database_Overig_Materieel[[#This Row],[Verbruik '[liter/kWh/kg per uur']]]*O$1286</f>
        <v>3.2239999999999998E-2</v>
      </c>
      <c r="P1265" s="45">
        <f>Database_Overig_Materieel[[#This Row],[Verbruik '[liter/kWh/kg per uur']]]*P$1286</f>
        <v>3.8594999999999996E-3</v>
      </c>
      <c r="Q1265" s="45">
        <f>Database_Overig_Materieel[[#This Row],[Verbruik '[liter/kWh/kg per uur']]]*Q$1286</f>
        <v>5.7815000000000003</v>
      </c>
      <c r="R1265" s="45">
        <f>Database_Overig_Materieel[[#This Row],[Verbruik '[liter/kWh/kg per uur']]]*R$1286</f>
        <v>9.2380000000000004E-2</v>
      </c>
      <c r="S1265" s="45">
        <f>Database_Overig_Materieel[[#This Row],[Verbruik '[liter/kWh/kg per uur']]]*S$1286</f>
        <v>337.90000000000003</v>
      </c>
      <c r="T1265" s="45">
        <f>Database_Overig_Materieel[[#This Row],[Verbruik '[liter/kWh/kg per uur']]]*T$1286</f>
        <v>0.2046</v>
      </c>
      <c r="U1265" s="45"/>
      <c r="V1265" s="45"/>
      <c r="W1265" s="45"/>
      <c r="X1265" s="45"/>
      <c r="Y1265" s="45"/>
      <c r="Z1265" s="45"/>
      <c r="AA1265" s="45"/>
      <c r="AB1265" s="45"/>
      <c r="AC1265" s="45"/>
      <c r="AD1265" s="45"/>
      <c r="AE1265" s="45"/>
      <c r="AF1265" s="45"/>
      <c r="AG1265" s="45"/>
      <c r="AH1265" s="45"/>
      <c r="AI1265" s="45"/>
      <c r="AJ1265" s="45"/>
      <c r="AK1265" s="45"/>
      <c r="AL1265" s="45"/>
      <c r="AM1265" s="45"/>
      <c r="AN1265" s="45"/>
      <c r="AO1265" s="45"/>
      <c r="AP1265" s="45">
        <f>Database_Overig_Materieel[[#This Row],[Verbruik '[liter/kWh/kg per uur']]]*AP$1286</f>
        <v>3.7044999999999999</v>
      </c>
      <c r="AQ1265" s="45"/>
      <c r="AR1265" s="45"/>
      <c r="AS1265" s="45">
        <f>Database_Overig_Materieel[[#This Row],[Verbruik '[liter/kWh/kg per uur']]]*AS$1286</f>
        <v>168.95000000000002</v>
      </c>
      <c r="AT1265" s="45"/>
      <c r="AU1265" s="45"/>
      <c r="AV1265" s="45"/>
      <c r="AW1265" s="45">
        <f>Database_Overig_Materieel[[#This Row],[Verbruik '[liter/kWh/kg per uur']]]*AW$1286</f>
        <v>3.7044999999999999</v>
      </c>
      <c r="AX1265" s="45">
        <f>Database_Overig_Materieel[[#This Row],[Verbruik '[liter/kWh/kg per uur']]]*AX$1286</f>
        <v>4.9909999999999993E-4</v>
      </c>
      <c r="AY1265" s="45">
        <f>Database_Overig_Materieel[[#This Row],[Verbruik '[liter/kWh/kg per uur']]]*AY$1286</f>
        <v>0.87885000000000002</v>
      </c>
      <c r="AZ1265" s="45">
        <f>Database_Overig_Materieel[[#This Row],[Verbruik '[liter/kWh/kg per uur']]]*AZ$1286</f>
        <v>1.4353E-4</v>
      </c>
      <c r="BA1265" s="45"/>
      <c r="BB1265" s="45"/>
      <c r="BC1265" s="45"/>
      <c r="BD1265" s="45"/>
      <c r="BE1265" s="45"/>
      <c r="BF1265" s="45" t="s">
        <v>277</v>
      </c>
      <c r="BG1265" s="45" t="s">
        <v>276</v>
      </c>
    </row>
    <row r="1266" spans="1:63" x14ac:dyDescent="0.35">
      <c r="A1266" s="45"/>
      <c r="B1266" s="45"/>
      <c r="E1266" s="45"/>
      <c r="F1266" s="60"/>
      <c r="G1266" s="54"/>
      <c r="H1266" s="132"/>
      <c r="I1266" s="45"/>
      <c r="J1266" s="55"/>
      <c r="K1266" s="45"/>
      <c r="L1266" s="45"/>
      <c r="M1266" s="45"/>
      <c r="N1266" s="45"/>
      <c r="O1266" s="45"/>
      <c r="P1266" s="45"/>
      <c r="Q1266" s="45"/>
      <c r="R1266" s="45"/>
      <c r="S1266" s="45"/>
      <c r="T1266" s="45"/>
      <c r="U1266" s="45"/>
      <c r="V1266" s="45"/>
      <c r="W1266" s="45"/>
      <c r="X1266" s="45"/>
      <c r="Y1266" s="45"/>
      <c r="Z1266" s="45"/>
      <c r="AA1266" s="45"/>
      <c r="AB1266" s="45"/>
      <c r="AC1266" s="45"/>
    </row>
    <row r="1267" spans="1:63" ht="15.5" x14ac:dyDescent="0.35">
      <c r="J1267" s="221"/>
      <c r="K1267" s="220"/>
      <c r="L1267" s="221"/>
      <c r="M1267" s="220"/>
      <c r="N1267" s="221"/>
      <c r="O1267" s="221"/>
      <c r="P1267" s="220"/>
      <c r="Q1267" s="220"/>
      <c r="R1267" s="221"/>
      <c r="S1267" s="220"/>
      <c r="T1267" s="221"/>
      <c r="U1267" s="221"/>
      <c r="V1267" s="221"/>
      <c r="W1267" s="220"/>
      <c r="X1267" s="221"/>
      <c r="Y1267" s="221"/>
      <c r="Z1267" s="220"/>
      <c r="AA1267" s="221"/>
      <c r="AB1267" s="221"/>
      <c r="AC1267" s="220"/>
      <c r="AD1267" s="220"/>
      <c r="AE1267" s="221"/>
      <c r="AF1267" s="221"/>
      <c r="AG1267" s="221"/>
      <c r="AH1267" s="221"/>
      <c r="AI1267" s="221"/>
      <c r="AJ1267" s="221"/>
      <c r="AK1267" s="221"/>
      <c r="AL1267" s="221"/>
      <c r="AM1267" s="221"/>
      <c r="AN1267" s="221"/>
      <c r="AO1267" s="221"/>
      <c r="AP1267" s="220"/>
      <c r="AQ1267" s="221"/>
      <c r="AR1267" s="220"/>
      <c r="AS1267" s="221"/>
      <c r="AT1267" s="221"/>
      <c r="AU1267" s="221"/>
      <c r="AV1267" s="221"/>
      <c r="AW1267" s="221"/>
      <c r="AX1267" s="221"/>
      <c r="AY1267" s="221"/>
      <c r="AZ1267" s="221"/>
      <c r="BA1267" s="221"/>
      <c r="BB1267" s="221"/>
      <c r="BC1267" s="221"/>
      <c r="BD1267" s="221"/>
      <c r="BE1267" s="221"/>
      <c r="BF1267" s="240"/>
      <c r="BG1267" s="240"/>
      <c r="BH1267" s="240" t="s">
        <v>61</v>
      </c>
    </row>
    <row r="1268" spans="1:63" ht="15.5" x14ac:dyDescent="0.35">
      <c r="A1268" s="41" t="s">
        <v>205</v>
      </c>
      <c r="J1268" s="234"/>
      <c r="K1268" s="235"/>
      <c r="L1268" s="235"/>
      <c r="M1268" s="235"/>
      <c r="N1268" s="236"/>
      <c r="O1268" s="235"/>
      <c r="P1268" s="235"/>
      <c r="Q1268" s="235"/>
      <c r="R1268" s="235"/>
      <c r="S1268" s="235"/>
      <c r="T1268" s="235"/>
      <c r="U1268" s="235"/>
      <c r="V1268" s="235"/>
      <c r="W1268" s="235"/>
      <c r="X1268" s="236"/>
      <c r="Y1268" s="236"/>
      <c r="Z1268" s="235"/>
      <c r="AA1268" s="235"/>
      <c r="AB1268" s="236"/>
      <c r="AC1268" s="235"/>
      <c r="AD1268" s="235"/>
      <c r="AE1268" s="236"/>
      <c r="AF1268" s="236"/>
      <c r="AG1268" s="236"/>
      <c r="AH1268" s="236"/>
      <c r="AI1268" s="236"/>
      <c r="AJ1268" s="236"/>
      <c r="AK1268" s="236"/>
      <c r="AL1268" s="236"/>
      <c r="AM1268" s="236"/>
      <c r="AN1268" s="236"/>
      <c r="AO1268" s="235"/>
      <c r="AP1268" s="235"/>
      <c r="AQ1268" s="235"/>
      <c r="AR1268" s="235"/>
      <c r="AS1268" s="236"/>
      <c r="AT1268" s="236"/>
      <c r="AU1268" s="236"/>
      <c r="AV1268" s="236"/>
      <c r="AW1268" s="236"/>
      <c r="AX1268" s="236"/>
      <c r="AY1268" s="236"/>
      <c r="AZ1268" s="236"/>
      <c r="BA1268" s="236"/>
      <c r="BB1268" s="236"/>
      <c r="BC1268" s="236"/>
      <c r="BD1268" s="236"/>
      <c r="BE1268" s="237"/>
    </row>
    <row r="1269" spans="1:63" ht="15.5" x14ac:dyDescent="0.35">
      <c r="A1269" s="41" t="s">
        <v>56</v>
      </c>
      <c r="B1269" s="41" t="s">
        <v>57</v>
      </c>
      <c r="C1269" s="41" t="s">
        <v>5</v>
      </c>
      <c r="D1269" s="41" t="s">
        <v>442</v>
      </c>
      <c r="E1269" s="41" t="s">
        <v>58</v>
      </c>
      <c r="F1269" s="41" t="s">
        <v>275</v>
      </c>
      <c r="G1269" s="41" t="s">
        <v>7</v>
      </c>
      <c r="H1269" s="41" t="s">
        <v>274</v>
      </c>
      <c r="I1269" s="41" t="s">
        <v>204</v>
      </c>
      <c r="J1269" s="234" t="s">
        <v>627</v>
      </c>
      <c r="K1269" s="235" t="s">
        <v>628</v>
      </c>
      <c r="L1269" s="235" t="s">
        <v>629</v>
      </c>
      <c r="M1269" s="235" t="s">
        <v>630</v>
      </c>
      <c r="N1269" s="236" t="s">
        <v>631</v>
      </c>
      <c r="O1269" s="235" t="s">
        <v>632</v>
      </c>
      <c r="P1269" s="235" t="s">
        <v>633</v>
      </c>
      <c r="Q1269" s="235" t="s">
        <v>634</v>
      </c>
      <c r="R1269" s="235" t="s">
        <v>635</v>
      </c>
      <c r="S1269" s="235" t="s">
        <v>636</v>
      </c>
      <c r="T1269" s="235" t="s">
        <v>637</v>
      </c>
      <c r="U1269" s="235" t="s">
        <v>638</v>
      </c>
      <c r="V1269" s="235" t="s">
        <v>639</v>
      </c>
      <c r="W1269" s="235" t="s">
        <v>640</v>
      </c>
      <c r="X1269" s="236" t="s">
        <v>641</v>
      </c>
      <c r="Y1269" s="236" t="s">
        <v>642</v>
      </c>
      <c r="Z1269" s="235" t="s">
        <v>643</v>
      </c>
      <c r="AA1269" s="235" t="s">
        <v>644</v>
      </c>
      <c r="AB1269" s="236" t="s">
        <v>645</v>
      </c>
      <c r="AC1269" s="235" t="s">
        <v>646</v>
      </c>
      <c r="AD1269" s="235" t="s">
        <v>647</v>
      </c>
      <c r="AE1269" s="236" t="s">
        <v>648</v>
      </c>
      <c r="AF1269" s="236" t="s">
        <v>649</v>
      </c>
      <c r="AG1269" s="236" t="s">
        <v>650</v>
      </c>
      <c r="AH1269" s="236" t="s">
        <v>651</v>
      </c>
      <c r="AI1269" s="236" t="s">
        <v>652</v>
      </c>
      <c r="AJ1269" s="236" t="s">
        <v>653</v>
      </c>
      <c r="AK1269" s="236" t="s">
        <v>654</v>
      </c>
      <c r="AL1269" s="236" t="s">
        <v>655</v>
      </c>
      <c r="AM1269" s="236" t="s">
        <v>656</v>
      </c>
      <c r="AN1269" s="236" t="s">
        <v>657</v>
      </c>
      <c r="AO1269" s="235" t="s">
        <v>658</v>
      </c>
      <c r="AP1269" s="235" t="s">
        <v>659</v>
      </c>
      <c r="AQ1269" s="235" t="s">
        <v>660</v>
      </c>
      <c r="AR1269" s="235" t="s">
        <v>661</v>
      </c>
      <c r="AS1269" s="236" t="s">
        <v>662</v>
      </c>
      <c r="AT1269" s="236" t="s">
        <v>663</v>
      </c>
      <c r="AU1269" s="236" t="s">
        <v>664</v>
      </c>
      <c r="AV1269" s="236" t="s">
        <v>665</v>
      </c>
      <c r="AW1269" s="236" t="s">
        <v>666</v>
      </c>
      <c r="AX1269" s="236" t="s">
        <v>667</v>
      </c>
      <c r="AY1269" s="236" t="s">
        <v>668</v>
      </c>
      <c r="AZ1269" s="236" t="s">
        <v>669</v>
      </c>
      <c r="BA1269" s="236" t="s">
        <v>670</v>
      </c>
      <c r="BB1269" s="236" t="s">
        <v>671</v>
      </c>
      <c r="BC1269" s="236" t="s">
        <v>672</v>
      </c>
      <c r="BD1269" s="236" t="s">
        <v>673</v>
      </c>
      <c r="BE1269" s="237" t="s">
        <v>674</v>
      </c>
      <c r="BF1269" s="41" t="s">
        <v>59</v>
      </c>
      <c r="BG1269" s="41" t="s">
        <v>61</v>
      </c>
    </row>
    <row r="1270" spans="1:63" ht="15.5" x14ac:dyDescent="0.45">
      <c r="A1270" s="50" t="s">
        <v>206</v>
      </c>
      <c r="B1270" s="50" t="s">
        <v>154</v>
      </c>
      <c r="C1270" s="50" t="s">
        <v>458</v>
      </c>
      <c r="D1270" s="50" t="s">
        <v>459</v>
      </c>
      <c r="E1270" s="50" t="s">
        <v>65</v>
      </c>
      <c r="F1270" s="50">
        <v>1</v>
      </c>
      <c r="G1270" s="50">
        <v>0.31869949046983259</v>
      </c>
      <c r="H1270" s="50"/>
      <c r="I1270" s="46">
        <v>35.9</v>
      </c>
      <c r="J1270" s="8">
        <v>1.61E-6</v>
      </c>
      <c r="K1270" s="8">
        <v>2.3499709000000001E-2</v>
      </c>
      <c r="L1270" s="8">
        <v>3.4394198999999999</v>
      </c>
      <c r="M1270" s="8">
        <v>5.99E-7</v>
      </c>
      <c r="N1270" s="8">
        <v>1.1324060000000001E-3</v>
      </c>
      <c r="O1270" s="8">
        <v>1.008739E-2</v>
      </c>
      <c r="P1270" s="8">
        <v>1.930027E-3</v>
      </c>
      <c r="Q1270" s="8">
        <v>0.85150820999999999</v>
      </c>
      <c r="R1270" s="8">
        <v>1.6863027999999999E-2</v>
      </c>
      <c r="S1270" s="8">
        <v>56.423310999999998</v>
      </c>
      <c r="T1270" s="8">
        <v>3.0289419999999997E-3</v>
      </c>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v>0.38251134999999997</v>
      </c>
      <c r="AQ1270" s="8"/>
      <c r="AR1270" s="8"/>
      <c r="AS1270" s="8">
        <v>52.453285999999999</v>
      </c>
      <c r="AT1270" s="8"/>
      <c r="AU1270" s="8"/>
      <c r="AV1270" s="8"/>
      <c r="AW1270" s="8">
        <v>4.9554630000000002E-3</v>
      </c>
      <c r="AX1270" s="8">
        <v>3.6210099999999998E-4</v>
      </c>
      <c r="AY1270" s="8">
        <v>8.799440900000001E-2</v>
      </c>
      <c r="AZ1270" s="8">
        <v>0</v>
      </c>
      <c r="BA1270" s="8"/>
      <c r="BB1270" s="8"/>
      <c r="BC1270" s="8"/>
      <c r="BD1270" s="8"/>
      <c r="BE1270" s="8"/>
      <c r="BF1270" s="8" t="s">
        <v>247</v>
      </c>
      <c r="BG1270" s="50"/>
    </row>
    <row r="1271" spans="1:63" ht="15.5" x14ac:dyDescent="0.45">
      <c r="A1271" s="50" t="s">
        <v>207</v>
      </c>
      <c r="B1271" s="50" t="s">
        <v>154</v>
      </c>
      <c r="C1271" s="50" t="s">
        <v>458</v>
      </c>
      <c r="D1271" s="50" t="s">
        <v>460</v>
      </c>
      <c r="E1271" s="50" t="s">
        <v>65</v>
      </c>
      <c r="F1271" s="50">
        <v>1</v>
      </c>
      <c r="G1271" s="50">
        <v>0.28076039010894488</v>
      </c>
      <c r="H1271" s="50"/>
      <c r="I1271" s="51">
        <v>33.1</v>
      </c>
      <c r="J1271" s="8">
        <v>4.9766100000000006E-6</v>
      </c>
      <c r="K1271" s="8">
        <v>2.9557998000000002E-2</v>
      </c>
      <c r="L1271" s="8">
        <v>3.6464679000000002</v>
      </c>
      <c r="M1271" s="8">
        <v>4.8496799999999997E-8</v>
      </c>
      <c r="N1271" s="8">
        <v>7.3272599999999995E-4</v>
      </c>
      <c r="O1271" s="8">
        <v>7.5222819999999999E-3</v>
      </c>
      <c r="P1271" s="8">
        <v>1.6170070000000002E-3</v>
      </c>
      <c r="Q1271" s="8">
        <v>0.72401855000000004</v>
      </c>
      <c r="R1271" s="8">
        <v>5.7505819999999997E-3</v>
      </c>
      <c r="S1271" s="8">
        <v>21.711936000000001</v>
      </c>
      <c r="T1271" s="8">
        <v>2.9461299999999999E-3</v>
      </c>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v>0.43101465</v>
      </c>
      <c r="AQ1271" s="8"/>
      <c r="AR1271" s="8"/>
      <c r="AS1271" s="8">
        <v>63.038445000000003</v>
      </c>
      <c r="AT1271" s="8"/>
      <c r="AU1271" s="8"/>
      <c r="AV1271" s="8"/>
      <c r="AW1271" s="8">
        <v>2.815166E-3</v>
      </c>
      <c r="AX1271" s="8">
        <v>9.615160000000001E-5</v>
      </c>
      <c r="AY1271" s="8">
        <v>0.10683953</v>
      </c>
      <c r="AZ1271" s="8">
        <v>0</v>
      </c>
      <c r="BA1271" s="8"/>
      <c r="BB1271" s="8"/>
      <c r="BC1271" s="8"/>
      <c r="BD1271" s="8"/>
      <c r="BE1271" s="8"/>
      <c r="BF1271" s="8" t="s">
        <v>248</v>
      </c>
      <c r="BG1271" s="50"/>
    </row>
    <row r="1272" spans="1:63" ht="15.5" x14ac:dyDescent="0.45">
      <c r="A1272" s="50" t="s">
        <v>208</v>
      </c>
      <c r="B1272" s="50" t="s">
        <v>154</v>
      </c>
      <c r="C1272" s="50" t="s">
        <v>458</v>
      </c>
      <c r="D1272" s="50" t="s">
        <v>461</v>
      </c>
      <c r="E1272" s="50" t="s">
        <v>65</v>
      </c>
      <c r="F1272" s="50">
        <v>1</v>
      </c>
      <c r="G1272" s="50">
        <v>0.23162790040841991</v>
      </c>
      <c r="H1272" s="50"/>
      <c r="I1272" s="51">
        <v>34.299999999999997</v>
      </c>
      <c r="J1272" s="8">
        <v>3.7459800000000001E-6</v>
      </c>
      <c r="K1272" s="8">
        <v>8.191157000000001E-3</v>
      </c>
      <c r="L1272" s="8">
        <v>1.4120326000000001</v>
      </c>
      <c r="M1272" s="8">
        <v>1.3318499999999998E-7</v>
      </c>
      <c r="N1272" s="8">
        <v>1.1619330000000002E-3</v>
      </c>
      <c r="O1272" s="8">
        <v>1.2621103E-2</v>
      </c>
      <c r="P1272" s="8">
        <v>5.4177340000000004E-3</v>
      </c>
      <c r="Q1272" s="8">
        <v>0.78706969999999998</v>
      </c>
      <c r="R1272" s="8">
        <v>0.56908067000000007</v>
      </c>
      <c r="S1272" s="8">
        <v>47.065843000000001</v>
      </c>
      <c r="T1272" s="8">
        <v>0.24434030999999998</v>
      </c>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v>7.8425852000000003</v>
      </c>
      <c r="AQ1272" s="8"/>
      <c r="AR1272" s="8"/>
      <c r="AS1272" s="8">
        <v>17.282464999999998</v>
      </c>
      <c r="AT1272" s="8"/>
      <c r="AU1272" s="8"/>
      <c r="AV1272" s="8"/>
      <c r="AW1272" s="8">
        <v>6.1195511000000001E-2</v>
      </c>
      <c r="AX1272" s="8">
        <v>1.0137500000000001E-4</v>
      </c>
      <c r="AY1272" s="8">
        <v>0.28137313000000003</v>
      </c>
      <c r="AZ1272" s="8">
        <v>0</v>
      </c>
      <c r="BA1272" s="8"/>
      <c r="BB1272" s="8"/>
      <c r="BC1272" s="8"/>
      <c r="BD1272" s="8"/>
      <c r="BE1272" s="8"/>
      <c r="BF1272" s="8" t="s">
        <v>249</v>
      </c>
      <c r="BG1272" s="50"/>
    </row>
    <row r="1273" spans="1:63" ht="15.5" x14ac:dyDescent="0.45">
      <c r="A1273" s="50" t="s">
        <v>209</v>
      </c>
      <c r="B1273" s="50" t="s">
        <v>154</v>
      </c>
      <c r="C1273" s="50" t="s">
        <v>458</v>
      </c>
      <c r="D1273" s="50" t="s">
        <v>462</v>
      </c>
      <c r="E1273" s="50" t="s">
        <v>65</v>
      </c>
      <c r="F1273" s="50">
        <v>1</v>
      </c>
      <c r="G1273" s="50">
        <v>0.30084471696668241</v>
      </c>
      <c r="H1273" s="50"/>
      <c r="I1273" s="51">
        <v>34.5</v>
      </c>
      <c r="J1273" s="8">
        <v>2.1015299999999997E-6</v>
      </c>
      <c r="K1273" s="8">
        <v>5.2707159999999999E-3</v>
      </c>
      <c r="L1273" s="8">
        <v>1.3518270999999999</v>
      </c>
      <c r="M1273" s="8">
        <v>8.2030699999999999E-8</v>
      </c>
      <c r="N1273" s="8">
        <v>9.9116999999999999E-4</v>
      </c>
      <c r="O1273" s="8">
        <v>8.2648489999999995E-3</v>
      </c>
      <c r="P1273" s="8">
        <v>3.0546730000000004E-3</v>
      </c>
      <c r="Q1273" s="8">
        <v>0.76225082</v>
      </c>
      <c r="R1273" s="8">
        <v>0.50941270999999999</v>
      </c>
      <c r="S1273" s="8">
        <v>32.793705000000003</v>
      </c>
      <c r="T1273" s="8">
        <v>0.22487183999999999</v>
      </c>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v>2.4626125999999999</v>
      </c>
      <c r="AQ1273" s="8"/>
      <c r="AR1273" s="8"/>
      <c r="AS1273" s="8">
        <v>11.032174000000001</v>
      </c>
      <c r="AT1273" s="8"/>
      <c r="AU1273" s="8"/>
      <c r="AV1273" s="8"/>
      <c r="AW1273" s="8">
        <v>1.9411060000000001E-2</v>
      </c>
      <c r="AX1273" s="8">
        <v>6.1032700000000003E-5</v>
      </c>
      <c r="AY1273" s="8">
        <v>0.24398971</v>
      </c>
      <c r="AZ1273" s="8">
        <v>0</v>
      </c>
      <c r="BA1273" s="8"/>
      <c r="BB1273" s="8"/>
      <c r="BC1273" s="8"/>
      <c r="BD1273" s="8"/>
      <c r="BE1273" s="8"/>
      <c r="BF1273" s="8" t="s">
        <v>250</v>
      </c>
      <c r="BG1273" s="50"/>
    </row>
    <row r="1274" spans="1:63" ht="15.5" x14ac:dyDescent="0.45">
      <c r="A1274" s="50" t="s">
        <v>210</v>
      </c>
      <c r="B1274" s="50" t="s">
        <v>154</v>
      </c>
      <c r="C1274" s="50" t="s">
        <v>458</v>
      </c>
      <c r="D1274" s="50" t="s">
        <v>461</v>
      </c>
      <c r="E1274" s="50" t="s">
        <v>65</v>
      </c>
      <c r="F1274" s="50">
        <v>1</v>
      </c>
      <c r="G1274" s="64">
        <v>8.7442607699120004E-2</v>
      </c>
      <c r="H1274" s="50"/>
      <c r="I1274" s="51">
        <v>34.4</v>
      </c>
      <c r="J1274" s="8">
        <v>1.22104505E-6</v>
      </c>
      <c r="K1274" s="8">
        <v>3.4714340650499999E-3</v>
      </c>
      <c r="L1274" s="8">
        <v>0.36833795646457002</v>
      </c>
      <c r="M1274" s="8">
        <v>4.6448880000000003E-8</v>
      </c>
      <c r="N1274" s="8">
        <v>4.2755271701000003E-4</v>
      </c>
      <c r="O1274" s="8">
        <v>5.4284315702500001E-3</v>
      </c>
      <c r="P1274" s="8">
        <v>1.26547510497E-3</v>
      </c>
      <c r="Q1274" s="8">
        <v>0.37180605019839003</v>
      </c>
      <c r="R1274" s="8">
        <v>2.5758159424499999E-3</v>
      </c>
      <c r="S1274" s="8">
        <v>8.6459359357169294</v>
      </c>
      <c r="T1274" s="8">
        <v>1.7695223746900001E-3</v>
      </c>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v>0.24607785242402</v>
      </c>
      <c r="AQ1274" s="8"/>
      <c r="AR1274" s="8"/>
      <c r="AS1274" s="8">
        <v>7.2864511946645196</v>
      </c>
      <c r="AT1274" s="8"/>
      <c r="AU1274" s="8"/>
      <c r="AV1274" s="61"/>
      <c r="AW1274" s="61">
        <v>1.90076072066E-3</v>
      </c>
      <c r="AX1274" s="61">
        <v>2.9649637609999999E-5</v>
      </c>
      <c r="AY1274" s="61">
        <v>7.2817317998849995E-2</v>
      </c>
      <c r="AZ1274" s="8">
        <v>1.7398343999999999E-5</v>
      </c>
      <c r="BA1274" s="8"/>
      <c r="BB1274" s="8"/>
      <c r="BC1274" s="8"/>
      <c r="BD1274" s="8"/>
      <c r="BE1274" s="8"/>
      <c r="BF1274" t="s">
        <v>272</v>
      </c>
      <c r="BG1274" s="51"/>
    </row>
    <row r="1275" spans="1:63" ht="15.5" x14ac:dyDescent="0.45">
      <c r="A1275" s="50" t="s">
        <v>211</v>
      </c>
      <c r="B1275" s="50" t="s">
        <v>154</v>
      </c>
      <c r="C1275" s="50" t="s">
        <v>458</v>
      </c>
      <c r="D1275" s="50" t="s">
        <v>459</v>
      </c>
      <c r="E1275" s="50" t="s">
        <v>65</v>
      </c>
      <c r="F1275" s="50">
        <v>1</v>
      </c>
      <c r="G1275" s="50">
        <v>0.29875556377082257</v>
      </c>
      <c r="H1275" s="50"/>
      <c r="I1275" s="46">
        <v>35.9</v>
      </c>
      <c r="J1275" s="61">
        <v>1.7565700000000001E-6</v>
      </c>
      <c r="K1275" s="61">
        <v>2.3772814E-2</v>
      </c>
      <c r="L1275" s="61">
        <v>3.4693345</v>
      </c>
      <c r="M1275" s="61">
        <v>6.0382299999999994E-7</v>
      </c>
      <c r="N1275" s="61">
        <v>1.141829E-3</v>
      </c>
      <c r="O1275" s="61">
        <v>6.6512869999999997E-3</v>
      </c>
      <c r="P1275" s="61">
        <v>1.0215700000000001E-3</v>
      </c>
      <c r="Q1275" s="61">
        <v>0.85502149999999999</v>
      </c>
      <c r="R1275" s="61">
        <v>1.7058931999999999E-2</v>
      </c>
      <c r="S1275" s="61">
        <v>57.359029999999997</v>
      </c>
      <c r="T1275" s="61">
        <v>3.070934E-3</v>
      </c>
      <c r="U1275" s="61"/>
      <c r="V1275" s="61"/>
      <c r="W1275" s="61"/>
      <c r="X1275" s="61"/>
      <c r="Y1275" s="61"/>
      <c r="Z1275" s="61"/>
      <c r="AA1275" s="61"/>
      <c r="AB1275" s="61"/>
      <c r="AC1275" s="61"/>
      <c r="AD1275" s="61"/>
      <c r="AE1275" s="61"/>
      <c r="AF1275" s="61"/>
      <c r="AG1275" s="61"/>
      <c r="AH1275" s="61"/>
      <c r="AI1275" s="61"/>
      <c r="AJ1275" s="61"/>
      <c r="AK1275" s="61"/>
      <c r="AL1275" s="61"/>
      <c r="AM1275" s="61"/>
      <c r="AN1275" s="61"/>
      <c r="AO1275" s="61"/>
      <c r="AP1275" s="61">
        <v>0.39413535999999999</v>
      </c>
      <c r="AQ1275" s="61"/>
      <c r="AR1275" s="61"/>
      <c r="AS1275" s="61">
        <v>53.058078999999999</v>
      </c>
      <c r="AT1275" s="61"/>
      <c r="AU1275" s="61"/>
      <c r="AV1275" s="61"/>
      <c r="AW1275" s="61">
        <v>5.0203380000000001E-3</v>
      </c>
      <c r="AX1275" s="61">
        <v>3.6440799999999998E-4</v>
      </c>
      <c r="AY1275" s="61">
        <v>8.9418212999999996E-2</v>
      </c>
      <c r="AZ1275" s="61">
        <v>0</v>
      </c>
      <c r="BA1275" s="61"/>
      <c r="BB1275" s="61"/>
      <c r="BC1275" s="61"/>
      <c r="BD1275" s="61"/>
      <c r="BE1275" s="61"/>
      <c r="BF1275" s="51" t="s">
        <v>251</v>
      </c>
      <c r="BG1275" s="50"/>
    </row>
    <row r="1276" spans="1:63" ht="15.5" x14ac:dyDescent="0.45">
      <c r="A1276" s="50" t="s">
        <v>212</v>
      </c>
      <c r="B1276" s="50" t="s">
        <v>154</v>
      </c>
      <c r="C1276" s="50" t="s">
        <v>458</v>
      </c>
      <c r="D1276" s="50" t="s">
        <v>460</v>
      </c>
      <c r="E1276" s="50" t="s">
        <v>65</v>
      </c>
      <c r="F1276" s="50">
        <v>1</v>
      </c>
      <c r="G1276" s="50">
        <v>0.26030555938735667</v>
      </c>
      <c r="H1276" s="50"/>
      <c r="I1276" s="51">
        <v>33.1</v>
      </c>
      <c r="J1276" s="61">
        <v>5.1140100000000004E-6</v>
      </c>
      <c r="K1276" s="61">
        <v>2.9818931E-2</v>
      </c>
      <c r="L1276" s="61">
        <v>3.6750563000000001</v>
      </c>
      <c r="M1276" s="61">
        <v>5.3162099999999995E-8</v>
      </c>
      <c r="N1276" s="61">
        <v>7.4466600000000006E-4</v>
      </c>
      <c r="O1276" s="61">
        <v>4.2393200000000004E-3</v>
      </c>
      <c r="P1276" s="61">
        <v>7.4903799999999994E-4</v>
      </c>
      <c r="Q1276" s="61">
        <v>0.73802394000000004</v>
      </c>
      <c r="R1276" s="61">
        <v>5.9501629999999996E-3</v>
      </c>
      <c r="S1276" s="61">
        <v>22.606211999999999</v>
      </c>
      <c r="T1276" s="61">
        <v>2.9862950000000004E-3</v>
      </c>
      <c r="U1276" s="61"/>
      <c r="V1276" s="61"/>
      <c r="W1276" s="61"/>
      <c r="X1276" s="61"/>
      <c r="Y1276" s="61"/>
      <c r="Z1276" s="61"/>
      <c r="AA1276" s="61"/>
      <c r="AB1276" s="61"/>
      <c r="AC1276" s="61"/>
      <c r="AD1276" s="61"/>
      <c r="AE1276" s="61"/>
      <c r="AF1276" s="61"/>
      <c r="AG1276" s="61"/>
      <c r="AH1276" s="61"/>
      <c r="AI1276" s="61"/>
      <c r="AJ1276" s="61"/>
      <c r="AK1276" s="61"/>
      <c r="AL1276" s="61"/>
      <c r="AM1276" s="61"/>
      <c r="AN1276" s="61"/>
      <c r="AO1276" s="61"/>
      <c r="AP1276" s="61">
        <v>0.44212060000000003</v>
      </c>
      <c r="AQ1276" s="61"/>
      <c r="AR1276" s="61"/>
      <c r="AS1276" s="61">
        <v>63.616281999999998</v>
      </c>
      <c r="AT1276" s="61"/>
      <c r="AU1276" s="61"/>
      <c r="AV1276" s="61"/>
      <c r="AW1276" s="61">
        <v>2.8771490000000003E-3</v>
      </c>
      <c r="AX1276" s="61">
        <v>9.8355600000000004E-5</v>
      </c>
      <c r="AY1276" s="61">
        <v>0.10819988</v>
      </c>
      <c r="AZ1276" s="61">
        <v>0</v>
      </c>
      <c r="BA1276" s="61"/>
      <c r="BB1276" s="61"/>
      <c r="BC1276" s="61"/>
      <c r="BD1276" s="61"/>
      <c r="BE1276" s="61"/>
      <c r="BF1276" s="51" t="s">
        <v>252</v>
      </c>
      <c r="BG1276" s="50"/>
      <c r="BH1276"/>
      <c r="BI1276"/>
      <c r="BJ1276"/>
      <c r="BK1276"/>
    </row>
    <row r="1277" spans="1:63" ht="15.5" x14ac:dyDescent="0.45">
      <c r="A1277" s="50" t="s">
        <v>213</v>
      </c>
      <c r="B1277" s="50" t="s">
        <v>154</v>
      </c>
      <c r="C1277" s="50" t="s">
        <v>458</v>
      </c>
      <c r="D1277" s="50" t="s">
        <v>461</v>
      </c>
      <c r="E1277" s="50" t="s">
        <v>65</v>
      </c>
      <c r="F1277" s="50">
        <v>1</v>
      </c>
      <c r="G1277" s="50">
        <v>0.213432369323449</v>
      </c>
      <c r="H1277" s="50"/>
      <c r="I1277" s="51">
        <v>34.299999999999997</v>
      </c>
      <c r="J1277" s="61">
        <v>3.87857E-6</v>
      </c>
      <c r="K1277" s="61">
        <v>8.4429610000000006E-3</v>
      </c>
      <c r="L1277" s="61">
        <v>1.4396163</v>
      </c>
      <c r="M1277" s="61">
        <v>1.3768700000000001E-7</v>
      </c>
      <c r="N1277" s="61">
        <v>1.173456E-3</v>
      </c>
      <c r="O1277" s="61">
        <v>8.9956229999999995E-3</v>
      </c>
      <c r="P1277" s="61">
        <v>4.4612139999999998E-3</v>
      </c>
      <c r="Q1277" s="61">
        <v>0.79949965000000001</v>
      </c>
      <c r="R1277" s="61">
        <v>0.56927326</v>
      </c>
      <c r="S1277" s="61">
        <v>47.928832</v>
      </c>
      <c r="T1277" s="61">
        <v>0.24437907</v>
      </c>
      <c r="U1277" s="61"/>
      <c r="V1277" s="61"/>
      <c r="W1277" s="61"/>
      <c r="X1277" s="61"/>
      <c r="Y1277" s="61"/>
      <c r="Z1277" s="61"/>
      <c r="AA1277" s="61"/>
      <c r="AB1277" s="61"/>
      <c r="AC1277" s="61"/>
      <c r="AD1277" s="61"/>
      <c r="AE1277" s="61"/>
      <c r="AF1277" s="61"/>
      <c r="AG1277" s="61"/>
      <c r="AH1277" s="61"/>
      <c r="AI1277" s="61"/>
      <c r="AJ1277" s="61"/>
      <c r="AK1277" s="61"/>
      <c r="AL1277" s="61"/>
      <c r="AM1277" s="61"/>
      <c r="AN1277" s="61"/>
      <c r="AO1277" s="61"/>
      <c r="AP1277" s="61">
        <v>7.8533024999999999</v>
      </c>
      <c r="AQ1277" s="61"/>
      <c r="AR1277" s="61"/>
      <c r="AS1277" s="61">
        <v>17.840087</v>
      </c>
      <c r="AT1277" s="61"/>
      <c r="AU1277" s="61"/>
      <c r="AV1277" s="61"/>
      <c r="AW1277" s="61">
        <v>6.1255324999999999E-2</v>
      </c>
      <c r="AX1277" s="61">
        <v>1.03501E-4</v>
      </c>
      <c r="AY1277" s="61">
        <v>0.28268589</v>
      </c>
      <c r="AZ1277" s="61">
        <v>0</v>
      </c>
      <c r="BA1277" s="61"/>
      <c r="BB1277" s="61"/>
      <c r="BC1277" s="61"/>
      <c r="BD1277" s="61"/>
      <c r="BE1277" s="61"/>
      <c r="BF1277" s="51" t="s">
        <v>253</v>
      </c>
      <c r="BG1277" s="50"/>
    </row>
    <row r="1278" spans="1:63" ht="15.5" x14ac:dyDescent="0.45">
      <c r="A1278" s="50" t="s">
        <v>214</v>
      </c>
      <c r="B1278" s="50" t="s">
        <v>154</v>
      </c>
      <c r="C1278" s="50" t="s">
        <v>458</v>
      </c>
      <c r="D1278" s="50" t="s">
        <v>462</v>
      </c>
      <c r="E1278" s="50" t="s">
        <v>65</v>
      </c>
      <c r="F1278" s="50">
        <v>1</v>
      </c>
      <c r="G1278" s="50">
        <v>0.28275466792178627</v>
      </c>
      <c r="H1278" s="50"/>
      <c r="I1278" s="51">
        <v>34.5</v>
      </c>
      <c r="J1278" s="61">
        <v>2.2397299999999999E-6</v>
      </c>
      <c r="K1278" s="61">
        <v>5.5331700000000004E-3</v>
      </c>
      <c r="L1278" s="61">
        <v>1.3805822000000001</v>
      </c>
      <c r="M1278" s="61">
        <v>8.6723099999999994E-8</v>
      </c>
      <c r="N1278" s="61">
        <v>1.00318E-3</v>
      </c>
      <c r="O1278" s="61">
        <v>4.9627439999999998E-3</v>
      </c>
      <c r="P1278" s="61">
        <v>2.181643E-3</v>
      </c>
      <c r="Q1278" s="61">
        <v>0.77633785999999994</v>
      </c>
      <c r="R1278" s="61">
        <v>0.50961345000000002</v>
      </c>
      <c r="S1278" s="61">
        <v>33.693195000000003</v>
      </c>
      <c r="T1278" s="61">
        <v>0.22491223999999999</v>
      </c>
      <c r="U1278" s="61"/>
      <c r="V1278" s="61"/>
      <c r="W1278" s="61"/>
      <c r="X1278" s="61"/>
      <c r="Y1278" s="61"/>
      <c r="Z1278" s="61"/>
      <c r="AA1278" s="61"/>
      <c r="AB1278" s="61"/>
      <c r="AC1278" s="61"/>
      <c r="AD1278" s="61"/>
      <c r="AE1278" s="61"/>
      <c r="AF1278" s="61"/>
      <c r="AG1278" s="61"/>
      <c r="AH1278" s="61"/>
      <c r="AI1278" s="61"/>
      <c r="AJ1278" s="61"/>
      <c r="AK1278" s="61"/>
      <c r="AL1278" s="61"/>
      <c r="AM1278" s="61"/>
      <c r="AN1278" s="61"/>
      <c r="AO1278" s="61"/>
      <c r="AP1278" s="61">
        <v>2.4737833</v>
      </c>
      <c r="AQ1278" s="61"/>
      <c r="AR1278" s="61"/>
      <c r="AS1278" s="61">
        <v>11.613380999999999</v>
      </c>
      <c r="AT1278" s="61"/>
      <c r="AU1278" s="61"/>
      <c r="AV1278" s="61"/>
      <c r="AW1278" s="61">
        <v>1.9473404E-2</v>
      </c>
      <c r="AX1278" s="61">
        <v>6.3249600000000005E-5</v>
      </c>
      <c r="AY1278" s="61">
        <v>0.24535799</v>
      </c>
      <c r="AZ1278" s="61">
        <v>0</v>
      </c>
      <c r="BA1278" s="61"/>
      <c r="BB1278" s="61"/>
      <c r="BC1278" s="61"/>
      <c r="BD1278" s="61"/>
      <c r="BE1278" s="61"/>
      <c r="BF1278" s="51" t="s">
        <v>254</v>
      </c>
      <c r="BG1278" s="50"/>
    </row>
    <row r="1279" spans="1:63" ht="15.5" x14ac:dyDescent="0.45">
      <c r="A1279" s="50" t="s">
        <v>215</v>
      </c>
      <c r="B1279" s="50" t="s">
        <v>154</v>
      </c>
      <c r="C1279" s="50" t="s">
        <v>458</v>
      </c>
      <c r="D1279" s="50" t="s">
        <v>461</v>
      </c>
      <c r="E1279" s="50" t="s">
        <v>65</v>
      </c>
      <c r="F1279" s="50">
        <v>1</v>
      </c>
      <c r="G1279" s="64">
        <v>6.8896750266770002E-2</v>
      </c>
      <c r="H1279" s="50"/>
      <c r="I1279" s="51">
        <v>34.4</v>
      </c>
      <c r="J1279" s="8">
        <v>1.3674892700000001E-6</v>
      </c>
      <c r="K1279" s="8">
        <v>3.75130724598E-3</v>
      </c>
      <c r="L1279" s="8">
        <v>0.39917526112073998</v>
      </c>
      <c r="M1279" s="8">
        <v>5.1505539999999997E-8</v>
      </c>
      <c r="N1279" s="8">
        <v>4.4057714212999998E-4</v>
      </c>
      <c r="O1279" s="8">
        <v>2.04112538071E-3</v>
      </c>
      <c r="P1279" s="8">
        <v>3.6998913959000002E-4</v>
      </c>
      <c r="Q1279" s="8">
        <v>0.38673008297978001</v>
      </c>
      <c r="R1279" s="8">
        <v>2.7955404037900001E-3</v>
      </c>
      <c r="S1279" s="8">
        <v>9.6210406560915391</v>
      </c>
      <c r="T1279" s="8">
        <v>1.8129712898499999E-3</v>
      </c>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v>0.25792389794086001</v>
      </c>
      <c r="AQ1279" s="8"/>
      <c r="AR1279" s="8"/>
      <c r="AS1279" s="8">
        <v>7.9063954714629796</v>
      </c>
      <c r="AT1279" s="8"/>
      <c r="AU1279" s="8"/>
      <c r="AV1279" s="61"/>
      <c r="AW1279" s="61">
        <v>1.98606943535E-3</v>
      </c>
      <c r="AX1279" s="61">
        <v>3.2062249850000002E-5</v>
      </c>
      <c r="AY1279" s="61">
        <v>7.5087247180569999E-2</v>
      </c>
      <c r="AZ1279" s="8">
        <v>1.9257713799999999E-5</v>
      </c>
      <c r="BA1279" s="8"/>
      <c r="BB1279" s="8"/>
      <c r="BC1279" s="8"/>
      <c r="BD1279" s="8"/>
      <c r="BE1279" s="8"/>
      <c r="BF1279" t="s">
        <v>273</v>
      </c>
      <c r="BG1279"/>
    </row>
    <row r="1280" spans="1:63" ht="15.5" x14ac:dyDescent="0.45">
      <c r="A1280" s="50" t="s">
        <v>216</v>
      </c>
      <c r="B1280" s="50" t="s">
        <v>154</v>
      </c>
      <c r="C1280" s="50" t="s">
        <v>458</v>
      </c>
      <c r="D1280" s="50" t="s">
        <v>459</v>
      </c>
      <c r="E1280" s="50" t="s">
        <v>65</v>
      </c>
      <c r="F1280" s="50">
        <v>1</v>
      </c>
      <c r="G1280" s="50">
        <v>0.2987531499630024</v>
      </c>
      <c r="H1280" s="50"/>
      <c r="I1280" s="46">
        <v>35.9</v>
      </c>
      <c r="J1280" s="61">
        <v>1.7565700000000001E-6</v>
      </c>
      <c r="K1280" s="61">
        <v>2.3772814E-2</v>
      </c>
      <c r="L1280" s="61">
        <v>3.4693345</v>
      </c>
      <c r="M1280" s="61">
        <v>6.0382299999999994E-7</v>
      </c>
      <c r="N1280" s="61">
        <v>1.141829E-3</v>
      </c>
      <c r="O1280" s="61">
        <v>6.6512869999999997E-3</v>
      </c>
      <c r="P1280" s="61">
        <v>1.0215700000000001E-3</v>
      </c>
      <c r="Q1280" s="61">
        <v>0.85499468000000001</v>
      </c>
      <c r="R1280" s="61">
        <v>1.7058931999999999E-2</v>
      </c>
      <c r="S1280" s="61">
        <v>57.359029999999997</v>
      </c>
      <c r="T1280" s="61">
        <v>3.070934E-3</v>
      </c>
      <c r="U1280" s="61"/>
      <c r="V1280" s="61"/>
      <c r="W1280" s="61"/>
      <c r="X1280" s="61"/>
      <c r="Y1280" s="61"/>
      <c r="Z1280" s="61"/>
      <c r="AA1280" s="61"/>
      <c r="AB1280" s="61"/>
      <c r="AC1280" s="61"/>
      <c r="AD1280" s="61"/>
      <c r="AE1280" s="61"/>
      <c r="AF1280" s="61"/>
      <c r="AG1280" s="61"/>
      <c r="AH1280" s="61"/>
      <c r="AI1280" s="61"/>
      <c r="AJ1280" s="61"/>
      <c r="AK1280" s="61"/>
      <c r="AL1280" s="61"/>
      <c r="AM1280" s="61"/>
      <c r="AN1280" s="61"/>
      <c r="AO1280" s="61"/>
      <c r="AP1280" s="61">
        <v>0.39413535999999999</v>
      </c>
      <c r="AQ1280" s="61"/>
      <c r="AR1280" s="61"/>
      <c r="AS1280" s="61">
        <v>53.058078999999999</v>
      </c>
      <c r="AT1280" s="61"/>
      <c r="AU1280" s="61"/>
      <c r="AV1280" s="61"/>
      <c r="AW1280" s="61">
        <v>5.0203380000000001E-3</v>
      </c>
      <c r="AX1280" s="61">
        <v>3.6440799999999998E-4</v>
      </c>
      <c r="AY1280" s="61">
        <v>8.9418212999999996E-2</v>
      </c>
      <c r="AZ1280" s="61">
        <v>0</v>
      </c>
      <c r="BA1280" s="61"/>
      <c r="BB1280" s="61"/>
      <c r="BC1280" s="61"/>
      <c r="BD1280" s="61"/>
      <c r="BE1280" s="61"/>
      <c r="BF1280" s="51" t="s">
        <v>255</v>
      </c>
      <c r="BG1280" s="50"/>
    </row>
    <row r="1281" spans="1:59" ht="15.5" x14ac:dyDescent="0.45">
      <c r="A1281" s="50" t="s">
        <v>217</v>
      </c>
      <c r="B1281" s="50" t="s">
        <v>154</v>
      </c>
      <c r="C1281" s="50" t="s">
        <v>458</v>
      </c>
      <c r="D1281" s="50" t="s">
        <v>460</v>
      </c>
      <c r="E1281" s="50" t="s">
        <v>65</v>
      </c>
      <c r="F1281" s="50">
        <v>1</v>
      </c>
      <c r="G1281" s="50">
        <v>0.26030389853172498</v>
      </c>
      <c r="H1281" s="50"/>
      <c r="I1281" s="51">
        <v>33.1</v>
      </c>
      <c r="J1281" s="61">
        <v>5.1140100000000004E-6</v>
      </c>
      <c r="K1281" s="61">
        <v>2.9818931E-2</v>
      </c>
      <c r="L1281" s="61">
        <v>3.6750563000000001</v>
      </c>
      <c r="M1281" s="61">
        <v>5.3162099999999995E-8</v>
      </c>
      <c r="N1281" s="61">
        <v>7.4466600000000006E-4</v>
      </c>
      <c r="O1281" s="61">
        <v>4.2393200000000004E-3</v>
      </c>
      <c r="P1281" s="61">
        <v>7.4903799999999994E-4</v>
      </c>
      <c r="Q1281" s="61">
        <v>0.73800107000000004</v>
      </c>
      <c r="R1281" s="61">
        <v>5.9501629999999996E-3</v>
      </c>
      <c r="S1281" s="61">
        <v>22.606211999999999</v>
      </c>
      <c r="T1281" s="61">
        <v>2.9862950000000004E-3</v>
      </c>
      <c r="U1281" s="61"/>
      <c r="V1281" s="61"/>
      <c r="W1281" s="61"/>
      <c r="X1281" s="61"/>
      <c r="Y1281" s="61"/>
      <c r="Z1281" s="61"/>
      <c r="AA1281" s="61"/>
      <c r="AB1281" s="61"/>
      <c r="AC1281" s="61"/>
      <c r="AD1281" s="61"/>
      <c r="AE1281" s="61"/>
      <c r="AF1281" s="61"/>
      <c r="AG1281" s="61"/>
      <c r="AH1281" s="61"/>
      <c r="AI1281" s="61"/>
      <c r="AJ1281" s="61"/>
      <c r="AK1281" s="61"/>
      <c r="AL1281" s="61"/>
      <c r="AM1281" s="61"/>
      <c r="AN1281" s="61"/>
      <c r="AO1281" s="61"/>
      <c r="AP1281" s="61">
        <v>0.44212060000000003</v>
      </c>
      <c r="AQ1281" s="61"/>
      <c r="AR1281" s="61"/>
      <c r="AS1281" s="61">
        <v>63.616281999999998</v>
      </c>
      <c r="AT1281" s="61"/>
      <c r="AU1281" s="61"/>
      <c r="AV1281" s="61"/>
      <c r="AW1281" s="61">
        <v>2.8771490000000003E-3</v>
      </c>
      <c r="AX1281" s="61">
        <v>9.8355600000000004E-5</v>
      </c>
      <c r="AY1281" s="61">
        <v>0.10819988</v>
      </c>
      <c r="AZ1281" s="61">
        <v>0</v>
      </c>
      <c r="BA1281" s="61"/>
      <c r="BB1281" s="61"/>
      <c r="BC1281" s="61"/>
      <c r="BD1281" s="61"/>
      <c r="BE1281" s="61"/>
      <c r="BF1281" s="51" t="s">
        <v>256</v>
      </c>
      <c r="BG1281" s="50"/>
    </row>
    <row r="1282" spans="1:59" ht="15.5" x14ac:dyDescent="0.45">
      <c r="A1282" s="50" t="s">
        <v>218</v>
      </c>
      <c r="B1282" s="50" t="s">
        <v>154</v>
      </c>
      <c r="C1282" s="50" t="s">
        <v>458</v>
      </c>
      <c r="D1282" s="50" t="s">
        <v>461</v>
      </c>
      <c r="E1282" s="50" t="s">
        <v>65</v>
      </c>
      <c r="F1282" s="50">
        <v>1</v>
      </c>
      <c r="G1282" s="50">
        <v>0.21343029958233578</v>
      </c>
      <c r="H1282" s="50"/>
      <c r="I1282" s="51">
        <v>34.299999999999997</v>
      </c>
      <c r="J1282" s="61">
        <v>3.87857E-6</v>
      </c>
      <c r="K1282" s="61">
        <v>8.4429610000000006E-3</v>
      </c>
      <c r="L1282" s="61">
        <v>1.4396209</v>
      </c>
      <c r="M1282" s="61">
        <v>1.3768700000000001E-7</v>
      </c>
      <c r="N1282" s="61">
        <v>1.173456E-3</v>
      </c>
      <c r="O1282" s="61">
        <v>8.9956229999999995E-3</v>
      </c>
      <c r="P1282" s="61">
        <v>4.4612139999999998E-3</v>
      </c>
      <c r="Q1282" s="61">
        <v>0.79947865000000007</v>
      </c>
      <c r="R1282" s="61">
        <v>0.56927326</v>
      </c>
      <c r="S1282" s="61">
        <v>47.928832</v>
      </c>
      <c r="T1282" s="61">
        <v>0.24437907</v>
      </c>
      <c r="U1282" s="61"/>
      <c r="V1282" s="61"/>
      <c r="W1282" s="61"/>
      <c r="X1282" s="61"/>
      <c r="Y1282" s="61"/>
      <c r="Z1282" s="61"/>
      <c r="AA1282" s="61"/>
      <c r="AB1282" s="61"/>
      <c r="AC1282" s="61"/>
      <c r="AD1282" s="61"/>
      <c r="AE1282" s="61"/>
      <c r="AF1282" s="61"/>
      <c r="AG1282" s="61"/>
      <c r="AH1282" s="61"/>
      <c r="AI1282" s="61"/>
      <c r="AJ1282" s="61"/>
      <c r="AK1282" s="61"/>
      <c r="AL1282" s="61"/>
      <c r="AM1282" s="61"/>
      <c r="AN1282" s="61"/>
      <c r="AO1282" s="61"/>
      <c r="AP1282" s="61">
        <v>7.8533024999999999</v>
      </c>
      <c r="AQ1282" s="61"/>
      <c r="AR1282" s="61"/>
      <c r="AS1282" s="61">
        <v>17.840087</v>
      </c>
      <c r="AT1282" s="61"/>
      <c r="AU1282" s="61"/>
      <c r="AV1282" s="61"/>
      <c r="AW1282" s="61">
        <v>6.1255324999999999E-2</v>
      </c>
      <c r="AX1282" s="61">
        <v>1.03501E-4</v>
      </c>
      <c r="AY1282" s="61">
        <v>0.28268589</v>
      </c>
      <c r="AZ1282" s="61">
        <v>0</v>
      </c>
      <c r="BA1282" s="61"/>
      <c r="BB1282" s="61"/>
      <c r="BC1282" s="61"/>
      <c r="BD1282" s="61"/>
      <c r="BE1282" s="61"/>
      <c r="BF1282" s="51" t="s">
        <v>257</v>
      </c>
      <c r="BG1282" s="50"/>
    </row>
    <row r="1283" spans="1:59" ht="15.5" x14ac:dyDescent="0.45">
      <c r="A1283" s="50" t="s">
        <v>219</v>
      </c>
      <c r="B1283" s="50" t="s">
        <v>154</v>
      </c>
      <c r="C1283" s="50" t="s">
        <v>458</v>
      </c>
      <c r="D1283" s="50" t="s">
        <v>462</v>
      </c>
      <c r="E1283" s="50" t="s">
        <v>65</v>
      </c>
      <c r="F1283" s="50">
        <v>1</v>
      </c>
      <c r="G1283" s="50">
        <v>0.28275466792178627</v>
      </c>
      <c r="H1283" s="50"/>
      <c r="I1283" s="51">
        <v>34.5</v>
      </c>
      <c r="J1283" s="8">
        <v>2.2397299999999999E-6</v>
      </c>
      <c r="K1283" s="8">
        <v>5.5331700000000004E-3</v>
      </c>
      <c r="L1283" s="8">
        <v>1.3805822000000001</v>
      </c>
      <c r="M1283" s="8">
        <v>8.6723099999999994E-8</v>
      </c>
      <c r="N1283" s="8">
        <v>1.00318E-3</v>
      </c>
      <c r="O1283" s="8">
        <v>4.9627439999999998E-3</v>
      </c>
      <c r="P1283" s="8">
        <v>2.181643E-3</v>
      </c>
      <c r="Q1283" s="8">
        <v>0.77631485999999994</v>
      </c>
      <c r="R1283" s="8">
        <v>0.50961345000000002</v>
      </c>
      <c r="S1283" s="8">
        <v>33.693195000000003</v>
      </c>
      <c r="T1283" s="8">
        <v>0.22491223999999999</v>
      </c>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v>2.4737833</v>
      </c>
      <c r="AQ1283" s="8"/>
      <c r="AR1283" s="8"/>
      <c r="AS1283" s="8">
        <v>11.613380999999999</v>
      </c>
      <c r="AT1283" s="8"/>
      <c r="AU1283" s="8"/>
      <c r="AV1283" s="8"/>
      <c r="AW1283" s="8">
        <v>1.9473404E-2</v>
      </c>
      <c r="AX1283" s="8">
        <v>6.3249600000000005E-5</v>
      </c>
      <c r="AY1283" s="8">
        <v>0.24535799</v>
      </c>
      <c r="AZ1283" s="8">
        <v>0</v>
      </c>
      <c r="BA1283" s="8"/>
      <c r="BB1283" s="8"/>
      <c r="BC1283" s="8"/>
      <c r="BD1283" s="8"/>
      <c r="BE1283" s="8"/>
      <c r="BF1283" s="8" t="s">
        <v>258</v>
      </c>
      <c r="BG1283" s="50"/>
    </row>
    <row r="1284" spans="1:59" ht="15.5" x14ac:dyDescent="0.45">
      <c r="A1284" s="50" t="s">
        <v>220</v>
      </c>
      <c r="B1284" s="50" t="s">
        <v>154</v>
      </c>
      <c r="C1284" s="50" t="s">
        <v>458</v>
      </c>
      <c r="D1284" s="50" t="s">
        <v>461</v>
      </c>
      <c r="E1284" s="50" t="s">
        <v>65</v>
      </c>
      <c r="F1284" s="50">
        <v>1</v>
      </c>
      <c r="G1284" s="64">
        <v>6.8896750266770002E-2</v>
      </c>
      <c r="H1284" s="50"/>
      <c r="I1284" s="51">
        <v>34.4</v>
      </c>
      <c r="J1284" s="8">
        <v>1.3674892700000001E-6</v>
      </c>
      <c r="K1284" s="8">
        <v>3.75130724598E-3</v>
      </c>
      <c r="L1284" s="8">
        <v>0.39917526112073998</v>
      </c>
      <c r="M1284" s="8">
        <v>5.1505539999999997E-8</v>
      </c>
      <c r="N1284" s="8">
        <v>4.4057714212999998E-4</v>
      </c>
      <c r="O1284" s="8">
        <v>2.04112538071E-3</v>
      </c>
      <c r="P1284" s="8">
        <v>3.6998913959000002E-4</v>
      </c>
      <c r="Q1284" s="8">
        <v>0.38673008297978001</v>
      </c>
      <c r="R1284" s="8">
        <v>2.7955404037900001E-3</v>
      </c>
      <c r="S1284" s="8">
        <v>9.6210406560915391</v>
      </c>
      <c r="T1284" s="8">
        <v>1.8129712898499999E-3</v>
      </c>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v>0.25792389794086001</v>
      </c>
      <c r="AQ1284" s="8"/>
      <c r="AR1284" s="8"/>
      <c r="AS1284" s="8">
        <v>7.9063954714629796</v>
      </c>
      <c r="AT1284" s="8"/>
      <c r="AU1284" s="8"/>
      <c r="AV1284" s="61"/>
      <c r="AW1284" s="61">
        <v>1.98606943535E-3</v>
      </c>
      <c r="AX1284" s="61">
        <v>3.2062249850000002E-5</v>
      </c>
      <c r="AY1284" s="61">
        <v>7.5087247180569999E-2</v>
      </c>
      <c r="AZ1284" s="8">
        <v>1.9257713799999999E-5</v>
      </c>
      <c r="BA1284" s="8"/>
      <c r="BB1284" s="8"/>
      <c r="BC1284" s="8"/>
      <c r="BD1284" s="8"/>
      <c r="BE1284" s="8"/>
      <c r="BF1284" t="s">
        <v>273</v>
      </c>
      <c r="BG1284" s="51"/>
    </row>
    <row r="1285" spans="1:59" ht="15.5" x14ac:dyDescent="0.45">
      <c r="A1285" s="51" t="s">
        <v>278</v>
      </c>
      <c r="B1285" s="51" t="s">
        <v>279</v>
      </c>
      <c r="C1285" s="50" t="s">
        <v>458</v>
      </c>
      <c r="D1285" s="50" t="s">
        <v>463</v>
      </c>
      <c r="E1285" s="50" t="s">
        <v>65</v>
      </c>
      <c r="F1285" s="50">
        <v>1</v>
      </c>
      <c r="G1285" s="51">
        <v>6.4995942000000001E-2</v>
      </c>
      <c r="H1285" s="51"/>
      <c r="I1285" s="51">
        <v>3.6</v>
      </c>
      <c r="J1285" s="61">
        <v>1.7900000000000001E-5</v>
      </c>
      <c r="K1285" s="61">
        <v>1.57E-3</v>
      </c>
      <c r="L1285" s="61">
        <v>0.22500000000000001</v>
      </c>
      <c r="M1285" s="61">
        <v>2.2600000000000001E-8</v>
      </c>
      <c r="N1285" s="61">
        <v>2.9300000000000002E-4</v>
      </c>
      <c r="O1285" s="61">
        <v>2.15E-3</v>
      </c>
      <c r="P1285" s="61">
        <v>3.0400000000000002E-4</v>
      </c>
      <c r="Q1285" s="61">
        <v>0.42499999999999999</v>
      </c>
      <c r="R1285" s="61">
        <v>7.0400000000000003E-3</v>
      </c>
      <c r="S1285" s="61">
        <v>23.1</v>
      </c>
      <c r="T1285" s="61">
        <v>1.3299999999999999E-2</v>
      </c>
      <c r="U1285" s="61"/>
      <c r="V1285" s="61"/>
      <c r="W1285" s="61"/>
      <c r="X1285" s="61"/>
      <c r="Y1285" s="61"/>
      <c r="Z1285" s="61"/>
      <c r="AA1285" s="61"/>
      <c r="AB1285" s="61"/>
      <c r="AC1285" s="61"/>
      <c r="AD1285" s="61"/>
      <c r="AE1285" s="61"/>
      <c r="AF1285" s="61"/>
      <c r="AG1285" s="61"/>
      <c r="AH1285" s="61"/>
      <c r="AI1285" s="61"/>
      <c r="AJ1285" s="61"/>
      <c r="AK1285" s="61"/>
      <c r="AL1285" s="61"/>
      <c r="AM1285" s="61"/>
      <c r="AN1285" s="61"/>
      <c r="AO1285" s="61"/>
      <c r="AP1285" s="61">
        <v>8.6999999999999993</v>
      </c>
      <c r="AQ1285" s="61"/>
      <c r="AR1285" s="61"/>
      <c r="AS1285" s="61">
        <v>3.07</v>
      </c>
      <c r="AT1285" s="61"/>
      <c r="AU1285" s="61"/>
      <c r="AV1285" s="61"/>
      <c r="AW1285" s="61">
        <v>8.6999999999999993</v>
      </c>
      <c r="AX1285" s="61">
        <v>4.1E-5</v>
      </c>
      <c r="AY1285" s="61">
        <v>7.6100000000000001E-2</v>
      </c>
      <c r="AZ1285" s="61">
        <v>9.02E-6</v>
      </c>
      <c r="BA1285" s="61"/>
      <c r="BB1285" s="61"/>
      <c r="BC1285" s="61"/>
      <c r="BD1285" s="61"/>
      <c r="BE1285" s="61"/>
      <c r="BF1285" s="45" t="s">
        <v>277</v>
      </c>
      <c r="BG1285" s="51" t="s">
        <v>280</v>
      </c>
    </row>
    <row r="1286" spans="1:59" ht="15.5" x14ac:dyDescent="0.45">
      <c r="A1286" s="51" t="s">
        <v>281</v>
      </c>
      <c r="B1286" s="51" t="s">
        <v>279</v>
      </c>
      <c r="C1286" s="50" t="s">
        <v>458</v>
      </c>
      <c r="D1286" s="50" t="s">
        <v>463</v>
      </c>
      <c r="E1286" s="50" t="s">
        <v>65</v>
      </c>
      <c r="F1286" s="50">
        <v>1</v>
      </c>
      <c r="G1286" s="51">
        <v>8.3392310999999997E-2</v>
      </c>
      <c r="H1286" s="51"/>
      <c r="I1286" s="51">
        <v>3.6</v>
      </c>
      <c r="J1286" s="61">
        <v>1.4100000000000001E-5</v>
      </c>
      <c r="K1286" s="61">
        <v>5.8300000000000001E-3</v>
      </c>
      <c r="L1286" s="61">
        <v>0.69299999999999995</v>
      </c>
      <c r="M1286" s="61">
        <v>4.8499999999999998E-8</v>
      </c>
      <c r="N1286" s="61">
        <v>2.6200000000000003E-4</v>
      </c>
      <c r="O1286" s="61">
        <v>2.0799999999999998E-3</v>
      </c>
      <c r="P1286" s="61">
        <v>2.4899999999999998E-4</v>
      </c>
      <c r="Q1286" s="61">
        <v>0.373</v>
      </c>
      <c r="R1286" s="61">
        <v>5.96E-3</v>
      </c>
      <c r="S1286" s="61">
        <v>21.8</v>
      </c>
      <c r="T1286" s="61">
        <v>1.32E-2</v>
      </c>
      <c r="U1286" s="61"/>
      <c r="V1286" s="61"/>
      <c r="W1286" s="61"/>
      <c r="X1286" s="61"/>
      <c r="Y1286" s="61"/>
      <c r="Z1286" s="61"/>
      <c r="AA1286" s="61"/>
      <c r="AB1286" s="61"/>
      <c r="AC1286" s="61"/>
      <c r="AD1286" s="61"/>
      <c r="AE1286" s="61"/>
      <c r="AF1286" s="61"/>
      <c r="AG1286" s="61"/>
      <c r="AH1286" s="61"/>
      <c r="AI1286" s="61"/>
      <c r="AJ1286" s="61"/>
      <c r="AK1286" s="61"/>
      <c r="AL1286" s="61"/>
      <c r="AM1286" s="61"/>
      <c r="AN1286" s="61"/>
      <c r="AO1286" s="61"/>
      <c r="AP1286" s="61">
        <v>0.23899999999999999</v>
      </c>
      <c r="AQ1286" s="61"/>
      <c r="AR1286" s="61"/>
      <c r="AS1286" s="61">
        <v>10.9</v>
      </c>
      <c r="AT1286" s="61"/>
      <c r="AU1286" s="61"/>
      <c r="AV1286" s="61"/>
      <c r="AW1286" s="61">
        <v>0.23899999999999999</v>
      </c>
      <c r="AX1286" s="61">
        <v>3.2199999999999997E-5</v>
      </c>
      <c r="AY1286" s="61">
        <v>5.67E-2</v>
      </c>
      <c r="AZ1286" s="61">
        <v>9.2599999999999994E-6</v>
      </c>
      <c r="BA1286" s="61"/>
      <c r="BB1286" s="61"/>
      <c r="BC1286" s="61"/>
      <c r="BD1286" s="61"/>
      <c r="BE1286" s="61"/>
      <c r="BF1286" s="45" t="s">
        <v>277</v>
      </c>
      <c r="BG1286" s="51" t="s">
        <v>280</v>
      </c>
    </row>
    <row r="1287" spans="1:59" ht="15.5" x14ac:dyDescent="0.45">
      <c r="H1287" s="63"/>
      <c r="I1287" s="63"/>
      <c r="J1287" s="63"/>
      <c r="K1287" s="63"/>
      <c r="L1287" s="63"/>
      <c r="M1287" s="63"/>
      <c r="N1287" s="63"/>
      <c r="O1287" s="63"/>
      <c r="P1287" s="63"/>
      <c r="Q1287" s="63"/>
      <c r="R1287" s="63"/>
      <c r="S1287" s="63"/>
      <c r="T1287" s="63"/>
      <c r="U1287" s="63"/>
      <c r="V1287" s="63"/>
      <c r="W1287" s="63"/>
      <c r="X1287" s="63"/>
      <c r="Y1287" s="63"/>
    </row>
  </sheetData>
  <phoneticPr fontId="11" type="noConversion"/>
  <conditionalFormatting sqref="H1147 H1152 H1118:H1123 BF1088:BG1093 BH1088:BH1099 AZ1069 G1070 AV1055:AV1080 G1055 BG1055:BG1082 B1056:B1065 A1066:B1070 AA1083 B1083:C1083 B1071:B1082 A1088:B1108 A1118:B1135 A1142:B1142 A1112:F1114 F1159 H1157:H1158 U1083 A1050:B1055 E1050:H1054 E1066:H1069 E1070:E1082 E1055:E1065 E1088:H1102 E1103:G1105 B1109:B1111 B1049:D1049 C1050:D1082 E1106:H1111 J1066:AU1068 AW1066:AZ1068 BF1066:BF1068 J1050:BG1054 BA1066:BE1069 J1094:BE1105">
    <cfRule type="expression" dxfId="365" priority="156">
      <formula>IF($D$2:$D$1461=Transport,#REF!=0)</formula>
    </cfRule>
  </conditionalFormatting>
  <conditionalFormatting sqref="H1164 BH1136:BH1141 E1049 A1139:B1141 A1136:A1138 A1109:A1111 B1087:E1087 E1139:H1141 C1088:D1111 C1117:D1141 C1147:D1158 H1049:BE1049 J1106:BE1111 H1087:BE1087 J1136:BE1141">
    <cfRule type="expression" dxfId="364" priority="148">
      <formula>IF($D$2:$D$1461=Transport,#REF!=0)</formula>
    </cfRule>
  </conditionalFormatting>
  <conditionalFormatting sqref="H1165:H1180">
    <cfRule type="expression" dxfId="363" priority="136">
      <formula>IF($D$2:$D$1461=Transport,#REF!=0)</formula>
    </cfRule>
  </conditionalFormatting>
  <conditionalFormatting sqref="H1270">
    <cfRule type="expression" dxfId="362" priority="93">
      <formula>IF($D$2:$D$1461=Transport,#REF!=0)</formula>
    </cfRule>
  </conditionalFormatting>
  <conditionalFormatting sqref="H1271:H1284">
    <cfRule type="expression" dxfId="361" priority="92">
      <formula>IF($D$2:$D$1461=Transport,#REF!=0)</formula>
    </cfRule>
  </conditionalFormatting>
  <conditionalFormatting sqref="I1270:I1286 I1164:I1266 I1050:I1055 I1066:I1070 G1112:G1114 I1088:I1111 G1142 I1118:I1141 G1159 I1147:I1158">
    <cfRule type="expression" dxfId="360" priority="204">
      <formula>IF($D$2:$D$1336=Transport,$AA$2:$AA$1336=0)</formula>
    </cfRule>
  </conditionalFormatting>
  <conditionalFormatting sqref="B1147:B1159 C1147:D1158">
    <cfRule type="expression" dxfId="359" priority="222">
      <formula>IF($E$4:$E$1212=Transport,#REF!=0)</formula>
    </cfRule>
  </conditionalFormatting>
  <conditionalFormatting sqref="AV1270:AV1273 AV1275:AV1278 AV1280:AV1283">
    <cfRule type="expression" dxfId="358" priority="74">
      <formula>IF($D$2:$D$1318=Transport,$AA$2:$AA$1318=0)</formula>
    </cfRule>
  </conditionalFormatting>
  <conditionalFormatting sqref="A1130:A1135">
    <cfRule type="expression" dxfId="357" priority="73">
      <formula>IF($D$2:$D$1461=Transport,#REF!=0)</formula>
    </cfRule>
  </conditionalFormatting>
  <conditionalFormatting sqref="H1148:H1150 H1124:H1132 BH1100:BH1111 BL835">
    <cfRule type="expression" dxfId="356" priority="65">
      <formula>IF($D$2:$D$1461=Transport,#REF!=0)</formula>
    </cfRule>
  </conditionalFormatting>
  <conditionalFormatting sqref="H1153:H1155 H1124:H1131 BH1118:BH1123 BL849">
    <cfRule type="expression" dxfId="355" priority="64">
      <formula>IF($D$2:$D$1461=Transport,#REF!=0)</formula>
    </cfRule>
  </conditionalFormatting>
  <conditionalFormatting sqref="H1153:H1155 BH1124:BH1129 B1136:B1138 E1136:H1138 BL854">
    <cfRule type="expression" dxfId="354" priority="61">
      <formula>IF($D$2:$D$1461=Transport,#REF!=0)</formula>
    </cfRule>
  </conditionalFormatting>
  <conditionalFormatting sqref="BH1130:BH1135 BL840">
    <cfRule type="expression" dxfId="353" priority="59">
      <formula>IF($D$2:$D$1461=Transport,#REF!=0)</formula>
    </cfRule>
  </conditionalFormatting>
  <conditionalFormatting sqref="H1151 H1156 H1133:H1135 H1103:H1105 F1055:F1065 H1055 H1070 F1070:F1082 D1083 F1142 V1083:Z1083 F1083:T1083 J1070:AS1070 H1056:AZ1065 H1071:AS1082 AT1070:AU1082 AW1070:AZ1080 BF1070 J1055:AZ1055 BF1055 AV1081:AZ1082 BF1081:BF1082 BA1070:BE1082 BA1055:BE1065">
    <cfRule type="expression" dxfId="352" priority="298">
      <formula>IF($D$2:$D$1361=Transport,$AA$2:$AA$1361=0)</formula>
    </cfRule>
  </conditionalFormatting>
  <conditionalFormatting sqref="H1148:H1150">
    <cfRule type="expression" dxfId="351" priority="46">
      <formula>IF($D$2:$D$1461=Transport,#REF!=0)</formula>
    </cfRule>
  </conditionalFormatting>
  <conditionalFormatting sqref="BL847">
    <cfRule type="expression" dxfId="350" priority="1">
      <formula>IF($D$2:$D$1461=Transport,#REF!=0)</formula>
    </cfRule>
  </conditionalFormatting>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71F5-BC10-4AE7-AEF3-DBB5D2E1C4CA}">
  <dimension ref="A1:AX496"/>
  <sheetViews>
    <sheetView topLeftCell="A115" zoomScale="85" zoomScaleNormal="85" workbookViewId="0">
      <selection activeCell="G4" sqref="G4"/>
    </sheetView>
  </sheetViews>
  <sheetFormatPr defaultRowHeight="14.5" x14ac:dyDescent="0.35"/>
  <cols>
    <col min="1" max="1" width="255.7265625" bestFit="1" customWidth="1"/>
    <col min="2" max="2" width="13.453125" customWidth="1"/>
  </cols>
  <sheetData>
    <row r="1" spans="1:50" x14ac:dyDescent="0.35">
      <c r="A1" s="197" t="s">
        <v>800</v>
      </c>
      <c r="B1" s="197"/>
    </row>
    <row r="2" spans="1:50" x14ac:dyDescent="0.35">
      <c r="A2" t="s">
        <v>722</v>
      </c>
      <c r="B2" s="197" t="s">
        <v>1237</v>
      </c>
      <c r="C2" t="s">
        <v>627</v>
      </c>
      <c r="D2" t="s">
        <v>628</v>
      </c>
      <c r="E2" t="s">
        <v>629</v>
      </c>
      <c r="F2" t="s">
        <v>630</v>
      </c>
      <c r="G2" t="s">
        <v>631</v>
      </c>
      <c r="H2" t="s">
        <v>632</v>
      </c>
      <c r="I2" t="s">
        <v>633</v>
      </c>
      <c r="J2" t="s">
        <v>634</v>
      </c>
      <c r="K2" t="s">
        <v>635</v>
      </c>
      <c r="L2" t="s">
        <v>636</v>
      </c>
      <c r="M2" t="s">
        <v>637</v>
      </c>
      <c r="N2" t="s">
        <v>638</v>
      </c>
      <c r="O2" t="s">
        <v>639</v>
      </c>
      <c r="P2" t="s">
        <v>640</v>
      </c>
      <c r="Q2" t="s">
        <v>641</v>
      </c>
      <c r="R2" t="s">
        <v>642</v>
      </c>
      <c r="S2" t="s">
        <v>643</v>
      </c>
      <c r="T2" t="s">
        <v>644</v>
      </c>
      <c r="U2" t="s">
        <v>645</v>
      </c>
      <c r="V2" t="s">
        <v>646</v>
      </c>
      <c r="W2" t="s">
        <v>647</v>
      </c>
      <c r="X2" t="s">
        <v>648</v>
      </c>
      <c r="Y2" t="s">
        <v>649</v>
      </c>
      <c r="Z2" t="s">
        <v>650</v>
      </c>
      <c r="AA2" t="s">
        <v>651</v>
      </c>
      <c r="AB2" t="s">
        <v>652</v>
      </c>
      <c r="AC2" t="s">
        <v>653</v>
      </c>
      <c r="AD2" t="s">
        <v>654</v>
      </c>
      <c r="AE2" t="s">
        <v>655</v>
      </c>
      <c r="AF2" t="s">
        <v>656</v>
      </c>
      <c r="AG2" t="s">
        <v>657</v>
      </c>
      <c r="AH2" t="s">
        <v>658</v>
      </c>
      <c r="AI2" t="s">
        <v>659</v>
      </c>
      <c r="AJ2" t="s">
        <v>660</v>
      </c>
      <c r="AK2" t="s">
        <v>661</v>
      </c>
      <c r="AL2" t="s">
        <v>662</v>
      </c>
      <c r="AM2" t="s">
        <v>663</v>
      </c>
      <c r="AN2" t="s">
        <v>664</v>
      </c>
      <c r="AO2" t="s">
        <v>665</v>
      </c>
      <c r="AP2" t="s">
        <v>666</v>
      </c>
      <c r="AQ2" t="s">
        <v>667</v>
      </c>
      <c r="AR2" t="s">
        <v>668</v>
      </c>
      <c r="AS2" t="s">
        <v>669</v>
      </c>
      <c r="AT2" t="s">
        <v>670</v>
      </c>
      <c r="AU2" t="s">
        <v>671</v>
      </c>
      <c r="AV2" t="s">
        <v>672</v>
      </c>
      <c r="AW2" t="s">
        <v>673</v>
      </c>
      <c r="AX2" t="s">
        <v>674</v>
      </c>
    </row>
    <row r="3" spans="1:50" x14ac:dyDescent="0.35">
      <c r="A3" t="s">
        <v>723</v>
      </c>
      <c r="C3" t="s">
        <v>675</v>
      </c>
      <c r="D3" t="s">
        <v>675</v>
      </c>
      <c r="E3" t="s">
        <v>676</v>
      </c>
      <c r="F3" t="s">
        <v>677</v>
      </c>
      <c r="G3" t="s">
        <v>678</v>
      </c>
      <c r="H3" t="s">
        <v>679</v>
      </c>
      <c r="I3" t="s">
        <v>680</v>
      </c>
      <c r="J3" t="s">
        <v>681</v>
      </c>
      <c r="K3" t="s">
        <v>681</v>
      </c>
      <c r="L3" t="s">
        <v>681</v>
      </c>
      <c r="M3" t="s">
        <v>681</v>
      </c>
      <c r="N3" t="s">
        <v>676</v>
      </c>
      <c r="O3" t="s">
        <v>676</v>
      </c>
      <c r="P3" t="s">
        <v>676</v>
      </c>
      <c r="Q3" t="s">
        <v>676</v>
      </c>
      <c r="R3" t="s">
        <v>682</v>
      </c>
      <c r="S3" t="s">
        <v>683</v>
      </c>
      <c r="T3" t="s">
        <v>684</v>
      </c>
      <c r="U3" t="s">
        <v>685</v>
      </c>
      <c r="V3" t="s">
        <v>686</v>
      </c>
      <c r="W3" t="s">
        <v>687</v>
      </c>
      <c r="X3" t="s">
        <v>675</v>
      </c>
      <c r="Y3" t="s">
        <v>688</v>
      </c>
      <c r="Z3" t="s">
        <v>689</v>
      </c>
      <c r="AA3" t="s">
        <v>690</v>
      </c>
      <c r="AB3" t="s">
        <v>691</v>
      </c>
      <c r="AC3" t="s">
        <v>692</v>
      </c>
      <c r="AD3" t="s">
        <v>693</v>
      </c>
      <c r="AE3" t="s">
        <v>693</v>
      </c>
      <c r="AF3" t="s">
        <v>694</v>
      </c>
      <c r="AG3" t="s">
        <v>688</v>
      </c>
      <c r="AH3" t="s">
        <v>688</v>
      </c>
      <c r="AI3" t="s">
        <v>688</v>
      </c>
      <c r="AJ3" t="s">
        <v>688</v>
      </c>
      <c r="AK3" t="s">
        <v>688</v>
      </c>
      <c r="AL3" t="s">
        <v>688</v>
      </c>
      <c r="AM3" t="s">
        <v>695</v>
      </c>
      <c r="AN3" t="s">
        <v>688</v>
      </c>
      <c r="AO3" t="s">
        <v>688</v>
      </c>
      <c r="AP3" t="s">
        <v>540</v>
      </c>
      <c r="AQ3" t="s">
        <v>695</v>
      </c>
      <c r="AR3" t="s">
        <v>695</v>
      </c>
      <c r="AS3" t="s">
        <v>695</v>
      </c>
      <c r="AT3" t="s">
        <v>695</v>
      </c>
      <c r="AU3" t="s">
        <v>695</v>
      </c>
      <c r="AV3" t="s">
        <v>695</v>
      </c>
      <c r="AW3" t="s">
        <v>688</v>
      </c>
      <c r="AX3" t="s">
        <v>688</v>
      </c>
    </row>
    <row r="4" spans="1:50" x14ac:dyDescent="0.35">
      <c r="A4" s="197" t="s">
        <v>1171</v>
      </c>
      <c r="B4" s="197"/>
    </row>
    <row r="5" spans="1:50" x14ac:dyDescent="0.35">
      <c r="A5" t="s">
        <v>801</v>
      </c>
      <c r="B5" s="249">
        <f>(C5*0.16)+(D5*0.16)+(E5*0.05)+(F5*30)+(G5*2)+(H5*4)+(I5*9)+(J5*0.09)+(K5*0.03)+(L5*0.0001)+(M5*0.06)</f>
        <v>0.37266249352927405</v>
      </c>
      <c r="C5" s="217">
        <v>1.9179013999999999E-6</v>
      </c>
      <c r="D5">
        <v>4.5658737999999997E-2</v>
      </c>
      <c r="E5">
        <v>4.6790246</v>
      </c>
      <c r="F5" s="217">
        <v>6.1237634999999995E-8</v>
      </c>
      <c r="G5">
        <v>3.5902883000000002E-3</v>
      </c>
      <c r="H5">
        <v>1.4261083000000001E-2</v>
      </c>
      <c r="I5">
        <v>1.3299302000000001E-3</v>
      </c>
      <c r="J5">
        <v>0.45027308999999999</v>
      </c>
      <c r="K5">
        <v>9.2153139999999995E-2</v>
      </c>
      <c r="L5">
        <v>118.41224</v>
      </c>
      <c r="M5">
        <v>1.3174126E-3</v>
      </c>
      <c r="N5">
        <v>4.9356141999999998</v>
      </c>
      <c r="O5">
        <v>4.8964249000000004</v>
      </c>
      <c r="P5">
        <v>3.9031121000000002E-2</v>
      </c>
      <c r="Q5">
        <v>1.5822319000000001E-4</v>
      </c>
      <c r="R5" s="217">
        <v>6.5969607999999995E-8</v>
      </c>
      <c r="S5">
        <v>1.6965129999999998E-2</v>
      </c>
      <c r="T5" s="217">
        <v>7.7327009000000005E-5</v>
      </c>
      <c r="U5">
        <v>2.8606082999999998E-3</v>
      </c>
      <c r="V5">
        <v>2.9264886E-2</v>
      </c>
      <c r="W5">
        <v>1.3367485E-2</v>
      </c>
      <c r="X5" s="217">
        <v>1.9179088E-6</v>
      </c>
      <c r="Y5">
        <v>92.363123999999999</v>
      </c>
      <c r="Z5">
        <v>2.4993900999999998</v>
      </c>
      <c r="AA5" s="217">
        <v>2.0152328000000001E-7</v>
      </c>
      <c r="AB5">
        <v>1.1914476E-2</v>
      </c>
      <c r="AC5">
        <v>53.688018999999997</v>
      </c>
      <c r="AD5" s="217">
        <v>9.935014300000001E-10</v>
      </c>
      <c r="AE5" s="217">
        <v>2.7170824999999999E-8</v>
      </c>
      <c r="AF5">
        <v>1.9597601</v>
      </c>
      <c r="AG5">
        <v>0</v>
      </c>
      <c r="AH5">
        <v>0</v>
      </c>
      <c r="AI5">
        <v>0.54287262999999997</v>
      </c>
      <c r="AJ5">
        <v>0</v>
      </c>
      <c r="AK5">
        <v>0</v>
      </c>
      <c r="AL5">
        <v>99.616401999999994</v>
      </c>
      <c r="AM5">
        <v>0</v>
      </c>
      <c r="AN5">
        <v>0</v>
      </c>
      <c r="AO5">
        <v>0</v>
      </c>
      <c r="AP5">
        <v>5.8476755999999998E-2</v>
      </c>
      <c r="AQ5" s="217">
        <v>7.3307568000000002E-6</v>
      </c>
      <c r="AR5">
        <v>0.21777653999999999</v>
      </c>
      <c r="AS5" s="217">
        <v>1.508545E-5</v>
      </c>
      <c r="AT5">
        <v>0</v>
      </c>
      <c r="AU5">
        <v>0</v>
      </c>
      <c r="AV5">
        <v>0</v>
      </c>
      <c r="AW5">
        <v>0</v>
      </c>
      <c r="AX5">
        <v>0</v>
      </c>
    </row>
    <row r="6" spans="1:50" x14ac:dyDescent="0.35">
      <c r="A6" t="s">
        <v>802</v>
      </c>
      <c r="B6" s="249">
        <f t="shared" ref="B6:B69" si="0">(C6*0.16)+(D6*0.16)+(E6*0.05)+(F6*30)+(G6*2)+(H6*4)+(I6*9)+(J6*0.09)+(K6*0.03)+(L6*0.0001)+(M6*0.06)</f>
        <v>2.8224556154803997</v>
      </c>
      <c r="C6">
        <v>7.9034194999999996E-4</v>
      </c>
      <c r="D6">
        <v>5.6151952999999998E-2</v>
      </c>
      <c r="E6">
        <v>7.5463564999999999</v>
      </c>
      <c r="F6" s="217">
        <v>6.8558027999999999E-7</v>
      </c>
      <c r="G6">
        <v>7.9252685000000007E-3</v>
      </c>
      <c r="H6">
        <v>0.10819727</v>
      </c>
      <c r="I6">
        <v>2.9583683999999999E-2</v>
      </c>
      <c r="J6">
        <v>17.452625999999999</v>
      </c>
      <c r="K6">
        <v>0.28489615000000001</v>
      </c>
      <c r="L6">
        <v>1386.2607</v>
      </c>
      <c r="M6">
        <v>5.3406473000000003E-2</v>
      </c>
      <c r="N6">
        <v>7.7588467999999997</v>
      </c>
      <c r="O6">
        <v>7.682334</v>
      </c>
      <c r="P6">
        <v>6.3485561999999995E-2</v>
      </c>
      <c r="Q6">
        <v>1.3027304E-2</v>
      </c>
      <c r="R6" s="217">
        <v>6.9751627000000004E-7</v>
      </c>
      <c r="S6">
        <v>0.12559119999999999</v>
      </c>
      <c r="T6">
        <v>8.2197772999999998E-3</v>
      </c>
      <c r="U6">
        <v>1.0730450000000001E-2</v>
      </c>
      <c r="V6">
        <v>0.13409682000000001</v>
      </c>
      <c r="W6">
        <v>3.9454063999999997E-2</v>
      </c>
      <c r="X6">
        <v>7.9036537000000005E-4</v>
      </c>
      <c r="Y6">
        <v>102.2266</v>
      </c>
      <c r="Z6">
        <v>3.1434904000000001</v>
      </c>
      <c r="AA6" s="217">
        <v>5.8974465000000002E-7</v>
      </c>
      <c r="AB6">
        <v>0.30520427999999999</v>
      </c>
      <c r="AC6">
        <v>793.92335000000003</v>
      </c>
      <c r="AD6" s="217">
        <v>3.3423925000000001E-8</v>
      </c>
      <c r="AE6" s="217">
        <v>1.0026850999999999E-6</v>
      </c>
      <c r="AF6">
        <v>41.344002000000003</v>
      </c>
      <c r="AG6">
        <v>0</v>
      </c>
      <c r="AH6">
        <v>0</v>
      </c>
      <c r="AI6">
        <v>11.366149999999999</v>
      </c>
      <c r="AJ6">
        <v>0</v>
      </c>
      <c r="AK6">
        <v>0</v>
      </c>
      <c r="AL6">
        <v>108.91316999999999</v>
      </c>
      <c r="AM6">
        <v>0</v>
      </c>
      <c r="AN6">
        <v>0</v>
      </c>
      <c r="AO6">
        <v>0</v>
      </c>
      <c r="AP6">
        <v>9.1823887000000007E-2</v>
      </c>
      <c r="AQ6">
        <v>3.8212529000000001E-3</v>
      </c>
      <c r="AR6">
        <v>2.0446756000000001</v>
      </c>
      <c r="AS6">
        <v>2.7380033999999998E-4</v>
      </c>
      <c r="AT6">
        <v>0</v>
      </c>
      <c r="AU6">
        <v>0</v>
      </c>
      <c r="AV6">
        <v>0</v>
      </c>
      <c r="AW6">
        <v>0</v>
      </c>
      <c r="AX6">
        <v>0</v>
      </c>
    </row>
    <row r="7" spans="1:50" x14ac:dyDescent="0.35">
      <c r="A7" t="s">
        <v>803</v>
      </c>
      <c r="B7" s="249">
        <f t="shared" si="0"/>
        <v>8.8085020420940001</v>
      </c>
      <c r="C7">
        <v>5.184864E-4</v>
      </c>
      <c r="D7">
        <v>0.11760977</v>
      </c>
      <c r="E7">
        <v>17.718321</v>
      </c>
      <c r="F7" s="217">
        <v>4.3131543000000003E-5</v>
      </c>
      <c r="G7">
        <v>5.9093778E-2</v>
      </c>
      <c r="H7">
        <v>1.3391519999999999</v>
      </c>
      <c r="I7">
        <v>2.6285262E-2</v>
      </c>
      <c r="J7">
        <v>20.031618999999999</v>
      </c>
      <c r="K7">
        <v>0.93029757000000002</v>
      </c>
      <c r="L7">
        <v>3548.2665000000002</v>
      </c>
      <c r="M7">
        <v>9.0788727999999999E-2</v>
      </c>
      <c r="N7">
        <v>18.240258000000001</v>
      </c>
      <c r="O7">
        <v>18.206845999999999</v>
      </c>
      <c r="P7">
        <v>-3.6284819000000003E-2</v>
      </c>
      <c r="Q7">
        <v>6.9697402000000006E-2</v>
      </c>
      <c r="R7" s="217">
        <v>3.7468727000000003E-5</v>
      </c>
      <c r="S7">
        <v>1.4764747</v>
      </c>
      <c r="T7">
        <v>5.7456612999999997E-3</v>
      </c>
      <c r="U7">
        <v>1.9660661999999999E-2</v>
      </c>
      <c r="V7">
        <v>0.26014649000000001</v>
      </c>
      <c r="W7">
        <v>0.14941698</v>
      </c>
      <c r="X7">
        <v>5.2830857999999997E-4</v>
      </c>
      <c r="Y7">
        <v>221.06299999999999</v>
      </c>
      <c r="Z7">
        <v>9.3308052999999997</v>
      </c>
      <c r="AA7" s="217">
        <v>1.9998006E-6</v>
      </c>
      <c r="AB7">
        <v>0.64570548999999999</v>
      </c>
      <c r="AC7">
        <v>1637.4458</v>
      </c>
      <c r="AD7" s="217">
        <v>1.7061252000000001E-8</v>
      </c>
      <c r="AE7" s="217">
        <v>5.5346409000000005E-7</v>
      </c>
      <c r="AF7">
        <v>65.703721999999999</v>
      </c>
      <c r="AG7">
        <v>0</v>
      </c>
      <c r="AH7">
        <v>0</v>
      </c>
      <c r="AI7">
        <v>20.944483999999999</v>
      </c>
      <c r="AJ7">
        <v>0</v>
      </c>
      <c r="AK7">
        <v>0</v>
      </c>
      <c r="AL7">
        <v>236.54786999999999</v>
      </c>
      <c r="AM7">
        <v>0</v>
      </c>
      <c r="AN7">
        <v>0</v>
      </c>
      <c r="AO7">
        <v>0</v>
      </c>
      <c r="AP7">
        <v>0.24608013000000001</v>
      </c>
      <c r="AQ7">
        <v>3.1457212E-4</v>
      </c>
      <c r="AR7">
        <v>5.4886473000000002</v>
      </c>
      <c r="AS7">
        <v>6.4131775999999997E-4</v>
      </c>
      <c r="AT7">
        <v>0</v>
      </c>
      <c r="AU7">
        <v>0</v>
      </c>
      <c r="AV7">
        <v>0</v>
      </c>
      <c r="AW7">
        <v>0</v>
      </c>
      <c r="AX7">
        <v>0</v>
      </c>
    </row>
    <row r="8" spans="1:50" x14ac:dyDescent="0.35">
      <c r="A8" t="s">
        <v>804</v>
      </c>
      <c r="B8" s="249">
        <f t="shared" si="0"/>
        <v>0.30432780844984003</v>
      </c>
      <c r="C8" s="217">
        <v>1.0578249000000001E-5</v>
      </c>
      <c r="D8">
        <v>1.4892004E-2</v>
      </c>
      <c r="E8">
        <v>1.8703093</v>
      </c>
      <c r="F8" s="217">
        <v>1.74749E-7</v>
      </c>
      <c r="G8">
        <v>1.7165395E-3</v>
      </c>
      <c r="H8">
        <v>1.9665866000000001E-2</v>
      </c>
      <c r="I8">
        <v>1.5861815E-3</v>
      </c>
      <c r="J8">
        <v>0.93758006000000005</v>
      </c>
      <c r="K8">
        <v>0.24938246999999999</v>
      </c>
      <c r="L8">
        <v>187.75698</v>
      </c>
      <c r="M8">
        <v>2.3518897E-2</v>
      </c>
      <c r="N8">
        <v>1.8443936999999999</v>
      </c>
      <c r="O8">
        <v>1.7685358</v>
      </c>
      <c r="P8">
        <v>-7.2161182000000004E-2</v>
      </c>
      <c r="Q8">
        <v>0.14801905000000001</v>
      </c>
      <c r="R8" s="217">
        <v>1.8626049000000001E-7</v>
      </c>
      <c r="S8">
        <v>2.2717824000000001E-2</v>
      </c>
      <c r="T8">
        <v>1.6413252999999999E-4</v>
      </c>
      <c r="U8">
        <v>2.2118938999999998E-3</v>
      </c>
      <c r="V8">
        <v>2.2277457000000001E-2</v>
      </c>
      <c r="W8">
        <v>7.0388098999999999E-3</v>
      </c>
      <c r="X8" s="217">
        <v>1.0550506999999999E-5</v>
      </c>
      <c r="Y8">
        <v>30.754458</v>
      </c>
      <c r="Z8">
        <v>1.7285752000000001</v>
      </c>
      <c r="AA8" s="217">
        <v>1.02456E-7</v>
      </c>
      <c r="AB8">
        <v>0.10412587</v>
      </c>
      <c r="AC8">
        <v>40.822906000000003</v>
      </c>
      <c r="AD8" s="217">
        <v>3.3596419E-9</v>
      </c>
      <c r="AE8" s="217">
        <v>4.5176261999999998E-8</v>
      </c>
      <c r="AF8">
        <v>19.952572</v>
      </c>
      <c r="AG8">
        <v>0</v>
      </c>
      <c r="AH8">
        <v>0</v>
      </c>
      <c r="AI8">
        <v>4.3689432000000004</v>
      </c>
      <c r="AJ8">
        <v>0</v>
      </c>
      <c r="AK8">
        <v>0</v>
      </c>
      <c r="AL8">
        <v>33.379303999999998</v>
      </c>
      <c r="AM8">
        <v>0</v>
      </c>
      <c r="AN8">
        <v>0</v>
      </c>
      <c r="AO8">
        <v>0</v>
      </c>
      <c r="AP8">
        <v>4.4833294000000003E-2</v>
      </c>
      <c r="AQ8" s="217">
        <v>3.0585546E-5</v>
      </c>
      <c r="AR8">
        <v>0.81207505000000002</v>
      </c>
      <c r="AS8">
        <v>1.0548963E-4</v>
      </c>
      <c r="AT8">
        <v>0</v>
      </c>
      <c r="AU8">
        <v>0</v>
      </c>
      <c r="AV8">
        <v>0</v>
      </c>
      <c r="AW8">
        <v>0</v>
      </c>
      <c r="AX8">
        <v>0</v>
      </c>
    </row>
    <row r="9" spans="1:50" x14ac:dyDescent="0.35">
      <c r="A9" t="s">
        <v>805</v>
      </c>
      <c r="B9" s="249">
        <f t="shared" si="0"/>
        <v>7.9338182199999993E-5</v>
      </c>
      <c r="C9">
        <v>0</v>
      </c>
      <c r="D9">
        <v>0</v>
      </c>
      <c r="E9">
        <v>0</v>
      </c>
      <c r="F9">
        <v>0</v>
      </c>
      <c r="G9">
        <v>0</v>
      </c>
      <c r="H9">
        <v>0</v>
      </c>
      <c r="I9">
        <v>0</v>
      </c>
      <c r="J9">
        <v>5.98399E-4</v>
      </c>
      <c r="K9">
        <v>1.4066324000000001E-4</v>
      </c>
      <c r="L9">
        <v>0.20764785999999999</v>
      </c>
      <c r="M9" s="217">
        <v>8.2931500000000004E-6</v>
      </c>
      <c r="N9">
        <v>0</v>
      </c>
      <c r="O9">
        <v>0</v>
      </c>
      <c r="P9">
        <v>0</v>
      </c>
      <c r="Q9">
        <v>0</v>
      </c>
      <c r="R9">
        <v>0</v>
      </c>
      <c r="S9">
        <v>0</v>
      </c>
      <c r="T9">
        <v>0</v>
      </c>
      <c r="U9">
        <v>0</v>
      </c>
      <c r="V9">
        <v>0</v>
      </c>
      <c r="W9">
        <v>0</v>
      </c>
      <c r="X9">
        <v>0</v>
      </c>
      <c r="Y9">
        <v>0</v>
      </c>
      <c r="Z9">
        <v>0</v>
      </c>
      <c r="AA9">
        <v>0</v>
      </c>
      <c r="AB9">
        <v>0</v>
      </c>
      <c r="AC9">
        <v>1.0095395E-2</v>
      </c>
      <c r="AD9" s="217">
        <v>1.736178E-12</v>
      </c>
      <c r="AE9" s="217">
        <v>1.1778788E-11</v>
      </c>
      <c r="AF9">
        <v>0</v>
      </c>
      <c r="AG9">
        <v>0</v>
      </c>
      <c r="AH9">
        <v>0</v>
      </c>
      <c r="AI9">
        <v>0</v>
      </c>
      <c r="AJ9">
        <v>0</v>
      </c>
      <c r="AK9">
        <v>0</v>
      </c>
      <c r="AL9">
        <v>0</v>
      </c>
      <c r="AM9">
        <v>0</v>
      </c>
      <c r="AN9">
        <v>0</v>
      </c>
      <c r="AO9">
        <v>0</v>
      </c>
      <c r="AP9">
        <v>0</v>
      </c>
      <c r="AQ9">
        <v>0</v>
      </c>
      <c r="AR9">
        <v>0</v>
      </c>
      <c r="AS9">
        <v>0</v>
      </c>
      <c r="AT9">
        <v>0</v>
      </c>
      <c r="AU9">
        <v>0</v>
      </c>
      <c r="AV9">
        <v>0</v>
      </c>
      <c r="AW9">
        <v>0</v>
      </c>
      <c r="AX9">
        <v>0</v>
      </c>
    </row>
    <row r="10" spans="1:50" x14ac:dyDescent="0.35">
      <c r="A10" t="s">
        <v>806</v>
      </c>
      <c r="B10" s="249">
        <f t="shared" si="0"/>
        <v>7.7630707172737998E-2</v>
      </c>
      <c r="C10" s="217">
        <v>2.5490777999999998E-6</v>
      </c>
      <c r="D10">
        <v>1.9025916999999999E-3</v>
      </c>
      <c r="E10">
        <v>0.30621521000000002</v>
      </c>
      <c r="F10" s="217">
        <v>2.1853742999999999E-8</v>
      </c>
      <c r="G10">
        <v>2.0876790000000001E-4</v>
      </c>
      <c r="H10">
        <v>1.6014904E-3</v>
      </c>
      <c r="I10">
        <v>3.1319512000000001E-4</v>
      </c>
      <c r="J10">
        <v>0.56202145999999997</v>
      </c>
      <c r="K10">
        <v>6.4977584000000003E-3</v>
      </c>
      <c r="L10">
        <v>14.661884000000001</v>
      </c>
      <c r="M10">
        <v>2.1527083999999998E-3</v>
      </c>
      <c r="N10">
        <v>0.18463861000000001</v>
      </c>
      <c r="O10">
        <v>0.27898088999999998</v>
      </c>
      <c r="P10">
        <v>-9.5232713999999996E-2</v>
      </c>
      <c r="Q10">
        <v>8.9042934999999999E-4</v>
      </c>
      <c r="R10" s="217">
        <v>2.4642457E-8</v>
      </c>
      <c r="S10">
        <v>1.9806623999999999E-3</v>
      </c>
      <c r="T10" s="217">
        <v>4.1124414E-5</v>
      </c>
      <c r="U10">
        <v>3.9183578000000002E-4</v>
      </c>
      <c r="V10">
        <v>4.5212061999999999E-3</v>
      </c>
      <c r="W10">
        <v>1.3162934E-3</v>
      </c>
      <c r="X10" s="217">
        <v>2.5485708999999999E-6</v>
      </c>
      <c r="Y10">
        <v>3.6207905</v>
      </c>
      <c r="Z10">
        <v>0.14121114000000001</v>
      </c>
      <c r="AA10" s="217">
        <v>2.5254513E-8</v>
      </c>
      <c r="AB10">
        <v>1.4203398000000001E-2</v>
      </c>
      <c r="AC10">
        <v>25.219304999999999</v>
      </c>
      <c r="AD10" s="217">
        <v>5.0738127000000003E-10</v>
      </c>
      <c r="AE10" s="217">
        <v>8.5182244999999993E-9</v>
      </c>
      <c r="AF10">
        <v>20.665106000000002</v>
      </c>
      <c r="AG10">
        <v>0</v>
      </c>
      <c r="AH10">
        <v>0</v>
      </c>
      <c r="AI10">
        <v>3.1008878000000002</v>
      </c>
      <c r="AJ10">
        <v>0</v>
      </c>
      <c r="AK10">
        <v>0</v>
      </c>
      <c r="AL10">
        <v>3.8545159999999998</v>
      </c>
      <c r="AM10">
        <v>0</v>
      </c>
      <c r="AN10">
        <v>0</v>
      </c>
      <c r="AO10">
        <v>0</v>
      </c>
      <c r="AP10">
        <v>3.8790207000000002E-3</v>
      </c>
      <c r="AQ10" s="217">
        <v>7.5038263000000002E-6</v>
      </c>
      <c r="AR10">
        <v>8.0171700999999998E-2</v>
      </c>
      <c r="AS10" s="217">
        <v>1.4254540999999999E-5</v>
      </c>
      <c r="AT10">
        <v>0</v>
      </c>
      <c r="AU10">
        <v>0</v>
      </c>
      <c r="AV10">
        <v>0</v>
      </c>
      <c r="AW10">
        <v>0</v>
      </c>
      <c r="AX10">
        <v>0</v>
      </c>
    </row>
    <row r="11" spans="1:50" x14ac:dyDescent="0.35">
      <c r="A11" t="s">
        <v>807</v>
      </c>
      <c r="B11" s="249">
        <f t="shared" si="0"/>
        <v>0.75004836324451996</v>
      </c>
      <c r="C11" s="217">
        <v>1.3378047E-5</v>
      </c>
      <c r="D11">
        <v>2.5708445999999999E-2</v>
      </c>
      <c r="E11">
        <v>3.5491223000000001</v>
      </c>
      <c r="F11" s="217">
        <v>4.3491989999999999E-7</v>
      </c>
      <c r="G11">
        <v>9.9030565000000001E-2</v>
      </c>
      <c r="H11">
        <v>2.8626393999999999E-2</v>
      </c>
      <c r="I11">
        <v>3.639106E-3</v>
      </c>
      <c r="J11">
        <v>1.8322929999999999</v>
      </c>
      <c r="K11">
        <v>0.69996312000000005</v>
      </c>
      <c r="L11">
        <v>289.95835</v>
      </c>
      <c r="M11">
        <v>0.13739916999999999</v>
      </c>
      <c r="N11">
        <v>3.1206968000000002</v>
      </c>
      <c r="O11">
        <v>2.6742930999999999</v>
      </c>
      <c r="P11">
        <v>-0.51450965000000004</v>
      </c>
      <c r="Q11">
        <v>0.96091327999999998</v>
      </c>
      <c r="R11" s="217">
        <v>4.8032777000000002E-7</v>
      </c>
      <c r="S11">
        <v>3.3248268999999997E-2</v>
      </c>
      <c r="T11">
        <v>2.5270012999999999E-4</v>
      </c>
      <c r="U11">
        <v>5.4594537000000002E-3</v>
      </c>
      <c r="V11">
        <v>3.5524515E-2</v>
      </c>
      <c r="W11">
        <v>1.4082089000000001E-2</v>
      </c>
      <c r="X11" s="217">
        <v>1.3199836E-5</v>
      </c>
      <c r="Y11">
        <v>52.233106999999997</v>
      </c>
      <c r="Z11">
        <v>2.5570517000000001</v>
      </c>
      <c r="AA11" s="217">
        <v>1.6079565999999999E-7</v>
      </c>
      <c r="AB11">
        <v>0.16083244999999999</v>
      </c>
      <c r="AC11">
        <v>67.473830000000007</v>
      </c>
      <c r="AD11" s="217">
        <v>5.6386225999999997E-9</v>
      </c>
      <c r="AE11" s="217">
        <v>7.3506093000000003E-8</v>
      </c>
      <c r="AF11">
        <v>77.147093999999996</v>
      </c>
      <c r="AG11">
        <v>0</v>
      </c>
      <c r="AH11">
        <v>0</v>
      </c>
      <c r="AI11">
        <v>14.956073999999999</v>
      </c>
      <c r="AJ11">
        <v>0</v>
      </c>
      <c r="AK11">
        <v>0</v>
      </c>
      <c r="AL11">
        <v>59.368189000000001</v>
      </c>
      <c r="AM11">
        <v>0</v>
      </c>
      <c r="AN11">
        <v>0</v>
      </c>
      <c r="AO11">
        <v>0</v>
      </c>
      <c r="AP11">
        <v>6.5595898999999999E-2</v>
      </c>
      <c r="AQ11" s="217">
        <v>4.5660123999999999E-5</v>
      </c>
      <c r="AR11">
        <v>1.1337478000000001</v>
      </c>
      <c r="AS11">
        <v>1.9555523000000001E-4</v>
      </c>
      <c r="AT11">
        <v>0</v>
      </c>
      <c r="AU11">
        <v>0</v>
      </c>
      <c r="AV11">
        <v>0</v>
      </c>
      <c r="AW11">
        <v>0</v>
      </c>
      <c r="AX11">
        <v>0</v>
      </c>
    </row>
    <row r="12" spans="1:50" x14ac:dyDescent="0.35">
      <c r="A12" t="s">
        <v>808</v>
      </c>
      <c r="B12" s="249">
        <f t="shared" si="0"/>
        <v>0.7662805959445399</v>
      </c>
      <c r="C12" s="217">
        <v>1.3281299E-5</v>
      </c>
      <c r="D12">
        <v>2.4947456E-2</v>
      </c>
      <c r="E12">
        <v>3.5963599999999998</v>
      </c>
      <c r="F12" s="217">
        <v>3.9725589000000002E-7</v>
      </c>
      <c r="G12">
        <v>0.10381814</v>
      </c>
      <c r="H12">
        <v>2.8425743999999999E-2</v>
      </c>
      <c r="I12">
        <v>3.8287654000000002E-3</v>
      </c>
      <c r="J12">
        <v>1.8478528999999999</v>
      </c>
      <c r="K12">
        <v>0.74470440999999998</v>
      </c>
      <c r="L12">
        <v>287.83456999999999</v>
      </c>
      <c r="M12">
        <v>0.15379108999999999</v>
      </c>
      <c r="N12">
        <v>3.1014046999999998</v>
      </c>
      <c r="O12">
        <v>2.6033008999999998</v>
      </c>
      <c r="P12">
        <v>-0.58169906999999998</v>
      </c>
      <c r="Q12">
        <v>1.0798029</v>
      </c>
      <c r="R12" s="217">
        <v>4.553258E-7</v>
      </c>
      <c r="S12">
        <v>3.3032044000000003E-2</v>
      </c>
      <c r="T12">
        <v>2.5711727999999998E-4</v>
      </c>
      <c r="U12">
        <v>5.7481594000000002E-3</v>
      </c>
      <c r="V12">
        <v>3.5374466E-2</v>
      </c>
      <c r="W12">
        <v>1.4092552E-2</v>
      </c>
      <c r="X12" s="217">
        <v>1.3081091E-5</v>
      </c>
      <c r="Y12">
        <v>50.746935000000001</v>
      </c>
      <c r="Z12">
        <v>2.4844140000000001</v>
      </c>
      <c r="AA12" s="217">
        <v>1.582856E-7</v>
      </c>
      <c r="AB12">
        <v>0.16100919999999999</v>
      </c>
      <c r="AC12">
        <v>67.492512000000005</v>
      </c>
      <c r="AD12" s="217">
        <v>5.6200481999999997E-9</v>
      </c>
      <c r="AE12" s="217">
        <v>7.4403240000000005E-8</v>
      </c>
      <c r="AF12">
        <v>84.602969000000002</v>
      </c>
      <c r="AG12">
        <v>0</v>
      </c>
      <c r="AH12">
        <v>0</v>
      </c>
      <c r="AI12">
        <v>16.322474</v>
      </c>
      <c r="AJ12">
        <v>0</v>
      </c>
      <c r="AK12">
        <v>0</v>
      </c>
      <c r="AL12">
        <v>58.185116999999998</v>
      </c>
      <c r="AM12">
        <v>0</v>
      </c>
      <c r="AN12">
        <v>0</v>
      </c>
      <c r="AO12">
        <v>0</v>
      </c>
      <c r="AP12">
        <v>6.3663512000000005E-2</v>
      </c>
      <c r="AQ12" s="217">
        <v>4.4955138000000003E-5</v>
      </c>
      <c r="AR12">
        <v>1.1338425999999999</v>
      </c>
      <c r="AS12">
        <v>1.9763944999999999E-4</v>
      </c>
      <c r="AT12">
        <v>0</v>
      </c>
      <c r="AU12">
        <v>0</v>
      </c>
      <c r="AV12">
        <v>0</v>
      </c>
      <c r="AW12">
        <v>0</v>
      </c>
      <c r="AX12">
        <v>0</v>
      </c>
    </row>
    <row r="13" spans="1:50" x14ac:dyDescent="0.35">
      <c r="A13" t="s">
        <v>809</v>
      </c>
      <c r="B13" s="249">
        <f t="shared" si="0"/>
        <v>0.27669433324292403</v>
      </c>
      <c r="C13" s="217">
        <v>9.3356663999999995E-6</v>
      </c>
      <c r="D13">
        <v>1.3536276999999999E-2</v>
      </c>
      <c r="E13">
        <v>2.2630458</v>
      </c>
      <c r="F13" s="217">
        <v>2.0817320999999999E-7</v>
      </c>
      <c r="G13">
        <v>1.9765843000000001E-3</v>
      </c>
      <c r="H13">
        <v>1.0047329000000001E-2</v>
      </c>
      <c r="I13">
        <v>1.9446081E-3</v>
      </c>
      <c r="J13">
        <v>0.84570098999999999</v>
      </c>
      <c r="K13">
        <v>0.26409462</v>
      </c>
      <c r="L13">
        <v>127.08637</v>
      </c>
      <c r="M13">
        <v>4.9666296999999998E-2</v>
      </c>
      <c r="N13">
        <v>2.1810429</v>
      </c>
      <c r="O13">
        <v>2.0200499000000001</v>
      </c>
      <c r="P13">
        <v>-0.17387142999999999</v>
      </c>
      <c r="Q13">
        <v>0.33486445999999997</v>
      </c>
      <c r="R13" s="217">
        <v>2.0989289999999999E-7</v>
      </c>
      <c r="S13">
        <v>1.243506E-2</v>
      </c>
      <c r="T13">
        <v>1.8176914000000001E-4</v>
      </c>
      <c r="U13">
        <v>2.8419908999999998E-3</v>
      </c>
      <c r="V13">
        <v>2.5607689999999999E-2</v>
      </c>
      <c r="W13">
        <v>7.9760986000000002E-3</v>
      </c>
      <c r="X13" s="217">
        <v>9.2723475999999992E-6</v>
      </c>
      <c r="Y13">
        <v>27.988015000000001</v>
      </c>
      <c r="Z13">
        <v>0.94880202999999996</v>
      </c>
      <c r="AA13" s="217">
        <v>9.9161623999999997E-8</v>
      </c>
      <c r="AB13">
        <v>0.11546508</v>
      </c>
      <c r="AC13">
        <v>47.103518000000001</v>
      </c>
      <c r="AD13" s="217">
        <v>2.8028226E-9</v>
      </c>
      <c r="AE13" s="217">
        <v>1.1174718000000001E-7</v>
      </c>
      <c r="AF13">
        <v>31.612010000000001</v>
      </c>
      <c r="AG13">
        <v>0</v>
      </c>
      <c r="AH13">
        <v>0</v>
      </c>
      <c r="AI13">
        <v>6.8220625000000004</v>
      </c>
      <c r="AJ13">
        <v>0</v>
      </c>
      <c r="AK13">
        <v>0</v>
      </c>
      <c r="AL13">
        <v>30.987476000000001</v>
      </c>
      <c r="AM13">
        <v>0</v>
      </c>
      <c r="AN13">
        <v>0</v>
      </c>
      <c r="AO13">
        <v>0</v>
      </c>
      <c r="AP13">
        <v>2.7974302999999999E-2</v>
      </c>
      <c r="AQ13" s="217">
        <v>3.1833396999999998E-5</v>
      </c>
      <c r="AR13">
        <v>0.59843252999999996</v>
      </c>
      <c r="AS13">
        <v>1.0884342E-4</v>
      </c>
      <c r="AT13">
        <v>0</v>
      </c>
      <c r="AU13">
        <v>0</v>
      </c>
      <c r="AV13">
        <v>0</v>
      </c>
      <c r="AW13">
        <v>0</v>
      </c>
      <c r="AX13">
        <v>0</v>
      </c>
    </row>
    <row r="14" spans="1:50" x14ac:dyDescent="0.35">
      <c r="A14" t="s">
        <v>810</v>
      </c>
      <c r="B14" s="249">
        <f t="shared" si="0"/>
        <v>5.1262359401964011E-2</v>
      </c>
      <c r="C14" s="217">
        <v>5.2679113999999998E-6</v>
      </c>
      <c r="D14">
        <v>2.0697317999999998E-3</v>
      </c>
      <c r="E14">
        <v>0.25761344000000003</v>
      </c>
      <c r="F14" s="217">
        <v>2.1632437999999999E-8</v>
      </c>
      <c r="G14">
        <v>2.4896306000000003E-4</v>
      </c>
      <c r="H14">
        <v>1.4766057E-3</v>
      </c>
      <c r="I14">
        <v>3.0751821999999999E-4</v>
      </c>
      <c r="J14">
        <v>0.29902165000000003</v>
      </c>
      <c r="K14">
        <v>5.8354762999999997E-3</v>
      </c>
      <c r="L14">
        <v>16.973099000000001</v>
      </c>
      <c r="M14">
        <v>1.5450481000000001E-3</v>
      </c>
      <c r="N14">
        <v>0.17491171</v>
      </c>
      <c r="O14">
        <v>0.26353821999999999</v>
      </c>
      <c r="P14">
        <v>-8.9337756000000004E-2</v>
      </c>
      <c r="Q14">
        <v>7.1124396999999999E-4</v>
      </c>
      <c r="R14" s="217">
        <v>2.5371351999999999E-8</v>
      </c>
      <c r="S14">
        <v>1.8488292E-3</v>
      </c>
      <c r="T14" s="217">
        <v>3.8472778000000002E-5</v>
      </c>
      <c r="U14">
        <v>3.909389E-4</v>
      </c>
      <c r="V14">
        <v>4.645939E-3</v>
      </c>
      <c r="W14">
        <v>1.4285319999999999E-3</v>
      </c>
      <c r="X14" s="217">
        <v>5.2680600000000002E-6</v>
      </c>
      <c r="Y14">
        <v>4.0947664000000001</v>
      </c>
      <c r="Z14">
        <v>0.16070828000000001</v>
      </c>
      <c r="AA14" s="217">
        <v>2.2323157000000001E-8</v>
      </c>
      <c r="AB14">
        <v>1.9064106000000001E-2</v>
      </c>
      <c r="AC14">
        <v>11.455664000000001</v>
      </c>
      <c r="AD14" s="217">
        <v>3.6508522999999998E-10</v>
      </c>
      <c r="AE14" s="217">
        <v>7.9663521999999998E-9</v>
      </c>
      <c r="AF14">
        <v>16.677716</v>
      </c>
      <c r="AG14">
        <v>0</v>
      </c>
      <c r="AH14">
        <v>0</v>
      </c>
      <c r="AI14">
        <v>2.6142373000000001</v>
      </c>
      <c r="AJ14">
        <v>0</v>
      </c>
      <c r="AK14">
        <v>0</v>
      </c>
      <c r="AL14">
        <v>4.3420110999999997</v>
      </c>
      <c r="AM14">
        <v>0</v>
      </c>
      <c r="AN14">
        <v>0</v>
      </c>
      <c r="AO14">
        <v>0</v>
      </c>
      <c r="AP14">
        <v>4.4933823000000003E-3</v>
      </c>
      <c r="AQ14" s="217">
        <v>7.1860691999999998E-6</v>
      </c>
      <c r="AR14">
        <v>7.1419027999999996E-2</v>
      </c>
      <c r="AS14" s="217">
        <v>1.6084852000000001E-5</v>
      </c>
      <c r="AT14">
        <v>0</v>
      </c>
      <c r="AU14">
        <v>0</v>
      </c>
      <c r="AV14">
        <v>0</v>
      </c>
      <c r="AW14">
        <v>0</v>
      </c>
      <c r="AX14">
        <v>0</v>
      </c>
    </row>
    <row r="15" spans="1:50" x14ac:dyDescent="0.35">
      <c r="A15" t="s">
        <v>811</v>
      </c>
      <c r="B15" s="249">
        <f t="shared" si="0"/>
        <v>0.84483620663850012</v>
      </c>
      <c r="C15">
        <v>2.7574336999999999E-4</v>
      </c>
      <c r="D15">
        <v>3.1062098E-2</v>
      </c>
      <c r="E15">
        <v>5.1238146999999996</v>
      </c>
      <c r="F15" s="217">
        <v>1.7311830999999999E-7</v>
      </c>
      <c r="G15">
        <v>2.1654486000000001E-3</v>
      </c>
      <c r="H15">
        <v>2.8469161E-2</v>
      </c>
      <c r="I15">
        <v>2.7091337000000001E-3</v>
      </c>
      <c r="J15">
        <v>4.6105195999999999</v>
      </c>
      <c r="K15">
        <v>3.5764411000000003E-2</v>
      </c>
      <c r="L15">
        <v>242.01272</v>
      </c>
      <c r="M15">
        <v>1.3591844E-2</v>
      </c>
      <c r="N15">
        <v>5.2711202000000004</v>
      </c>
      <c r="O15">
        <v>5.2644886</v>
      </c>
      <c r="P15">
        <v>-1.2307246000000001E-2</v>
      </c>
      <c r="Q15">
        <v>1.8938849000000001E-2</v>
      </c>
      <c r="R15" s="217">
        <v>1.9343718E-7</v>
      </c>
      <c r="S15">
        <v>3.3876732999999999E-2</v>
      </c>
      <c r="T15">
        <v>2.6681086000000001E-4</v>
      </c>
      <c r="U15">
        <v>5.1565303999999996E-3</v>
      </c>
      <c r="V15">
        <v>5.855142E-2</v>
      </c>
      <c r="W15">
        <v>1.6847937E-2</v>
      </c>
      <c r="X15">
        <v>2.7574347000000003E-4</v>
      </c>
      <c r="Y15">
        <v>49.172168999999997</v>
      </c>
      <c r="Z15">
        <v>1.3332132000000001</v>
      </c>
      <c r="AA15" s="217">
        <v>3.7487096000000001E-7</v>
      </c>
      <c r="AB15">
        <v>7.6771914999999996E-2</v>
      </c>
      <c r="AC15">
        <v>144.94246999999999</v>
      </c>
      <c r="AD15" s="217">
        <v>6.4128473000000002E-9</v>
      </c>
      <c r="AE15" s="217">
        <v>1.4473276000000001E-7</v>
      </c>
      <c r="AF15">
        <v>11.77243</v>
      </c>
      <c r="AG15">
        <v>0</v>
      </c>
      <c r="AH15">
        <v>0</v>
      </c>
      <c r="AI15">
        <v>6.5242901</v>
      </c>
      <c r="AJ15">
        <v>0</v>
      </c>
      <c r="AK15">
        <v>0</v>
      </c>
      <c r="AL15">
        <v>52.336869</v>
      </c>
      <c r="AM15">
        <v>0</v>
      </c>
      <c r="AN15">
        <v>0</v>
      </c>
      <c r="AO15">
        <v>0</v>
      </c>
      <c r="AP15">
        <v>4.9787273E-2</v>
      </c>
      <c r="AQ15">
        <v>2.5752958999999999E-3</v>
      </c>
      <c r="AR15">
        <v>0.87943603000000004</v>
      </c>
      <c r="AS15" s="217">
        <v>8.1048644000000002E-5</v>
      </c>
      <c r="AT15">
        <v>0</v>
      </c>
      <c r="AU15">
        <v>0</v>
      </c>
      <c r="AV15">
        <v>0</v>
      </c>
      <c r="AW15">
        <v>0</v>
      </c>
      <c r="AX15">
        <v>0</v>
      </c>
    </row>
    <row r="16" spans="1:50" x14ac:dyDescent="0.35">
      <c r="A16" t="s">
        <v>812</v>
      </c>
      <c r="B16" s="249">
        <f t="shared" si="0"/>
        <v>0.10487195254116999</v>
      </c>
      <c r="C16">
        <v>3.5597221E-4</v>
      </c>
      <c r="D16">
        <v>5.2611241000000003E-3</v>
      </c>
      <c r="E16">
        <v>0.87360453999999998</v>
      </c>
      <c r="F16" s="217">
        <v>6.0323919000000002E-8</v>
      </c>
      <c r="G16">
        <v>4.1024535000000001E-4</v>
      </c>
      <c r="H16">
        <v>4.7435936999999997E-3</v>
      </c>
      <c r="I16">
        <v>8.0173766999999999E-4</v>
      </c>
      <c r="J16">
        <v>0.31644798000000002</v>
      </c>
      <c r="K16">
        <v>1.1501997E-2</v>
      </c>
      <c r="L16">
        <v>40.099353000000001</v>
      </c>
      <c r="M16">
        <v>7.4227078999999996E-3</v>
      </c>
      <c r="N16">
        <v>0.89132401999999999</v>
      </c>
      <c r="O16">
        <v>0.88388858000000003</v>
      </c>
      <c r="P16">
        <v>6.4087251000000001E-3</v>
      </c>
      <c r="Q16">
        <v>1.0267213000000001E-3</v>
      </c>
      <c r="R16" s="217">
        <v>6.9108012000000003E-8</v>
      </c>
      <c r="S16">
        <v>5.8139131999999996E-3</v>
      </c>
      <c r="T16">
        <v>1.3019187000000001E-4</v>
      </c>
      <c r="U16">
        <v>9.7552135000000004E-4</v>
      </c>
      <c r="V16">
        <v>1.2177264E-2</v>
      </c>
      <c r="W16">
        <v>3.1509313000000001E-3</v>
      </c>
      <c r="X16">
        <v>3.5597234999999998E-4</v>
      </c>
      <c r="Y16">
        <v>9.5153715999999999</v>
      </c>
      <c r="Z16">
        <v>0.89877688</v>
      </c>
      <c r="AA16" s="217">
        <v>4.4729605999999998E-8</v>
      </c>
      <c r="AB16">
        <v>2.2806653E-2</v>
      </c>
      <c r="AC16">
        <v>46.374572000000001</v>
      </c>
      <c r="AD16" s="217">
        <v>7.9094786000000002E-10</v>
      </c>
      <c r="AE16" s="217">
        <v>5.5489308999999997E-8</v>
      </c>
      <c r="AF16">
        <v>5.5250688999999999</v>
      </c>
      <c r="AG16">
        <v>0</v>
      </c>
      <c r="AH16">
        <v>0</v>
      </c>
      <c r="AI16">
        <v>0.8914995</v>
      </c>
      <c r="AJ16">
        <v>0</v>
      </c>
      <c r="AK16">
        <v>0</v>
      </c>
      <c r="AL16">
        <v>10.238635</v>
      </c>
      <c r="AM16">
        <v>0</v>
      </c>
      <c r="AN16">
        <v>0</v>
      </c>
      <c r="AO16">
        <v>0</v>
      </c>
      <c r="AP16">
        <v>2.2950681000000001E-2</v>
      </c>
      <c r="AQ16">
        <v>3.2667264999999999E-3</v>
      </c>
      <c r="AR16">
        <v>0.16698502000000001</v>
      </c>
      <c r="AS16" s="217">
        <v>2.5411543E-5</v>
      </c>
      <c r="AT16">
        <v>0</v>
      </c>
      <c r="AU16">
        <v>0</v>
      </c>
      <c r="AV16">
        <v>0</v>
      </c>
      <c r="AW16">
        <v>0</v>
      </c>
      <c r="AX16">
        <v>0</v>
      </c>
    </row>
    <row r="17" spans="1:50" x14ac:dyDescent="0.35">
      <c r="A17" t="s">
        <v>813</v>
      </c>
      <c r="B17" s="249">
        <f t="shared" si="0"/>
        <v>0.25371158824900003</v>
      </c>
      <c r="C17">
        <v>3.3991140000000001E-4</v>
      </c>
      <c r="D17">
        <v>1.6325009000000001E-2</v>
      </c>
      <c r="E17">
        <v>2.3141003000000002</v>
      </c>
      <c r="F17" s="217">
        <v>2.3541550000000001E-7</v>
      </c>
      <c r="G17">
        <v>1.0707545000000001E-3</v>
      </c>
      <c r="H17">
        <v>1.0049695000000001E-2</v>
      </c>
      <c r="I17">
        <v>1.4879016E-3</v>
      </c>
      <c r="J17">
        <v>0.74358579000000002</v>
      </c>
      <c r="K17">
        <v>7.6533667999999999E-2</v>
      </c>
      <c r="L17">
        <v>98.56568</v>
      </c>
      <c r="M17">
        <v>8.7736829999999991E-3</v>
      </c>
      <c r="N17">
        <v>2.3670746</v>
      </c>
      <c r="O17">
        <v>2.3495067999999999</v>
      </c>
      <c r="P17">
        <v>1.561567E-2</v>
      </c>
      <c r="Q17">
        <v>1.9521597E-3</v>
      </c>
      <c r="R17" s="217">
        <v>2.4705903000000002E-7</v>
      </c>
      <c r="S17">
        <v>1.2360792000000001E-2</v>
      </c>
      <c r="T17">
        <v>2.0427094000000001E-4</v>
      </c>
      <c r="U17">
        <v>1.7142863000000001E-3</v>
      </c>
      <c r="V17">
        <v>2.3994094000000001E-2</v>
      </c>
      <c r="W17">
        <v>6.1288458999999998E-3</v>
      </c>
      <c r="X17">
        <v>3.3991153999999999E-4</v>
      </c>
      <c r="Y17">
        <v>32.691341999999999</v>
      </c>
      <c r="Z17">
        <v>1.2660283000000001</v>
      </c>
      <c r="AA17" s="217">
        <v>7.5256215999999998E-8</v>
      </c>
      <c r="AB17">
        <v>0.10103473</v>
      </c>
      <c r="AC17">
        <v>63.362609999999997</v>
      </c>
      <c r="AD17" s="217">
        <v>3.2825883999999998E-9</v>
      </c>
      <c r="AE17" s="217">
        <v>7.0830211000000004E-8</v>
      </c>
      <c r="AF17">
        <v>9.0254954999999999</v>
      </c>
      <c r="AG17">
        <v>0</v>
      </c>
      <c r="AH17">
        <v>0</v>
      </c>
      <c r="AI17">
        <v>2.4137634000000001</v>
      </c>
      <c r="AJ17">
        <v>0</v>
      </c>
      <c r="AK17">
        <v>0</v>
      </c>
      <c r="AL17">
        <v>35.286071999999997</v>
      </c>
      <c r="AM17">
        <v>0</v>
      </c>
      <c r="AN17">
        <v>0</v>
      </c>
      <c r="AO17">
        <v>0</v>
      </c>
      <c r="AP17">
        <v>3.5247721000000003E-2</v>
      </c>
      <c r="AQ17">
        <v>3.1010263999999999E-3</v>
      </c>
      <c r="AR17">
        <v>0.34098666</v>
      </c>
      <c r="AS17" s="217">
        <v>9.5865903000000001E-5</v>
      </c>
      <c r="AT17">
        <v>0</v>
      </c>
      <c r="AU17">
        <v>0</v>
      </c>
      <c r="AV17">
        <v>0</v>
      </c>
      <c r="AW17">
        <v>0</v>
      </c>
      <c r="AX17">
        <v>0</v>
      </c>
    </row>
    <row r="18" spans="1:50" x14ac:dyDescent="0.35">
      <c r="A18" t="s">
        <v>814</v>
      </c>
      <c r="B18" s="249">
        <f t="shared" si="0"/>
        <v>2.0956025503510602</v>
      </c>
      <c r="C18" s="217">
        <v>4.2006976000000001E-5</v>
      </c>
      <c r="D18">
        <v>7.3634242000000003E-2</v>
      </c>
      <c r="E18">
        <v>12.117704</v>
      </c>
      <c r="F18" s="217">
        <v>3.5659583000000002E-7</v>
      </c>
      <c r="G18">
        <v>5.1153348999999999E-3</v>
      </c>
      <c r="H18">
        <v>6.8744234000000001E-2</v>
      </c>
      <c r="I18">
        <v>6.1770321000000003E-3</v>
      </c>
      <c r="J18">
        <v>11.934499000000001</v>
      </c>
      <c r="K18">
        <v>7.7791518000000004E-2</v>
      </c>
      <c r="L18">
        <v>593.31755999999996</v>
      </c>
      <c r="M18">
        <v>2.2452440000000001E-2</v>
      </c>
      <c r="N18">
        <v>12.480282000000001</v>
      </c>
      <c r="O18">
        <v>12.474292999999999</v>
      </c>
      <c r="P18">
        <v>-4.2582274000000003E-2</v>
      </c>
      <c r="Q18">
        <v>4.8571186000000002E-2</v>
      </c>
      <c r="R18" s="217">
        <v>3.9533078E-7</v>
      </c>
      <c r="S18">
        <v>8.1415191999999997E-2</v>
      </c>
      <c r="T18">
        <v>5.9649485999999996E-4</v>
      </c>
      <c r="U18">
        <v>1.2076863E-2</v>
      </c>
      <c r="V18">
        <v>0.13516189000000001</v>
      </c>
      <c r="W18">
        <v>3.9583376000000003E-2</v>
      </c>
      <c r="X18" s="217">
        <v>4.2007464999999998E-5</v>
      </c>
      <c r="Y18">
        <v>114.55298000000001</v>
      </c>
      <c r="Z18">
        <v>1.9409835</v>
      </c>
      <c r="AA18" s="217">
        <v>9.2225928000000004E-7</v>
      </c>
      <c r="AB18">
        <v>0.16644413999999999</v>
      </c>
      <c r="AC18">
        <v>309.47823</v>
      </c>
      <c r="AD18" s="217">
        <v>1.5821495999999999E-8</v>
      </c>
      <c r="AE18" s="217">
        <v>2.9406481999999999E-7</v>
      </c>
      <c r="AF18">
        <v>22.297716000000001</v>
      </c>
      <c r="AG18">
        <v>0</v>
      </c>
      <c r="AH18">
        <v>0</v>
      </c>
      <c r="AI18">
        <v>15.917899999999999</v>
      </c>
      <c r="AJ18">
        <v>0</v>
      </c>
      <c r="AK18">
        <v>0</v>
      </c>
      <c r="AL18">
        <v>121.72931</v>
      </c>
      <c r="AM18">
        <v>0</v>
      </c>
      <c r="AN18">
        <v>0</v>
      </c>
      <c r="AO18">
        <v>0</v>
      </c>
      <c r="AP18">
        <v>9.1728743000000001E-2</v>
      </c>
      <c r="AQ18">
        <v>1.6331549E-3</v>
      </c>
      <c r="AR18">
        <v>2.0531217000000002</v>
      </c>
      <c r="AS18">
        <v>1.7270946999999999E-4</v>
      </c>
      <c r="AT18">
        <v>0</v>
      </c>
      <c r="AU18">
        <v>0</v>
      </c>
      <c r="AV18">
        <v>0</v>
      </c>
      <c r="AW18">
        <v>0</v>
      </c>
      <c r="AX18">
        <v>0</v>
      </c>
    </row>
    <row r="19" spans="1:50" x14ac:dyDescent="0.35">
      <c r="A19" t="s">
        <v>815</v>
      </c>
      <c r="B19" s="249">
        <f t="shared" si="0"/>
        <v>0.94949887298980007</v>
      </c>
      <c r="C19">
        <v>2.6447233000000001E-4</v>
      </c>
      <c r="D19">
        <v>4.0585626E-2</v>
      </c>
      <c r="E19">
        <v>6.3105665999999996</v>
      </c>
      <c r="F19" s="217">
        <v>3.4147590000000001E-7</v>
      </c>
      <c r="G19">
        <v>2.7211695E-3</v>
      </c>
      <c r="H19">
        <v>3.2358811000000001E-2</v>
      </c>
      <c r="I19">
        <v>3.2814232E-3</v>
      </c>
      <c r="J19">
        <v>4.7812948999999998</v>
      </c>
      <c r="K19">
        <v>9.9347580000000005E-2</v>
      </c>
      <c r="L19">
        <v>288.42451999999997</v>
      </c>
      <c r="M19">
        <v>1.4574513000000001E-2</v>
      </c>
      <c r="N19">
        <v>6.4853905000000003</v>
      </c>
      <c r="O19">
        <v>6.4685784999999996</v>
      </c>
      <c r="P19">
        <v>-1.9829299999999999E-3</v>
      </c>
      <c r="Q19">
        <v>1.8794907E-2</v>
      </c>
      <c r="R19" s="217">
        <v>3.6396555999999998E-7</v>
      </c>
      <c r="S19">
        <v>3.874822E-2</v>
      </c>
      <c r="T19">
        <v>3.3273356999999999E-4</v>
      </c>
      <c r="U19">
        <v>5.6456828999999998E-3</v>
      </c>
      <c r="V19">
        <v>6.7599644E-2</v>
      </c>
      <c r="W19">
        <v>1.900812E-2</v>
      </c>
      <c r="X19">
        <v>2.6447244E-4</v>
      </c>
      <c r="Y19">
        <v>69.980569000000003</v>
      </c>
      <c r="Z19">
        <v>1.6745281000000001</v>
      </c>
      <c r="AA19" s="217">
        <v>3.8568764000000002E-7</v>
      </c>
      <c r="AB19">
        <v>0.15177819000000001</v>
      </c>
      <c r="AC19">
        <v>156.04586</v>
      </c>
      <c r="AD19" s="217">
        <v>8.5688519999999996E-9</v>
      </c>
      <c r="AE19" s="217">
        <v>1.547457E-7</v>
      </c>
      <c r="AF19">
        <v>14.89988</v>
      </c>
      <c r="AG19">
        <v>0</v>
      </c>
      <c r="AH19">
        <v>0</v>
      </c>
      <c r="AI19">
        <v>7.7102681000000004</v>
      </c>
      <c r="AJ19">
        <v>0</v>
      </c>
      <c r="AK19">
        <v>0</v>
      </c>
      <c r="AL19">
        <v>74.870977999999994</v>
      </c>
      <c r="AM19">
        <v>0</v>
      </c>
      <c r="AN19">
        <v>0</v>
      </c>
      <c r="AO19">
        <v>0</v>
      </c>
      <c r="AP19">
        <v>6.0482129000000003E-2</v>
      </c>
      <c r="AQ19">
        <v>2.4508753E-3</v>
      </c>
      <c r="AR19">
        <v>1.0109033000000001</v>
      </c>
      <c r="AS19">
        <v>1.4818139000000001E-4</v>
      </c>
      <c r="AT19">
        <v>0</v>
      </c>
      <c r="AU19">
        <v>0</v>
      </c>
      <c r="AV19">
        <v>0</v>
      </c>
      <c r="AW19">
        <v>0</v>
      </c>
      <c r="AX19">
        <v>0</v>
      </c>
    </row>
    <row r="20" spans="1:50" x14ac:dyDescent="0.35">
      <c r="A20" t="s">
        <v>816</v>
      </c>
      <c r="B20" s="249">
        <f t="shared" si="0"/>
        <v>2.6344686713052998</v>
      </c>
      <c r="C20">
        <v>4.3644994999999999E-4</v>
      </c>
      <c r="D20">
        <v>5.7189391999999999E-2</v>
      </c>
      <c r="E20">
        <v>9.4630443999999994</v>
      </c>
      <c r="F20" s="217">
        <v>5.8079011000000003E-7</v>
      </c>
      <c r="G20">
        <v>5.7110950000000002E-3</v>
      </c>
      <c r="H20">
        <v>6.3535970999999997E-2</v>
      </c>
      <c r="I20">
        <v>5.1115207999999999E-3</v>
      </c>
      <c r="J20">
        <v>19.728052999999999</v>
      </c>
      <c r="K20">
        <v>8.3738455000000003E-2</v>
      </c>
      <c r="L20">
        <v>605.45639000000006</v>
      </c>
      <c r="M20">
        <v>3.2109484000000001E-2</v>
      </c>
      <c r="N20">
        <v>9.7554154000000004</v>
      </c>
      <c r="O20">
        <v>9.5629887</v>
      </c>
      <c r="P20">
        <v>2.8078104E-2</v>
      </c>
      <c r="Q20">
        <v>0.16434862</v>
      </c>
      <c r="R20" s="217">
        <v>5.9209743000000001E-7</v>
      </c>
      <c r="S20">
        <v>7.4221177999999999E-2</v>
      </c>
      <c r="T20">
        <v>5.8018510000000002E-4</v>
      </c>
      <c r="U20">
        <v>8.8187861999999995E-3</v>
      </c>
      <c r="V20">
        <v>0.10079415999999999</v>
      </c>
      <c r="W20">
        <v>3.2188943999999997E-2</v>
      </c>
      <c r="X20">
        <v>4.3644999E-4</v>
      </c>
      <c r="Y20">
        <v>110.49514000000001</v>
      </c>
      <c r="Z20">
        <v>2.5534224999999999</v>
      </c>
      <c r="AA20" s="217">
        <v>6.6826352999999997E-7</v>
      </c>
      <c r="AB20">
        <v>0.47607165000000001</v>
      </c>
      <c r="AC20">
        <v>252.32123999999999</v>
      </c>
      <c r="AD20" s="217">
        <v>2.1735279999999999E-8</v>
      </c>
      <c r="AE20" s="217">
        <v>3.6430054999999998E-7</v>
      </c>
      <c r="AF20">
        <v>13.718852999999999</v>
      </c>
      <c r="AG20">
        <v>0</v>
      </c>
      <c r="AH20">
        <v>0</v>
      </c>
      <c r="AI20">
        <v>41.167102999999997</v>
      </c>
      <c r="AJ20">
        <v>0</v>
      </c>
      <c r="AK20">
        <v>0</v>
      </c>
      <c r="AL20">
        <v>117.53342000000001</v>
      </c>
      <c r="AM20">
        <v>0</v>
      </c>
      <c r="AN20">
        <v>0</v>
      </c>
      <c r="AO20">
        <v>0</v>
      </c>
      <c r="AP20">
        <v>0.2344231</v>
      </c>
      <c r="AQ20">
        <v>6.6127614999999997E-4</v>
      </c>
      <c r="AR20">
        <v>2.3361493000000002</v>
      </c>
      <c r="AS20">
        <v>4.2359801999999999E-4</v>
      </c>
      <c r="AT20">
        <v>0</v>
      </c>
      <c r="AU20">
        <v>0</v>
      </c>
      <c r="AV20">
        <v>0</v>
      </c>
      <c r="AW20">
        <v>0</v>
      </c>
      <c r="AX20">
        <v>0</v>
      </c>
    </row>
    <row r="21" spans="1:50" x14ac:dyDescent="0.35">
      <c r="A21" t="s">
        <v>817</v>
      </c>
      <c r="B21" s="249">
        <f t="shared" si="0"/>
        <v>1.8012578319822801E-3</v>
      </c>
      <c r="C21" s="217">
        <v>2.4279332999999999E-8</v>
      </c>
      <c r="D21" s="217">
        <v>9.6045397000000006E-5</v>
      </c>
      <c r="E21">
        <v>1.7331922E-2</v>
      </c>
      <c r="F21" s="217">
        <v>2.0387483000000001E-9</v>
      </c>
      <c r="G21" s="217">
        <v>9.3530512999999994E-6</v>
      </c>
      <c r="H21" s="217">
        <v>7.5615292999999995E-5</v>
      </c>
      <c r="I21" s="217">
        <v>1.5220626000000001E-5</v>
      </c>
      <c r="J21">
        <v>4.6401067000000004E-3</v>
      </c>
      <c r="K21">
        <v>1.0662582000000001E-4</v>
      </c>
      <c r="L21">
        <v>0.38787487999999998</v>
      </c>
      <c r="M21" s="217">
        <v>2.4677452000000001E-5</v>
      </c>
      <c r="N21">
        <v>1.0847959000000001E-2</v>
      </c>
      <c r="O21">
        <v>1.0837144999999999E-2</v>
      </c>
      <c r="P21" s="217">
        <v>6.7443698999999998E-6</v>
      </c>
      <c r="Q21" s="217">
        <v>4.0694183000000003E-6</v>
      </c>
      <c r="R21" s="217">
        <v>2.3466869000000001E-9</v>
      </c>
      <c r="S21" s="217">
        <v>8.4279731000000004E-5</v>
      </c>
      <c r="T21" s="217">
        <v>1.9425944E-7</v>
      </c>
      <c r="U21" s="217">
        <v>3.1587671999999999E-5</v>
      </c>
      <c r="V21">
        <v>3.5035502999999999E-4</v>
      </c>
      <c r="W21" s="217">
        <v>9.7037529999999996E-5</v>
      </c>
      <c r="X21" s="217">
        <v>2.3241746999999999E-8</v>
      </c>
      <c r="Y21">
        <v>0.16074282000000001</v>
      </c>
      <c r="Z21">
        <v>1.4183695E-2</v>
      </c>
      <c r="AA21" s="217">
        <v>1.5630078000000001E-9</v>
      </c>
      <c r="AB21">
        <v>6.8893386E-4</v>
      </c>
      <c r="AC21">
        <v>0.11704588</v>
      </c>
      <c r="AD21" s="217">
        <v>4.8137658E-12</v>
      </c>
      <c r="AE21" s="217">
        <v>1.3259196999999999E-10</v>
      </c>
      <c r="AF21">
        <v>9.9894657999999997E-2</v>
      </c>
      <c r="AG21">
        <v>0</v>
      </c>
      <c r="AH21">
        <v>0</v>
      </c>
      <c r="AI21">
        <v>4.6490046999999998E-3</v>
      </c>
      <c r="AJ21">
        <v>0</v>
      </c>
      <c r="AK21">
        <v>0</v>
      </c>
      <c r="AL21">
        <v>0.20931157</v>
      </c>
      <c r="AM21">
        <v>0</v>
      </c>
      <c r="AN21">
        <v>0</v>
      </c>
      <c r="AO21">
        <v>0</v>
      </c>
      <c r="AP21">
        <v>3.5540636999999999E-4</v>
      </c>
      <c r="AQ21" s="217">
        <v>3.7523439999999998E-7</v>
      </c>
      <c r="AR21">
        <v>5.8523052000000004E-3</v>
      </c>
      <c r="AS21" s="217">
        <v>1.0649498E-6</v>
      </c>
      <c r="AT21">
        <v>0</v>
      </c>
      <c r="AU21">
        <v>0</v>
      </c>
      <c r="AV21">
        <v>0</v>
      </c>
      <c r="AW21">
        <v>0</v>
      </c>
      <c r="AX21">
        <v>0</v>
      </c>
    </row>
    <row r="22" spans="1:50" x14ac:dyDescent="0.35">
      <c r="A22" t="s">
        <v>818</v>
      </c>
      <c r="B22" s="249">
        <f t="shared" si="0"/>
        <v>1.466531244E-2</v>
      </c>
      <c r="C22" s="217">
        <v>1.3400000000000001E-7</v>
      </c>
      <c r="D22">
        <v>1.98E-3</v>
      </c>
      <c r="E22">
        <v>0.122</v>
      </c>
      <c r="F22" s="217">
        <v>1.5700000000000002E-8</v>
      </c>
      <c r="G22">
        <v>1.8799999999999999E-4</v>
      </c>
      <c r="H22">
        <v>7.0600000000000003E-4</v>
      </c>
      <c r="I22" s="217">
        <v>8.2299999999999995E-5</v>
      </c>
      <c r="J22">
        <v>3.32E-2</v>
      </c>
      <c r="K22">
        <v>2.8900000000000002E-3</v>
      </c>
      <c r="L22">
        <v>12.1</v>
      </c>
      <c r="M22">
        <v>3.77E-4</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3.1600000000000003E-2</v>
      </c>
      <c r="AJ22">
        <v>0</v>
      </c>
      <c r="AK22">
        <v>0</v>
      </c>
      <c r="AL22">
        <v>4.12</v>
      </c>
      <c r="AM22">
        <v>0</v>
      </c>
      <c r="AN22">
        <v>0</v>
      </c>
      <c r="AO22">
        <v>0</v>
      </c>
      <c r="AP22">
        <v>3.56E-2</v>
      </c>
      <c r="AQ22" s="217">
        <v>2.04E-6</v>
      </c>
      <c r="AR22">
        <v>1.01</v>
      </c>
      <c r="AS22" s="217">
        <v>4.2699999999999998E-6</v>
      </c>
      <c r="AT22">
        <v>0</v>
      </c>
      <c r="AU22">
        <v>0</v>
      </c>
      <c r="AV22">
        <v>0</v>
      </c>
      <c r="AW22">
        <v>0</v>
      </c>
      <c r="AX22">
        <v>0</v>
      </c>
    </row>
    <row r="23" spans="1:50" x14ac:dyDescent="0.35">
      <c r="A23" t="s">
        <v>819</v>
      </c>
      <c r="B23" s="249">
        <f t="shared" si="0"/>
        <v>9.2979577814743183E-3</v>
      </c>
      <c r="C23" s="217">
        <v>5.8682527000000002E-8</v>
      </c>
      <c r="D23">
        <v>1.391848E-3</v>
      </c>
      <c r="E23">
        <v>7.0077688999999999E-2</v>
      </c>
      <c r="F23" s="217">
        <v>3.5994692999999997E-8</v>
      </c>
      <c r="G23" s="217">
        <v>9.1365081000000005E-5</v>
      </c>
      <c r="H23">
        <v>4.2526104000000002E-4</v>
      </c>
      <c r="I23" s="217">
        <v>7.8268834000000005E-5</v>
      </c>
      <c r="J23">
        <v>2.9048857000000001E-2</v>
      </c>
      <c r="K23">
        <v>9.7483664999999998E-4</v>
      </c>
      <c r="L23">
        <v>3.329034</v>
      </c>
      <c r="M23" s="217">
        <v>9.2482732999999998E-5</v>
      </c>
      <c r="N23">
        <v>7.1160297999999997E-2</v>
      </c>
      <c r="O23">
        <v>7.1053056000000003E-2</v>
      </c>
      <c r="P23" s="217">
        <v>9.3539275999999995E-5</v>
      </c>
      <c r="Q23" s="217">
        <v>1.3702727000000001E-5</v>
      </c>
      <c r="R23" s="217">
        <v>4.5289848999999999E-8</v>
      </c>
      <c r="S23">
        <v>5.3890616999999999E-4</v>
      </c>
      <c r="T23" s="217">
        <v>1.2072082E-6</v>
      </c>
      <c r="U23">
        <v>1.3984671000000001E-4</v>
      </c>
      <c r="V23">
        <v>1.5788631E-3</v>
      </c>
      <c r="W23">
        <v>5.4310092000000004E-4</v>
      </c>
      <c r="X23" s="217">
        <v>5.8683100999999999E-8</v>
      </c>
      <c r="Y23">
        <v>2.934774</v>
      </c>
      <c r="Z23">
        <v>1.1996717E-2</v>
      </c>
      <c r="AA23" s="217">
        <v>7.0977343999999998E-9</v>
      </c>
      <c r="AB23">
        <v>1.2461455999999999E-2</v>
      </c>
      <c r="AC23">
        <v>1.6741752000000001</v>
      </c>
      <c r="AD23" s="217">
        <v>2.0339580000000001E-11</v>
      </c>
      <c r="AE23" s="217">
        <v>6.5774933000000004E-10</v>
      </c>
      <c r="AF23">
        <v>0.41769918</v>
      </c>
      <c r="AG23">
        <v>0</v>
      </c>
      <c r="AH23">
        <v>0</v>
      </c>
      <c r="AI23">
        <v>1.9517044000000001E-2</v>
      </c>
      <c r="AJ23">
        <v>0</v>
      </c>
      <c r="AK23">
        <v>0</v>
      </c>
      <c r="AL23">
        <v>3.1195217</v>
      </c>
      <c r="AM23">
        <v>0</v>
      </c>
      <c r="AN23">
        <v>0</v>
      </c>
      <c r="AO23">
        <v>0</v>
      </c>
      <c r="AP23">
        <v>4.1139996000000002E-4</v>
      </c>
      <c r="AQ23" s="217">
        <v>1.1014247E-6</v>
      </c>
      <c r="AR23">
        <v>7.0249965000000001E-3</v>
      </c>
      <c r="AS23" s="217">
        <v>1.9999433000000001E-5</v>
      </c>
      <c r="AT23">
        <v>0</v>
      </c>
      <c r="AU23">
        <v>0</v>
      </c>
      <c r="AV23">
        <v>0</v>
      </c>
      <c r="AW23">
        <v>0</v>
      </c>
      <c r="AX23">
        <v>0</v>
      </c>
    </row>
    <row r="24" spans="1:50" x14ac:dyDescent="0.35">
      <c r="A24" t="s">
        <v>820</v>
      </c>
      <c r="B24" s="249">
        <f t="shared" si="0"/>
        <v>9.529950366634319E-3</v>
      </c>
      <c r="C24" s="217">
        <v>6.0306527000000003E-8</v>
      </c>
      <c r="D24">
        <v>1.4070323E-3</v>
      </c>
      <c r="E24">
        <v>7.2131363000000004E-2</v>
      </c>
      <c r="F24" s="217">
        <v>3.6318410999999997E-8</v>
      </c>
      <c r="G24" s="217">
        <v>9.2834495E-5</v>
      </c>
      <c r="H24">
        <v>4.3616918999999998E-4</v>
      </c>
      <c r="I24" s="217">
        <v>8.0645965000000004E-5</v>
      </c>
      <c r="J24">
        <v>2.9647831999999999E-2</v>
      </c>
      <c r="K24">
        <v>9.8757742999999992E-4</v>
      </c>
      <c r="L24">
        <v>3.3738744000000001</v>
      </c>
      <c r="M24" s="217">
        <v>9.4646156000000002E-5</v>
      </c>
      <c r="N24">
        <v>7.3242473000000002E-2</v>
      </c>
      <c r="O24">
        <v>7.3131442000000005E-2</v>
      </c>
      <c r="P24" s="217">
        <v>9.7036883000000006E-5</v>
      </c>
      <c r="Q24" s="217">
        <v>1.3993967999999999E-5</v>
      </c>
      <c r="R24" s="217">
        <v>4.5689694000000003E-8</v>
      </c>
      <c r="S24">
        <v>5.5397971E-4</v>
      </c>
      <c r="T24" s="217">
        <v>1.2359776E-6</v>
      </c>
      <c r="U24">
        <v>1.4593620999999999E-4</v>
      </c>
      <c r="V24">
        <v>1.6467944E-3</v>
      </c>
      <c r="W24">
        <v>5.6168701000000002E-4</v>
      </c>
      <c r="X24" s="217">
        <v>6.0307108000000007E-8</v>
      </c>
      <c r="Y24">
        <v>2.9655141</v>
      </c>
      <c r="Z24">
        <v>1.2167984999999999E-2</v>
      </c>
      <c r="AA24" s="217">
        <v>7.4453242999999998E-9</v>
      </c>
      <c r="AB24">
        <v>1.2563566E-2</v>
      </c>
      <c r="AC24">
        <v>1.6906778</v>
      </c>
      <c r="AD24" s="217">
        <v>2.0885525E-11</v>
      </c>
      <c r="AE24" s="217">
        <v>6.7286238999999999E-10</v>
      </c>
      <c r="AF24">
        <v>0.42527744000000001</v>
      </c>
      <c r="AG24">
        <v>0</v>
      </c>
      <c r="AH24">
        <v>0</v>
      </c>
      <c r="AI24">
        <v>1.9951724000000001E-2</v>
      </c>
      <c r="AJ24">
        <v>0</v>
      </c>
      <c r="AK24">
        <v>0</v>
      </c>
      <c r="AL24">
        <v>3.1524801999999998</v>
      </c>
      <c r="AM24">
        <v>0</v>
      </c>
      <c r="AN24">
        <v>0</v>
      </c>
      <c r="AO24">
        <v>0</v>
      </c>
      <c r="AP24">
        <v>4.1704143000000001E-4</v>
      </c>
      <c r="AQ24" s="217">
        <v>1.1277853000000001E-6</v>
      </c>
      <c r="AR24">
        <v>7.3967321000000001E-3</v>
      </c>
      <c r="AS24" s="217">
        <v>2.0159555999999999E-5</v>
      </c>
      <c r="AT24">
        <v>0</v>
      </c>
      <c r="AU24">
        <v>0</v>
      </c>
      <c r="AV24">
        <v>0</v>
      </c>
      <c r="AW24">
        <v>0</v>
      </c>
      <c r="AX24">
        <v>0</v>
      </c>
    </row>
    <row r="25" spans="1:50" x14ac:dyDescent="0.35">
      <c r="A25" t="s">
        <v>821</v>
      </c>
      <c r="B25" s="249">
        <f t="shared" si="0"/>
        <v>9.2979577814743183E-3</v>
      </c>
      <c r="C25" s="217">
        <v>5.8682527000000002E-8</v>
      </c>
      <c r="D25">
        <v>1.391848E-3</v>
      </c>
      <c r="E25">
        <v>7.0077688999999999E-2</v>
      </c>
      <c r="F25" s="217">
        <v>3.5994692999999997E-8</v>
      </c>
      <c r="G25" s="217">
        <v>9.1365081000000005E-5</v>
      </c>
      <c r="H25">
        <v>4.2526104000000002E-4</v>
      </c>
      <c r="I25" s="217">
        <v>7.8268834000000005E-5</v>
      </c>
      <c r="J25">
        <v>2.9048857000000001E-2</v>
      </c>
      <c r="K25">
        <v>9.7483664999999998E-4</v>
      </c>
      <c r="L25">
        <v>3.329034</v>
      </c>
      <c r="M25" s="217">
        <v>9.2482732999999998E-5</v>
      </c>
      <c r="N25">
        <v>7.1160297999999997E-2</v>
      </c>
      <c r="O25">
        <v>7.1053056000000003E-2</v>
      </c>
      <c r="P25" s="217">
        <v>9.3539275999999995E-5</v>
      </c>
      <c r="Q25" s="217">
        <v>1.3702727000000001E-5</v>
      </c>
      <c r="R25" s="217">
        <v>4.5289848999999999E-8</v>
      </c>
      <c r="S25">
        <v>5.3890616999999999E-4</v>
      </c>
      <c r="T25" s="217">
        <v>1.2072082E-6</v>
      </c>
      <c r="U25">
        <v>1.3984671000000001E-4</v>
      </c>
      <c r="V25">
        <v>1.5788631E-3</v>
      </c>
      <c r="W25">
        <v>5.4310092000000004E-4</v>
      </c>
      <c r="X25" s="217">
        <v>5.8683100999999999E-8</v>
      </c>
      <c r="Y25">
        <v>2.934774</v>
      </c>
      <c r="Z25">
        <v>1.1996717E-2</v>
      </c>
      <c r="AA25" s="217">
        <v>7.0977343999999998E-9</v>
      </c>
      <c r="AB25">
        <v>1.2461455999999999E-2</v>
      </c>
      <c r="AC25">
        <v>1.6741752000000001</v>
      </c>
      <c r="AD25" s="217">
        <v>2.0339580000000001E-11</v>
      </c>
      <c r="AE25" s="217">
        <v>6.5774933000000004E-10</v>
      </c>
      <c r="AF25">
        <v>0.41769918</v>
      </c>
      <c r="AG25">
        <v>0</v>
      </c>
      <c r="AH25">
        <v>0</v>
      </c>
      <c r="AI25">
        <v>1.9517044000000001E-2</v>
      </c>
      <c r="AJ25">
        <v>0</v>
      </c>
      <c r="AK25">
        <v>0</v>
      </c>
      <c r="AL25">
        <v>3.1195217</v>
      </c>
      <c r="AM25">
        <v>0</v>
      </c>
      <c r="AN25">
        <v>0</v>
      </c>
      <c r="AO25">
        <v>0</v>
      </c>
      <c r="AP25">
        <v>4.1139996000000002E-4</v>
      </c>
      <c r="AQ25" s="217">
        <v>1.1014247E-6</v>
      </c>
      <c r="AR25">
        <v>7.0249965000000001E-3</v>
      </c>
      <c r="AS25" s="217">
        <v>1.9999433000000001E-5</v>
      </c>
      <c r="AT25">
        <v>0</v>
      </c>
      <c r="AU25">
        <v>0</v>
      </c>
      <c r="AV25">
        <v>0</v>
      </c>
      <c r="AW25">
        <v>0</v>
      </c>
      <c r="AX25">
        <v>0</v>
      </c>
    </row>
    <row r="26" spans="1:50" x14ac:dyDescent="0.35">
      <c r="A26" t="s">
        <v>822</v>
      </c>
      <c r="B26" s="249">
        <f t="shared" si="0"/>
        <v>1.9272599040000001E-2</v>
      </c>
      <c r="C26" s="217">
        <v>1.4399999999999999E-7</v>
      </c>
      <c r="D26">
        <v>2.9099999999999998E-3</v>
      </c>
      <c r="E26">
        <v>0.159</v>
      </c>
      <c r="F26" s="217">
        <v>1.92E-8</v>
      </c>
      <c r="G26">
        <v>2.8400000000000002E-4</v>
      </c>
      <c r="H26">
        <v>9.1200000000000005E-4</v>
      </c>
      <c r="I26" s="217">
        <v>9.7700000000000003E-5</v>
      </c>
      <c r="J26">
        <v>4.1599999999999998E-2</v>
      </c>
      <c r="K26">
        <v>4.4400000000000004E-3</v>
      </c>
      <c r="L26">
        <v>18.5</v>
      </c>
      <c r="M26">
        <v>5.6499999999999996E-4</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3.9100000000000003E-2</v>
      </c>
      <c r="AJ26">
        <v>0</v>
      </c>
      <c r="AK26">
        <v>0</v>
      </c>
      <c r="AL26">
        <v>6.11</v>
      </c>
      <c r="AM26">
        <v>0</v>
      </c>
      <c r="AN26">
        <v>0</v>
      </c>
      <c r="AO26">
        <v>0</v>
      </c>
      <c r="AP26">
        <v>5.8000000000000003E-2</v>
      </c>
      <c r="AQ26" s="217">
        <v>2.65E-6</v>
      </c>
      <c r="AR26">
        <v>1.02</v>
      </c>
      <c r="AS26" s="217">
        <v>4.4399999999999998E-6</v>
      </c>
      <c r="AT26">
        <v>0</v>
      </c>
      <c r="AU26">
        <v>0</v>
      </c>
      <c r="AV26">
        <v>0</v>
      </c>
      <c r="AW26">
        <v>0</v>
      </c>
      <c r="AX26">
        <v>0</v>
      </c>
    </row>
    <row r="27" spans="1:50" x14ac:dyDescent="0.35">
      <c r="A27" t="s">
        <v>823</v>
      </c>
      <c r="B27" s="249">
        <f t="shared" si="0"/>
        <v>3.28815188E-3</v>
      </c>
      <c r="C27" s="217">
        <v>1.7999999999999999E-8</v>
      </c>
      <c r="D27">
        <v>7.2900000000000005E-4</v>
      </c>
      <c r="E27">
        <v>3.3500000000000002E-2</v>
      </c>
      <c r="F27" s="217">
        <v>3.4999999999999999E-9</v>
      </c>
      <c r="G27" s="217">
        <v>2.48E-5</v>
      </c>
      <c r="H27">
        <v>1.3999999999999999E-4</v>
      </c>
      <c r="I27" s="217">
        <v>2.0400000000000001E-5</v>
      </c>
      <c r="J27">
        <v>6.1599999999999997E-3</v>
      </c>
      <c r="K27">
        <v>1.4100000000000001E-4</v>
      </c>
      <c r="L27">
        <v>1.39</v>
      </c>
      <c r="M27" s="217">
        <v>9.2899999999999995E-5</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5.0499999999999998E-3</v>
      </c>
      <c r="AJ27">
        <v>0</v>
      </c>
      <c r="AK27">
        <v>0</v>
      </c>
      <c r="AL27">
        <v>0.57099999999999995</v>
      </c>
      <c r="AM27">
        <v>0</v>
      </c>
      <c r="AN27">
        <v>0</v>
      </c>
      <c r="AO27">
        <v>0</v>
      </c>
      <c r="AP27">
        <v>1.3599999999999999E-2</v>
      </c>
      <c r="AQ27">
        <v>1.34E-2</v>
      </c>
      <c r="AR27">
        <v>1.71222E-3</v>
      </c>
      <c r="AS27">
        <v>0</v>
      </c>
      <c r="AT27">
        <v>0</v>
      </c>
      <c r="AU27">
        <v>0</v>
      </c>
      <c r="AV27">
        <v>0</v>
      </c>
      <c r="AW27">
        <v>0</v>
      </c>
      <c r="AX27">
        <v>0</v>
      </c>
    </row>
    <row r="28" spans="1:50" x14ac:dyDescent="0.35">
      <c r="A28" t="s">
        <v>824</v>
      </c>
      <c r="B28" s="249">
        <f t="shared" si="0"/>
        <v>9.7853048713213604E-3</v>
      </c>
      <c r="C28" s="217">
        <v>6.2370696000000005E-8</v>
      </c>
      <c r="D28">
        <v>1.4522663999999999E-3</v>
      </c>
      <c r="E28">
        <v>7.5251984999999993E-2</v>
      </c>
      <c r="F28" s="217">
        <v>3.7432973000000003E-8</v>
      </c>
      <c r="G28" s="217">
        <v>9.4683467000000006E-5</v>
      </c>
      <c r="H28">
        <v>4.4202242999999999E-4</v>
      </c>
      <c r="I28" s="217">
        <v>8.1043193000000004E-5</v>
      </c>
      <c r="J28">
        <v>3.0195027999999999E-2</v>
      </c>
      <c r="K28">
        <v>1.0184549000000001E-3</v>
      </c>
      <c r="L28">
        <v>3.4827287999999998</v>
      </c>
      <c r="M28" s="217">
        <v>9.9759846999999995E-5</v>
      </c>
      <c r="N28">
        <v>7.6394139999999999E-2</v>
      </c>
      <c r="O28">
        <v>7.6277176000000002E-2</v>
      </c>
      <c r="P28">
        <v>1.0241430000000001E-4</v>
      </c>
      <c r="Q28" s="217">
        <v>1.4549224E-5</v>
      </c>
      <c r="R28" s="217">
        <v>4.7085730999999999E-8</v>
      </c>
      <c r="S28">
        <v>5.5970374000000002E-4</v>
      </c>
      <c r="T28" s="217">
        <v>1.3017129999999999E-6</v>
      </c>
      <c r="U28">
        <v>1.4378966999999999E-4</v>
      </c>
      <c r="V28">
        <v>1.627339E-3</v>
      </c>
      <c r="W28">
        <v>5.5975226999999995E-4</v>
      </c>
      <c r="X28" s="217">
        <v>6.2371301999999993E-8</v>
      </c>
      <c r="Y28">
        <v>3.0603156999999999</v>
      </c>
      <c r="Z28">
        <v>1.2704666E-2</v>
      </c>
      <c r="AA28" s="217">
        <v>7.1989693999999998E-9</v>
      </c>
      <c r="AB28">
        <v>1.2982296000000001E-2</v>
      </c>
      <c r="AC28">
        <v>1.7728680999999999</v>
      </c>
      <c r="AD28" s="217">
        <v>2.1429159E-11</v>
      </c>
      <c r="AE28" s="217">
        <v>7.0172109000000003E-10</v>
      </c>
      <c r="AF28">
        <v>0.4397837</v>
      </c>
      <c r="AG28">
        <v>0</v>
      </c>
      <c r="AH28">
        <v>0</v>
      </c>
      <c r="AI28">
        <v>2.1166480000000001E-2</v>
      </c>
      <c r="AJ28">
        <v>0</v>
      </c>
      <c r="AK28">
        <v>0</v>
      </c>
      <c r="AL28">
        <v>3.2530394999999999</v>
      </c>
      <c r="AM28">
        <v>0</v>
      </c>
      <c r="AN28">
        <v>0</v>
      </c>
      <c r="AO28">
        <v>0</v>
      </c>
      <c r="AP28">
        <v>4.3696924999999997E-4</v>
      </c>
      <c r="AQ28" s="217">
        <v>1.1561721000000001E-6</v>
      </c>
      <c r="AR28">
        <v>7.6525127E-3</v>
      </c>
      <c r="AS28" s="217">
        <v>2.0800479000000001E-5</v>
      </c>
      <c r="AT28">
        <v>0</v>
      </c>
      <c r="AU28">
        <v>0</v>
      </c>
      <c r="AV28">
        <v>0</v>
      </c>
      <c r="AW28">
        <v>0</v>
      </c>
      <c r="AX28">
        <v>0</v>
      </c>
    </row>
    <row r="29" spans="1:50" x14ac:dyDescent="0.35">
      <c r="A29" t="s">
        <v>825</v>
      </c>
      <c r="B29" s="249">
        <f t="shared" si="0"/>
        <v>1.29227492E-2</v>
      </c>
      <c r="C29" s="217">
        <v>1.4499999999999999E-7</v>
      </c>
      <c r="D29">
        <v>1.2600000000000001E-3</v>
      </c>
      <c r="E29">
        <v>9.8100000000000007E-2</v>
      </c>
      <c r="F29" s="217">
        <v>1.42E-8</v>
      </c>
      <c r="G29">
        <v>1.16E-4</v>
      </c>
      <c r="H29">
        <v>6.2200000000000005E-4</v>
      </c>
      <c r="I29" s="217">
        <v>7.9400000000000006E-5</v>
      </c>
      <c r="J29">
        <v>3.27E-2</v>
      </c>
      <c r="K29">
        <v>1.75E-3</v>
      </c>
      <c r="L29">
        <v>13.7</v>
      </c>
      <c r="M29">
        <v>2.5999999999999998E-4</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2.7400000000000001E-2</v>
      </c>
      <c r="AJ29">
        <v>0</v>
      </c>
      <c r="AK29">
        <v>0</v>
      </c>
      <c r="AL29">
        <v>2.5099999999999998</v>
      </c>
      <c r="AM29">
        <v>0</v>
      </c>
      <c r="AN29">
        <v>0</v>
      </c>
      <c r="AO29">
        <v>0</v>
      </c>
      <c r="AP29">
        <v>1.7000000000000001E-2</v>
      </c>
      <c r="AQ29" s="217">
        <v>1.48E-6</v>
      </c>
      <c r="AR29">
        <v>1.01</v>
      </c>
      <c r="AS29" s="217">
        <v>4.3800000000000004E-6</v>
      </c>
      <c r="AT29">
        <v>0</v>
      </c>
      <c r="AU29">
        <v>0</v>
      </c>
      <c r="AV29">
        <v>0</v>
      </c>
      <c r="AW29">
        <v>0</v>
      </c>
      <c r="AX29">
        <v>0</v>
      </c>
    </row>
    <row r="30" spans="1:50" x14ac:dyDescent="0.35">
      <c r="A30" t="s">
        <v>826</v>
      </c>
      <c r="B30" s="249">
        <f t="shared" si="0"/>
        <v>6.0792812650738402E-3</v>
      </c>
      <c r="C30" s="217">
        <v>4.0466648999999998E-8</v>
      </c>
      <c r="D30">
        <v>8.3705770999999997E-4</v>
      </c>
      <c r="E30">
        <v>4.2810185000000001E-2</v>
      </c>
      <c r="F30" s="217">
        <v>2.1583496999999998E-8</v>
      </c>
      <c r="G30" s="217">
        <v>5.9355928000000002E-5</v>
      </c>
      <c r="H30">
        <v>2.9548667E-4</v>
      </c>
      <c r="I30" s="217">
        <v>5.7438824000000002E-5</v>
      </c>
      <c r="J30">
        <v>1.9561558E-2</v>
      </c>
      <c r="K30">
        <v>6.0098216999999998E-4</v>
      </c>
      <c r="L30">
        <v>2.0476323999999999</v>
      </c>
      <c r="M30" s="217">
        <v>5.4132080000000002E-5</v>
      </c>
      <c r="N30">
        <v>4.3527519000000001E-2</v>
      </c>
      <c r="O30">
        <v>4.3457220999999997E-2</v>
      </c>
      <c r="P30" s="217">
        <v>6.1678736999999997E-5</v>
      </c>
      <c r="Q30" s="217">
        <v>8.6191182999999992E-6</v>
      </c>
      <c r="R30" s="217">
        <v>2.7151772000000001E-8</v>
      </c>
      <c r="S30">
        <v>3.8294970999999998E-4</v>
      </c>
      <c r="T30" s="217">
        <v>7.1254038E-7</v>
      </c>
      <c r="U30">
        <v>1.1559886000000001E-4</v>
      </c>
      <c r="V30">
        <v>1.2918860999999999E-3</v>
      </c>
      <c r="W30">
        <v>4.1667967999999998E-4</v>
      </c>
      <c r="X30" s="217">
        <v>4.0466945E-8</v>
      </c>
      <c r="Y30">
        <v>1.7624823999999999</v>
      </c>
      <c r="Z30">
        <v>6.9857736999999996E-3</v>
      </c>
      <c r="AA30" s="217">
        <v>6.3541434000000004E-9</v>
      </c>
      <c r="AB30">
        <v>7.3407793999999997E-3</v>
      </c>
      <c r="AC30">
        <v>0.98461622999999998</v>
      </c>
      <c r="AD30" s="217">
        <v>1.3669732E-11</v>
      </c>
      <c r="AE30" s="217">
        <v>4.0013762000000002E-10</v>
      </c>
      <c r="AF30">
        <v>0.26909110000000003</v>
      </c>
      <c r="AG30">
        <v>0</v>
      </c>
      <c r="AH30">
        <v>0</v>
      </c>
      <c r="AI30">
        <v>1.102269E-2</v>
      </c>
      <c r="AJ30">
        <v>0</v>
      </c>
      <c r="AK30">
        <v>0</v>
      </c>
      <c r="AL30">
        <v>1.8749602000000001</v>
      </c>
      <c r="AM30">
        <v>0</v>
      </c>
      <c r="AN30">
        <v>0</v>
      </c>
      <c r="AO30">
        <v>0</v>
      </c>
      <c r="AP30">
        <v>2.3498305000000001E-4</v>
      </c>
      <c r="AQ30" s="217">
        <v>7.4227906999999996E-7</v>
      </c>
      <c r="AR30">
        <v>5.9544137000000002E-3</v>
      </c>
      <c r="AS30" s="217">
        <v>1.1867243E-5</v>
      </c>
      <c r="AT30">
        <v>0</v>
      </c>
      <c r="AU30">
        <v>0</v>
      </c>
      <c r="AV30">
        <v>0</v>
      </c>
      <c r="AW30">
        <v>0</v>
      </c>
      <c r="AX30">
        <v>0</v>
      </c>
    </row>
    <row r="31" spans="1:50" x14ac:dyDescent="0.35">
      <c r="A31" t="s">
        <v>827</v>
      </c>
      <c r="B31" s="249">
        <f t="shared" si="0"/>
        <v>6.1865416724491999E-3</v>
      </c>
      <c r="C31" s="217">
        <v>4.1464245000000002E-8</v>
      </c>
      <c r="D31">
        <v>8.2403013999999999E-4</v>
      </c>
      <c r="E31">
        <v>4.4210294999999997E-2</v>
      </c>
      <c r="F31" s="217">
        <v>2.1146660999999999E-8</v>
      </c>
      <c r="G31" s="217">
        <v>5.9108923000000002E-5</v>
      </c>
      <c r="H31">
        <v>3.0021721E-4</v>
      </c>
      <c r="I31" s="217">
        <v>5.8786322999999999E-5</v>
      </c>
      <c r="J31">
        <v>1.968044E-2</v>
      </c>
      <c r="K31">
        <v>5.9502581999999998E-4</v>
      </c>
      <c r="L31">
        <v>2.0296680999999999</v>
      </c>
      <c r="M31" s="217">
        <v>5.5338138999999998E-5</v>
      </c>
      <c r="N31">
        <v>4.4940765000000001E-2</v>
      </c>
      <c r="O31">
        <v>4.4867298999999999E-2</v>
      </c>
      <c r="P31" s="217">
        <v>6.4741827999999994E-5</v>
      </c>
      <c r="Q31" s="217">
        <v>8.7243474000000005E-6</v>
      </c>
      <c r="R31" s="217">
        <v>2.6591239E-8</v>
      </c>
      <c r="S31">
        <v>3.9062150000000002E-4</v>
      </c>
      <c r="T31" s="217">
        <v>7.2869521E-7</v>
      </c>
      <c r="U31">
        <v>1.2044134E-4</v>
      </c>
      <c r="V31">
        <v>1.3458337999999999E-3</v>
      </c>
      <c r="W31">
        <v>4.2858695E-4</v>
      </c>
      <c r="X31" s="217">
        <v>4.146454E-8</v>
      </c>
      <c r="Y31">
        <v>1.733241</v>
      </c>
      <c r="Z31">
        <v>6.9549104E-3</v>
      </c>
      <c r="AA31" s="217">
        <v>6.6412749999999997E-9</v>
      </c>
      <c r="AB31">
        <v>7.1827616000000004E-3</v>
      </c>
      <c r="AC31">
        <v>0.96796795999999996</v>
      </c>
      <c r="AD31" s="217">
        <v>1.3966302000000001E-11</v>
      </c>
      <c r="AE31" s="217">
        <v>4.0757318000000002E-10</v>
      </c>
      <c r="AF31">
        <v>0.27015426999999997</v>
      </c>
      <c r="AG31">
        <v>0</v>
      </c>
      <c r="AH31">
        <v>0</v>
      </c>
      <c r="AI31">
        <v>1.1255088E-2</v>
      </c>
      <c r="AJ31">
        <v>0</v>
      </c>
      <c r="AK31">
        <v>0</v>
      </c>
      <c r="AL31">
        <v>1.8441995</v>
      </c>
      <c r="AM31">
        <v>0</v>
      </c>
      <c r="AN31">
        <v>0</v>
      </c>
      <c r="AO31">
        <v>0</v>
      </c>
      <c r="AP31">
        <v>2.3383257999999999E-4</v>
      </c>
      <c r="AQ31" s="217">
        <v>7.5079336999999996E-7</v>
      </c>
      <c r="AR31">
        <v>6.3490211999999999E-3</v>
      </c>
      <c r="AS31" s="217">
        <v>1.1603536999999999E-5</v>
      </c>
      <c r="AT31">
        <v>0</v>
      </c>
      <c r="AU31">
        <v>0</v>
      </c>
      <c r="AV31">
        <v>0</v>
      </c>
      <c r="AW31">
        <v>0</v>
      </c>
      <c r="AX31">
        <v>0</v>
      </c>
    </row>
    <row r="32" spans="1:50" x14ac:dyDescent="0.35">
      <c r="A32" t="s">
        <v>828</v>
      </c>
      <c r="B32" s="249">
        <f t="shared" si="0"/>
        <v>6.1286713766588799E-3</v>
      </c>
      <c r="C32" s="217">
        <v>4.2747243E-8</v>
      </c>
      <c r="D32">
        <v>8.2174500999999999E-4</v>
      </c>
      <c r="E32">
        <v>4.3834662000000003E-2</v>
      </c>
      <c r="F32" s="217">
        <v>2.1081626E-8</v>
      </c>
      <c r="G32" s="217">
        <v>5.8492417000000002E-5</v>
      </c>
      <c r="H32">
        <v>2.9553951000000001E-4</v>
      </c>
      <c r="I32" s="217">
        <v>5.7676989E-5</v>
      </c>
      <c r="J32">
        <v>1.9573050000000002E-2</v>
      </c>
      <c r="K32">
        <v>5.9700968999999997E-4</v>
      </c>
      <c r="L32">
        <v>2.0376481000000002</v>
      </c>
      <c r="M32" s="217">
        <v>5.5573516999999999E-5</v>
      </c>
      <c r="N32">
        <v>4.4560080000000002E-2</v>
      </c>
      <c r="O32">
        <v>4.4486518000000003E-2</v>
      </c>
      <c r="P32" s="217">
        <v>6.4749931000000006E-5</v>
      </c>
      <c r="Q32" s="217">
        <v>8.8122989999999992E-6</v>
      </c>
      <c r="R32" s="217">
        <v>2.6508998999999999E-8</v>
      </c>
      <c r="S32">
        <v>3.8393086000000002E-4</v>
      </c>
      <c r="T32" s="217">
        <v>7.2996522000000004E-7</v>
      </c>
      <c r="U32">
        <v>1.1727354E-4</v>
      </c>
      <c r="V32">
        <v>1.3111120999999999E-3</v>
      </c>
      <c r="W32">
        <v>4.1916867999999998E-4</v>
      </c>
      <c r="X32" s="217">
        <v>4.2747526999999998E-8</v>
      </c>
      <c r="Y32">
        <v>1.7283269000000001</v>
      </c>
      <c r="Z32">
        <v>6.9435618999999999E-3</v>
      </c>
      <c r="AA32" s="217">
        <v>6.4327769999999997E-9</v>
      </c>
      <c r="AB32">
        <v>7.1610661999999999E-3</v>
      </c>
      <c r="AC32">
        <v>0.96652773000000003</v>
      </c>
      <c r="AD32" s="217">
        <v>1.3938869000000001E-11</v>
      </c>
      <c r="AE32" s="217">
        <v>4.0884729000000001E-10</v>
      </c>
      <c r="AF32">
        <v>0.27573741000000002</v>
      </c>
      <c r="AG32">
        <v>0</v>
      </c>
      <c r="AH32">
        <v>0</v>
      </c>
      <c r="AI32">
        <v>1.1267660000000001E-2</v>
      </c>
      <c r="AJ32">
        <v>0</v>
      </c>
      <c r="AK32">
        <v>0</v>
      </c>
      <c r="AL32">
        <v>1.8389808999999999</v>
      </c>
      <c r="AM32">
        <v>0</v>
      </c>
      <c r="AN32">
        <v>0</v>
      </c>
      <c r="AO32">
        <v>0</v>
      </c>
      <c r="AP32">
        <v>2.3360914999999999E-4</v>
      </c>
      <c r="AQ32" s="217">
        <v>7.5026404999999997E-7</v>
      </c>
      <c r="AR32">
        <v>6.8687186000000004E-3</v>
      </c>
      <c r="AS32" s="217">
        <v>1.156744E-5</v>
      </c>
      <c r="AT32">
        <v>0</v>
      </c>
      <c r="AU32">
        <v>0</v>
      </c>
      <c r="AV32">
        <v>0</v>
      </c>
      <c r="AW32">
        <v>0</v>
      </c>
      <c r="AX32">
        <v>0</v>
      </c>
    </row>
    <row r="33" spans="1:50" x14ac:dyDescent="0.35">
      <c r="A33" t="s">
        <v>829</v>
      </c>
      <c r="B33" s="249">
        <f t="shared" si="0"/>
        <v>8.2910590232991195E-3</v>
      </c>
      <c r="C33" s="217">
        <v>4.4572056999999999E-8</v>
      </c>
      <c r="D33">
        <v>1.3252602E-3</v>
      </c>
      <c r="E33">
        <v>6.5081885000000006E-2</v>
      </c>
      <c r="F33" s="217">
        <v>3.3416041000000003E-8</v>
      </c>
      <c r="G33" s="217">
        <v>8.2230878000000006E-5</v>
      </c>
      <c r="H33">
        <v>3.6538945999999999E-4</v>
      </c>
      <c r="I33" s="217">
        <v>6.5579110999999994E-5</v>
      </c>
      <c r="J33">
        <v>2.5192282999999999E-2</v>
      </c>
      <c r="K33">
        <v>9.0327679000000004E-4</v>
      </c>
      <c r="L33">
        <v>3.0857277000000001</v>
      </c>
      <c r="M33" s="217">
        <v>7.8423164E-5</v>
      </c>
      <c r="N33">
        <v>6.6188849999999994E-2</v>
      </c>
      <c r="O33">
        <v>6.6092145000000005E-2</v>
      </c>
      <c r="P33" s="217">
        <v>8.4623581999999998E-5</v>
      </c>
      <c r="Q33" s="217">
        <v>1.2080684000000001E-5</v>
      </c>
      <c r="R33" s="217">
        <v>4.1952926999999998E-8</v>
      </c>
      <c r="S33">
        <v>4.5874294999999999E-4</v>
      </c>
      <c r="T33" s="217">
        <v>1.0414129000000001E-6</v>
      </c>
      <c r="U33">
        <v>1.1163437999999999E-4</v>
      </c>
      <c r="V33">
        <v>1.2627536999999999E-3</v>
      </c>
      <c r="W33">
        <v>4.5213482000000001E-4</v>
      </c>
      <c r="X33" s="217">
        <v>4.4572561999999998E-8</v>
      </c>
      <c r="Y33">
        <v>2.7768370999999998</v>
      </c>
      <c r="Z33">
        <v>1.0828778000000001E-2</v>
      </c>
      <c r="AA33" s="217">
        <v>5.4762951000000003E-9</v>
      </c>
      <c r="AB33">
        <v>1.1241278E-2</v>
      </c>
      <c r="AC33">
        <v>1.4946579</v>
      </c>
      <c r="AD33" s="217">
        <v>1.7146145000000001E-11</v>
      </c>
      <c r="AE33" s="217">
        <v>5.4245397999999997E-10</v>
      </c>
      <c r="AF33">
        <v>0.34347407000000002</v>
      </c>
      <c r="AG33">
        <v>0</v>
      </c>
      <c r="AH33">
        <v>0</v>
      </c>
      <c r="AI33">
        <v>1.7031253E-2</v>
      </c>
      <c r="AJ33">
        <v>0</v>
      </c>
      <c r="AK33">
        <v>0</v>
      </c>
      <c r="AL33">
        <v>2.9580841000000002</v>
      </c>
      <c r="AM33">
        <v>0</v>
      </c>
      <c r="AN33">
        <v>0</v>
      </c>
      <c r="AO33">
        <v>0</v>
      </c>
      <c r="AP33">
        <v>3.6857922E-4</v>
      </c>
      <c r="AQ33" s="217">
        <v>1.1579915E-6</v>
      </c>
      <c r="AR33">
        <v>3.2365833E-3</v>
      </c>
      <c r="AS33" s="217">
        <v>1.8069512999999999E-5</v>
      </c>
      <c r="AT33">
        <v>0</v>
      </c>
      <c r="AU33">
        <v>0</v>
      </c>
      <c r="AV33">
        <v>0</v>
      </c>
      <c r="AW33">
        <v>0</v>
      </c>
      <c r="AX33">
        <v>0</v>
      </c>
    </row>
    <row r="34" spans="1:50" x14ac:dyDescent="0.35">
      <c r="A34" t="s">
        <v>830</v>
      </c>
      <c r="B34" s="249">
        <f t="shared" si="0"/>
        <v>9.7676205472354387E-3</v>
      </c>
      <c r="C34" s="217">
        <v>6.1423533999999998E-8</v>
      </c>
      <c r="D34">
        <v>1.8437518000000001E-3</v>
      </c>
      <c r="E34">
        <v>6.4781752999999997E-2</v>
      </c>
      <c r="F34" s="217">
        <v>4.7676461000000001E-8</v>
      </c>
      <c r="G34">
        <v>1.1492465E-4</v>
      </c>
      <c r="H34">
        <v>4.4897745999999999E-4</v>
      </c>
      <c r="I34" s="217">
        <v>7.8020271999999999E-5</v>
      </c>
      <c r="J34">
        <v>3.3694948000000002E-2</v>
      </c>
      <c r="K34">
        <v>1.2643952E-3</v>
      </c>
      <c r="L34">
        <v>4.2860550000000002</v>
      </c>
      <c r="M34" s="217">
        <v>8.4470393999999994E-5</v>
      </c>
      <c r="N34">
        <v>6.6180047000000006E-2</v>
      </c>
      <c r="O34">
        <v>6.6085229999999995E-2</v>
      </c>
      <c r="P34" s="217">
        <v>7.9184459999999998E-5</v>
      </c>
      <c r="Q34" s="217">
        <v>1.563178E-5</v>
      </c>
      <c r="R34" s="217">
        <v>5.9993013999999998E-8</v>
      </c>
      <c r="S34">
        <v>5.5212046000000002E-4</v>
      </c>
      <c r="T34" s="217">
        <v>1.1339572E-6</v>
      </c>
      <c r="U34">
        <v>1.1669939E-4</v>
      </c>
      <c r="V34">
        <v>1.3135856999999999E-3</v>
      </c>
      <c r="W34">
        <v>5.2592272999999997E-4</v>
      </c>
      <c r="X34" s="217">
        <v>6.1424131999999997E-8</v>
      </c>
      <c r="Y34">
        <v>3.8824651000000001</v>
      </c>
      <c r="Z34">
        <v>1.7958221999999999E-2</v>
      </c>
      <c r="AA34" s="217">
        <v>5.6877507000000001E-9</v>
      </c>
      <c r="AB34">
        <v>1.5969618000000001E-2</v>
      </c>
      <c r="AC34">
        <v>2.0587027</v>
      </c>
      <c r="AD34" s="217">
        <v>2.0740727000000001E-11</v>
      </c>
      <c r="AE34" s="217">
        <v>6.1894678000000005E-10</v>
      </c>
      <c r="AF34">
        <v>0.48806239000000001</v>
      </c>
      <c r="AG34">
        <v>0</v>
      </c>
      <c r="AH34">
        <v>0</v>
      </c>
      <c r="AI34">
        <v>1.7982577E-2</v>
      </c>
      <c r="AJ34">
        <v>0</v>
      </c>
      <c r="AK34">
        <v>0</v>
      </c>
      <c r="AL34">
        <v>4.1335943000000004</v>
      </c>
      <c r="AM34">
        <v>0</v>
      </c>
      <c r="AN34">
        <v>0</v>
      </c>
      <c r="AO34">
        <v>0</v>
      </c>
      <c r="AP34">
        <v>5.6477522999999995E-4</v>
      </c>
      <c r="AQ34" s="217">
        <v>1.5370099E-6</v>
      </c>
      <c r="AR34">
        <v>4.7388122999999999E-3</v>
      </c>
      <c r="AS34" s="217">
        <v>2.5916609999999999E-5</v>
      </c>
      <c r="AT34">
        <v>0</v>
      </c>
      <c r="AU34">
        <v>0</v>
      </c>
      <c r="AV34">
        <v>0</v>
      </c>
      <c r="AW34">
        <v>0</v>
      </c>
      <c r="AX34">
        <v>0</v>
      </c>
    </row>
    <row r="35" spans="1:50" x14ac:dyDescent="0.35">
      <c r="A35" t="s">
        <v>831</v>
      </c>
      <c r="B35" s="249">
        <f t="shared" si="0"/>
        <v>2.2116767642704E-2</v>
      </c>
      <c r="C35" s="217">
        <v>1.3853440000000001E-7</v>
      </c>
      <c r="D35">
        <v>4.4795588000000001E-3</v>
      </c>
      <c r="E35">
        <v>0.15590704999999999</v>
      </c>
      <c r="F35" s="217">
        <v>1.1727144E-7</v>
      </c>
      <c r="G35">
        <v>2.5744226000000002E-4</v>
      </c>
      <c r="H35">
        <v>9.5467295000000005E-4</v>
      </c>
      <c r="I35">
        <v>1.5305504000000001E-4</v>
      </c>
      <c r="J35">
        <v>7.5035429000000001E-2</v>
      </c>
      <c r="K35">
        <v>3.0377977999999999E-3</v>
      </c>
      <c r="L35">
        <v>10.321005</v>
      </c>
      <c r="M35">
        <v>2.2751170000000001E-4</v>
      </c>
      <c r="N35">
        <v>0.15874399</v>
      </c>
      <c r="O35">
        <v>0.15851831</v>
      </c>
      <c r="P35">
        <v>1.8690699E-4</v>
      </c>
      <c r="Q35" s="217">
        <v>3.8769254000000003E-5</v>
      </c>
      <c r="R35" s="217">
        <v>1.4771261000000001E-7</v>
      </c>
      <c r="S35">
        <v>1.1355247E-3</v>
      </c>
      <c r="T35" s="217">
        <v>2.9696877999999999E-6</v>
      </c>
      <c r="U35">
        <v>1.6481946999999999E-4</v>
      </c>
      <c r="V35">
        <v>1.9117568E-3</v>
      </c>
      <c r="W35">
        <v>9.4147681000000003E-4</v>
      </c>
      <c r="X35" s="217">
        <v>1.3853567000000001E-7</v>
      </c>
      <c r="Y35">
        <v>9.4679707000000004</v>
      </c>
      <c r="Z35">
        <v>3.5324517E-2</v>
      </c>
      <c r="AA35" s="217">
        <v>5.5608425000000004E-9</v>
      </c>
      <c r="AB35">
        <v>4.0344262999999998E-2</v>
      </c>
      <c r="AC35">
        <v>5.2203296000000003</v>
      </c>
      <c r="AD35" s="217">
        <v>4.6185711999999997E-11</v>
      </c>
      <c r="AE35" s="217">
        <v>1.5850509999999999E-9</v>
      </c>
      <c r="AF35">
        <v>1.1836055999999999</v>
      </c>
      <c r="AG35">
        <v>0</v>
      </c>
      <c r="AH35">
        <v>0</v>
      </c>
      <c r="AI35">
        <v>4.9617596E-2</v>
      </c>
      <c r="AJ35">
        <v>0</v>
      </c>
      <c r="AK35">
        <v>0</v>
      </c>
      <c r="AL35">
        <v>10.064536</v>
      </c>
      <c r="AM35">
        <v>0</v>
      </c>
      <c r="AN35">
        <v>0</v>
      </c>
      <c r="AO35">
        <v>0</v>
      </c>
      <c r="AP35">
        <v>1.2207774000000001E-3</v>
      </c>
      <c r="AQ35" s="217">
        <v>3.1578826999999998E-6</v>
      </c>
      <c r="AR35">
        <v>8.8760295000000003E-3</v>
      </c>
      <c r="AS35" s="217">
        <v>6.5021352000000003E-5</v>
      </c>
      <c r="AT35">
        <v>0</v>
      </c>
      <c r="AU35">
        <v>0</v>
      </c>
      <c r="AV35">
        <v>0</v>
      </c>
      <c r="AW35">
        <v>0</v>
      </c>
      <c r="AX35">
        <v>0</v>
      </c>
    </row>
    <row r="36" spans="1:50" x14ac:dyDescent="0.35">
      <c r="A36" t="s">
        <v>832</v>
      </c>
      <c r="B36" s="249">
        <f t="shared" si="0"/>
        <v>0.21744332288051998</v>
      </c>
      <c r="C36" s="217">
        <v>2.3557342E-5</v>
      </c>
      <c r="D36">
        <v>1.0240600000000001E-2</v>
      </c>
      <c r="E36">
        <v>1.6595399</v>
      </c>
      <c r="F36" s="217">
        <v>1.1573666E-7</v>
      </c>
      <c r="G36">
        <v>7.2675563999999998E-4</v>
      </c>
      <c r="H36">
        <v>1.3601904999999999E-2</v>
      </c>
      <c r="I36">
        <v>1.0595381999999999E-3</v>
      </c>
      <c r="J36">
        <v>0.63285765999999999</v>
      </c>
      <c r="K36">
        <v>2.7294303999999998E-2</v>
      </c>
      <c r="L36">
        <v>93.550951999999995</v>
      </c>
      <c r="M36">
        <v>4.8750301000000003E-3</v>
      </c>
      <c r="N36">
        <v>1.6868326</v>
      </c>
      <c r="O36">
        <v>1.6929513</v>
      </c>
      <c r="P36">
        <v>-6.6154906999999997E-3</v>
      </c>
      <c r="Q36">
        <v>4.9671016000000004E-4</v>
      </c>
      <c r="R36" s="217">
        <v>1.3079155000000001E-7</v>
      </c>
      <c r="S36">
        <v>1.6121521999999999E-2</v>
      </c>
      <c r="T36" s="217">
        <v>6.3199733999999997E-5</v>
      </c>
      <c r="U36">
        <v>2.3442148000000001E-3</v>
      </c>
      <c r="V36">
        <v>2.6671617000000002E-2</v>
      </c>
      <c r="W36">
        <v>7.2704616E-3</v>
      </c>
      <c r="X36" s="217">
        <v>2.3557349999999999E-5</v>
      </c>
      <c r="Y36">
        <v>16.577197999999999</v>
      </c>
      <c r="Z36">
        <v>0.26723365999999998</v>
      </c>
      <c r="AA36" s="217">
        <v>1.6813263E-7</v>
      </c>
      <c r="AB36">
        <v>2.9226933E-2</v>
      </c>
      <c r="AC36">
        <v>72.291959000000006</v>
      </c>
      <c r="AD36" s="217">
        <v>5.0914575000000001E-9</v>
      </c>
      <c r="AE36" s="217">
        <v>9.0228829999999999E-8</v>
      </c>
      <c r="AF36">
        <v>4.1062877000000002</v>
      </c>
      <c r="AG36">
        <v>0</v>
      </c>
      <c r="AH36">
        <v>0</v>
      </c>
      <c r="AI36">
        <v>0.56197885999999997</v>
      </c>
      <c r="AJ36">
        <v>0</v>
      </c>
      <c r="AK36">
        <v>0</v>
      </c>
      <c r="AL36">
        <v>17.603179000000001</v>
      </c>
      <c r="AM36">
        <v>0</v>
      </c>
      <c r="AN36">
        <v>0</v>
      </c>
      <c r="AO36">
        <v>0</v>
      </c>
      <c r="AP36">
        <v>6.9842586000000003E-3</v>
      </c>
      <c r="AQ36">
        <v>2.2199717000000001E-4</v>
      </c>
      <c r="AR36">
        <v>0.91422994000000002</v>
      </c>
      <c r="AS36" s="217">
        <v>3.7214069000000002E-5</v>
      </c>
      <c r="AT36">
        <v>0</v>
      </c>
      <c r="AU36">
        <v>0</v>
      </c>
      <c r="AV36">
        <v>0</v>
      </c>
      <c r="AW36">
        <v>0</v>
      </c>
      <c r="AX36">
        <v>0</v>
      </c>
    </row>
    <row r="37" spans="1:50" x14ac:dyDescent="0.35">
      <c r="A37" t="s">
        <v>833</v>
      </c>
      <c r="B37" s="249">
        <f t="shared" si="0"/>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row>
    <row r="38" spans="1:50" x14ac:dyDescent="0.35">
      <c r="A38" t="s">
        <v>834</v>
      </c>
      <c r="B38" s="249">
        <f t="shared" si="0"/>
        <v>0.27906997965046998</v>
      </c>
      <c r="C38" s="217">
        <v>2.4974809999999999E-6</v>
      </c>
      <c r="D38">
        <v>3.2512495000000001E-3</v>
      </c>
      <c r="E38">
        <v>0.61572302000000001</v>
      </c>
      <c r="F38" s="217">
        <v>4.2105117E-8</v>
      </c>
      <c r="G38">
        <v>3.6392902000000001E-4</v>
      </c>
      <c r="H38">
        <v>4.9779997000000001E-3</v>
      </c>
      <c r="I38">
        <v>1.4666277E-2</v>
      </c>
      <c r="J38">
        <v>0.98179934000000002</v>
      </c>
      <c r="K38">
        <v>6.2313552000000001E-2</v>
      </c>
      <c r="L38">
        <v>41.732619999999997</v>
      </c>
      <c r="M38">
        <v>1.2016783E-2</v>
      </c>
      <c r="N38">
        <v>0.86361427999999996</v>
      </c>
      <c r="O38">
        <v>0.61354829</v>
      </c>
      <c r="P38">
        <v>0.2496573</v>
      </c>
      <c r="Q38">
        <v>4.0868227000000001E-4</v>
      </c>
      <c r="R38" s="217">
        <v>4.2719314999999998E-8</v>
      </c>
      <c r="S38">
        <v>6.8426731999999997E-3</v>
      </c>
      <c r="T38">
        <v>1.0882092E-3</v>
      </c>
      <c r="U38">
        <v>2.3407635999999999E-2</v>
      </c>
      <c r="V38">
        <v>1.9588712000000001E-2</v>
      </c>
      <c r="W38">
        <v>2.7975381000000001E-3</v>
      </c>
      <c r="X38" s="217">
        <v>2.4975339999999999E-6</v>
      </c>
      <c r="Y38">
        <v>6.9152163</v>
      </c>
      <c r="Z38">
        <v>-43.851404000000002</v>
      </c>
      <c r="AA38" s="217">
        <v>9.0063770000000004E-8</v>
      </c>
      <c r="AB38">
        <v>3.0482946E-2</v>
      </c>
      <c r="AC38">
        <v>458.68977000000001</v>
      </c>
      <c r="AD38" s="217">
        <v>7.3722464999999998E-9</v>
      </c>
      <c r="AE38" s="217">
        <v>1.1655547E-7</v>
      </c>
      <c r="AF38">
        <v>7.9158691000000001</v>
      </c>
      <c r="AG38">
        <v>0</v>
      </c>
      <c r="AH38">
        <v>0</v>
      </c>
      <c r="AI38">
        <v>0.66794485999999997</v>
      </c>
      <c r="AJ38">
        <v>0</v>
      </c>
      <c r="AK38">
        <v>0</v>
      </c>
      <c r="AL38">
        <v>7.3179588000000004</v>
      </c>
      <c r="AM38">
        <v>0</v>
      </c>
      <c r="AN38">
        <v>0</v>
      </c>
      <c r="AO38">
        <v>0</v>
      </c>
      <c r="AP38">
        <v>-1.0195236999999999</v>
      </c>
      <c r="AQ38">
        <v>1.5971358000000001E-4</v>
      </c>
      <c r="AR38">
        <v>0.85504709999999995</v>
      </c>
      <c r="AS38" s="217">
        <v>2.998289E-5</v>
      </c>
      <c r="AT38">
        <v>0</v>
      </c>
      <c r="AU38">
        <v>0</v>
      </c>
      <c r="AV38">
        <v>0</v>
      </c>
      <c r="AW38">
        <v>0</v>
      </c>
      <c r="AX38">
        <v>0</v>
      </c>
    </row>
    <row r="39" spans="1:50" x14ac:dyDescent="0.35">
      <c r="A39" t="s">
        <v>835</v>
      </c>
      <c r="B39" s="249">
        <f t="shared" si="0"/>
        <v>3.2300878280390001E-2</v>
      </c>
      <c r="C39" s="217">
        <v>7.2718375000000003E-7</v>
      </c>
      <c r="D39">
        <v>1.7284518E-3</v>
      </c>
      <c r="E39">
        <v>0.31631692</v>
      </c>
      <c r="F39" s="217">
        <v>2.7685352999999999E-8</v>
      </c>
      <c r="G39">
        <v>1.5915684000000001E-4</v>
      </c>
      <c r="H39">
        <v>9.2314153999999995E-4</v>
      </c>
      <c r="I39">
        <v>1.5232932999999999E-4</v>
      </c>
      <c r="J39">
        <v>0.10432808</v>
      </c>
      <c r="K39">
        <v>2.3774920000000001E-3</v>
      </c>
      <c r="L39">
        <v>13.455969</v>
      </c>
      <c r="M39">
        <v>3.2067354000000001E-4</v>
      </c>
      <c r="N39">
        <v>0.31345079999999997</v>
      </c>
      <c r="O39">
        <v>0.31977334000000002</v>
      </c>
      <c r="P39">
        <v>-6.430697E-3</v>
      </c>
      <c r="Q39">
        <v>1.0815302999999999E-4</v>
      </c>
      <c r="R39" s="217">
        <v>3.3614515999999998E-8</v>
      </c>
      <c r="S39">
        <v>1.1862499E-3</v>
      </c>
      <c r="T39" s="217">
        <v>7.9995524000000006E-6</v>
      </c>
      <c r="U39">
        <v>3.2165013000000001E-4</v>
      </c>
      <c r="V39">
        <v>3.6966763E-3</v>
      </c>
      <c r="W39">
        <v>1.1286853E-3</v>
      </c>
      <c r="X39" s="217">
        <v>7.2719593999999999E-7</v>
      </c>
      <c r="Y39">
        <v>3.3727014999999998</v>
      </c>
      <c r="Z39">
        <v>2.5129563000000001E-2</v>
      </c>
      <c r="AA39" s="217">
        <v>1.5933746000000001E-8</v>
      </c>
      <c r="AB39">
        <v>8.8957027000000008E-3</v>
      </c>
      <c r="AC39">
        <v>2.5952495999999998</v>
      </c>
      <c r="AD39" s="217">
        <v>3.4066518000000001E-10</v>
      </c>
      <c r="AE39" s="217">
        <v>2.8265593E-9</v>
      </c>
      <c r="AF39">
        <v>1.6534808000000001</v>
      </c>
      <c r="AG39">
        <v>0</v>
      </c>
      <c r="AH39">
        <v>0</v>
      </c>
      <c r="AI39">
        <v>0.18279537000000001</v>
      </c>
      <c r="AJ39">
        <v>0</v>
      </c>
      <c r="AK39">
        <v>0</v>
      </c>
      <c r="AL39">
        <v>3.6436035000000002</v>
      </c>
      <c r="AM39">
        <v>0</v>
      </c>
      <c r="AN39">
        <v>0</v>
      </c>
      <c r="AO39">
        <v>0</v>
      </c>
      <c r="AP39">
        <v>7.5108941999999998E-4</v>
      </c>
      <c r="AQ39" s="217">
        <v>7.7579337000000006E-6</v>
      </c>
      <c r="AR39">
        <v>6.1126961E-2</v>
      </c>
      <c r="AS39" s="217">
        <v>1.2115228E-5</v>
      </c>
      <c r="AT39">
        <v>0</v>
      </c>
      <c r="AU39">
        <v>0</v>
      </c>
      <c r="AV39">
        <v>0</v>
      </c>
      <c r="AW39">
        <v>0</v>
      </c>
      <c r="AX39">
        <v>0</v>
      </c>
    </row>
    <row r="40" spans="1:50" x14ac:dyDescent="0.35">
      <c r="A40" t="s">
        <v>836</v>
      </c>
      <c r="B40" s="249">
        <f t="shared" si="0"/>
        <v>0.17818312318134405</v>
      </c>
      <c r="C40" s="217">
        <v>1.7357034E-6</v>
      </c>
      <c r="D40">
        <v>9.9804670999999994E-3</v>
      </c>
      <c r="E40">
        <v>1.4121614</v>
      </c>
      <c r="F40" s="217">
        <v>8.9721560000000006E-8</v>
      </c>
      <c r="G40">
        <v>5.8928522000000004E-4</v>
      </c>
      <c r="H40">
        <v>9.9247242000000003E-3</v>
      </c>
      <c r="I40">
        <v>1.0748163E-3</v>
      </c>
      <c r="J40">
        <v>0.55259848</v>
      </c>
      <c r="K40">
        <v>1.0915751E-2</v>
      </c>
      <c r="L40">
        <v>52.296219000000001</v>
      </c>
      <c r="M40">
        <v>2.2239586E-3</v>
      </c>
      <c r="N40">
        <v>1.4433136</v>
      </c>
      <c r="O40">
        <v>1.4518376</v>
      </c>
      <c r="P40">
        <v>-8.845548E-3</v>
      </c>
      <c r="Q40">
        <v>3.2161595999999999E-4</v>
      </c>
      <c r="R40" s="217">
        <v>1.0857532E-7</v>
      </c>
      <c r="S40">
        <v>1.2299233E-2</v>
      </c>
      <c r="T40" s="217">
        <v>3.8191534000000002E-5</v>
      </c>
      <c r="U40">
        <v>2.5020466000000002E-3</v>
      </c>
      <c r="V40">
        <v>2.9492503999999999E-2</v>
      </c>
      <c r="W40">
        <v>7.4206004000000004E-3</v>
      </c>
      <c r="X40" s="217">
        <v>1.7360640000000001E-6</v>
      </c>
      <c r="Y40">
        <v>16.767372000000002</v>
      </c>
      <c r="Z40">
        <v>0.44692207</v>
      </c>
      <c r="AA40" s="217">
        <v>1.0431537E-7</v>
      </c>
      <c r="AB40">
        <v>3.3515063999999997E-2</v>
      </c>
      <c r="AC40">
        <v>29.438652000000001</v>
      </c>
      <c r="AD40" s="217">
        <v>2.1000958000000001E-9</v>
      </c>
      <c r="AE40" s="217">
        <v>1.4661569000000001E-8</v>
      </c>
      <c r="AF40">
        <v>4.0969401000000003</v>
      </c>
      <c r="AG40">
        <v>0</v>
      </c>
      <c r="AH40">
        <v>0</v>
      </c>
      <c r="AI40">
        <v>0.98183511999999995</v>
      </c>
      <c r="AJ40">
        <v>0</v>
      </c>
      <c r="AK40">
        <v>0</v>
      </c>
      <c r="AL40">
        <v>17.818560999999999</v>
      </c>
      <c r="AM40">
        <v>0</v>
      </c>
      <c r="AN40">
        <v>0</v>
      </c>
      <c r="AO40">
        <v>0</v>
      </c>
      <c r="AP40">
        <v>1.0791335000000001E-2</v>
      </c>
      <c r="AQ40" s="217">
        <v>2.0531509999999999E-5</v>
      </c>
      <c r="AR40">
        <v>0.18929455000000001</v>
      </c>
      <c r="AS40" s="217">
        <v>4.5862441000000002E-5</v>
      </c>
      <c r="AT40">
        <v>0</v>
      </c>
      <c r="AU40">
        <v>0</v>
      </c>
      <c r="AV40">
        <v>0</v>
      </c>
      <c r="AW40">
        <v>0</v>
      </c>
      <c r="AX40">
        <v>0</v>
      </c>
    </row>
    <row r="41" spans="1:50" x14ac:dyDescent="0.35">
      <c r="A41" t="s">
        <v>837</v>
      </c>
      <c r="B41" s="249">
        <f t="shared" si="0"/>
        <v>2.1367309220125998E-3</v>
      </c>
      <c r="C41" s="217">
        <v>2.7024334999999999E-8</v>
      </c>
      <c r="D41">
        <v>1.1552582000000001E-4</v>
      </c>
      <c r="E41">
        <v>1.6183498000000001E-2</v>
      </c>
      <c r="F41" s="217">
        <v>2.2815833000000001E-9</v>
      </c>
      <c r="G41" s="217">
        <v>1.357742E-5</v>
      </c>
      <c r="H41">
        <v>1.1936665E-4</v>
      </c>
      <c r="I41" s="217">
        <v>2.2256911E-5</v>
      </c>
      <c r="J41">
        <v>6.1002892000000001E-3</v>
      </c>
      <c r="K41">
        <v>1.3259639E-4</v>
      </c>
      <c r="L41">
        <v>0.49587734999999999</v>
      </c>
      <c r="M41" s="217">
        <v>2.4563762E-5</v>
      </c>
      <c r="N41">
        <v>1.6464155000000001E-2</v>
      </c>
      <c r="O41">
        <v>1.6364883E-2</v>
      </c>
      <c r="P41" s="217">
        <v>8.2634144000000003E-5</v>
      </c>
      <c r="Q41" s="217">
        <v>1.6637600000000001E-5</v>
      </c>
      <c r="R41" s="217">
        <v>2.7776662E-9</v>
      </c>
      <c r="S41">
        <v>1.6257513999999999E-4</v>
      </c>
      <c r="T41" s="217">
        <v>5.6553794000000001E-7</v>
      </c>
      <c r="U41" s="217">
        <v>5.0140377000000002E-5</v>
      </c>
      <c r="V41">
        <v>6.2179819999999997E-4</v>
      </c>
      <c r="W41">
        <v>1.5415350999999999E-4</v>
      </c>
      <c r="X41" s="217">
        <v>2.7023470000000001E-8</v>
      </c>
      <c r="Y41">
        <v>0.23696406</v>
      </c>
      <c r="Z41">
        <v>2.1692901E-3</v>
      </c>
      <c r="AA41" s="217">
        <v>2.1509295E-9</v>
      </c>
      <c r="AB41">
        <v>1.0679577E-3</v>
      </c>
      <c r="AC41">
        <v>2.4272325000000001</v>
      </c>
      <c r="AD41" s="217">
        <v>8.0784962000000006E-12</v>
      </c>
      <c r="AE41" s="217">
        <v>1.9042957000000001E-10</v>
      </c>
      <c r="AF41">
        <v>3.1572499000000001</v>
      </c>
      <c r="AG41">
        <v>0</v>
      </c>
      <c r="AH41">
        <v>0</v>
      </c>
      <c r="AI41">
        <v>9.5901401000000001E-3</v>
      </c>
      <c r="AJ41">
        <v>0</v>
      </c>
      <c r="AK41">
        <v>0</v>
      </c>
      <c r="AL41">
        <v>0.25151034</v>
      </c>
      <c r="AM41">
        <v>0</v>
      </c>
      <c r="AN41">
        <v>0</v>
      </c>
      <c r="AO41">
        <v>0</v>
      </c>
      <c r="AP41" s="217">
        <v>7.2768954999999998E-5</v>
      </c>
      <c r="AQ41" s="217">
        <v>6.5612874999999995E-7</v>
      </c>
      <c r="AR41">
        <v>5.3445463999999996E-3</v>
      </c>
      <c r="AS41" s="217">
        <v>1.4063887000000001E-6</v>
      </c>
      <c r="AT41">
        <v>0</v>
      </c>
      <c r="AU41">
        <v>0</v>
      </c>
      <c r="AV41">
        <v>0</v>
      </c>
      <c r="AW41">
        <v>0</v>
      </c>
      <c r="AX41">
        <v>0</v>
      </c>
    </row>
    <row r="42" spans="1:50" x14ac:dyDescent="0.35">
      <c r="A42" t="s">
        <v>838</v>
      </c>
      <c r="B42" s="249">
        <f t="shared" si="0"/>
        <v>5.8649140922739191E-3</v>
      </c>
      <c r="C42" s="217">
        <v>2.7118962000000001E-8</v>
      </c>
      <c r="D42">
        <v>2.0783604000000001E-4</v>
      </c>
      <c r="E42">
        <v>3.0888837999999998E-2</v>
      </c>
      <c r="F42" s="217">
        <v>4.6796839999999997E-9</v>
      </c>
      <c r="G42" s="217">
        <v>3.5627009000000001E-5</v>
      </c>
      <c r="H42">
        <v>5.8190553000000002E-4</v>
      </c>
      <c r="I42" s="217">
        <v>6.3797969999999999E-5</v>
      </c>
      <c r="J42">
        <v>1.3259926999999999E-2</v>
      </c>
      <c r="K42">
        <v>2.3079152999999999E-4</v>
      </c>
      <c r="L42">
        <v>1.1116112</v>
      </c>
      <c r="M42" s="217">
        <v>4.2292207000000001E-5</v>
      </c>
      <c r="N42">
        <v>3.1318447999999999E-2</v>
      </c>
      <c r="O42">
        <v>3.1312538000000001E-2</v>
      </c>
      <c r="P42" s="217">
        <v>-1.0278542999999999E-5</v>
      </c>
      <c r="Q42" s="217">
        <v>1.6188438E-5</v>
      </c>
      <c r="R42" s="217">
        <v>5.8053454999999998E-9</v>
      </c>
      <c r="S42">
        <v>7.3318595999999998E-4</v>
      </c>
      <c r="T42" s="217">
        <v>5.7435729999999996E-7</v>
      </c>
      <c r="U42">
        <v>1.5928067000000001E-4</v>
      </c>
      <c r="V42">
        <v>1.9306016999999999E-3</v>
      </c>
      <c r="W42">
        <v>4.7344492000000001E-4</v>
      </c>
      <c r="X42" s="217">
        <v>2.7116165999999999E-8</v>
      </c>
      <c r="Y42">
        <v>0.42945382999999998</v>
      </c>
      <c r="Z42">
        <v>2.2394285E-2</v>
      </c>
      <c r="AA42" s="217">
        <v>4.2609752999999996E-9</v>
      </c>
      <c r="AB42">
        <v>1.8566571999999999E-3</v>
      </c>
      <c r="AC42">
        <v>5.7859927999999998</v>
      </c>
      <c r="AD42" s="217">
        <v>1.0511144000000001E-11</v>
      </c>
      <c r="AE42" s="217">
        <v>2.5259978999999998E-10</v>
      </c>
      <c r="AF42">
        <v>0.16798251</v>
      </c>
      <c r="AG42">
        <v>0</v>
      </c>
      <c r="AH42">
        <v>0</v>
      </c>
      <c r="AI42">
        <v>1.1376219E-2</v>
      </c>
      <c r="AJ42">
        <v>0</v>
      </c>
      <c r="AK42">
        <v>0</v>
      </c>
      <c r="AL42">
        <v>0.45589447999999999</v>
      </c>
      <c r="AM42">
        <v>0</v>
      </c>
      <c r="AN42">
        <v>0</v>
      </c>
      <c r="AO42">
        <v>0</v>
      </c>
      <c r="AP42">
        <v>5.4478293999999999E-4</v>
      </c>
      <c r="AQ42" s="217">
        <v>2.7555758000000002E-7</v>
      </c>
      <c r="AR42">
        <v>1.3163817E-3</v>
      </c>
      <c r="AS42" s="217">
        <v>2.7341600000000002E-6</v>
      </c>
      <c r="AT42">
        <v>0</v>
      </c>
      <c r="AU42">
        <v>0</v>
      </c>
      <c r="AV42">
        <v>0</v>
      </c>
      <c r="AW42">
        <v>0</v>
      </c>
      <c r="AX42">
        <v>0</v>
      </c>
    </row>
    <row r="43" spans="1:50" x14ac:dyDescent="0.35">
      <c r="A43" t="s">
        <v>839</v>
      </c>
      <c r="B43" s="249">
        <f t="shared" si="0"/>
        <v>1.6211718316617999E-2</v>
      </c>
      <c r="C43" s="217">
        <v>3.1126965000000001E-7</v>
      </c>
      <c r="D43">
        <v>2.1530616000000002E-3</v>
      </c>
      <c r="E43">
        <v>0.16486121000000001</v>
      </c>
      <c r="F43" s="217">
        <v>7.8888558000000007E-9</v>
      </c>
      <c r="G43">
        <v>1.7893141E-4</v>
      </c>
      <c r="H43">
        <v>7.2868447000000002E-4</v>
      </c>
      <c r="I43" s="217">
        <v>8.9462378999999995E-5</v>
      </c>
      <c r="J43">
        <v>3.6946157E-2</v>
      </c>
      <c r="K43">
        <v>6.7803183999999995E-4</v>
      </c>
      <c r="L43">
        <v>1.936077</v>
      </c>
      <c r="M43">
        <v>1.1694326E-4</v>
      </c>
      <c r="N43">
        <v>0.16995411999999999</v>
      </c>
      <c r="O43">
        <v>0.17100712000000001</v>
      </c>
      <c r="P43">
        <v>-1.0957823999999999E-3</v>
      </c>
      <c r="Q43" s="217">
        <v>4.2774454999999999E-5</v>
      </c>
      <c r="R43" s="217">
        <v>9.1428227999999993E-9</v>
      </c>
      <c r="S43">
        <v>9.1895892999999996E-4</v>
      </c>
      <c r="T43" s="217">
        <v>4.0602460999999996E-6</v>
      </c>
      <c r="U43">
        <v>1.890784E-4</v>
      </c>
      <c r="V43">
        <v>2.3605481000000001E-3</v>
      </c>
      <c r="W43">
        <v>8.3306717000000002E-4</v>
      </c>
      <c r="X43" s="217">
        <v>3.112728E-7</v>
      </c>
      <c r="Y43">
        <v>4.6058696000000001</v>
      </c>
      <c r="Z43">
        <v>6.8172204E-2</v>
      </c>
      <c r="AA43" s="217">
        <v>1.1205043999999999E-8</v>
      </c>
      <c r="AB43">
        <v>4.5938706999999997E-3</v>
      </c>
      <c r="AC43">
        <v>1.9363572</v>
      </c>
      <c r="AD43" s="217">
        <v>4.6554266999999998E-11</v>
      </c>
      <c r="AE43" s="217">
        <v>1.6449208E-9</v>
      </c>
      <c r="AF43">
        <v>1.6187783</v>
      </c>
      <c r="AG43">
        <v>0</v>
      </c>
      <c r="AH43">
        <v>0</v>
      </c>
      <c r="AI43">
        <v>0.15015621000000001</v>
      </c>
      <c r="AJ43">
        <v>0</v>
      </c>
      <c r="AK43">
        <v>0</v>
      </c>
      <c r="AL43">
        <v>4.9299375000000003</v>
      </c>
      <c r="AM43">
        <v>0</v>
      </c>
      <c r="AN43">
        <v>0</v>
      </c>
      <c r="AO43">
        <v>0</v>
      </c>
      <c r="AP43">
        <v>1.7425372E-3</v>
      </c>
      <c r="AQ43" s="217">
        <v>1.42791E-6</v>
      </c>
      <c r="AR43">
        <v>1.4905267999999999E-2</v>
      </c>
      <c r="AS43" s="217">
        <v>5.4958181999999999E-6</v>
      </c>
      <c r="AT43">
        <v>0</v>
      </c>
      <c r="AU43">
        <v>0</v>
      </c>
      <c r="AV43">
        <v>0</v>
      </c>
      <c r="AW43">
        <v>0</v>
      </c>
      <c r="AX43">
        <v>0</v>
      </c>
    </row>
    <row r="44" spans="1:50" x14ac:dyDescent="0.35">
      <c r="A44" t="s">
        <v>840</v>
      </c>
      <c r="B44" s="249">
        <f t="shared" si="0"/>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row>
    <row r="45" spans="1:50" x14ac:dyDescent="0.35">
      <c r="A45" t="s">
        <v>841</v>
      </c>
      <c r="B45" s="249">
        <f t="shared" si="0"/>
        <v>2.5307089535114402E-2</v>
      </c>
      <c r="C45" s="217">
        <v>6.7104458999999998E-7</v>
      </c>
      <c r="D45">
        <v>1.0329891E-3</v>
      </c>
      <c r="E45">
        <v>0.26403913000000001</v>
      </c>
      <c r="F45" s="217">
        <v>1.3294485999999999E-8</v>
      </c>
      <c r="G45" s="217">
        <v>8.9349112000000001E-5</v>
      </c>
      <c r="H45">
        <v>8.3905625999999996E-4</v>
      </c>
      <c r="I45">
        <v>1.2099573E-4</v>
      </c>
      <c r="J45">
        <v>7.2340030999999999E-2</v>
      </c>
      <c r="K45">
        <v>4.4242292000000001E-3</v>
      </c>
      <c r="L45">
        <v>6.4506641</v>
      </c>
      <c r="M45">
        <v>4.5112778999999999E-4</v>
      </c>
      <c r="N45">
        <v>0.26760725000000002</v>
      </c>
      <c r="O45">
        <v>0.26697694</v>
      </c>
      <c r="P45">
        <v>5.2664045000000003E-4</v>
      </c>
      <c r="Q45">
        <v>1.0367342E-4</v>
      </c>
      <c r="R45" s="217">
        <v>1.5855329000000001E-8</v>
      </c>
      <c r="S45">
        <v>1.0488685000000001E-3</v>
      </c>
      <c r="T45" s="217">
        <v>9.1830139E-6</v>
      </c>
      <c r="U45">
        <v>2.3249261E-4</v>
      </c>
      <c r="V45">
        <v>2.6952891000000001E-3</v>
      </c>
      <c r="W45">
        <v>7.4715899999999995E-4</v>
      </c>
      <c r="X45" s="217">
        <v>6.7104843000000004E-7</v>
      </c>
      <c r="Y45">
        <v>1.915324</v>
      </c>
      <c r="Z45">
        <v>9.0017688999999998E-2</v>
      </c>
      <c r="AA45" s="217">
        <v>9.7193120999999994E-9</v>
      </c>
      <c r="AB45">
        <v>5.9413914999999996E-3</v>
      </c>
      <c r="AC45">
        <v>3.4285109999999999</v>
      </c>
      <c r="AD45" s="217">
        <v>1.4908830999999999E-10</v>
      </c>
      <c r="AE45" s="217">
        <v>3.8408563E-9</v>
      </c>
      <c r="AF45">
        <v>0.98582811999999997</v>
      </c>
      <c r="AG45">
        <v>0</v>
      </c>
      <c r="AH45">
        <v>0</v>
      </c>
      <c r="AI45">
        <v>0.13301472</v>
      </c>
      <c r="AJ45">
        <v>0</v>
      </c>
      <c r="AK45">
        <v>0</v>
      </c>
      <c r="AL45">
        <v>2.0383271000000001</v>
      </c>
      <c r="AM45">
        <v>0</v>
      </c>
      <c r="AN45">
        <v>0</v>
      </c>
      <c r="AO45">
        <v>0</v>
      </c>
      <c r="AP45">
        <v>2.3146040000000001E-3</v>
      </c>
      <c r="AQ45" s="217">
        <v>3.4404078E-6</v>
      </c>
      <c r="AR45">
        <v>3.8848858999999999E-2</v>
      </c>
      <c r="AS45" s="217">
        <v>7.3416457000000003E-6</v>
      </c>
      <c r="AT45">
        <v>0</v>
      </c>
      <c r="AU45">
        <v>0</v>
      </c>
      <c r="AV45">
        <v>0</v>
      </c>
      <c r="AW45">
        <v>0</v>
      </c>
      <c r="AX45">
        <v>0</v>
      </c>
    </row>
    <row r="46" spans="1:50" x14ac:dyDescent="0.35">
      <c r="A46" t="s">
        <v>842</v>
      </c>
      <c r="B46" s="249">
        <f t="shared" si="0"/>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row>
    <row r="47" spans="1:50" x14ac:dyDescent="0.35">
      <c r="A47" t="s">
        <v>843</v>
      </c>
      <c r="B47" s="249">
        <f t="shared" si="0"/>
        <v>1.0280889376814002E-2</v>
      </c>
      <c r="C47" s="217">
        <v>8.9988892999999992E-6</v>
      </c>
      <c r="D47">
        <v>3.9291692E-4</v>
      </c>
      <c r="E47">
        <v>0.14353795</v>
      </c>
      <c r="F47" s="217">
        <v>4.4070342000000003E-9</v>
      </c>
      <c r="G47" s="217">
        <v>3.1880530999999999E-5</v>
      </c>
      <c r="H47">
        <v>2.8885754000000001E-4</v>
      </c>
      <c r="I47" s="217">
        <v>6.6539816999999996E-5</v>
      </c>
      <c r="J47">
        <v>1.1588790999999999E-2</v>
      </c>
      <c r="K47">
        <v>2.9394813000000001E-4</v>
      </c>
      <c r="L47">
        <v>1.6078478</v>
      </c>
      <c r="M47">
        <v>1.4848579E-4</v>
      </c>
      <c r="N47">
        <v>2.2755731000000001E-2</v>
      </c>
      <c r="O47">
        <v>2.2683881999999999E-2</v>
      </c>
      <c r="P47" s="217">
        <v>4.7609489000000002E-5</v>
      </c>
      <c r="Q47" s="217">
        <v>2.4240101000000001E-5</v>
      </c>
      <c r="R47" s="217">
        <v>4.1684405000000003E-9</v>
      </c>
      <c r="S47">
        <v>1.8984500000000001E-4</v>
      </c>
      <c r="T47" s="217">
        <v>6.4324628E-7</v>
      </c>
      <c r="U47" s="217">
        <v>6.7779452999999995E-5</v>
      </c>
      <c r="V47">
        <v>7.6151919999999996E-4</v>
      </c>
      <c r="W47">
        <v>2.0169407999999999E-4</v>
      </c>
      <c r="X47" s="217">
        <v>4.9859658000000001E-8</v>
      </c>
      <c r="Y47">
        <v>0.31685007999999998</v>
      </c>
      <c r="Z47">
        <v>5.4088411000000003E-2</v>
      </c>
      <c r="AA47" s="217">
        <v>1.4634974E-9</v>
      </c>
      <c r="AB47">
        <v>1.3550776000000001E-3</v>
      </c>
      <c r="AC47">
        <v>0.27029194000000001</v>
      </c>
      <c r="AD47" s="217">
        <v>1.2489432E-11</v>
      </c>
      <c r="AE47" s="217">
        <v>2.7255138E-10</v>
      </c>
      <c r="AF47">
        <v>0.24364578000000001</v>
      </c>
      <c r="AG47">
        <v>0</v>
      </c>
      <c r="AH47">
        <v>0</v>
      </c>
      <c r="AI47">
        <v>2.8242733999999999E-2</v>
      </c>
      <c r="AJ47">
        <v>0</v>
      </c>
      <c r="AK47">
        <v>0</v>
      </c>
      <c r="AL47">
        <v>0.72382484000000002</v>
      </c>
      <c r="AM47">
        <v>0</v>
      </c>
      <c r="AN47">
        <v>0</v>
      </c>
      <c r="AO47">
        <v>0</v>
      </c>
      <c r="AP47">
        <v>1.4786411E-3</v>
      </c>
      <c r="AQ47" s="217">
        <v>3.2864292E-6</v>
      </c>
      <c r="AR47">
        <v>9.2997276E-3</v>
      </c>
      <c r="AS47" s="217">
        <v>1.9662090999999999E-6</v>
      </c>
      <c r="AT47">
        <v>0</v>
      </c>
      <c r="AU47">
        <v>0</v>
      </c>
      <c r="AV47">
        <v>0</v>
      </c>
      <c r="AW47">
        <v>0</v>
      </c>
      <c r="AX47">
        <v>0</v>
      </c>
    </row>
    <row r="48" spans="1:50" x14ac:dyDescent="0.35">
      <c r="A48" t="s">
        <v>844</v>
      </c>
      <c r="B48" s="249">
        <f t="shared" si="0"/>
        <v>5.6569903989423598E-3</v>
      </c>
      <c r="C48" s="217">
        <v>5.5837221E-8</v>
      </c>
      <c r="D48">
        <v>2.7424167999999999E-4</v>
      </c>
      <c r="E48">
        <v>6.4671858999999998E-2</v>
      </c>
      <c r="F48" s="217">
        <v>4.3911029E-9</v>
      </c>
      <c r="G48" s="217">
        <v>2.2791011999999999E-5</v>
      </c>
      <c r="H48">
        <v>2.2480104000000001E-4</v>
      </c>
      <c r="I48" s="217">
        <v>4.3505659E-5</v>
      </c>
      <c r="J48">
        <v>1.0423876E-2</v>
      </c>
      <c r="K48">
        <v>2.4411676999999999E-4</v>
      </c>
      <c r="L48">
        <v>0.91145151000000002</v>
      </c>
      <c r="M48">
        <v>1.070584E-4</v>
      </c>
      <c r="N48">
        <v>2.2504010000000001E-2</v>
      </c>
      <c r="O48">
        <v>2.2432756000000002E-2</v>
      </c>
      <c r="P48" s="217">
        <v>4.7287731000000003E-5</v>
      </c>
      <c r="Q48" s="217">
        <v>2.3967199E-5</v>
      </c>
      <c r="R48" s="217">
        <v>4.1239295000000001E-9</v>
      </c>
      <c r="S48">
        <v>1.8760373000000001E-4</v>
      </c>
      <c r="T48" s="217">
        <v>6.3497130999999996E-7</v>
      </c>
      <c r="U48" s="217">
        <v>6.7027882000000007E-5</v>
      </c>
      <c r="V48">
        <v>7.5308765000000005E-4</v>
      </c>
      <c r="W48">
        <v>1.9942509999999999E-4</v>
      </c>
      <c r="X48" s="217">
        <v>4.9162378999999999E-8</v>
      </c>
      <c r="Y48">
        <v>0.31339138</v>
      </c>
      <c r="Z48">
        <v>5.3361670999999999E-2</v>
      </c>
      <c r="AA48" s="217">
        <v>1.4444431E-9</v>
      </c>
      <c r="AB48">
        <v>1.3399962000000001E-3</v>
      </c>
      <c r="AC48">
        <v>0.26701569000000003</v>
      </c>
      <c r="AD48" s="217">
        <v>1.2322394E-11</v>
      </c>
      <c r="AE48" s="217">
        <v>2.6910453999999999E-10</v>
      </c>
      <c r="AF48">
        <v>0.24081870999999999</v>
      </c>
      <c r="AG48">
        <v>0</v>
      </c>
      <c r="AH48">
        <v>0</v>
      </c>
      <c r="AI48">
        <v>2.3715203000000001E-2</v>
      </c>
      <c r="AJ48">
        <v>0</v>
      </c>
      <c r="AK48">
        <v>0</v>
      </c>
      <c r="AL48">
        <v>0.58124801000000004</v>
      </c>
      <c r="AM48">
        <v>0</v>
      </c>
      <c r="AN48">
        <v>0</v>
      </c>
      <c r="AO48">
        <v>0</v>
      </c>
      <c r="AP48">
        <v>1.3522363E-3</v>
      </c>
      <c r="AQ48" s="217">
        <v>1.8449451E-6</v>
      </c>
      <c r="AR48">
        <v>8.7027469000000007E-3</v>
      </c>
      <c r="AS48" s="217">
        <v>1.9449581000000001E-6</v>
      </c>
      <c r="AT48">
        <v>0</v>
      </c>
      <c r="AU48">
        <v>0</v>
      </c>
      <c r="AV48">
        <v>0</v>
      </c>
      <c r="AW48">
        <v>0</v>
      </c>
      <c r="AX48">
        <v>0</v>
      </c>
    </row>
    <row r="49" spans="1:50" x14ac:dyDescent="0.35">
      <c r="A49" t="s">
        <v>845</v>
      </c>
      <c r="B49" s="249">
        <f t="shared" si="0"/>
        <v>7.3512085599299979E-3</v>
      </c>
      <c r="C49" s="217">
        <v>2.6969744000000001E-6</v>
      </c>
      <c r="D49">
        <v>3.2303839000000001E-4</v>
      </c>
      <c r="E49">
        <v>9.2593100999999997E-2</v>
      </c>
      <c r="F49" s="217">
        <v>4.5301341999999996E-9</v>
      </c>
      <c r="G49" s="217">
        <v>2.6454654E-5</v>
      </c>
      <c r="H49">
        <v>2.5347171E-4</v>
      </c>
      <c r="I49" s="217">
        <v>5.2153159999999998E-5</v>
      </c>
      <c r="J49">
        <v>1.113546E-2</v>
      </c>
      <c r="K49">
        <v>2.6754661999999998E-4</v>
      </c>
      <c r="L49">
        <v>1.1527155</v>
      </c>
      <c r="M49">
        <v>1.2726685E-4</v>
      </c>
      <c r="N49">
        <v>2.2701037E-2</v>
      </c>
      <c r="O49">
        <v>2.2629097000000001E-2</v>
      </c>
      <c r="P49" s="217">
        <v>4.7745036999999999E-5</v>
      </c>
      <c r="Q49" s="217">
        <v>2.4194311999999999E-5</v>
      </c>
      <c r="R49" s="217">
        <v>4.1639581E-9</v>
      </c>
      <c r="S49">
        <v>1.8920697E-4</v>
      </c>
      <c r="T49" s="217">
        <v>6.3947929000000002E-7</v>
      </c>
      <c r="U49" s="217">
        <v>6.7622093000000005E-5</v>
      </c>
      <c r="V49">
        <v>7.5972406999999997E-4</v>
      </c>
      <c r="W49">
        <v>2.0118830000000001E-4</v>
      </c>
      <c r="X49" s="217">
        <v>4.9550939000000002E-8</v>
      </c>
      <c r="Y49">
        <v>0.31629396999999998</v>
      </c>
      <c r="Z49">
        <v>5.2984491000000002E-2</v>
      </c>
      <c r="AA49" s="217">
        <v>1.4561582999999999E-9</v>
      </c>
      <c r="AB49">
        <v>1.3539981E-3</v>
      </c>
      <c r="AC49">
        <v>0.26927257999999998</v>
      </c>
      <c r="AD49" s="217">
        <v>1.2465942E-11</v>
      </c>
      <c r="AE49" s="217">
        <v>2.7246678000000002E-10</v>
      </c>
      <c r="AF49">
        <v>0.24296872999999999</v>
      </c>
      <c r="AG49">
        <v>0</v>
      </c>
      <c r="AH49">
        <v>0</v>
      </c>
      <c r="AI49">
        <v>2.6705712E-2</v>
      </c>
      <c r="AJ49">
        <v>0</v>
      </c>
      <c r="AK49">
        <v>0</v>
      </c>
      <c r="AL49">
        <v>0.65173957000000005</v>
      </c>
      <c r="AM49">
        <v>0</v>
      </c>
      <c r="AN49">
        <v>0</v>
      </c>
      <c r="AO49">
        <v>0</v>
      </c>
      <c r="AP49">
        <v>1.3832842999999999E-3</v>
      </c>
      <c r="AQ49" s="217">
        <v>2.3983871E-6</v>
      </c>
      <c r="AR49">
        <v>9.0647403000000005E-3</v>
      </c>
      <c r="AS49" s="217">
        <v>1.9647127999999999E-6</v>
      </c>
      <c r="AT49">
        <v>0</v>
      </c>
      <c r="AU49">
        <v>0</v>
      </c>
      <c r="AV49">
        <v>0</v>
      </c>
      <c r="AW49">
        <v>0</v>
      </c>
      <c r="AX49">
        <v>0</v>
      </c>
    </row>
    <row r="50" spans="1:50" x14ac:dyDescent="0.35">
      <c r="A50" t="s">
        <v>846</v>
      </c>
      <c r="B50" s="249">
        <f t="shared" si="0"/>
        <v>1.1636783900120001E-2</v>
      </c>
      <c r="C50" s="217">
        <v>1.0617521E-5</v>
      </c>
      <c r="D50">
        <v>4.3554157000000001E-4</v>
      </c>
      <c r="E50">
        <v>0.16537352</v>
      </c>
      <c r="F50" s="217">
        <v>4.5888020000000003E-9</v>
      </c>
      <c r="G50" s="217">
        <v>3.4972614999999999E-5</v>
      </c>
      <c r="H50">
        <v>3.1495002000000001E-4</v>
      </c>
      <c r="I50" s="217">
        <v>7.3452601999999994E-5</v>
      </c>
      <c r="J50">
        <v>1.2307731000000001E-2</v>
      </c>
      <c r="K50">
        <v>3.1506337000000001E-4</v>
      </c>
      <c r="L50">
        <v>1.7849444000000001</v>
      </c>
      <c r="M50">
        <v>1.6873204E-4</v>
      </c>
      <c r="N50">
        <v>2.2676760000000001E-2</v>
      </c>
      <c r="O50">
        <v>2.2605298999999999E-2</v>
      </c>
      <c r="P50" s="217">
        <v>4.7303543999999999E-5</v>
      </c>
      <c r="Q50" s="217">
        <v>2.4158003E-5</v>
      </c>
      <c r="R50" s="217">
        <v>4.1619090000000003E-9</v>
      </c>
      <c r="S50">
        <v>1.8903877999999999E-4</v>
      </c>
      <c r="T50" s="217">
        <v>6.3728360000000004E-7</v>
      </c>
      <c r="U50" s="217">
        <v>6.7599148000000006E-5</v>
      </c>
      <c r="V50">
        <v>7.5935075000000004E-4</v>
      </c>
      <c r="W50">
        <v>2.0110698000000001E-4</v>
      </c>
      <c r="X50" s="217">
        <v>4.9481373000000001E-8</v>
      </c>
      <c r="Y50">
        <v>0.31588276999999998</v>
      </c>
      <c r="Z50">
        <v>5.2979445999999999E-2</v>
      </c>
      <c r="AA50" s="217">
        <v>1.4548548999999999E-9</v>
      </c>
      <c r="AB50">
        <v>1.3511720999999999E-3</v>
      </c>
      <c r="AC50">
        <v>0.26884396999999999</v>
      </c>
      <c r="AD50" s="217">
        <v>1.2403013E-11</v>
      </c>
      <c r="AE50" s="217">
        <v>2.7106080999999998E-10</v>
      </c>
      <c r="AF50">
        <v>0.24285819</v>
      </c>
      <c r="AG50">
        <v>0</v>
      </c>
      <c r="AH50">
        <v>0</v>
      </c>
      <c r="AI50">
        <v>3.1703596000000001E-2</v>
      </c>
      <c r="AJ50">
        <v>0</v>
      </c>
      <c r="AK50">
        <v>0</v>
      </c>
      <c r="AL50">
        <v>0.79288431999999998</v>
      </c>
      <c r="AM50">
        <v>0</v>
      </c>
      <c r="AN50">
        <v>0</v>
      </c>
      <c r="AO50">
        <v>0</v>
      </c>
      <c r="AP50">
        <v>1.4845628000000001E-3</v>
      </c>
      <c r="AQ50" s="217">
        <v>3.7551414000000001E-6</v>
      </c>
      <c r="AR50">
        <v>9.6043428000000004E-3</v>
      </c>
      <c r="AS50" s="217">
        <v>1.9622377E-6</v>
      </c>
      <c r="AT50">
        <v>0</v>
      </c>
      <c r="AU50">
        <v>0</v>
      </c>
      <c r="AV50">
        <v>0</v>
      </c>
      <c r="AW50">
        <v>0</v>
      </c>
      <c r="AX50">
        <v>0</v>
      </c>
    </row>
    <row r="51" spans="1:50" x14ac:dyDescent="0.35">
      <c r="A51" t="s">
        <v>847</v>
      </c>
      <c r="B51" s="249">
        <f t="shared" si="0"/>
        <v>5.9217458270637196E-3</v>
      </c>
      <c r="C51" s="217">
        <v>5.6768892000000002E-8</v>
      </c>
      <c r="D51">
        <v>2.8548012999999998E-4</v>
      </c>
      <c r="E51">
        <v>6.8325158999999996E-2</v>
      </c>
      <c r="F51" s="217">
        <v>4.5097746999999997E-9</v>
      </c>
      <c r="G51" s="217">
        <v>2.3610622000000001E-5</v>
      </c>
      <c r="H51">
        <v>2.3293483000000001E-4</v>
      </c>
      <c r="I51" s="217">
        <v>4.5047184999999997E-5</v>
      </c>
      <c r="J51">
        <v>1.074172E-2</v>
      </c>
      <c r="K51">
        <v>2.5164386E-4</v>
      </c>
      <c r="L51">
        <v>0.94175973999999996</v>
      </c>
      <c r="M51">
        <v>1.1335602000000001E-4</v>
      </c>
      <c r="N51">
        <v>2.2701037E-2</v>
      </c>
      <c r="O51">
        <v>2.2629097000000001E-2</v>
      </c>
      <c r="P51" s="217">
        <v>4.7745036999999999E-5</v>
      </c>
      <c r="Q51" s="217">
        <v>2.4194311999999999E-5</v>
      </c>
      <c r="R51" s="217">
        <v>4.1639581E-9</v>
      </c>
      <c r="S51">
        <v>1.8920697E-4</v>
      </c>
      <c r="T51" s="217">
        <v>6.3947929000000002E-7</v>
      </c>
      <c r="U51" s="217">
        <v>6.7622093000000005E-5</v>
      </c>
      <c r="V51">
        <v>7.5972406999999997E-4</v>
      </c>
      <c r="W51">
        <v>2.0118830000000001E-4</v>
      </c>
      <c r="X51" s="217">
        <v>4.9550939000000002E-8</v>
      </c>
      <c r="Y51">
        <v>0.31629396999999998</v>
      </c>
      <c r="Z51">
        <v>5.2984491000000002E-2</v>
      </c>
      <c r="AA51" s="217">
        <v>1.4561582999999999E-9</v>
      </c>
      <c r="AB51">
        <v>1.3539981E-3</v>
      </c>
      <c r="AC51">
        <v>0.26927257999999998</v>
      </c>
      <c r="AD51" s="217">
        <v>1.2465942E-11</v>
      </c>
      <c r="AE51" s="217">
        <v>2.7246678000000002E-10</v>
      </c>
      <c r="AF51">
        <v>0.24296872999999999</v>
      </c>
      <c r="AG51">
        <v>0</v>
      </c>
      <c r="AH51">
        <v>0</v>
      </c>
      <c r="AI51">
        <v>2.5022447E-2</v>
      </c>
      <c r="AJ51">
        <v>0</v>
      </c>
      <c r="AK51">
        <v>0</v>
      </c>
      <c r="AL51">
        <v>0.60454724999999998</v>
      </c>
      <c r="AM51">
        <v>0</v>
      </c>
      <c r="AN51">
        <v>0</v>
      </c>
      <c r="AO51">
        <v>0</v>
      </c>
      <c r="AP51">
        <v>1.3493915999999999E-3</v>
      </c>
      <c r="AQ51" s="217">
        <v>1.9458441E-6</v>
      </c>
      <c r="AR51">
        <v>8.8833590000000004E-3</v>
      </c>
      <c r="AS51" s="217">
        <v>1.9647127999999999E-6</v>
      </c>
      <c r="AT51">
        <v>0</v>
      </c>
      <c r="AU51">
        <v>0</v>
      </c>
      <c r="AV51">
        <v>0</v>
      </c>
      <c r="AW51">
        <v>0</v>
      </c>
      <c r="AX51">
        <v>0</v>
      </c>
    </row>
    <row r="52" spans="1:50" x14ac:dyDescent="0.35">
      <c r="A52" t="s">
        <v>848</v>
      </c>
      <c r="B52" s="249">
        <f t="shared" si="0"/>
        <v>7.9456567148010002E-3</v>
      </c>
      <c r="C52" s="217">
        <v>3.0524741000000001E-6</v>
      </c>
      <c r="D52">
        <v>3.4405938999999998E-4</v>
      </c>
      <c r="E52">
        <v>0.10182409000000001</v>
      </c>
      <c r="F52" s="217">
        <v>4.6494814999999996E-9</v>
      </c>
      <c r="G52" s="217">
        <v>2.7915979000000001E-5</v>
      </c>
      <c r="H52">
        <v>2.6756071E-4</v>
      </c>
      <c r="I52" s="217">
        <v>5.5275212999999998E-5</v>
      </c>
      <c r="J52">
        <v>1.1523445E-2</v>
      </c>
      <c r="K52">
        <v>2.7733538999999999E-4</v>
      </c>
      <c r="L52">
        <v>1.2144075999999999</v>
      </c>
      <c r="M52">
        <v>1.3920409E-4</v>
      </c>
      <c r="N52">
        <v>2.2469632999999999E-2</v>
      </c>
      <c r="O52">
        <v>2.2397832999999999E-2</v>
      </c>
      <c r="P52" s="217">
        <v>4.7605585000000003E-5</v>
      </c>
      <c r="Q52" s="217">
        <v>2.4194182E-5</v>
      </c>
      <c r="R52" s="217">
        <v>4.1176774999999998E-9</v>
      </c>
      <c r="S52">
        <v>1.8781566E-4</v>
      </c>
      <c r="T52" s="217">
        <v>6.3122984000000002E-7</v>
      </c>
      <c r="U52" s="217">
        <v>6.7312690999999999E-5</v>
      </c>
      <c r="V52">
        <v>7.5612827000000001E-4</v>
      </c>
      <c r="W52">
        <v>2.0007293E-4</v>
      </c>
      <c r="X52" s="217">
        <v>4.8471470000000002E-8</v>
      </c>
      <c r="Y52">
        <v>0.31275903999999999</v>
      </c>
      <c r="Z52">
        <v>5.2003332999999999E-2</v>
      </c>
      <c r="AA52" s="217">
        <v>1.4264034E-9</v>
      </c>
      <c r="AB52">
        <v>1.3387427E-3</v>
      </c>
      <c r="AC52">
        <v>0.26593051000000001</v>
      </c>
      <c r="AD52" s="217">
        <v>1.2303466E-11</v>
      </c>
      <c r="AE52" s="217">
        <v>2.6807762000000002E-10</v>
      </c>
      <c r="AF52">
        <v>0.23978416</v>
      </c>
      <c r="AG52">
        <v>0</v>
      </c>
      <c r="AH52">
        <v>0</v>
      </c>
      <c r="AI52">
        <v>2.9038832000000001E-2</v>
      </c>
      <c r="AJ52">
        <v>0</v>
      </c>
      <c r="AK52">
        <v>0</v>
      </c>
      <c r="AL52">
        <v>0.69053735000000005</v>
      </c>
      <c r="AM52">
        <v>0</v>
      </c>
      <c r="AN52">
        <v>0</v>
      </c>
      <c r="AO52">
        <v>0</v>
      </c>
      <c r="AP52">
        <v>1.3722299000000001E-3</v>
      </c>
      <c r="AQ52" s="217">
        <v>2.6235960000000001E-6</v>
      </c>
      <c r="AR52">
        <v>9.0440963000000003E-3</v>
      </c>
      <c r="AS52" s="217">
        <v>1.9429564000000001E-6</v>
      </c>
      <c r="AT52">
        <v>0</v>
      </c>
      <c r="AU52">
        <v>0</v>
      </c>
      <c r="AV52">
        <v>0</v>
      </c>
      <c r="AW52">
        <v>0</v>
      </c>
      <c r="AX52">
        <v>0</v>
      </c>
    </row>
    <row r="53" spans="1:50" x14ac:dyDescent="0.35">
      <c r="A53" t="s">
        <v>849</v>
      </c>
      <c r="B53" s="249">
        <f t="shared" si="0"/>
        <v>1.2811644372118002E-2</v>
      </c>
      <c r="C53" s="217">
        <v>1.2039911999999999E-5</v>
      </c>
      <c r="D53">
        <v>4.7191023999999999E-4</v>
      </c>
      <c r="E53">
        <v>0.18443380000000001</v>
      </c>
      <c r="F53" s="217">
        <v>4.7187865999999997E-9</v>
      </c>
      <c r="G53" s="217">
        <v>3.7597257999999998E-5</v>
      </c>
      <c r="H53">
        <v>3.3746965999999998E-4</v>
      </c>
      <c r="I53" s="217">
        <v>7.9464434999999993E-5</v>
      </c>
      <c r="J53">
        <v>1.2863763E-2</v>
      </c>
      <c r="K53">
        <v>3.3146948000000001E-4</v>
      </c>
      <c r="L53">
        <v>1.9325151</v>
      </c>
      <c r="M53">
        <v>1.8655747999999999E-4</v>
      </c>
      <c r="N53">
        <v>2.2469632999999999E-2</v>
      </c>
      <c r="O53">
        <v>2.2397832999999999E-2</v>
      </c>
      <c r="P53" s="217">
        <v>4.7605585000000003E-5</v>
      </c>
      <c r="Q53" s="217">
        <v>2.4194182E-5</v>
      </c>
      <c r="R53" s="217">
        <v>4.1176774999999998E-9</v>
      </c>
      <c r="S53">
        <v>1.8781566E-4</v>
      </c>
      <c r="T53" s="217">
        <v>6.3122984000000002E-7</v>
      </c>
      <c r="U53" s="217">
        <v>6.7312690999999999E-5</v>
      </c>
      <c r="V53">
        <v>7.5612827000000001E-4</v>
      </c>
      <c r="W53">
        <v>2.0007293E-4</v>
      </c>
      <c r="X53" s="217">
        <v>4.8471470000000002E-8</v>
      </c>
      <c r="Y53">
        <v>0.31275903999999999</v>
      </c>
      <c r="Z53">
        <v>5.2003332999999999E-2</v>
      </c>
      <c r="AA53" s="217">
        <v>1.4264034E-9</v>
      </c>
      <c r="AB53">
        <v>1.3387427E-3</v>
      </c>
      <c r="AC53">
        <v>0.26593051000000001</v>
      </c>
      <c r="AD53" s="217">
        <v>1.2303466E-11</v>
      </c>
      <c r="AE53" s="217">
        <v>2.6807762000000002E-10</v>
      </c>
      <c r="AF53">
        <v>0.23978416</v>
      </c>
      <c r="AG53">
        <v>0</v>
      </c>
      <c r="AH53">
        <v>0</v>
      </c>
      <c r="AI53">
        <v>3.4768780999999999E-2</v>
      </c>
      <c r="AJ53">
        <v>0</v>
      </c>
      <c r="AK53">
        <v>0</v>
      </c>
      <c r="AL53">
        <v>0.85118322000000002</v>
      </c>
      <c r="AM53">
        <v>0</v>
      </c>
      <c r="AN53">
        <v>0</v>
      </c>
      <c r="AO53">
        <v>0</v>
      </c>
      <c r="AP53">
        <v>1.4876030999999999E-3</v>
      </c>
      <c r="AQ53" s="217">
        <v>4.1640828999999999E-6</v>
      </c>
      <c r="AR53">
        <v>9.6615303000000003E-3</v>
      </c>
      <c r="AS53" s="217">
        <v>1.9429564000000001E-6</v>
      </c>
      <c r="AT53">
        <v>0</v>
      </c>
      <c r="AU53">
        <v>0</v>
      </c>
      <c r="AV53">
        <v>0</v>
      </c>
      <c r="AW53">
        <v>0</v>
      </c>
      <c r="AX53">
        <v>0</v>
      </c>
    </row>
    <row r="54" spans="1:50" x14ac:dyDescent="0.35">
      <c r="A54" t="s">
        <v>850</v>
      </c>
      <c r="B54" s="249">
        <f t="shared" si="0"/>
        <v>6.3236605628159597E-3</v>
      </c>
      <c r="C54" s="217">
        <v>5.6661405999999997E-8</v>
      </c>
      <c r="D54">
        <v>3.0144244E-4</v>
      </c>
      <c r="E54">
        <v>7.4287514999999998E-2</v>
      </c>
      <c r="F54" s="217">
        <v>4.6263796999999998E-9</v>
      </c>
      <c r="G54" s="217">
        <v>2.4688887000000001E-5</v>
      </c>
      <c r="H54">
        <v>2.4425773000000001E-4</v>
      </c>
      <c r="I54" s="217">
        <v>4.7212139000000002E-5</v>
      </c>
      <c r="J54">
        <v>1.1076671999999999E-2</v>
      </c>
      <c r="K54">
        <v>2.5929069999999999E-4</v>
      </c>
      <c r="L54">
        <v>0.97503841999999996</v>
      </c>
      <c r="M54">
        <v>1.2341962000000001E-4</v>
      </c>
      <c r="N54">
        <v>2.2469632999999999E-2</v>
      </c>
      <c r="O54">
        <v>2.2397832999999999E-2</v>
      </c>
      <c r="P54" s="217">
        <v>4.7605585000000003E-5</v>
      </c>
      <c r="Q54" s="217">
        <v>2.4194182E-5</v>
      </c>
      <c r="R54" s="217">
        <v>4.1176774999999998E-9</v>
      </c>
      <c r="S54">
        <v>1.8781566E-4</v>
      </c>
      <c r="T54" s="217">
        <v>6.3122984000000002E-7</v>
      </c>
      <c r="U54" s="217">
        <v>6.7312690999999999E-5</v>
      </c>
      <c r="V54">
        <v>7.5612827000000001E-4</v>
      </c>
      <c r="W54">
        <v>2.0007293E-4</v>
      </c>
      <c r="X54" s="217">
        <v>4.8471470000000002E-8</v>
      </c>
      <c r="Y54">
        <v>0.31275903999999999</v>
      </c>
      <c r="Z54">
        <v>5.2003332999999999E-2</v>
      </c>
      <c r="AA54" s="217">
        <v>1.4264034E-9</v>
      </c>
      <c r="AB54">
        <v>1.3387427E-3</v>
      </c>
      <c r="AC54">
        <v>0.26593051000000001</v>
      </c>
      <c r="AD54" s="217">
        <v>1.2303466E-11</v>
      </c>
      <c r="AE54" s="217">
        <v>2.6807762000000002E-10</v>
      </c>
      <c r="AF54">
        <v>0.23978416</v>
      </c>
      <c r="AG54">
        <v>0</v>
      </c>
      <c r="AH54">
        <v>0</v>
      </c>
      <c r="AI54">
        <v>2.7128849E-2</v>
      </c>
      <c r="AJ54">
        <v>0</v>
      </c>
      <c r="AK54">
        <v>0</v>
      </c>
      <c r="AL54">
        <v>0.63698873</v>
      </c>
      <c r="AM54">
        <v>0</v>
      </c>
      <c r="AN54">
        <v>0</v>
      </c>
      <c r="AO54">
        <v>0</v>
      </c>
      <c r="AP54">
        <v>1.3337722000000001E-3</v>
      </c>
      <c r="AQ54" s="217">
        <v>2.1101004000000001E-6</v>
      </c>
      <c r="AR54">
        <v>8.8382849999999995E-3</v>
      </c>
      <c r="AS54" s="217">
        <v>1.9429564000000001E-6</v>
      </c>
      <c r="AT54">
        <v>0</v>
      </c>
      <c r="AU54">
        <v>0</v>
      </c>
      <c r="AV54">
        <v>0</v>
      </c>
      <c r="AW54">
        <v>0</v>
      </c>
      <c r="AX54">
        <v>0</v>
      </c>
    </row>
    <row r="55" spans="1:50" x14ac:dyDescent="0.35">
      <c r="A55" t="s">
        <v>851</v>
      </c>
      <c r="B55" s="249">
        <f t="shared" si="0"/>
        <v>6.3661581083736809E-3</v>
      </c>
      <c r="C55" s="217">
        <v>5.7364248000000003E-8</v>
      </c>
      <c r="D55">
        <v>3.0351095E-4</v>
      </c>
      <c r="E55">
        <v>7.4847440000000001E-2</v>
      </c>
      <c r="F55" s="217">
        <v>4.6601397999999999E-9</v>
      </c>
      <c r="G55" s="217">
        <v>2.4831436999999999E-5</v>
      </c>
      <c r="H55">
        <v>2.4499070999999998E-4</v>
      </c>
      <c r="I55" s="217">
        <v>4.7323982E-5</v>
      </c>
      <c r="J55">
        <v>1.1173448000000001E-2</v>
      </c>
      <c r="K55">
        <v>2.6208668999999998E-4</v>
      </c>
      <c r="L55">
        <v>0.98613472000000002</v>
      </c>
      <c r="M55">
        <v>1.2412381999999999E-4</v>
      </c>
      <c r="N55">
        <v>2.2527838000000001E-2</v>
      </c>
      <c r="O55">
        <v>2.2457184000000002E-2</v>
      </c>
      <c r="P55" s="217">
        <v>4.6747669000000002E-5</v>
      </c>
      <c r="Q55" s="217">
        <v>2.3906299999999998E-5</v>
      </c>
      <c r="R55" s="217">
        <v>4.1458806000000004E-9</v>
      </c>
      <c r="S55">
        <v>1.8738001E-4</v>
      </c>
      <c r="T55" s="217">
        <v>6.2904352999999997E-7</v>
      </c>
      <c r="U55" s="217">
        <v>6.7073992000000007E-5</v>
      </c>
      <c r="V55">
        <v>7.5333169000000005E-4</v>
      </c>
      <c r="W55">
        <v>1.9955115000000001E-4</v>
      </c>
      <c r="X55" s="217">
        <v>4.9095738000000001E-8</v>
      </c>
      <c r="Y55">
        <v>0.31409784000000002</v>
      </c>
      <c r="Z55">
        <v>5.182527E-2</v>
      </c>
      <c r="AA55" s="217">
        <v>1.4460496000000001E-9</v>
      </c>
      <c r="AB55">
        <v>1.3438046000000001E-3</v>
      </c>
      <c r="AC55">
        <v>0.26662997999999999</v>
      </c>
      <c r="AD55" s="217">
        <v>1.2277327E-11</v>
      </c>
      <c r="AE55" s="217">
        <v>2.6915874999999999E-10</v>
      </c>
      <c r="AF55">
        <v>0.24156901</v>
      </c>
      <c r="AG55">
        <v>0</v>
      </c>
      <c r="AH55">
        <v>0</v>
      </c>
      <c r="AI55">
        <v>2.7242603000000001E-2</v>
      </c>
      <c r="AJ55">
        <v>0</v>
      </c>
      <c r="AK55">
        <v>0</v>
      </c>
      <c r="AL55">
        <v>0.64134093999999997</v>
      </c>
      <c r="AM55">
        <v>0</v>
      </c>
      <c r="AN55">
        <v>0</v>
      </c>
      <c r="AO55">
        <v>0</v>
      </c>
      <c r="AP55">
        <v>1.3332448E-3</v>
      </c>
      <c r="AQ55" s="217">
        <v>2.1243874E-6</v>
      </c>
      <c r="AR55">
        <v>9.0976879E-3</v>
      </c>
      <c r="AS55" s="217">
        <v>1.9535479000000001E-6</v>
      </c>
      <c r="AT55">
        <v>0</v>
      </c>
      <c r="AU55">
        <v>0</v>
      </c>
      <c r="AV55">
        <v>0</v>
      </c>
      <c r="AW55">
        <v>0</v>
      </c>
      <c r="AX55">
        <v>0</v>
      </c>
    </row>
    <row r="56" spans="1:50" x14ac:dyDescent="0.35">
      <c r="A56" t="s">
        <v>852</v>
      </c>
      <c r="B56" s="249">
        <f t="shared" si="0"/>
        <v>8.7912019970330015E-3</v>
      </c>
      <c r="C56" s="217">
        <v>3.4346755999999999E-6</v>
      </c>
      <c r="D56">
        <v>3.8448513999999999E-4</v>
      </c>
      <c r="E56">
        <v>0.11299597</v>
      </c>
      <c r="F56" s="217">
        <v>5.0504679E-9</v>
      </c>
      <c r="G56" s="217">
        <v>3.0923416E-5</v>
      </c>
      <c r="H56">
        <v>2.9011255E-4</v>
      </c>
      <c r="I56" s="217">
        <v>5.9401010999999999E-5</v>
      </c>
      <c r="J56">
        <v>1.2988606999999999E-2</v>
      </c>
      <c r="K56">
        <v>3.0916039000000001E-4</v>
      </c>
      <c r="L56">
        <v>1.3479588</v>
      </c>
      <c r="M56">
        <v>1.5388933E-4</v>
      </c>
      <c r="N56">
        <v>2.3864831999999999E-2</v>
      </c>
      <c r="O56">
        <v>2.3794342999999999E-2</v>
      </c>
      <c r="P56" s="217">
        <v>4.5582433000000003E-5</v>
      </c>
      <c r="Q56" s="217">
        <v>2.4907035999999999E-5</v>
      </c>
      <c r="R56" s="217">
        <v>4.3767489000000003E-9</v>
      </c>
      <c r="S56">
        <v>1.9583512999999999E-4</v>
      </c>
      <c r="T56" s="217">
        <v>7.1195922000000001E-7</v>
      </c>
      <c r="U56" s="217">
        <v>6.8280498000000006E-5</v>
      </c>
      <c r="V56">
        <v>7.6799162E-4</v>
      </c>
      <c r="W56">
        <v>2.0494215999999999E-4</v>
      </c>
      <c r="X56" s="217">
        <v>6.0699706E-8</v>
      </c>
      <c r="Y56">
        <v>0.34562891000000001</v>
      </c>
      <c r="Z56">
        <v>5.1953099000000003E-2</v>
      </c>
      <c r="AA56" s="217">
        <v>1.5121091E-9</v>
      </c>
      <c r="AB56">
        <v>1.3922057999999999E-3</v>
      </c>
      <c r="AC56">
        <v>0.28808859999999997</v>
      </c>
      <c r="AD56" s="217">
        <v>1.3665378000000001E-11</v>
      </c>
      <c r="AE56" s="217">
        <v>2.8390150999999998E-10</v>
      </c>
      <c r="AF56">
        <v>0.24496145</v>
      </c>
      <c r="AG56">
        <v>0</v>
      </c>
      <c r="AH56">
        <v>0</v>
      </c>
      <c r="AI56">
        <v>3.2409044999999997E-2</v>
      </c>
      <c r="AJ56">
        <v>0</v>
      </c>
      <c r="AK56">
        <v>0</v>
      </c>
      <c r="AL56">
        <v>0.77006129999999995</v>
      </c>
      <c r="AM56">
        <v>0</v>
      </c>
      <c r="AN56">
        <v>0</v>
      </c>
      <c r="AO56">
        <v>0</v>
      </c>
      <c r="AP56">
        <v>1.3905128000000001E-3</v>
      </c>
      <c r="AQ56" s="217">
        <v>2.8893865E-6</v>
      </c>
      <c r="AR56">
        <v>9.6670426E-3</v>
      </c>
      <c r="AS56" s="217">
        <v>2.0030494000000002E-6</v>
      </c>
      <c r="AT56">
        <v>0</v>
      </c>
      <c r="AU56">
        <v>0</v>
      </c>
      <c r="AV56">
        <v>0</v>
      </c>
      <c r="AW56">
        <v>0</v>
      </c>
      <c r="AX56">
        <v>0</v>
      </c>
    </row>
    <row r="57" spans="1:50" x14ac:dyDescent="0.35">
      <c r="A57" t="s">
        <v>853</v>
      </c>
      <c r="B57" s="249">
        <f t="shared" si="0"/>
        <v>1.258141027745E-2</v>
      </c>
      <c r="C57" s="217">
        <v>2.1841049E-5</v>
      </c>
      <c r="D57">
        <v>4.7606854999999998E-4</v>
      </c>
      <c r="E57">
        <v>0.18041333000000001</v>
      </c>
      <c r="F57" s="217">
        <v>4.5575070000000002E-9</v>
      </c>
      <c r="G57" s="217">
        <v>3.5643874999999998E-5</v>
      </c>
      <c r="H57">
        <v>3.2005884000000002E-4</v>
      </c>
      <c r="I57" s="217">
        <v>6.9329353999999995E-5</v>
      </c>
      <c r="J57">
        <v>1.3811029000000001E-2</v>
      </c>
      <c r="K57">
        <v>3.4056088000000001E-4</v>
      </c>
      <c r="L57">
        <v>2.4081551000000001</v>
      </c>
      <c r="M57">
        <v>1.9048789999999999E-4</v>
      </c>
      <c r="N57">
        <v>1.7030375E-2</v>
      </c>
      <c r="O57">
        <v>1.6991800000000001E-2</v>
      </c>
      <c r="P57" s="217">
        <v>2.9453835000000002E-5</v>
      </c>
      <c r="Q57" s="217">
        <v>9.1208430000000001E-6</v>
      </c>
      <c r="R57" s="217">
        <v>3.1314766000000002E-9</v>
      </c>
      <c r="S57">
        <v>1.1522647E-4</v>
      </c>
      <c r="T57" s="217">
        <v>5.9922271999999996E-7</v>
      </c>
      <c r="U57" s="217">
        <v>3.3083722000000003E-5</v>
      </c>
      <c r="V57">
        <v>3.7991549999999999E-4</v>
      </c>
      <c r="W57">
        <v>1.0654887E-4</v>
      </c>
      <c r="X57" s="217">
        <v>6.2306113000000002E-8</v>
      </c>
      <c r="Y57">
        <v>0.26326637000000003</v>
      </c>
      <c r="Z57">
        <v>4.9392787E-2</v>
      </c>
      <c r="AA57" s="217">
        <v>1.4854432E-9</v>
      </c>
      <c r="AB57">
        <v>9.7763373000000001E-4</v>
      </c>
      <c r="AC57">
        <v>0.22286912</v>
      </c>
      <c r="AD57" s="217">
        <v>1.0599098E-11</v>
      </c>
      <c r="AE57" s="217">
        <v>2.4329752999999999E-10</v>
      </c>
      <c r="AF57">
        <v>0.17966278999999999</v>
      </c>
      <c r="AG57">
        <v>0</v>
      </c>
      <c r="AH57">
        <v>0</v>
      </c>
      <c r="AI57">
        <v>3.8669995999999998E-2</v>
      </c>
      <c r="AJ57">
        <v>0</v>
      </c>
      <c r="AK57">
        <v>0</v>
      </c>
      <c r="AL57">
        <v>0.84119604999999997</v>
      </c>
      <c r="AM57">
        <v>0</v>
      </c>
      <c r="AN57">
        <v>0</v>
      </c>
      <c r="AO57">
        <v>0</v>
      </c>
      <c r="AP57">
        <v>1.4048159999999999E-3</v>
      </c>
      <c r="AQ57" s="217">
        <v>3.9899925000000002E-6</v>
      </c>
      <c r="AR57">
        <v>1.1351348000000001E-2</v>
      </c>
      <c r="AS57" s="217">
        <v>1.3889504E-6</v>
      </c>
      <c r="AT57">
        <v>0</v>
      </c>
      <c r="AU57">
        <v>0</v>
      </c>
      <c r="AV57">
        <v>0</v>
      </c>
      <c r="AW57">
        <v>0</v>
      </c>
      <c r="AX57">
        <v>0</v>
      </c>
    </row>
    <row r="58" spans="1:50" x14ac:dyDescent="0.35">
      <c r="A58" t="s">
        <v>854</v>
      </c>
      <c r="B58" s="249">
        <f t="shared" si="0"/>
        <v>1.2144040791546001E-2</v>
      </c>
      <c r="C58" s="217">
        <v>7.9971018000000007E-6</v>
      </c>
      <c r="D58">
        <v>4.9302495E-4</v>
      </c>
      <c r="E58">
        <v>0.16638657000000001</v>
      </c>
      <c r="F58" s="217">
        <v>5.5338485999999998E-9</v>
      </c>
      <c r="G58" s="217">
        <v>3.8988753E-5</v>
      </c>
      <c r="H58">
        <v>3.5251112999999998E-4</v>
      </c>
      <c r="I58" s="217">
        <v>7.6326179000000004E-5</v>
      </c>
      <c r="J58">
        <v>1.515476E-2</v>
      </c>
      <c r="K58">
        <v>3.6820245999999999E-4</v>
      </c>
      <c r="L58">
        <v>1.8262487999999999</v>
      </c>
      <c r="M58">
        <v>1.9709594999999999E-4</v>
      </c>
      <c r="N58">
        <v>2.4980895999999999E-2</v>
      </c>
      <c r="O58">
        <v>2.4910493999999998E-2</v>
      </c>
      <c r="P58" s="217">
        <v>4.4453602000000003E-5</v>
      </c>
      <c r="Q58" s="217">
        <v>2.5948543000000002E-5</v>
      </c>
      <c r="R58" s="217">
        <v>4.5757471000000004E-9</v>
      </c>
      <c r="S58">
        <v>2.0308505999999999E-4</v>
      </c>
      <c r="T58" s="217">
        <v>7.7781227999999996E-7</v>
      </c>
      <c r="U58" s="217">
        <v>6.9547179000000006E-5</v>
      </c>
      <c r="V58">
        <v>7.8291367000000002E-4</v>
      </c>
      <c r="W58">
        <v>2.1009199999999999E-4</v>
      </c>
      <c r="X58" s="217">
        <v>7.0204470999999999E-8</v>
      </c>
      <c r="Y58">
        <v>0.37271641</v>
      </c>
      <c r="Z58">
        <v>5.0530001999999997E-2</v>
      </c>
      <c r="AA58" s="217">
        <v>1.5481509E-9</v>
      </c>
      <c r="AB58">
        <v>1.4307348E-3</v>
      </c>
      <c r="AC58">
        <v>0.30519139000000001</v>
      </c>
      <c r="AD58" s="217">
        <v>1.4787131E-11</v>
      </c>
      <c r="AE58" s="217">
        <v>2.939636E-10</v>
      </c>
      <c r="AF58">
        <v>0.24654023999999999</v>
      </c>
      <c r="AG58">
        <v>0</v>
      </c>
      <c r="AH58">
        <v>0</v>
      </c>
      <c r="AI58">
        <v>3.9763621999999998E-2</v>
      </c>
      <c r="AJ58">
        <v>0</v>
      </c>
      <c r="AK58">
        <v>0</v>
      </c>
      <c r="AL58">
        <v>0.94182907000000005</v>
      </c>
      <c r="AM58">
        <v>0</v>
      </c>
      <c r="AN58">
        <v>0</v>
      </c>
      <c r="AO58">
        <v>0</v>
      </c>
      <c r="AP58">
        <v>1.4332131000000001E-3</v>
      </c>
      <c r="AQ58" s="217">
        <v>3.9699560999999997E-6</v>
      </c>
      <c r="AR58">
        <v>1.0323453E-2</v>
      </c>
      <c r="AS58" s="217">
        <v>2.0424252000000001E-6</v>
      </c>
      <c r="AT58">
        <v>0</v>
      </c>
      <c r="AU58">
        <v>0</v>
      </c>
      <c r="AV58">
        <v>0</v>
      </c>
      <c r="AW58">
        <v>0</v>
      </c>
      <c r="AX58">
        <v>0</v>
      </c>
    </row>
    <row r="59" spans="1:50" x14ac:dyDescent="0.35">
      <c r="A59" t="s">
        <v>855</v>
      </c>
      <c r="B59" s="249">
        <f t="shared" si="0"/>
        <v>5.2832140665372406E-3</v>
      </c>
      <c r="C59" s="217">
        <v>5.3686814000000003E-8</v>
      </c>
      <c r="D59">
        <v>2.5495967E-4</v>
      </c>
      <c r="E59">
        <v>6.1203079000000001E-2</v>
      </c>
      <c r="F59" s="217">
        <v>3.9807849000000003E-9</v>
      </c>
      <c r="G59" s="217">
        <v>2.1033703999999999E-5</v>
      </c>
      <c r="H59">
        <v>2.0384628000000001E-4</v>
      </c>
      <c r="I59" s="217">
        <v>3.8970159999999999E-5</v>
      </c>
      <c r="J59">
        <v>9.7243916999999996E-3</v>
      </c>
      <c r="K59">
        <v>2.2729487E-4</v>
      </c>
      <c r="L59">
        <v>0.85797098999999999</v>
      </c>
      <c r="M59">
        <v>1.0238983E-4</v>
      </c>
      <c r="N59">
        <v>1.9849138999999998E-2</v>
      </c>
      <c r="O59">
        <v>1.9789296000000001E-2</v>
      </c>
      <c r="P59" s="217">
        <v>4.0519365000000001E-5</v>
      </c>
      <c r="Q59" s="217">
        <v>1.9324180999999998E-5</v>
      </c>
      <c r="R59" s="217">
        <v>3.6423134999999999E-9</v>
      </c>
      <c r="S59">
        <v>1.6094266000000001E-4</v>
      </c>
      <c r="T59" s="217">
        <v>5.7868747999999997E-7</v>
      </c>
      <c r="U59" s="217">
        <v>5.6073882000000003E-5</v>
      </c>
      <c r="V59">
        <v>6.3138617000000003E-4</v>
      </c>
      <c r="W59">
        <v>1.6821410000000001E-4</v>
      </c>
      <c r="X59" s="217">
        <v>4.7146154999999997E-8</v>
      </c>
      <c r="Y59">
        <v>0.27831908</v>
      </c>
      <c r="Z59">
        <v>5.1331139999999997E-2</v>
      </c>
      <c r="AA59" s="217">
        <v>1.3732222E-9</v>
      </c>
      <c r="AB59">
        <v>1.1844321000000001E-3</v>
      </c>
      <c r="AC59">
        <v>0.23992310999999999</v>
      </c>
      <c r="AD59" s="217">
        <v>1.1074264E-11</v>
      </c>
      <c r="AE59" s="217">
        <v>2.4835658000000002E-10</v>
      </c>
      <c r="AF59">
        <v>0.21604016000000001</v>
      </c>
      <c r="AG59">
        <v>0</v>
      </c>
      <c r="AH59">
        <v>0</v>
      </c>
      <c r="AI59">
        <v>2.2548664E-2</v>
      </c>
      <c r="AJ59">
        <v>0</v>
      </c>
      <c r="AK59">
        <v>0</v>
      </c>
      <c r="AL59">
        <v>0.53905656000000002</v>
      </c>
      <c r="AM59">
        <v>0</v>
      </c>
      <c r="AN59">
        <v>0</v>
      </c>
      <c r="AO59">
        <v>0</v>
      </c>
      <c r="AP59">
        <v>1.3002711E-3</v>
      </c>
      <c r="AQ59" s="217">
        <v>1.7817938E-6</v>
      </c>
      <c r="AR59">
        <v>8.5923760000000005E-3</v>
      </c>
      <c r="AS59" s="217">
        <v>1.7170905000000001E-6</v>
      </c>
      <c r="AT59">
        <v>0</v>
      </c>
      <c r="AU59">
        <v>0</v>
      </c>
      <c r="AV59">
        <v>0</v>
      </c>
      <c r="AW59">
        <v>0</v>
      </c>
      <c r="AX59">
        <v>0</v>
      </c>
    </row>
    <row r="60" spans="1:50" x14ac:dyDescent="0.35">
      <c r="A60" t="s">
        <v>856</v>
      </c>
      <c r="B60" s="249">
        <f t="shared" si="0"/>
        <v>5.8057636001257193E-3</v>
      </c>
      <c r="C60" s="217">
        <v>5.4877417E-8</v>
      </c>
      <c r="D60">
        <v>2.7948542E-4</v>
      </c>
      <c r="E60">
        <v>6.7282277000000001E-2</v>
      </c>
      <c r="F60" s="217">
        <v>4.3928013000000004E-9</v>
      </c>
      <c r="G60" s="217">
        <v>2.3018127E-5</v>
      </c>
      <c r="H60">
        <v>2.2696936000000001E-4</v>
      </c>
      <c r="I60" s="217">
        <v>4.3915631999999998E-5</v>
      </c>
      <c r="J60">
        <v>1.0461583999999999E-2</v>
      </c>
      <c r="K60">
        <v>2.4570517E-4</v>
      </c>
      <c r="L60">
        <v>0.92032294000000003</v>
      </c>
      <c r="M60">
        <v>1.1151879E-4</v>
      </c>
      <c r="N60">
        <v>2.1912535E-2</v>
      </c>
      <c r="O60">
        <v>2.1843329000000002E-2</v>
      </c>
      <c r="P60" s="217">
        <v>4.6010968999999999E-5</v>
      </c>
      <c r="Q60" s="217">
        <v>2.3194179000000002E-5</v>
      </c>
      <c r="R60" s="217">
        <v>4.0287647000000003E-9</v>
      </c>
      <c r="S60">
        <v>1.81948E-4</v>
      </c>
      <c r="T60" s="217">
        <v>6.1317779000000002E-7</v>
      </c>
      <c r="U60" s="217">
        <v>6.5104303000000001E-5</v>
      </c>
      <c r="V60">
        <v>7.3140068999999995E-4</v>
      </c>
      <c r="W60">
        <v>1.9369917E-4</v>
      </c>
      <c r="X60" s="217">
        <v>4.7701546999999997E-8</v>
      </c>
      <c r="Y60">
        <v>0.30553910000000001</v>
      </c>
      <c r="Z60">
        <v>5.0759163000000003E-2</v>
      </c>
      <c r="AA60" s="217">
        <v>1.4057222000000001E-9</v>
      </c>
      <c r="AB60">
        <v>1.3059496E-3</v>
      </c>
      <c r="AC60">
        <v>0.25928675000000001</v>
      </c>
      <c r="AD60" s="217">
        <v>1.1919826000000001E-11</v>
      </c>
      <c r="AE60" s="217">
        <v>2.6160263999999998E-10</v>
      </c>
      <c r="AF60">
        <v>0.23468686</v>
      </c>
      <c r="AG60">
        <v>0</v>
      </c>
      <c r="AH60">
        <v>0</v>
      </c>
      <c r="AI60">
        <v>2.4567176999999999E-2</v>
      </c>
      <c r="AJ60">
        <v>0</v>
      </c>
      <c r="AK60">
        <v>0</v>
      </c>
      <c r="AL60">
        <v>0.59157227000000001</v>
      </c>
      <c r="AM60">
        <v>0</v>
      </c>
      <c r="AN60">
        <v>0</v>
      </c>
      <c r="AO60">
        <v>0</v>
      </c>
      <c r="AP60">
        <v>1.2953011E-3</v>
      </c>
      <c r="AQ60" s="217">
        <v>1.9088651000000001E-6</v>
      </c>
      <c r="AR60">
        <v>8.7200887999999994E-3</v>
      </c>
      <c r="AS60" s="217">
        <v>1.8984838E-6</v>
      </c>
      <c r="AT60">
        <v>0</v>
      </c>
      <c r="AU60">
        <v>0</v>
      </c>
      <c r="AV60">
        <v>0</v>
      </c>
      <c r="AW60">
        <v>0</v>
      </c>
      <c r="AX60">
        <v>0</v>
      </c>
    </row>
    <row r="61" spans="1:50" x14ac:dyDescent="0.35">
      <c r="A61" t="s">
        <v>857</v>
      </c>
      <c r="B61" s="249">
        <f t="shared" si="0"/>
        <v>4.4260936204373186E-3</v>
      </c>
      <c r="C61" s="217">
        <v>4.9507027E-8</v>
      </c>
      <c r="D61">
        <v>2.1161638E-4</v>
      </c>
      <c r="E61">
        <v>5.4067379999999998E-2</v>
      </c>
      <c r="F61" s="217">
        <v>2.8384251000000002E-9</v>
      </c>
      <c r="G61" s="217">
        <v>1.6847658999999999E-5</v>
      </c>
      <c r="H61">
        <v>1.5295757999999999E-4</v>
      </c>
      <c r="I61" s="217">
        <v>2.7496789000000001E-5</v>
      </c>
      <c r="J61">
        <v>7.9430027E-3</v>
      </c>
      <c r="K61">
        <v>1.7786055999999999E-4</v>
      </c>
      <c r="L61">
        <v>0.70053080999999995</v>
      </c>
      <c r="M61" s="217">
        <v>9.1950766000000001E-5</v>
      </c>
      <c r="N61">
        <v>1.2778084E-2</v>
      </c>
      <c r="O61">
        <v>1.2740456000000001E-2</v>
      </c>
      <c r="P61" s="217">
        <v>3.0263047999999999E-5</v>
      </c>
      <c r="Q61" s="217">
        <v>7.3655570000000001E-6</v>
      </c>
      <c r="R61" s="217">
        <v>2.2047486999999999E-9</v>
      </c>
      <c r="S61" s="217">
        <v>9.0491380999999994E-5</v>
      </c>
      <c r="T61" s="217">
        <v>4.8112466999999996E-7</v>
      </c>
      <c r="U61" s="217">
        <v>2.5977612999999999E-5</v>
      </c>
      <c r="V61">
        <v>3.0025438000000002E-4</v>
      </c>
      <c r="W61" s="217">
        <v>8.2678009999999998E-5</v>
      </c>
      <c r="X61" s="217">
        <v>4.2990450000000001E-8</v>
      </c>
      <c r="Y61">
        <v>0.18694796</v>
      </c>
      <c r="Z61">
        <v>4.9973876E-2</v>
      </c>
      <c r="AA61" s="217">
        <v>1.1514861999999999E-9</v>
      </c>
      <c r="AB61">
        <v>7.3331967999999996E-4</v>
      </c>
      <c r="AC61">
        <v>0.16979664999999999</v>
      </c>
      <c r="AD61" s="217">
        <v>8.0785626000000001E-12</v>
      </c>
      <c r="AE61" s="217">
        <v>1.8723226E-10</v>
      </c>
      <c r="AF61">
        <v>0.13732272000000001</v>
      </c>
      <c r="AG61">
        <v>0</v>
      </c>
      <c r="AH61">
        <v>0</v>
      </c>
      <c r="AI61">
        <v>2.1147125999999999E-2</v>
      </c>
      <c r="AJ61">
        <v>0</v>
      </c>
      <c r="AK61">
        <v>0</v>
      </c>
      <c r="AL61">
        <v>0.44158248</v>
      </c>
      <c r="AM61">
        <v>0</v>
      </c>
      <c r="AN61">
        <v>0</v>
      </c>
      <c r="AO61">
        <v>0</v>
      </c>
      <c r="AP61">
        <v>1.2684327999999999E-3</v>
      </c>
      <c r="AQ61" s="217">
        <v>1.7143365000000001E-6</v>
      </c>
      <c r="AR61">
        <v>7.0345182999999997E-3</v>
      </c>
      <c r="AS61" s="217">
        <v>1.0254951999999999E-6</v>
      </c>
      <c r="AT61">
        <v>0</v>
      </c>
      <c r="AU61">
        <v>0</v>
      </c>
      <c r="AV61">
        <v>0</v>
      </c>
      <c r="AW61">
        <v>0</v>
      </c>
      <c r="AX61">
        <v>0</v>
      </c>
    </row>
    <row r="62" spans="1:50" x14ac:dyDescent="0.35">
      <c r="A62" t="s">
        <v>858</v>
      </c>
      <c r="B62" s="249">
        <f t="shared" si="0"/>
        <v>4.3680816746860399E-3</v>
      </c>
      <c r="C62" s="217">
        <v>4.6810593999999998E-8</v>
      </c>
      <c r="D62">
        <v>2.086813E-4</v>
      </c>
      <c r="E62">
        <v>5.3799346999999997E-2</v>
      </c>
      <c r="F62" s="217">
        <v>2.7951337E-9</v>
      </c>
      <c r="G62" s="217">
        <v>1.6382059000000001E-5</v>
      </c>
      <c r="H62">
        <v>1.4869884000000001E-4</v>
      </c>
      <c r="I62" s="217">
        <v>2.6918030000000001E-5</v>
      </c>
      <c r="J62">
        <v>7.7231597000000001E-3</v>
      </c>
      <c r="K62">
        <v>1.7569075000000001E-4</v>
      </c>
      <c r="L62">
        <v>0.68989151999999998</v>
      </c>
      <c r="M62" s="217">
        <v>9.1132958000000002E-5</v>
      </c>
      <c r="N62">
        <v>1.2187341000000001E-2</v>
      </c>
      <c r="O62">
        <v>1.2151719E-2</v>
      </c>
      <c r="P62" s="217">
        <v>2.8918491E-5</v>
      </c>
      <c r="Q62" s="217">
        <v>6.7041480000000004E-6</v>
      </c>
      <c r="R62" s="217">
        <v>2.1449941000000001E-9</v>
      </c>
      <c r="S62" s="217">
        <v>8.4304290000000005E-5</v>
      </c>
      <c r="T62" s="217">
        <v>4.4105250000000001E-7</v>
      </c>
      <c r="U62" s="217">
        <v>2.4469663999999999E-5</v>
      </c>
      <c r="V62">
        <v>2.8261166000000001E-4</v>
      </c>
      <c r="W62" s="217">
        <v>7.7846057999999998E-5</v>
      </c>
      <c r="X62" s="217">
        <v>4.0245812000000001E-8</v>
      </c>
      <c r="Y62">
        <v>0.17966879999999999</v>
      </c>
      <c r="Z62">
        <v>4.3248136999999999E-2</v>
      </c>
      <c r="AA62" s="217">
        <v>1.087605E-9</v>
      </c>
      <c r="AB62">
        <v>7.0282788999999997E-4</v>
      </c>
      <c r="AC62">
        <v>0.15921746000000001</v>
      </c>
      <c r="AD62" s="217">
        <v>7.4440277999999993E-12</v>
      </c>
      <c r="AE62" s="217">
        <v>1.7609261E-10</v>
      </c>
      <c r="AF62">
        <v>0.13098819</v>
      </c>
      <c r="AG62">
        <v>0</v>
      </c>
      <c r="AH62">
        <v>0</v>
      </c>
      <c r="AI62">
        <v>2.0774585000000002E-2</v>
      </c>
      <c r="AJ62">
        <v>0</v>
      </c>
      <c r="AK62">
        <v>0</v>
      </c>
      <c r="AL62">
        <v>0.43564620999999998</v>
      </c>
      <c r="AM62">
        <v>0</v>
      </c>
      <c r="AN62">
        <v>0</v>
      </c>
      <c r="AO62">
        <v>0</v>
      </c>
      <c r="AP62">
        <v>1.111513E-3</v>
      </c>
      <c r="AQ62" s="217">
        <v>1.6626097999999999E-6</v>
      </c>
      <c r="AR62">
        <v>7.1255375999999997E-3</v>
      </c>
      <c r="AS62" s="217">
        <v>9.9180160000000006E-7</v>
      </c>
      <c r="AT62">
        <v>0</v>
      </c>
      <c r="AU62">
        <v>0</v>
      </c>
      <c r="AV62">
        <v>0</v>
      </c>
      <c r="AW62">
        <v>0</v>
      </c>
      <c r="AX62">
        <v>0</v>
      </c>
    </row>
    <row r="63" spans="1:50" x14ac:dyDescent="0.35">
      <c r="A63" t="s">
        <v>859</v>
      </c>
      <c r="B63" s="249">
        <f t="shared" si="0"/>
        <v>5.0624210461408794E-3</v>
      </c>
      <c r="C63" s="217">
        <v>5.6962667999999999E-8</v>
      </c>
      <c r="D63">
        <v>2.4213964000000001E-4</v>
      </c>
      <c r="E63">
        <v>6.2348333999999998E-2</v>
      </c>
      <c r="F63" s="217">
        <v>3.1603938000000001E-9</v>
      </c>
      <c r="G63" s="217">
        <v>1.9103864E-5</v>
      </c>
      <c r="H63">
        <v>1.724618E-4</v>
      </c>
      <c r="I63" s="217">
        <v>3.0877891E-5</v>
      </c>
      <c r="J63">
        <v>8.9925483E-3</v>
      </c>
      <c r="K63">
        <v>2.0038763000000001E-4</v>
      </c>
      <c r="L63">
        <v>0.78509114000000002</v>
      </c>
      <c r="M63">
        <v>1.0586735000000001E-4</v>
      </c>
      <c r="N63">
        <v>1.3625076999999999E-2</v>
      </c>
      <c r="O63">
        <v>1.3587320999999999E-2</v>
      </c>
      <c r="P63" s="217">
        <v>2.9805329999999999E-5</v>
      </c>
      <c r="Q63" s="217">
        <v>7.9499110999999999E-6</v>
      </c>
      <c r="R63" s="217">
        <v>2.3559983E-9</v>
      </c>
      <c r="S63" s="217">
        <v>9.6033544999999998E-5</v>
      </c>
      <c r="T63" s="217">
        <v>5.2708579000000002E-7</v>
      </c>
      <c r="U63" s="217">
        <v>2.7005974000000001E-5</v>
      </c>
      <c r="V63">
        <v>3.1234439E-4</v>
      </c>
      <c r="W63" s="217">
        <v>8.6693004000000003E-5</v>
      </c>
      <c r="X63" s="217">
        <v>4.9276351E-8</v>
      </c>
      <c r="Y63">
        <v>0.20504639999999999</v>
      </c>
      <c r="Z63">
        <v>5.0626520000000001E-2</v>
      </c>
      <c r="AA63" s="217">
        <v>1.2038786E-9</v>
      </c>
      <c r="AB63">
        <v>7.6943493999999998E-4</v>
      </c>
      <c r="AC63">
        <v>0.18282403999999999</v>
      </c>
      <c r="AD63" s="217">
        <v>8.8708327E-12</v>
      </c>
      <c r="AE63" s="217">
        <v>1.9752621000000001E-10</v>
      </c>
      <c r="AF63">
        <v>0.14158818000000001</v>
      </c>
      <c r="AG63">
        <v>0</v>
      </c>
      <c r="AH63">
        <v>0</v>
      </c>
      <c r="AI63">
        <v>2.4307306000000001E-2</v>
      </c>
      <c r="AJ63">
        <v>0</v>
      </c>
      <c r="AK63">
        <v>0</v>
      </c>
      <c r="AL63">
        <v>0.50461487999999999</v>
      </c>
      <c r="AM63">
        <v>0</v>
      </c>
      <c r="AN63">
        <v>0</v>
      </c>
      <c r="AO63">
        <v>0</v>
      </c>
      <c r="AP63">
        <v>1.2971460000000001E-3</v>
      </c>
      <c r="AQ63" s="217">
        <v>1.9440167E-6</v>
      </c>
      <c r="AR63">
        <v>7.4459979000000001E-3</v>
      </c>
      <c r="AS63" s="217">
        <v>1.0681843E-6</v>
      </c>
      <c r="AT63">
        <v>0</v>
      </c>
      <c r="AU63">
        <v>0</v>
      </c>
      <c r="AV63">
        <v>0</v>
      </c>
      <c r="AW63">
        <v>0</v>
      </c>
      <c r="AX63">
        <v>0</v>
      </c>
    </row>
    <row r="64" spans="1:50" x14ac:dyDescent="0.35">
      <c r="A64" t="s">
        <v>860</v>
      </c>
      <c r="B64" s="249">
        <f t="shared" si="0"/>
        <v>5.0093575978795201E-3</v>
      </c>
      <c r="C64" s="217">
        <v>5.4333797E-8</v>
      </c>
      <c r="D64">
        <v>2.3944265999999999E-4</v>
      </c>
      <c r="E64">
        <v>6.2142386000000001E-2</v>
      </c>
      <c r="F64" s="217">
        <v>3.1196724000000002E-9</v>
      </c>
      <c r="G64" s="217">
        <v>1.8657045000000001E-5</v>
      </c>
      <c r="H64">
        <v>1.6836651999999999E-4</v>
      </c>
      <c r="I64" s="217">
        <v>3.0326710999999999E-5</v>
      </c>
      <c r="J64">
        <v>8.7814571000000008E-3</v>
      </c>
      <c r="K64">
        <v>1.9839354999999999E-4</v>
      </c>
      <c r="L64">
        <v>0.77512336999999998</v>
      </c>
      <c r="M64">
        <v>1.0515561999999999E-4</v>
      </c>
      <c r="N64">
        <v>1.3043361E-2</v>
      </c>
      <c r="O64">
        <v>1.3007601000000001E-2</v>
      </c>
      <c r="P64" s="217">
        <v>2.8463801E-5</v>
      </c>
      <c r="Q64" s="217">
        <v>7.2959361E-6</v>
      </c>
      <c r="R64" s="217">
        <v>2.2976382999999998E-9</v>
      </c>
      <c r="S64" s="217">
        <v>8.9916551000000005E-5</v>
      </c>
      <c r="T64" s="217">
        <v>4.8754155000000005E-7</v>
      </c>
      <c r="U64" s="217">
        <v>2.5512741999999999E-5</v>
      </c>
      <c r="V64">
        <v>2.9487428E-4</v>
      </c>
      <c r="W64" s="217">
        <v>8.1913495000000001E-5</v>
      </c>
      <c r="X64" s="217">
        <v>4.6590914000000002E-8</v>
      </c>
      <c r="Y64">
        <v>0.19793473</v>
      </c>
      <c r="Z64">
        <v>4.3937532000000001E-2</v>
      </c>
      <c r="AA64" s="217">
        <v>1.1406857E-9</v>
      </c>
      <c r="AB64">
        <v>7.3935324999999997E-4</v>
      </c>
      <c r="AC64">
        <v>0.17239077999999999</v>
      </c>
      <c r="AD64" s="217">
        <v>8.2451308999999993E-12</v>
      </c>
      <c r="AE64" s="217">
        <v>1.8651508999999999E-10</v>
      </c>
      <c r="AF64">
        <v>0.13531507000000001</v>
      </c>
      <c r="AG64">
        <v>0</v>
      </c>
      <c r="AH64">
        <v>0</v>
      </c>
      <c r="AI64">
        <v>2.3959741999999999E-2</v>
      </c>
      <c r="AJ64">
        <v>0</v>
      </c>
      <c r="AK64">
        <v>0</v>
      </c>
      <c r="AL64">
        <v>0.49916969</v>
      </c>
      <c r="AM64">
        <v>0</v>
      </c>
      <c r="AN64">
        <v>0</v>
      </c>
      <c r="AO64">
        <v>0</v>
      </c>
      <c r="AP64">
        <v>1.1411826999999999E-3</v>
      </c>
      <c r="AQ64" s="217">
        <v>1.8942223E-6</v>
      </c>
      <c r="AR64">
        <v>7.5396062999999996E-3</v>
      </c>
      <c r="AS64" s="217">
        <v>1.0349644000000001E-6</v>
      </c>
      <c r="AT64">
        <v>0</v>
      </c>
      <c r="AU64">
        <v>0</v>
      </c>
      <c r="AV64">
        <v>0</v>
      </c>
      <c r="AW64">
        <v>0</v>
      </c>
      <c r="AX64">
        <v>0</v>
      </c>
    </row>
    <row r="65" spans="1:50" x14ac:dyDescent="0.35">
      <c r="A65" t="s">
        <v>861</v>
      </c>
      <c r="B65" s="249">
        <f t="shared" si="0"/>
        <v>2.5307089535114402E-2</v>
      </c>
      <c r="C65" s="217">
        <v>6.7104458999999998E-7</v>
      </c>
      <c r="D65">
        <v>1.0329891E-3</v>
      </c>
      <c r="E65">
        <v>0.26403913000000001</v>
      </c>
      <c r="F65" s="217">
        <v>1.3294485999999999E-8</v>
      </c>
      <c r="G65" s="217">
        <v>8.9349112000000001E-5</v>
      </c>
      <c r="H65">
        <v>8.3905625999999996E-4</v>
      </c>
      <c r="I65">
        <v>1.2099573E-4</v>
      </c>
      <c r="J65">
        <v>7.2340030999999999E-2</v>
      </c>
      <c r="K65">
        <v>4.4242292000000001E-3</v>
      </c>
      <c r="L65">
        <v>6.4506641</v>
      </c>
      <c r="M65">
        <v>4.5112778999999999E-4</v>
      </c>
      <c r="N65">
        <v>0.26760725000000002</v>
      </c>
      <c r="O65">
        <v>0.26697694</v>
      </c>
      <c r="P65">
        <v>5.2664045000000003E-4</v>
      </c>
      <c r="Q65">
        <v>1.0367342E-4</v>
      </c>
      <c r="R65" s="217">
        <v>1.5855329000000001E-8</v>
      </c>
      <c r="S65">
        <v>1.0488685000000001E-3</v>
      </c>
      <c r="T65" s="217">
        <v>9.1830139E-6</v>
      </c>
      <c r="U65">
        <v>2.3249261E-4</v>
      </c>
      <c r="V65">
        <v>2.6952891000000001E-3</v>
      </c>
      <c r="W65">
        <v>7.4715899999999995E-4</v>
      </c>
      <c r="X65" s="217">
        <v>6.7104843000000004E-7</v>
      </c>
      <c r="Y65">
        <v>1.915324</v>
      </c>
      <c r="Z65">
        <v>9.0017688999999998E-2</v>
      </c>
      <c r="AA65" s="217">
        <v>9.7193120999999994E-9</v>
      </c>
      <c r="AB65">
        <v>5.9413914999999996E-3</v>
      </c>
      <c r="AC65">
        <v>3.4285109999999999</v>
      </c>
      <c r="AD65" s="217">
        <v>1.4908830999999999E-10</v>
      </c>
      <c r="AE65" s="217">
        <v>3.8408563E-9</v>
      </c>
      <c r="AF65">
        <v>0.98582811999999997</v>
      </c>
      <c r="AG65">
        <v>0</v>
      </c>
      <c r="AH65">
        <v>0</v>
      </c>
      <c r="AI65">
        <v>0.13301472</v>
      </c>
      <c r="AJ65">
        <v>0</v>
      </c>
      <c r="AK65">
        <v>0</v>
      </c>
      <c r="AL65">
        <v>2.0383271000000001</v>
      </c>
      <c r="AM65">
        <v>0</v>
      </c>
      <c r="AN65">
        <v>0</v>
      </c>
      <c r="AO65">
        <v>0</v>
      </c>
      <c r="AP65">
        <v>2.3146040000000001E-3</v>
      </c>
      <c r="AQ65" s="217">
        <v>3.4404078E-6</v>
      </c>
      <c r="AR65">
        <v>3.8848858999999999E-2</v>
      </c>
      <c r="AS65" s="217">
        <v>7.3416457000000003E-6</v>
      </c>
      <c r="AT65">
        <v>0</v>
      </c>
      <c r="AU65">
        <v>0</v>
      </c>
      <c r="AV65">
        <v>0</v>
      </c>
      <c r="AW65">
        <v>0</v>
      </c>
      <c r="AX65">
        <v>0</v>
      </c>
    </row>
    <row r="66" spans="1:50" x14ac:dyDescent="0.35">
      <c r="A66" t="s">
        <v>862</v>
      </c>
      <c r="B66" s="249">
        <f t="shared" si="0"/>
        <v>1.0709623953195199E-3</v>
      </c>
      <c r="C66" s="217">
        <v>2.2393022000000001E-8</v>
      </c>
      <c r="D66" s="217">
        <v>6.2801206999999997E-5</v>
      </c>
      <c r="E66">
        <v>8.4194050999999992E-3</v>
      </c>
      <c r="F66" s="217">
        <v>1.4169932000000001E-9</v>
      </c>
      <c r="G66" s="217">
        <v>6.8229154000000003E-6</v>
      </c>
      <c r="H66" s="217">
        <v>5.2716929999999999E-5</v>
      </c>
      <c r="I66" s="217">
        <v>8.5163516999999992E-6</v>
      </c>
      <c r="J66">
        <v>3.3886556000000002E-3</v>
      </c>
      <c r="K66" s="217">
        <v>8.2098579999999999E-5</v>
      </c>
      <c r="L66">
        <v>0.30478077999999997</v>
      </c>
      <c r="M66" s="217">
        <v>1.3618317E-5</v>
      </c>
      <c r="N66">
        <v>8.5285265999999992E-3</v>
      </c>
      <c r="O66">
        <v>8.5195775999999997E-3</v>
      </c>
      <c r="P66" s="217">
        <v>4.3287157000000004E-6</v>
      </c>
      <c r="Q66" s="217">
        <v>4.6203156000000003E-6</v>
      </c>
      <c r="R66" s="217">
        <v>1.7628997999999999E-9</v>
      </c>
      <c r="S66" s="217">
        <v>6.7764493000000006E-5</v>
      </c>
      <c r="T66" s="217">
        <v>2.6024889000000001E-7</v>
      </c>
      <c r="U66" s="217">
        <v>1.9423542E-5</v>
      </c>
      <c r="V66">
        <v>2.1775260999999999E-4</v>
      </c>
      <c r="W66" s="217">
        <v>6.3128613999999996E-5</v>
      </c>
      <c r="X66" s="217">
        <v>2.2393858E-8</v>
      </c>
      <c r="Y66">
        <v>0.12956187999999999</v>
      </c>
      <c r="Z66">
        <v>2.5206981E-2</v>
      </c>
      <c r="AA66" s="217">
        <v>7.4172750000000001E-10</v>
      </c>
      <c r="AB66">
        <v>5.5248497999999999E-4</v>
      </c>
      <c r="AC66">
        <v>0.10580982999999999</v>
      </c>
      <c r="AD66" s="217">
        <v>5.9892545000000003E-12</v>
      </c>
      <c r="AE66" s="217">
        <v>1.2088853999999999E-10</v>
      </c>
      <c r="AF66">
        <v>1.9037217</v>
      </c>
      <c r="AG66">
        <v>0</v>
      </c>
      <c r="AH66">
        <v>0</v>
      </c>
      <c r="AI66">
        <v>2.8334567000000001E-3</v>
      </c>
      <c r="AJ66">
        <v>0</v>
      </c>
      <c r="AK66">
        <v>0</v>
      </c>
      <c r="AL66">
        <v>0.13757962000000001</v>
      </c>
      <c r="AM66">
        <v>0</v>
      </c>
      <c r="AN66">
        <v>0</v>
      </c>
      <c r="AO66">
        <v>0</v>
      </c>
      <c r="AP66">
        <v>6.2836976000000004E-4</v>
      </c>
      <c r="AQ66" s="217">
        <v>5.4849493999999998E-7</v>
      </c>
      <c r="AR66">
        <v>4.9934632000000001E-3</v>
      </c>
      <c r="AS66" s="217">
        <v>8.1847422999999999E-7</v>
      </c>
      <c r="AT66">
        <v>0</v>
      </c>
      <c r="AU66">
        <v>0</v>
      </c>
      <c r="AV66">
        <v>0</v>
      </c>
      <c r="AW66">
        <v>0</v>
      </c>
      <c r="AX66">
        <v>0</v>
      </c>
    </row>
    <row r="67" spans="1:50" x14ac:dyDescent="0.35">
      <c r="A67" t="s">
        <v>863</v>
      </c>
      <c r="B67" s="249">
        <f t="shared" si="0"/>
        <v>1.1226768934187001</v>
      </c>
      <c r="C67" s="217">
        <v>2.0796695E-5</v>
      </c>
      <c r="D67">
        <v>4.8012124000000003E-2</v>
      </c>
      <c r="E67">
        <v>4.2476048999999998</v>
      </c>
      <c r="F67" s="217">
        <v>3.2477305000000002E-7</v>
      </c>
      <c r="G67">
        <v>1.0821346000000001E-2</v>
      </c>
      <c r="H67">
        <v>1.7758162000000001E-2</v>
      </c>
      <c r="I67">
        <v>3.2382954000000001E-3</v>
      </c>
      <c r="J67">
        <v>8.3330301999999996</v>
      </c>
      <c r="K67">
        <v>0.68082301000000001</v>
      </c>
      <c r="L67">
        <v>100.63565</v>
      </c>
      <c r="M67">
        <v>5.3444336000000002E-3</v>
      </c>
      <c r="N67">
        <v>4.3890947000000002</v>
      </c>
      <c r="O67">
        <v>4.3986834000000004</v>
      </c>
      <c r="P67">
        <v>-1.2031574E-2</v>
      </c>
      <c r="Q67">
        <v>2.4428352E-3</v>
      </c>
      <c r="R67" s="217">
        <v>3.2787697000000002E-7</v>
      </c>
      <c r="S67">
        <v>2.146696E-2</v>
      </c>
      <c r="T67">
        <v>2.8562219999999998E-4</v>
      </c>
      <c r="U67">
        <v>3.6478182999999998E-3</v>
      </c>
      <c r="V67">
        <v>4.0548594E-2</v>
      </c>
      <c r="W67">
        <v>2.7845233E-2</v>
      </c>
      <c r="X67" s="217">
        <v>2.0797716E-5</v>
      </c>
      <c r="Y67">
        <v>91.827057999999994</v>
      </c>
      <c r="Z67">
        <v>2.0581830000000001</v>
      </c>
      <c r="AA67" s="217">
        <v>1.9262564999999999E-7</v>
      </c>
      <c r="AB67">
        <v>0.11073432</v>
      </c>
      <c r="AC67">
        <v>125.86337</v>
      </c>
      <c r="AD67" s="217">
        <v>1.1452322000000001E-8</v>
      </c>
      <c r="AE67" s="217">
        <v>4.5707655999999998E-8</v>
      </c>
      <c r="AF67">
        <v>10.700248999999999</v>
      </c>
      <c r="AG67">
        <v>0</v>
      </c>
      <c r="AH67">
        <v>0</v>
      </c>
      <c r="AI67">
        <v>2.6367131000000001</v>
      </c>
      <c r="AJ67">
        <v>0</v>
      </c>
      <c r="AK67">
        <v>0</v>
      </c>
      <c r="AL67">
        <v>98.432342000000006</v>
      </c>
      <c r="AM67">
        <v>0</v>
      </c>
      <c r="AN67">
        <v>0</v>
      </c>
      <c r="AO67">
        <v>0</v>
      </c>
      <c r="AP67">
        <v>5.2515247000000001E-2</v>
      </c>
      <c r="AQ67" s="217">
        <v>4.6698403000000002E-5</v>
      </c>
      <c r="AR67">
        <v>0.53295501000000001</v>
      </c>
      <c r="AS67">
        <v>1.0523283E-4</v>
      </c>
      <c r="AT67">
        <v>0</v>
      </c>
      <c r="AU67">
        <v>0</v>
      </c>
      <c r="AV67">
        <v>0</v>
      </c>
      <c r="AW67">
        <v>0</v>
      </c>
      <c r="AX67">
        <v>0</v>
      </c>
    </row>
    <row r="68" spans="1:50" x14ac:dyDescent="0.35">
      <c r="A68" t="s">
        <v>864</v>
      </c>
      <c r="B68" s="249">
        <f t="shared" si="0"/>
        <v>0.10040566262383921</v>
      </c>
      <c r="C68" s="217">
        <v>6.5962087000000001E-7</v>
      </c>
      <c r="D68">
        <v>2.4630863999999999E-2</v>
      </c>
      <c r="E68">
        <v>0.50887835000000003</v>
      </c>
      <c r="F68" s="217">
        <v>6.6401955E-7</v>
      </c>
      <c r="G68">
        <v>1.4288467999999999E-3</v>
      </c>
      <c r="H68">
        <v>4.7510316000000004E-3</v>
      </c>
      <c r="I68">
        <v>7.4290554999999995E-4</v>
      </c>
      <c r="J68">
        <v>0.40339331</v>
      </c>
      <c r="K68">
        <v>1.6630589000000001E-2</v>
      </c>
      <c r="L68">
        <v>55.975335000000001</v>
      </c>
      <c r="M68">
        <v>8.4936229999999998E-4</v>
      </c>
      <c r="N68">
        <v>0.52158903999999995</v>
      </c>
      <c r="O68">
        <v>0.52104870000000003</v>
      </c>
      <c r="P68">
        <v>3.7102992E-4</v>
      </c>
      <c r="Q68">
        <v>1.6930567E-4</v>
      </c>
      <c r="R68" s="217">
        <v>8.3850012000000001E-7</v>
      </c>
      <c r="S68">
        <v>5.5243137000000001E-3</v>
      </c>
      <c r="T68" s="217">
        <v>1.0973507999999999E-5</v>
      </c>
      <c r="U68">
        <v>6.3213074999999999E-4</v>
      </c>
      <c r="V68">
        <v>7.1202028000000002E-3</v>
      </c>
      <c r="W68">
        <v>4.5150870000000001E-3</v>
      </c>
      <c r="X68" s="217">
        <v>6.5962893999999995E-7</v>
      </c>
      <c r="Y68">
        <v>52.369104999999998</v>
      </c>
      <c r="Z68">
        <v>0.17133150999999999</v>
      </c>
      <c r="AA68" s="217">
        <v>2.3837428000000001E-8</v>
      </c>
      <c r="AB68">
        <v>0.22710883000000001</v>
      </c>
      <c r="AC68">
        <v>26.126377999999999</v>
      </c>
      <c r="AD68" s="217">
        <v>2.0801472999999999E-10</v>
      </c>
      <c r="AE68" s="217">
        <v>6.6404688E-9</v>
      </c>
      <c r="AF68">
        <v>6.2340121000000002</v>
      </c>
      <c r="AG68">
        <v>0</v>
      </c>
      <c r="AH68">
        <v>0</v>
      </c>
      <c r="AI68">
        <v>0.17524058000000001</v>
      </c>
      <c r="AJ68">
        <v>0</v>
      </c>
      <c r="AK68">
        <v>0</v>
      </c>
      <c r="AL68">
        <v>55.632773</v>
      </c>
      <c r="AM68">
        <v>0</v>
      </c>
      <c r="AN68">
        <v>0</v>
      </c>
      <c r="AO68">
        <v>0</v>
      </c>
      <c r="AP68">
        <v>5.8408243000000002E-3</v>
      </c>
      <c r="AQ68" s="217">
        <v>1.5563034999999999E-5</v>
      </c>
      <c r="AR68">
        <v>2.7469548E-2</v>
      </c>
      <c r="AS68">
        <v>3.7002718000000003E-4</v>
      </c>
      <c r="AT68">
        <v>0</v>
      </c>
      <c r="AU68">
        <v>0</v>
      </c>
      <c r="AV68">
        <v>0</v>
      </c>
      <c r="AW68">
        <v>0</v>
      </c>
      <c r="AX68">
        <v>0</v>
      </c>
    </row>
    <row r="69" spans="1:50" x14ac:dyDescent="0.35">
      <c r="A69" t="s">
        <v>865</v>
      </c>
      <c r="B69" s="249">
        <f t="shared" si="0"/>
        <v>0.12483934405364801</v>
      </c>
      <c r="C69" s="217">
        <v>4.9081853000000003E-6</v>
      </c>
      <c r="D69">
        <v>1.9885863E-2</v>
      </c>
      <c r="E69">
        <v>0.71017503000000004</v>
      </c>
      <c r="F69" s="217">
        <v>4.8825020000000003E-7</v>
      </c>
      <c r="G69">
        <v>1.1346779E-3</v>
      </c>
      <c r="H69">
        <v>5.4240021999999999E-3</v>
      </c>
      <c r="I69">
        <v>8.4709906000000001E-4</v>
      </c>
      <c r="J69">
        <v>0.53894059000000005</v>
      </c>
      <c r="K69">
        <v>1.4832044000000001E-2</v>
      </c>
      <c r="L69">
        <v>54.970649999999999</v>
      </c>
      <c r="M69">
        <v>1.6247683000000001E-3</v>
      </c>
      <c r="N69">
        <v>0.72327439000000004</v>
      </c>
      <c r="O69">
        <v>0.72422394000000001</v>
      </c>
      <c r="P69">
        <v>-1.6878214000000001E-3</v>
      </c>
      <c r="Q69">
        <v>7.382787E-4</v>
      </c>
      <c r="R69" s="217">
        <v>6.1000760000000002E-7</v>
      </c>
      <c r="S69">
        <v>6.4302891999999997E-3</v>
      </c>
      <c r="T69" s="217">
        <v>6.1859497999999994E-5</v>
      </c>
      <c r="U69">
        <v>8.1473641999999999E-4</v>
      </c>
      <c r="V69">
        <v>9.9103598000000008E-3</v>
      </c>
      <c r="W69">
        <v>4.3319090000000001E-3</v>
      </c>
      <c r="X69" s="217">
        <v>4.908289E-6</v>
      </c>
      <c r="Y69">
        <v>41.906852000000001</v>
      </c>
      <c r="Z69">
        <v>0.21005926999999999</v>
      </c>
      <c r="AA69" s="217">
        <v>3.4031361999999998E-8</v>
      </c>
      <c r="AB69">
        <v>0.18704038000000001</v>
      </c>
      <c r="AC69">
        <v>27.803632</v>
      </c>
      <c r="AD69" s="217">
        <v>4.1798744999999998E-10</v>
      </c>
      <c r="AE69" s="217">
        <v>1.3068080999999999E-8</v>
      </c>
      <c r="AF69">
        <v>6.0711868000000004</v>
      </c>
      <c r="AG69">
        <v>0</v>
      </c>
      <c r="AH69">
        <v>0</v>
      </c>
      <c r="AI69">
        <v>0.77412227</v>
      </c>
      <c r="AJ69">
        <v>0</v>
      </c>
      <c r="AK69">
        <v>0</v>
      </c>
      <c r="AL69">
        <v>44.485017999999997</v>
      </c>
      <c r="AM69">
        <v>0</v>
      </c>
      <c r="AN69">
        <v>0</v>
      </c>
      <c r="AO69">
        <v>0</v>
      </c>
      <c r="AP69">
        <v>7.5536774999999997E-3</v>
      </c>
      <c r="AQ69" s="217">
        <v>1.9494355000000001E-5</v>
      </c>
      <c r="AR69">
        <v>7.4875453999999994E-2</v>
      </c>
      <c r="AS69">
        <v>2.8266705999999999E-4</v>
      </c>
      <c r="AT69">
        <v>0</v>
      </c>
      <c r="AU69">
        <v>0</v>
      </c>
      <c r="AV69">
        <v>0</v>
      </c>
      <c r="AW69">
        <v>0</v>
      </c>
      <c r="AX69">
        <v>0</v>
      </c>
    </row>
    <row r="70" spans="1:50" x14ac:dyDescent="0.35">
      <c r="A70" t="s">
        <v>866</v>
      </c>
      <c r="B70" s="249">
        <f t="shared" ref="B70:B133" si="1">(C70*0.16)+(D70*0.16)+(E70*0.05)+(F70*30)+(G70*2)+(H70*4)+(I70*9)+(J70*0.09)+(K70*0.03)+(L70*0.0001)+(M70*0.06)</f>
        <v>0.14075381647151999</v>
      </c>
      <c r="C70" s="217">
        <v>1.1115766999999999E-5</v>
      </c>
      <c r="D70">
        <v>2.0068725999999999E-2</v>
      </c>
      <c r="E70">
        <v>0.89645390000000003</v>
      </c>
      <c r="F70" s="217">
        <v>4.3316416E-7</v>
      </c>
      <c r="G70">
        <v>1.2646396999999999E-3</v>
      </c>
      <c r="H70">
        <v>5.8197576999999999E-3</v>
      </c>
      <c r="I70">
        <v>8.7889651999999998E-4</v>
      </c>
      <c r="J70">
        <v>0.58993611999999995</v>
      </c>
      <c r="K70">
        <v>1.4651439E-2</v>
      </c>
      <c r="L70">
        <v>53.409201000000003</v>
      </c>
      <c r="M70">
        <v>1.8709818999999999E-3</v>
      </c>
      <c r="N70">
        <v>0.91421472999999998</v>
      </c>
      <c r="O70">
        <v>0.91391823999999999</v>
      </c>
      <c r="P70">
        <v>-5.5826490999999999E-4</v>
      </c>
      <c r="Q70">
        <v>8.5475600000000003E-4</v>
      </c>
      <c r="R70" s="217">
        <v>5.3889597000000003E-7</v>
      </c>
      <c r="S70">
        <v>6.9341315000000002E-3</v>
      </c>
      <c r="T70" s="217">
        <v>7.2035683000000006E-5</v>
      </c>
      <c r="U70">
        <v>9.1853064999999998E-4</v>
      </c>
      <c r="V70">
        <v>1.1235841999999999E-2</v>
      </c>
      <c r="W70">
        <v>4.8396163999999998E-3</v>
      </c>
      <c r="X70" s="217">
        <v>1.1115774999999999E-5</v>
      </c>
      <c r="Y70">
        <v>42.228634999999997</v>
      </c>
      <c r="Z70">
        <v>0.33159140999999998</v>
      </c>
      <c r="AA70" s="217">
        <v>4.7110344E-8</v>
      </c>
      <c r="AB70">
        <v>0.17179085999999999</v>
      </c>
      <c r="AC70">
        <v>29.888828</v>
      </c>
      <c r="AD70" s="217">
        <v>4.8014039000000004E-10</v>
      </c>
      <c r="AE70" s="217">
        <v>1.3454382E-8</v>
      </c>
      <c r="AF70">
        <v>6.3573288999999997</v>
      </c>
      <c r="AG70">
        <v>0</v>
      </c>
      <c r="AH70">
        <v>0</v>
      </c>
      <c r="AI70">
        <v>0.99485309</v>
      </c>
      <c r="AJ70">
        <v>0</v>
      </c>
      <c r="AK70">
        <v>0</v>
      </c>
      <c r="AL70">
        <v>44.868817</v>
      </c>
      <c r="AM70">
        <v>0</v>
      </c>
      <c r="AN70">
        <v>0</v>
      </c>
      <c r="AO70">
        <v>0</v>
      </c>
      <c r="AP70">
        <v>1.0421959999999999E-2</v>
      </c>
      <c r="AQ70" s="217">
        <v>2.0129211E-5</v>
      </c>
      <c r="AR70">
        <v>9.1802400000000006E-2</v>
      </c>
      <c r="AS70">
        <v>2.5350509000000003E-4</v>
      </c>
      <c r="AT70">
        <v>0</v>
      </c>
      <c r="AU70">
        <v>0</v>
      </c>
      <c r="AV70">
        <v>0</v>
      </c>
      <c r="AW70">
        <v>0</v>
      </c>
      <c r="AX70">
        <v>0</v>
      </c>
    </row>
    <row r="71" spans="1:50" x14ac:dyDescent="0.35">
      <c r="A71" t="s">
        <v>867</v>
      </c>
      <c r="B71" s="249">
        <f t="shared" si="1"/>
        <v>1.1855543080963198E-3</v>
      </c>
      <c r="C71" s="217">
        <v>2.4918301999999999E-8</v>
      </c>
      <c r="D71" s="217">
        <v>6.3735372000000003E-5</v>
      </c>
      <c r="E71">
        <v>8.9932323000000008E-3</v>
      </c>
      <c r="F71" s="217">
        <v>1.1634776000000001E-9</v>
      </c>
      <c r="G71" s="217">
        <v>1.5085451000000001E-5</v>
      </c>
      <c r="H71" s="217">
        <v>4.5797112000000002E-5</v>
      </c>
      <c r="I71" s="217">
        <v>8.8826868000000001E-6</v>
      </c>
      <c r="J71">
        <v>4.4381146000000002E-3</v>
      </c>
      <c r="K71">
        <v>1.7029883000000001E-4</v>
      </c>
      <c r="L71">
        <v>0.24930267</v>
      </c>
      <c r="M71" s="217">
        <v>4.8051087000000003E-5</v>
      </c>
      <c r="N71">
        <v>-0.23573801</v>
      </c>
      <c r="O71">
        <v>9.0923120999999996E-3</v>
      </c>
      <c r="P71">
        <v>-0.24494223000000001</v>
      </c>
      <c r="Q71">
        <v>1.1190565E-4</v>
      </c>
      <c r="R71" s="217">
        <v>1.4066105999999999E-9</v>
      </c>
      <c r="S71" s="217">
        <v>5.9959661000000001E-5</v>
      </c>
      <c r="T71" s="217">
        <v>3.7702967999999999E-7</v>
      </c>
      <c r="U71" s="217">
        <v>1.8324340999999999E-5</v>
      </c>
      <c r="V71">
        <v>2.0627190000000001E-4</v>
      </c>
      <c r="W71" s="217">
        <v>7.5167007000000006E-5</v>
      </c>
      <c r="X71" s="217">
        <v>2.4892535000000001E-8</v>
      </c>
      <c r="Y71">
        <v>0.12695871</v>
      </c>
      <c r="Z71">
        <v>4.0449324000000004E-3</v>
      </c>
      <c r="AA71" s="217">
        <v>8.4274912000000002E-10</v>
      </c>
      <c r="AB71">
        <v>5.3727186000000001E-4</v>
      </c>
      <c r="AC71">
        <v>0.13978528000000001</v>
      </c>
      <c r="AD71" s="217">
        <v>8.6459571999999996E-12</v>
      </c>
      <c r="AE71" s="217">
        <v>1.709776E-10</v>
      </c>
      <c r="AF71">
        <v>19.040316000000001</v>
      </c>
      <c r="AG71">
        <v>0</v>
      </c>
      <c r="AH71">
        <v>0</v>
      </c>
      <c r="AI71">
        <v>2.7741338999999998</v>
      </c>
      <c r="AJ71">
        <v>0</v>
      </c>
      <c r="AK71">
        <v>0</v>
      </c>
      <c r="AL71">
        <v>0.13518240000000001</v>
      </c>
      <c r="AM71">
        <v>0</v>
      </c>
      <c r="AN71">
        <v>0</v>
      </c>
      <c r="AO71">
        <v>0</v>
      </c>
      <c r="AP71">
        <v>1.0909256E-4</v>
      </c>
      <c r="AQ71" s="217">
        <v>3.2914635E-7</v>
      </c>
      <c r="AR71">
        <v>2.1072347000000002E-3</v>
      </c>
      <c r="AS71" s="217">
        <v>6.8987878999999999E-7</v>
      </c>
      <c r="AT71">
        <v>0</v>
      </c>
      <c r="AU71">
        <v>0</v>
      </c>
      <c r="AV71">
        <v>0</v>
      </c>
      <c r="AW71">
        <v>0</v>
      </c>
      <c r="AX71">
        <v>0</v>
      </c>
    </row>
    <row r="72" spans="1:50" x14ac:dyDescent="0.35">
      <c r="A72" t="s">
        <v>868</v>
      </c>
      <c r="B72" s="249">
        <f t="shared" si="1"/>
        <v>1.2499778979929198E-2</v>
      </c>
      <c r="C72" s="217">
        <v>6.0161270000000005E-8</v>
      </c>
      <c r="D72">
        <v>7.7879242999999996E-4</v>
      </c>
      <c r="E72">
        <v>0.12024103</v>
      </c>
      <c r="F72" s="217">
        <v>4.7014042E-9</v>
      </c>
      <c r="G72">
        <v>1.3740700000000001E-4</v>
      </c>
      <c r="H72">
        <v>5.4243445E-4</v>
      </c>
      <c r="I72" s="217">
        <v>5.5387345000000001E-5</v>
      </c>
      <c r="J72">
        <v>3.4170048000000001E-2</v>
      </c>
      <c r="K72">
        <v>5.8206314000000005E-4</v>
      </c>
      <c r="L72">
        <v>3.1791136</v>
      </c>
      <c r="M72">
        <v>1.5424239999999999E-4</v>
      </c>
      <c r="N72">
        <v>0.13070767</v>
      </c>
      <c r="O72">
        <v>0.12889628</v>
      </c>
      <c r="P72">
        <v>1.7072553000000001E-3</v>
      </c>
      <c r="Q72">
        <v>1.0413107E-4</v>
      </c>
      <c r="R72" s="217">
        <v>4.996289E-9</v>
      </c>
      <c r="S72">
        <v>6.4499610000000004E-4</v>
      </c>
      <c r="T72" s="217">
        <v>5.8809333E-6</v>
      </c>
      <c r="U72" s="217">
        <v>8.3627498000000006E-5</v>
      </c>
      <c r="V72">
        <v>1.0244321000000001E-3</v>
      </c>
      <c r="W72">
        <v>4.4618464000000001E-4</v>
      </c>
      <c r="X72" s="217">
        <v>6.0164000999999999E-8</v>
      </c>
      <c r="Y72">
        <v>1.2992482000000001</v>
      </c>
      <c r="Z72">
        <v>1.4759921E-2</v>
      </c>
      <c r="AA72" s="217">
        <v>7.0239795999999998E-9</v>
      </c>
      <c r="AB72">
        <v>3.3034750000000002E-3</v>
      </c>
      <c r="AC72">
        <v>3.1512386999999999</v>
      </c>
      <c r="AD72" s="217">
        <v>3.9156717000000002E-11</v>
      </c>
      <c r="AE72" s="217">
        <v>4.8197718000000004E-9</v>
      </c>
      <c r="AF72">
        <v>0.49030564999999998</v>
      </c>
      <c r="AG72">
        <v>0</v>
      </c>
      <c r="AH72">
        <v>0</v>
      </c>
      <c r="AI72">
        <v>9.3134132999999994E-2</v>
      </c>
      <c r="AJ72">
        <v>0</v>
      </c>
      <c r="AK72">
        <v>0</v>
      </c>
      <c r="AL72">
        <v>1.3811097000000001</v>
      </c>
      <c r="AM72">
        <v>0</v>
      </c>
      <c r="AN72">
        <v>0</v>
      </c>
      <c r="AO72">
        <v>0</v>
      </c>
      <c r="AP72">
        <v>4.8735011E-4</v>
      </c>
      <c r="AQ72" s="217">
        <v>1.1928698999999999E-6</v>
      </c>
      <c r="AR72">
        <v>4.6864821000000001E-3</v>
      </c>
      <c r="AS72" s="217">
        <v>2.7390057999999998E-6</v>
      </c>
      <c r="AT72">
        <v>0</v>
      </c>
      <c r="AU72">
        <v>0</v>
      </c>
      <c r="AV72">
        <v>0</v>
      </c>
      <c r="AW72">
        <v>0</v>
      </c>
      <c r="AX72">
        <v>0</v>
      </c>
    </row>
    <row r="73" spans="1:50" x14ac:dyDescent="0.35">
      <c r="A73" t="s">
        <v>869</v>
      </c>
      <c r="B73" s="249">
        <f t="shared" si="1"/>
        <v>1.2132848104340719E-3</v>
      </c>
      <c r="C73" s="217">
        <v>1.5776292E-9</v>
      </c>
      <c r="D73" s="217">
        <v>3.2384568999999997E-5</v>
      </c>
      <c r="E73">
        <v>4.6780299999999997E-3</v>
      </c>
      <c r="F73" s="217">
        <v>8.4806217999999996E-10</v>
      </c>
      <c r="G73" s="217">
        <v>4.7399152000000002E-6</v>
      </c>
      <c r="H73" s="217">
        <v>3.5490429999999997E-5</v>
      </c>
      <c r="I73" s="217">
        <v>7.9858683999999998E-6</v>
      </c>
      <c r="J73">
        <v>8.2452072000000001E-3</v>
      </c>
      <c r="K73" s="217">
        <v>2.3487556000000002E-5</v>
      </c>
      <c r="L73">
        <v>7.9211429E-2</v>
      </c>
      <c r="M73" s="217">
        <v>2.7883587999999999E-6</v>
      </c>
      <c r="N73">
        <v>4.7286788000000003E-3</v>
      </c>
      <c r="O73">
        <v>4.7274969999999998E-3</v>
      </c>
      <c r="P73" s="217">
        <v>7.8019327E-7</v>
      </c>
      <c r="Q73" s="217">
        <v>4.0153754E-7</v>
      </c>
      <c r="R73" s="217">
        <v>1.0680238E-9</v>
      </c>
      <c r="S73" s="217">
        <v>4.9552329000000003E-5</v>
      </c>
      <c r="T73" s="217">
        <v>3.6108022999999999E-8</v>
      </c>
      <c r="U73" s="217">
        <v>2.1478863000000001E-5</v>
      </c>
      <c r="V73">
        <v>2.3604792000000001E-4</v>
      </c>
      <c r="W73" s="217">
        <v>6.4847430999999997E-5</v>
      </c>
      <c r="X73" s="217">
        <v>1.5776494E-9</v>
      </c>
      <c r="Y73">
        <v>6.8369226000000005E-2</v>
      </c>
      <c r="Z73">
        <v>3.685796E-4</v>
      </c>
      <c r="AA73" s="217">
        <v>6.1246574000000002E-9</v>
      </c>
      <c r="AB73">
        <v>2.9466588000000001E-4</v>
      </c>
      <c r="AC73">
        <v>3.8649870000000003E-2</v>
      </c>
      <c r="AD73" s="217">
        <v>1.3297420000000001E-12</v>
      </c>
      <c r="AE73" s="217">
        <v>3.3675694000000003E-11</v>
      </c>
      <c r="AF73">
        <v>8.6594285E-3</v>
      </c>
      <c r="AG73">
        <v>0</v>
      </c>
      <c r="AH73">
        <v>0</v>
      </c>
      <c r="AI73">
        <v>3.9607219999999999E-4</v>
      </c>
      <c r="AJ73">
        <v>0</v>
      </c>
      <c r="AK73">
        <v>0</v>
      </c>
      <c r="AL73">
        <v>7.2600860000000003E-2</v>
      </c>
      <c r="AM73">
        <v>0</v>
      </c>
      <c r="AN73">
        <v>0</v>
      </c>
      <c r="AO73">
        <v>0</v>
      </c>
      <c r="AP73" s="217">
        <v>9.3834250000000007E-6</v>
      </c>
      <c r="AQ73" s="217">
        <v>3.0487845000000002E-8</v>
      </c>
      <c r="AR73" s="217">
        <v>7.2863358000000003E-5</v>
      </c>
      <c r="AS73" s="217">
        <v>4.7490731999999998E-7</v>
      </c>
      <c r="AT73">
        <v>0</v>
      </c>
      <c r="AU73">
        <v>0</v>
      </c>
      <c r="AV73">
        <v>0</v>
      </c>
      <c r="AW73">
        <v>0</v>
      </c>
      <c r="AX73">
        <v>0</v>
      </c>
    </row>
    <row r="74" spans="1:50" x14ac:dyDescent="0.35">
      <c r="A74" t="s">
        <v>870</v>
      </c>
      <c r="B74" s="249">
        <f t="shared" si="1"/>
        <v>7.8936163767385006</v>
      </c>
      <c r="C74">
        <v>2.6911055999999998E-3</v>
      </c>
      <c r="D74">
        <v>3.1797313000000001E-2</v>
      </c>
      <c r="E74">
        <v>4.9105334999999997</v>
      </c>
      <c r="F74" s="217">
        <v>3.1276874999999998E-7</v>
      </c>
      <c r="G74">
        <v>1.8097308999999999E-2</v>
      </c>
      <c r="H74">
        <v>0.37589621000000001</v>
      </c>
      <c r="I74">
        <v>0.10300212</v>
      </c>
      <c r="J74">
        <v>51.655281000000002</v>
      </c>
      <c r="K74">
        <v>0.87754304999999999</v>
      </c>
      <c r="L74">
        <v>4915.9892</v>
      </c>
      <c r="M74">
        <v>0.14771887</v>
      </c>
      <c r="N74">
        <v>4.9763060000000001</v>
      </c>
      <c r="O74">
        <v>4.9833068999999997</v>
      </c>
      <c r="P74">
        <v>-1.3245062E-2</v>
      </c>
      <c r="Q74">
        <v>6.2441922999999996E-3</v>
      </c>
      <c r="R74" s="217">
        <v>3.4209171000000002E-7</v>
      </c>
      <c r="S74">
        <v>0.42766514</v>
      </c>
      <c r="T74">
        <v>3.0723250000000001E-2</v>
      </c>
      <c r="U74">
        <v>2.1299872000000001E-2</v>
      </c>
      <c r="V74">
        <v>0.28586526000000001</v>
      </c>
      <c r="W74">
        <v>7.8342698000000002E-2</v>
      </c>
      <c r="X74">
        <v>2.6912122000000002E-3</v>
      </c>
      <c r="Y74">
        <v>58.208654000000003</v>
      </c>
      <c r="Z74">
        <v>2.9099808</v>
      </c>
      <c r="AA74" s="217">
        <v>9.3031376999999999E-7</v>
      </c>
      <c r="AB74">
        <v>0.21767592999999999</v>
      </c>
      <c r="AC74">
        <v>3098.9627</v>
      </c>
      <c r="AD74" s="217">
        <v>3.9136102999999997E-8</v>
      </c>
      <c r="AE74" s="217">
        <v>3.6270223000000002E-6</v>
      </c>
      <c r="AF74">
        <v>71.380077999999997</v>
      </c>
      <c r="AG74">
        <v>0</v>
      </c>
      <c r="AH74">
        <v>0</v>
      </c>
      <c r="AI74">
        <v>11.606824</v>
      </c>
      <c r="AJ74">
        <v>0</v>
      </c>
      <c r="AK74">
        <v>0</v>
      </c>
      <c r="AL74">
        <v>61.974507000000003</v>
      </c>
      <c r="AM74">
        <v>0</v>
      </c>
      <c r="AN74">
        <v>0</v>
      </c>
      <c r="AO74">
        <v>0</v>
      </c>
      <c r="AP74">
        <v>7.7934401E-2</v>
      </c>
      <c r="AQ74">
        <v>1.2263464000000001E-4</v>
      </c>
      <c r="AR74">
        <v>1.8599706</v>
      </c>
      <c r="AS74">
        <v>1.9509443E-4</v>
      </c>
      <c r="AT74">
        <v>0</v>
      </c>
      <c r="AU74">
        <v>0</v>
      </c>
      <c r="AV74">
        <v>0</v>
      </c>
      <c r="AW74">
        <v>0</v>
      </c>
      <c r="AX74">
        <v>0</v>
      </c>
    </row>
    <row r="75" spans="1:50" x14ac:dyDescent="0.35">
      <c r="A75" t="s">
        <v>871</v>
      </c>
      <c r="B75" s="249">
        <f t="shared" si="1"/>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row>
    <row r="76" spans="1:50" x14ac:dyDescent="0.35">
      <c r="A76" t="s">
        <v>872</v>
      </c>
      <c r="B76" s="249">
        <f t="shared" si="1"/>
        <v>2.5835365762010003E-2</v>
      </c>
      <c r="C76" s="217">
        <v>2.0657381000000001E-5</v>
      </c>
      <c r="D76">
        <v>1.4398194999999999E-3</v>
      </c>
      <c r="E76">
        <v>0.38909029000000001</v>
      </c>
      <c r="F76" s="217">
        <v>1.3799545E-8</v>
      </c>
      <c r="G76" s="217">
        <v>6.4846378000000003E-5</v>
      </c>
      <c r="H76">
        <v>5.3740399000000005E-4</v>
      </c>
      <c r="I76">
        <v>1.2826065999999999E-4</v>
      </c>
      <c r="J76">
        <v>2.6072538999999999E-2</v>
      </c>
      <c r="K76">
        <v>5.2093674999999999E-4</v>
      </c>
      <c r="L76">
        <v>3.2166960000000002</v>
      </c>
      <c r="M76">
        <v>4.8800177000000002E-4</v>
      </c>
      <c r="N76">
        <v>0.11339778</v>
      </c>
      <c r="O76">
        <v>0.11099721</v>
      </c>
      <c r="P76">
        <v>2.3788269E-3</v>
      </c>
      <c r="Q76" s="217">
        <v>2.1745617E-5</v>
      </c>
      <c r="R76" s="217">
        <v>1.2742977E-8</v>
      </c>
      <c r="S76">
        <v>2.6980503000000001E-4</v>
      </c>
      <c r="T76" s="217">
        <v>3.3500508000000002E-6</v>
      </c>
      <c r="U76" s="217">
        <v>6.1028393999999997E-5</v>
      </c>
      <c r="V76">
        <v>9.0431416000000004E-4</v>
      </c>
      <c r="W76">
        <v>1.9731233000000001E-4</v>
      </c>
      <c r="X76" s="217">
        <v>7.2474427000000005E-8</v>
      </c>
      <c r="Y76">
        <v>1.6572719</v>
      </c>
      <c r="Z76">
        <v>3.7029976999999999E-2</v>
      </c>
      <c r="AA76" s="217">
        <v>1.9736359000000002E-9</v>
      </c>
      <c r="AB76">
        <v>2.2461258000000001E-3</v>
      </c>
      <c r="AC76">
        <v>1.5533805000000001</v>
      </c>
      <c r="AD76" s="217">
        <v>2.1385273000000002E-11</v>
      </c>
      <c r="AE76" s="217">
        <v>4.6028215999999999E-10</v>
      </c>
      <c r="AF76">
        <v>0.22942582</v>
      </c>
      <c r="AG76">
        <v>0</v>
      </c>
      <c r="AH76">
        <v>0</v>
      </c>
      <c r="AI76">
        <v>0.10962395</v>
      </c>
      <c r="AJ76">
        <v>0</v>
      </c>
      <c r="AK76">
        <v>0</v>
      </c>
      <c r="AL76">
        <v>2.7026659</v>
      </c>
      <c r="AM76">
        <v>0</v>
      </c>
      <c r="AN76">
        <v>0</v>
      </c>
      <c r="AO76">
        <v>0</v>
      </c>
      <c r="AP76">
        <v>1.6085121999999999E-3</v>
      </c>
      <c r="AQ76" s="217">
        <v>9.1363251999999992E-6</v>
      </c>
      <c r="AR76">
        <v>8.9683557999999993E-3</v>
      </c>
      <c r="AS76" s="217">
        <v>2.7298079E-6</v>
      </c>
      <c r="AT76">
        <v>0</v>
      </c>
      <c r="AU76">
        <v>0</v>
      </c>
      <c r="AV76">
        <v>0</v>
      </c>
      <c r="AW76">
        <v>0</v>
      </c>
      <c r="AX76">
        <v>0</v>
      </c>
    </row>
    <row r="77" spans="1:50" x14ac:dyDescent="0.35">
      <c r="A77" t="s">
        <v>873</v>
      </c>
      <c r="B77" s="249">
        <f t="shared" si="1"/>
        <v>0.44981708613864002</v>
      </c>
      <c r="C77" s="217">
        <v>1.2493369E-5</v>
      </c>
      <c r="D77">
        <v>3.1610801000000001E-2</v>
      </c>
      <c r="E77">
        <v>4.0960973999999997</v>
      </c>
      <c r="F77" s="217">
        <v>6.9459251999999996E-7</v>
      </c>
      <c r="G77">
        <v>1.7934226E-3</v>
      </c>
      <c r="H77">
        <v>2.0055916999999999E-2</v>
      </c>
      <c r="I77">
        <v>2.4902745E-3</v>
      </c>
      <c r="J77">
        <v>1.3200126999999999</v>
      </c>
      <c r="K77">
        <v>3.4132482999999998E-2</v>
      </c>
      <c r="L77">
        <v>134.53711999999999</v>
      </c>
      <c r="M77">
        <v>7.1639679000000001E-3</v>
      </c>
      <c r="N77">
        <v>3.3295067999999999</v>
      </c>
      <c r="O77">
        <v>4.1707991</v>
      </c>
      <c r="P77">
        <v>-0.84561023999999996</v>
      </c>
      <c r="Q77">
        <v>4.31796E-3</v>
      </c>
      <c r="R77" s="217">
        <v>7.2488721000000002E-7</v>
      </c>
      <c r="S77">
        <v>2.4233429000000001E-2</v>
      </c>
      <c r="T77">
        <v>2.7025817999999999E-4</v>
      </c>
      <c r="U77">
        <v>3.7462099999999998E-3</v>
      </c>
      <c r="V77">
        <v>4.5402893999999999E-2</v>
      </c>
      <c r="W77">
        <v>1.2523446000000001E-2</v>
      </c>
      <c r="X77" s="217">
        <v>1.2493560000000001E-5</v>
      </c>
      <c r="Y77">
        <v>58.422274000000002</v>
      </c>
      <c r="Z77">
        <v>2.0356247000000001</v>
      </c>
      <c r="AA77" s="217">
        <v>2.5203827999999998E-7</v>
      </c>
      <c r="AB77">
        <v>0.18152531999999999</v>
      </c>
      <c r="AC77">
        <v>88.701311000000004</v>
      </c>
      <c r="AD77" s="217">
        <v>1.6148369E-9</v>
      </c>
      <c r="AE77" s="217">
        <v>1.1808104E-7</v>
      </c>
      <c r="AF77">
        <v>83.410854</v>
      </c>
      <c r="AG77">
        <v>0</v>
      </c>
      <c r="AH77">
        <v>0</v>
      </c>
      <c r="AI77">
        <v>30.093098000000001</v>
      </c>
      <c r="AJ77">
        <v>0</v>
      </c>
      <c r="AK77">
        <v>0</v>
      </c>
      <c r="AL77">
        <v>62.63693</v>
      </c>
      <c r="AM77">
        <v>0</v>
      </c>
      <c r="AN77">
        <v>0</v>
      </c>
      <c r="AO77">
        <v>0</v>
      </c>
      <c r="AP77">
        <v>5.5698698999999997E-2</v>
      </c>
      <c r="AQ77" s="217">
        <v>7.8955492000000005E-5</v>
      </c>
      <c r="AR77">
        <v>0.35707787000000002</v>
      </c>
      <c r="AS77">
        <v>1.7226306E-4</v>
      </c>
      <c r="AT77">
        <v>0</v>
      </c>
      <c r="AU77">
        <v>0</v>
      </c>
      <c r="AV77">
        <v>0</v>
      </c>
      <c r="AW77">
        <v>0</v>
      </c>
      <c r="AX77">
        <v>0</v>
      </c>
    </row>
    <row r="78" spans="1:50" x14ac:dyDescent="0.35">
      <c r="A78" t="s">
        <v>624</v>
      </c>
      <c r="B78" s="249">
        <f t="shared" si="1"/>
        <v>3.9128984200961198E-2</v>
      </c>
      <c r="C78" s="217">
        <v>6.1645782000000004E-7</v>
      </c>
      <c r="D78">
        <v>1.6501090999999999E-3</v>
      </c>
      <c r="E78">
        <v>0.47210642000000003</v>
      </c>
      <c r="F78" s="217">
        <v>2.3544976999999999E-8</v>
      </c>
      <c r="G78">
        <v>1.0846457E-4</v>
      </c>
      <c r="H78">
        <v>1.0544292E-3</v>
      </c>
      <c r="I78">
        <v>1.5449944999999999E-4</v>
      </c>
      <c r="J78">
        <v>9.5795219000000001E-2</v>
      </c>
      <c r="K78">
        <v>1.6768861000000001E-3</v>
      </c>
      <c r="L78">
        <v>7.2616101000000004</v>
      </c>
      <c r="M78">
        <v>5.9437449000000005E-4</v>
      </c>
      <c r="N78">
        <v>0.47740834999999998</v>
      </c>
      <c r="O78">
        <v>0.47483524999999999</v>
      </c>
      <c r="P78">
        <v>2.3935622999999998E-3</v>
      </c>
      <c r="Q78">
        <v>1.7953551999999999E-4</v>
      </c>
      <c r="R78" s="217">
        <v>2.8204958E-8</v>
      </c>
      <c r="S78">
        <v>1.3286890000000001E-3</v>
      </c>
      <c r="T78" s="217">
        <v>1.0018206999999999E-5</v>
      </c>
      <c r="U78">
        <v>3.0368765999999999E-4</v>
      </c>
      <c r="V78">
        <v>3.5788116000000001E-3</v>
      </c>
      <c r="W78">
        <v>9.7229825E-4</v>
      </c>
      <c r="X78" s="217">
        <v>6.1646205999999996E-7</v>
      </c>
      <c r="Y78">
        <v>3.11829</v>
      </c>
      <c r="Z78">
        <v>6.7377489999999998E-2</v>
      </c>
      <c r="AA78" s="217">
        <v>1.0785242E-8</v>
      </c>
      <c r="AB78">
        <v>1.0448995000000001E-2</v>
      </c>
      <c r="AC78">
        <v>4.8760716999999998</v>
      </c>
      <c r="AD78" s="217">
        <v>1.2275704999999999E-10</v>
      </c>
      <c r="AE78" s="217">
        <v>4.0669444999999998E-9</v>
      </c>
      <c r="AF78">
        <v>1.1962987</v>
      </c>
      <c r="AG78">
        <v>0</v>
      </c>
      <c r="AH78">
        <v>0</v>
      </c>
      <c r="AI78">
        <v>0.22766908999999999</v>
      </c>
      <c r="AJ78">
        <v>0</v>
      </c>
      <c r="AK78">
        <v>0</v>
      </c>
      <c r="AL78">
        <v>3.3319857000000002</v>
      </c>
      <c r="AM78">
        <v>0</v>
      </c>
      <c r="AN78">
        <v>0</v>
      </c>
      <c r="AO78">
        <v>0</v>
      </c>
      <c r="AP78">
        <v>1.9126757E-3</v>
      </c>
      <c r="AQ78" s="217">
        <v>6.4670068000000002E-6</v>
      </c>
      <c r="AR78">
        <v>3.0471610999999999E-2</v>
      </c>
      <c r="AS78" s="217">
        <v>1.2785443000000001E-5</v>
      </c>
      <c r="AT78">
        <v>0</v>
      </c>
      <c r="AU78">
        <v>0</v>
      </c>
      <c r="AV78">
        <v>0</v>
      </c>
      <c r="AW78">
        <v>0</v>
      </c>
      <c r="AX78">
        <v>0</v>
      </c>
    </row>
    <row r="79" spans="1:50" x14ac:dyDescent="0.35">
      <c r="A79" t="s">
        <v>874</v>
      </c>
      <c r="B79" s="249">
        <f t="shared" si="1"/>
        <v>0.23173998799735201</v>
      </c>
      <c r="C79" s="217">
        <v>6.6979972000000001E-6</v>
      </c>
      <c r="D79">
        <v>1.3760313999999999E-2</v>
      </c>
      <c r="E79">
        <v>1.8482784999999999</v>
      </c>
      <c r="F79" s="217">
        <v>1.2204626E-7</v>
      </c>
      <c r="G79">
        <v>5.5611432000000004E-4</v>
      </c>
      <c r="H79">
        <v>7.3120811999999999E-3</v>
      </c>
      <c r="I79">
        <v>1.4046557999999999E-3</v>
      </c>
      <c r="J79">
        <v>0.97822668999999995</v>
      </c>
      <c r="K79">
        <v>1.3179035E-2</v>
      </c>
      <c r="L79">
        <v>55.155023</v>
      </c>
      <c r="M79">
        <v>2.7658100000000001E-3</v>
      </c>
      <c r="N79">
        <v>1.8237719999999999</v>
      </c>
      <c r="O79">
        <v>1.8717537</v>
      </c>
      <c r="P79">
        <v>-5.0126335000000001E-2</v>
      </c>
      <c r="Q79">
        <v>2.1446153E-3</v>
      </c>
      <c r="R79" s="217">
        <v>1.3160164999999999E-7</v>
      </c>
      <c r="S79">
        <v>9.1269999999999997E-3</v>
      </c>
      <c r="T79">
        <v>2.2542079000000001E-4</v>
      </c>
      <c r="U79">
        <v>1.8026769000000001E-3</v>
      </c>
      <c r="V79">
        <v>2.2081519000000001E-2</v>
      </c>
      <c r="W79">
        <v>5.5446727999999999E-3</v>
      </c>
      <c r="X79" s="217">
        <v>6.6978240000000003E-6</v>
      </c>
      <c r="Y79">
        <v>25.620543999999999</v>
      </c>
      <c r="Z79">
        <v>0.32266982999999999</v>
      </c>
      <c r="AA79" s="217">
        <v>6.3097881000000005E-8</v>
      </c>
      <c r="AB79">
        <v>7.5746892999999996E-2</v>
      </c>
      <c r="AC79">
        <v>41.963327</v>
      </c>
      <c r="AD79" s="217">
        <v>7.0169994000000001E-10</v>
      </c>
      <c r="AE79" s="217">
        <v>1.6340938000000001E-8</v>
      </c>
      <c r="AF79">
        <v>10.553723</v>
      </c>
      <c r="AG79">
        <v>0</v>
      </c>
      <c r="AH79">
        <v>0</v>
      </c>
      <c r="AI79">
        <v>2.7103383000000001</v>
      </c>
      <c r="AJ79">
        <v>0</v>
      </c>
      <c r="AK79">
        <v>0</v>
      </c>
      <c r="AL79">
        <v>27.590554999999998</v>
      </c>
      <c r="AM79">
        <v>0</v>
      </c>
      <c r="AN79">
        <v>0</v>
      </c>
      <c r="AO79">
        <v>0</v>
      </c>
      <c r="AP79">
        <v>1.0950563E-2</v>
      </c>
      <c r="AQ79" s="217">
        <v>3.5393481000000001E-5</v>
      </c>
      <c r="AR79">
        <v>0.18270818999999999</v>
      </c>
      <c r="AS79" s="217">
        <v>6.1013469999999999E-5</v>
      </c>
      <c r="AT79">
        <v>0</v>
      </c>
      <c r="AU79">
        <v>0</v>
      </c>
      <c r="AV79">
        <v>0</v>
      </c>
      <c r="AW79">
        <v>0</v>
      </c>
      <c r="AX79">
        <v>0</v>
      </c>
    </row>
    <row r="80" spans="1:50" x14ac:dyDescent="0.35">
      <c r="A80" t="s">
        <v>875</v>
      </c>
      <c r="B80" s="249">
        <f t="shared" si="1"/>
        <v>0.10457366203068602</v>
      </c>
      <c r="C80" s="217">
        <v>5.9847540999999998E-6</v>
      </c>
      <c r="D80">
        <v>4.1448379999999996E-3</v>
      </c>
      <c r="E80">
        <v>0.57456300000000005</v>
      </c>
      <c r="F80" s="217">
        <v>5.2258300999999997E-8</v>
      </c>
      <c r="G80">
        <v>3.5652109999999998E-4</v>
      </c>
      <c r="H80">
        <v>3.8248746E-3</v>
      </c>
      <c r="I80">
        <v>5.4591774000000001E-4</v>
      </c>
      <c r="J80">
        <v>0.57015519000000003</v>
      </c>
      <c r="K80">
        <v>8.4980414999999993E-3</v>
      </c>
      <c r="L80">
        <v>25.491727999999998</v>
      </c>
      <c r="M80">
        <v>2.2655205999999998E-3</v>
      </c>
      <c r="N80">
        <v>0.48206999</v>
      </c>
      <c r="O80">
        <v>0.55845184999999997</v>
      </c>
      <c r="P80">
        <v>-7.7389126000000003E-2</v>
      </c>
      <c r="Q80">
        <v>1.0072593E-3</v>
      </c>
      <c r="R80" s="217">
        <v>6.1351161000000006E-8</v>
      </c>
      <c r="S80">
        <v>4.6908458999999998E-3</v>
      </c>
      <c r="T80" s="217">
        <v>5.4261887999999997E-5</v>
      </c>
      <c r="U80">
        <v>9.1273126E-4</v>
      </c>
      <c r="V80">
        <v>1.0476437E-2</v>
      </c>
      <c r="W80">
        <v>2.9399482E-3</v>
      </c>
      <c r="X80" s="217">
        <v>5.9849061999999997E-6</v>
      </c>
      <c r="Y80">
        <v>7.8562586999999997</v>
      </c>
      <c r="Z80">
        <v>0.24327220999999999</v>
      </c>
      <c r="AA80" s="217">
        <v>5.6051335000000001E-8</v>
      </c>
      <c r="AB80">
        <v>2.6528429999999999E-2</v>
      </c>
      <c r="AC80">
        <v>28.374040999999998</v>
      </c>
      <c r="AD80" s="217">
        <v>5.3626769E-10</v>
      </c>
      <c r="AE80" s="217">
        <v>1.0909390000000001E-8</v>
      </c>
      <c r="AF80">
        <v>18.402273000000001</v>
      </c>
      <c r="AG80">
        <v>0</v>
      </c>
      <c r="AH80">
        <v>0</v>
      </c>
      <c r="AI80">
        <v>2.7079184999999999</v>
      </c>
      <c r="AJ80">
        <v>0</v>
      </c>
      <c r="AK80">
        <v>0</v>
      </c>
      <c r="AL80">
        <v>8.4147435000000002</v>
      </c>
      <c r="AM80">
        <v>0</v>
      </c>
      <c r="AN80">
        <v>0</v>
      </c>
      <c r="AO80">
        <v>0</v>
      </c>
      <c r="AP80">
        <v>6.5112781999999998E-3</v>
      </c>
      <c r="AQ80" s="217">
        <v>1.2813059000000001E-5</v>
      </c>
      <c r="AR80">
        <v>0.13319202999999999</v>
      </c>
      <c r="AS80" s="217">
        <v>2.915862E-5</v>
      </c>
      <c r="AT80">
        <v>0</v>
      </c>
      <c r="AU80">
        <v>0</v>
      </c>
      <c r="AV80">
        <v>0</v>
      </c>
      <c r="AW80">
        <v>0</v>
      </c>
      <c r="AX80">
        <v>0</v>
      </c>
    </row>
    <row r="81" spans="1:50" x14ac:dyDescent="0.35">
      <c r="A81" t="s">
        <v>876</v>
      </c>
      <c r="B81" s="249">
        <f t="shared" si="1"/>
        <v>6.9247447416127011E-2</v>
      </c>
      <c r="C81" s="217">
        <v>8.2055702E-5</v>
      </c>
      <c r="D81">
        <v>2.1863367999999999E-3</v>
      </c>
      <c r="E81">
        <v>1.1105653</v>
      </c>
      <c r="F81" s="217">
        <v>9.5048269000000008E-9</v>
      </c>
      <c r="G81">
        <v>1.6022013999999999E-4</v>
      </c>
      <c r="H81">
        <v>1.3547858999999999E-3</v>
      </c>
      <c r="I81">
        <v>3.5479285000000001E-4</v>
      </c>
      <c r="J81">
        <v>3.8033804999999997E-2</v>
      </c>
      <c r="K81">
        <v>1.0854091000000001E-3</v>
      </c>
      <c r="L81">
        <v>9.0543762000000001</v>
      </c>
      <c r="M81">
        <v>1.0365432999999999E-3</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0.17928896</v>
      </c>
      <c r="AJ81">
        <v>0</v>
      </c>
      <c r="AK81">
        <v>0</v>
      </c>
      <c r="AL81">
        <v>3.5522022999999998</v>
      </c>
      <c r="AM81">
        <v>0</v>
      </c>
      <c r="AN81">
        <v>0</v>
      </c>
      <c r="AO81">
        <v>0</v>
      </c>
      <c r="AP81">
        <v>1.6343925999999999E-3</v>
      </c>
      <c r="AQ81" s="217">
        <v>2.4195108E-5</v>
      </c>
      <c r="AR81">
        <v>1.459035E-2</v>
      </c>
      <c r="AS81">
        <v>0</v>
      </c>
      <c r="AT81">
        <v>0</v>
      </c>
      <c r="AU81">
        <v>0</v>
      </c>
      <c r="AV81">
        <v>0</v>
      </c>
      <c r="AW81">
        <v>0</v>
      </c>
      <c r="AX81">
        <v>0</v>
      </c>
    </row>
    <row r="82" spans="1:50" x14ac:dyDescent="0.35">
      <c r="A82" t="s">
        <v>877</v>
      </c>
      <c r="B82" s="249">
        <f t="shared" si="1"/>
        <v>3.8764170037280013E-2</v>
      </c>
      <c r="C82">
        <v>1.4169724E-4</v>
      </c>
      <c r="D82">
        <v>1.3642086E-3</v>
      </c>
      <c r="E82">
        <v>0.57093548000000005</v>
      </c>
      <c r="F82" s="217">
        <v>1.0867965999999999E-8</v>
      </c>
      <c r="G82" s="217">
        <v>8.8534886999999996E-5</v>
      </c>
      <c r="H82">
        <v>1.0213408E-3</v>
      </c>
      <c r="I82">
        <v>2.0115719000000001E-4</v>
      </c>
      <c r="J82">
        <v>3.1955643999999998E-2</v>
      </c>
      <c r="K82">
        <v>7.5771523000000001E-4</v>
      </c>
      <c r="L82">
        <v>9.6633005000000001</v>
      </c>
      <c r="M82">
        <v>6.3679855000000002E-4</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0.13953333000000001</v>
      </c>
      <c r="AJ82">
        <v>0</v>
      </c>
      <c r="AK82">
        <v>0</v>
      </c>
      <c r="AL82">
        <v>2.21</v>
      </c>
      <c r="AM82">
        <v>0</v>
      </c>
      <c r="AN82">
        <v>0</v>
      </c>
      <c r="AO82">
        <v>0</v>
      </c>
      <c r="AP82">
        <v>5.8543332999999999E-4</v>
      </c>
      <c r="AQ82" s="217">
        <v>1.0876667E-5</v>
      </c>
      <c r="AR82">
        <v>8.5193332999999993E-3</v>
      </c>
      <c r="AS82">
        <v>0</v>
      </c>
      <c r="AT82">
        <v>0</v>
      </c>
      <c r="AU82">
        <v>0</v>
      </c>
      <c r="AV82">
        <v>0</v>
      </c>
      <c r="AW82">
        <v>0</v>
      </c>
      <c r="AX82">
        <v>0</v>
      </c>
    </row>
    <row r="83" spans="1:50" x14ac:dyDescent="0.35">
      <c r="A83" t="s">
        <v>878</v>
      </c>
      <c r="B83" s="249">
        <f t="shared" si="1"/>
        <v>2.4851101139800002E-2</v>
      </c>
      <c r="C83" s="217">
        <v>5.6029999999999999E-8</v>
      </c>
      <c r="D83">
        <v>1.0198500000000001E-3</v>
      </c>
      <c r="E83">
        <v>0.35685</v>
      </c>
      <c r="F83" s="217">
        <v>8.8725000000000005E-9</v>
      </c>
      <c r="G83" s="217">
        <v>7.1890000000000005E-5</v>
      </c>
      <c r="H83">
        <v>7.1695000000000005E-4</v>
      </c>
      <c r="I83">
        <v>1.3409500000000001E-4</v>
      </c>
      <c r="J83">
        <v>2.5805000000000002E-2</v>
      </c>
      <c r="K83">
        <v>5.9150000000000001E-4</v>
      </c>
      <c r="L83">
        <v>2.5024999999999999</v>
      </c>
      <c r="M83">
        <v>6.045E-4</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0.12701000000000001</v>
      </c>
      <c r="AJ83">
        <v>0</v>
      </c>
      <c r="AK83">
        <v>0</v>
      </c>
      <c r="AL83">
        <v>2.0865</v>
      </c>
      <c r="AM83">
        <v>0</v>
      </c>
      <c r="AN83">
        <v>0</v>
      </c>
      <c r="AO83">
        <v>0</v>
      </c>
      <c r="AP83">
        <v>5.8175000000000002E-4</v>
      </c>
      <c r="AQ83" s="217">
        <v>1.0139999999999999E-5</v>
      </c>
      <c r="AR83">
        <v>8.9569999999999997E-3</v>
      </c>
      <c r="AS83">
        <v>0</v>
      </c>
      <c r="AT83">
        <v>0</v>
      </c>
      <c r="AU83">
        <v>0</v>
      </c>
      <c r="AV83">
        <v>0</v>
      </c>
      <c r="AW83">
        <v>0</v>
      </c>
      <c r="AX83">
        <v>0</v>
      </c>
    </row>
    <row r="84" spans="1:50" x14ac:dyDescent="0.35">
      <c r="A84" t="s">
        <v>879</v>
      </c>
      <c r="B84" s="249">
        <f t="shared" si="1"/>
        <v>2.5770260538791598E-2</v>
      </c>
      <c r="C84" s="217">
        <v>2.0693701000000001E-7</v>
      </c>
      <c r="D84">
        <v>9.7952174999999995E-4</v>
      </c>
      <c r="E84">
        <v>0.26927994</v>
      </c>
      <c r="F84" s="217">
        <v>1.3124829E-8</v>
      </c>
      <c r="G84" s="217">
        <v>7.0726485999999996E-5</v>
      </c>
      <c r="H84">
        <v>8.0355536000000004E-4</v>
      </c>
      <c r="I84">
        <v>1.1405057000000001E-4</v>
      </c>
      <c r="J84">
        <v>8.0742795000000006E-2</v>
      </c>
      <c r="K84">
        <v>1.076217E-3</v>
      </c>
      <c r="L84">
        <v>4.4476668000000004</v>
      </c>
      <c r="M84">
        <v>3.8464869999999999E-4</v>
      </c>
      <c r="N84">
        <v>0.27179009999999998</v>
      </c>
      <c r="O84">
        <v>0.26622220000000002</v>
      </c>
      <c r="P84">
        <v>5.4578125E-3</v>
      </c>
      <c r="Q84">
        <v>1.1008896999999999E-4</v>
      </c>
      <c r="R84" s="217">
        <v>1.5922707999999999E-8</v>
      </c>
      <c r="S84">
        <v>1.0118826E-3</v>
      </c>
      <c r="T84" s="217">
        <v>5.9860933E-6</v>
      </c>
      <c r="U84">
        <v>2.4072169000000001E-4</v>
      </c>
      <c r="V84">
        <v>2.7671358999999999E-3</v>
      </c>
      <c r="W84">
        <v>7.4005128999999996E-4</v>
      </c>
      <c r="X84" s="217">
        <v>2.0692527999999999E-7</v>
      </c>
      <c r="Y84">
        <v>1.8083787</v>
      </c>
      <c r="Z84">
        <v>7.2848994E-2</v>
      </c>
      <c r="AA84" s="217">
        <v>1.0437247E-8</v>
      </c>
      <c r="AB84">
        <v>6.3613226000000002E-3</v>
      </c>
      <c r="AC84">
        <v>4.5489685</v>
      </c>
      <c r="AD84" s="217">
        <v>7.6194225E-11</v>
      </c>
      <c r="AE84" s="217">
        <v>2.3512801999999998E-9</v>
      </c>
      <c r="AF84">
        <v>1.5367633000000001</v>
      </c>
      <c r="AG84">
        <v>0</v>
      </c>
      <c r="AH84">
        <v>0</v>
      </c>
      <c r="AI84">
        <v>0.21749577</v>
      </c>
      <c r="AJ84">
        <v>0</v>
      </c>
      <c r="AK84">
        <v>0</v>
      </c>
      <c r="AL84">
        <v>1.9186449000000001</v>
      </c>
      <c r="AM84">
        <v>0</v>
      </c>
      <c r="AN84">
        <v>0</v>
      </c>
      <c r="AO84">
        <v>0</v>
      </c>
      <c r="AP84">
        <v>1.9361745999999999E-3</v>
      </c>
      <c r="AQ84" s="217">
        <v>3.9320027999999998E-6</v>
      </c>
      <c r="AR84">
        <v>3.3117049000000003E-2</v>
      </c>
      <c r="AS84" s="217">
        <v>8.0078278999999998E-6</v>
      </c>
      <c r="AT84">
        <v>0</v>
      </c>
      <c r="AU84">
        <v>0</v>
      </c>
      <c r="AV84">
        <v>0</v>
      </c>
      <c r="AW84">
        <v>0</v>
      </c>
      <c r="AX84">
        <v>0</v>
      </c>
    </row>
    <row r="85" spans="1:50" x14ac:dyDescent="0.35">
      <c r="A85" t="s">
        <v>880</v>
      </c>
      <c r="B85" s="249">
        <f t="shared" si="1"/>
        <v>2.3002468579873002E-2</v>
      </c>
      <c r="C85" s="217">
        <v>1.5807121000000001E-5</v>
      </c>
      <c r="D85">
        <v>9.6110778999999999E-4</v>
      </c>
      <c r="E85">
        <v>0.29732057000000001</v>
      </c>
      <c r="F85" s="217">
        <v>8.8985571000000002E-9</v>
      </c>
      <c r="G85" s="217">
        <v>8.6745009000000002E-5</v>
      </c>
      <c r="H85">
        <v>4.9108471000000001E-4</v>
      </c>
      <c r="I85">
        <v>1.0974887E-4</v>
      </c>
      <c r="J85">
        <v>4.8126112999999998E-2</v>
      </c>
      <c r="K85">
        <v>7.0446813000000002E-3</v>
      </c>
      <c r="L85">
        <v>2.9552043000000001</v>
      </c>
      <c r="M85">
        <v>2.6811684E-4</v>
      </c>
      <c r="N85">
        <v>8.8038447000000006E-2</v>
      </c>
      <c r="O85">
        <v>8.7686990000000006E-2</v>
      </c>
      <c r="P85">
        <v>3.225061E-4</v>
      </c>
      <c r="Q85" s="217">
        <v>2.8950617999999999E-5</v>
      </c>
      <c r="R85" s="217">
        <v>7.9481571999999999E-9</v>
      </c>
      <c r="S85">
        <v>2.9009830999999998E-4</v>
      </c>
      <c r="T85" s="217">
        <v>2.7825454999999999E-6</v>
      </c>
      <c r="U85" s="217">
        <v>6.1396832000000002E-5</v>
      </c>
      <c r="V85">
        <v>6.7880584999999995E-4</v>
      </c>
      <c r="W85">
        <v>2.4906766000000002E-4</v>
      </c>
      <c r="X85" s="217">
        <v>2.165411E-7</v>
      </c>
      <c r="Y85">
        <v>1.1180228000000001</v>
      </c>
      <c r="Z85">
        <v>6.2947034999999998E-2</v>
      </c>
      <c r="AA85" s="217">
        <v>2.4724533999999999E-9</v>
      </c>
      <c r="AB85">
        <v>2.7403184E-3</v>
      </c>
      <c r="AC85">
        <v>1.6583890999999999</v>
      </c>
      <c r="AD85" s="217">
        <v>7.1161974999999999E-11</v>
      </c>
      <c r="AE85" s="217">
        <v>8.0348734999999997E-10</v>
      </c>
      <c r="AF85">
        <v>0.31061290000000003</v>
      </c>
      <c r="AG85">
        <v>0</v>
      </c>
      <c r="AH85">
        <v>0</v>
      </c>
      <c r="AI85">
        <v>9.3452451000000006E-2</v>
      </c>
      <c r="AJ85">
        <v>0</v>
      </c>
      <c r="AK85">
        <v>0</v>
      </c>
      <c r="AL85">
        <v>1.8693682</v>
      </c>
      <c r="AM85">
        <v>0</v>
      </c>
      <c r="AN85">
        <v>0</v>
      </c>
      <c r="AO85">
        <v>0</v>
      </c>
      <c r="AP85">
        <v>1.9206850000000001E-3</v>
      </c>
      <c r="AQ85" s="217">
        <v>5.5683515999999997E-6</v>
      </c>
      <c r="AR85">
        <v>1.0258289E-2</v>
      </c>
      <c r="AS85" s="217">
        <v>3.2329800000000001E-6</v>
      </c>
      <c r="AT85">
        <v>0</v>
      </c>
      <c r="AU85">
        <v>0</v>
      </c>
      <c r="AV85">
        <v>0</v>
      </c>
      <c r="AW85">
        <v>0</v>
      </c>
      <c r="AX85">
        <v>0</v>
      </c>
    </row>
    <row r="86" spans="1:50" x14ac:dyDescent="0.35">
      <c r="A86" t="s">
        <v>881</v>
      </c>
      <c r="B86" s="249">
        <f t="shared" si="1"/>
        <v>0.25586683858372</v>
      </c>
      <c r="C86" s="217">
        <v>1.7336792000000001E-5</v>
      </c>
      <c r="D86">
        <v>1.2132965000000001E-2</v>
      </c>
      <c r="E86">
        <v>1.9807048</v>
      </c>
      <c r="F86" s="217">
        <v>2.397935E-7</v>
      </c>
      <c r="G86">
        <v>8.5366425000000005E-4</v>
      </c>
      <c r="H86">
        <v>1.2614815E-2</v>
      </c>
      <c r="I86">
        <v>1.9177605999999999E-3</v>
      </c>
      <c r="J86">
        <v>0.80964537999999997</v>
      </c>
      <c r="K86">
        <v>6.5041527000000002E-2</v>
      </c>
      <c r="L86">
        <v>104.2059</v>
      </c>
      <c r="M86">
        <v>3.5667097000000002E-3</v>
      </c>
      <c r="N86">
        <v>2.0578028000000002</v>
      </c>
      <c r="O86">
        <v>2.0536631999999999</v>
      </c>
      <c r="P86">
        <v>2.2813093000000001E-3</v>
      </c>
      <c r="Q86">
        <v>1.8582167E-3</v>
      </c>
      <c r="R86" s="217">
        <v>2.5775694000000002E-7</v>
      </c>
      <c r="S86">
        <v>1.5475877000000001E-2</v>
      </c>
      <c r="T86">
        <v>1.4710152E-4</v>
      </c>
      <c r="U86">
        <v>1.9154159E-3</v>
      </c>
      <c r="V86">
        <v>2.7989752999999999E-2</v>
      </c>
      <c r="W86">
        <v>6.0344531999999996E-3</v>
      </c>
      <c r="X86" s="217">
        <v>1.7341787000000002E-5</v>
      </c>
      <c r="Y86">
        <v>22.452594000000001</v>
      </c>
      <c r="Z86">
        <v>1.7408414999999999</v>
      </c>
      <c r="AA86" s="217">
        <v>1.2279330000000001E-7</v>
      </c>
      <c r="AB86">
        <v>6.9519578999999998E-2</v>
      </c>
      <c r="AC86">
        <v>46.399304000000001</v>
      </c>
      <c r="AD86" s="217">
        <v>1.7862565999999999E-9</v>
      </c>
      <c r="AE86" s="217">
        <v>4.4444335999999999E-8</v>
      </c>
      <c r="AF86">
        <v>8.9835366000000008</v>
      </c>
      <c r="AG86">
        <v>0</v>
      </c>
      <c r="AH86">
        <v>0</v>
      </c>
      <c r="AI86">
        <v>1.5543501</v>
      </c>
      <c r="AJ86">
        <v>0</v>
      </c>
      <c r="AK86">
        <v>0</v>
      </c>
      <c r="AL86">
        <v>24.100242999999999</v>
      </c>
      <c r="AM86">
        <v>0</v>
      </c>
      <c r="AN86">
        <v>0</v>
      </c>
      <c r="AO86">
        <v>0</v>
      </c>
      <c r="AP86">
        <v>4.3017623999999997E-2</v>
      </c>
      <c r="AQ86" s="217">
        <v>3.2696829000000001E-5</v>
      </c>
      <c r="AR86">
        <v>0.37454896999999998</v>
      </c>
      <c r="AS86" s="217">
        <v>6.9759358E-5</v>
      </c>
      <c r="AT86">
        <v>0</v>
      </c>
      <c r="AU86">
        <v>0</v>
      </c>
      <c r="AV86">
        <v>0</v>
      </c>
      <c r="AW86">
        <v>0</v>
      </c>
      <c r="AX86">
        <v>0</v>
      </c>
    </row>
    <row r="87" spans="1:50" x14ac:dyDescent="0.35">
      <c r="A87" t="s">
        <v>882</v>
      </c>
      <c r="B87" s="249">
        <f t="shared" si="1"/>
        <v>0.32464882416423996</v>
      </c>
      <c r="C87" s="217">
        <v>4.4958439999999997E-6</v>
      </c>
      <c r="D87">
        <v>2.9199894000000001E-2</v>
      </c>
      <c r="E87">
        <v>1.8769479</v>
      </c>
      <c r="F87" s="217">
        <v>1.4120444000000001E-7</v>
      </c>
      <c r="G87">
        <v>2.9162950000000002E-3</v>
      </c>
      <c r="H87">
        <v>7.0970559000000004E-3</v>
      </c>
      <c r="I87">
        <v>9.6342200999999998E-4</v>
      </c>
      <c r="J87">
        <v>1.9711388999999999</v>
      </c>
      <c r="K87">
        <v>1.9193024E-2</v>
      </c>
      <c r="L87">
        <v>51.373983000000003</v>
      </c>
      <c r="M87">
        <v>1.9531491E-3</v>
      </c>
      <c r="N87">
        <v>1.9554053</v>
      </c>
      <c r="O87">
        <v>1.9553807999999999</v>
      </c>
      <c r="P87">
        <v>-6.5898265000000002E-4</v>
      </c>
      <c r="Q87">
        <v>6.8348564E-4</v>
      </c>
      <c r="R87" s="217">
        <v>1.5484983999999999E-7</v>
      </c>
      <c r="S87">
        <v>8.7208580999999993E-3</v>
      </c>
      <c r="T87" s="217">
        <v>7.9246917999999998E-5</v>
      </c>
      <c r="U87">
        <v>1.3779218999999999E-3</v>
      </c>
      <c r="V87">
        <v>1.7825012000000001E-2</v>
      </c>
      <c r="W87">
        <v>8.8898346000000003E-3</v>
      </c>
      <c r="X87" s="217">
        <v>4.4964281999999996E-6</v>
      </c>
      <c r="Y87">
        <v>58.117311000000001</v>
      </c>
      <c r="Z87">
        <v>1.6445268</v>
      </c>
      <c r="AA87" s="217">
        <v>9.0489375999999998E-8</v>
      </c>
      <c r="AB87">
        <v>3.9961509999999999E-2</v>
      </c>
      <c r="AC87">
        <v>23.592289000000001</v>
      </c>
      <c r="AD87" s="217">
        <v>3.3971662999999998E-9</v>
      </c>
      <c r="AE87" s="217">
        <v>1.6423868E-8</v>
      </c>
      <c r="AF87">
        <v>3.1003221999999999</v>
      </c>
      <c r="AG87">
        <v>0</v>
      </c>
      <c r="AH87">
        <v>0</v>
      </c>
      <c r="AI87">
        <v>0.81786574000000001</v>
      </c>
      <c r="AJ87">
        <v>0</v>
      </c>
      <c r="AK87">
        <v>0</v>
      </c>
      <c r="AL87">
        <v>62.479405</v>
      </c>
      <c r="AM87">
        <v>0</v>
      </c>
      <c r="AN87">
        <v>0</v>
      </c>
      <c r="AO87">
        <v>0</v>
      </c>
      <c r="AP87">
        <v>3.9552354999999997E-2</v>
      </c>
      <c r="AQ87" s="217">
        <v>1.8209009999999999E-5</v>
      </c>
      <c r="AR87">
        <v>9.3544909999999995E-2</v>
      </c>
      <c r="AS87" s="217">
        <v>4.4340162999999998E-5</v>
      </c>
      <c r="AT87">
        <v>0</v>
      </c>
      <c r="AU87">
        <v>0</v>
      </c>
      <c r="AV87">
        <v>0</v>
      </c>
      <c r="AW87">
        <v>0</v>
      </c>
      <c r="AX87">
        <v>0</v>
      </c>
    </row>
    <row r="88" spans="1:50" x14ac:dyDescent="0.35">
      <c r="A88" t="s">
        <v>883</v>
      </c>
      <c r="B88" s="249">
        <f t="shared" si="1"/>
        <v>3.7358487290503205E-4</v>
      </c>
      <c r="C88" s="217">
        <v>8.0591077000000008E-9</v>
      </c>
      <c r="D88" s="217">
        <v>2.2464746000000001E-5</v>
      </c>
      <c r="E88">
        <v>3.0680805000000001E-3</v>
      </c>
      <c r="F88" s="217">
        <v>5.3231885999999997E-10</v>
      </c>
      <c r="G88" s="217">
        <v>1.8997169000000001E-6</v>
      </c>
      <c r="H88" s="217">
        <v>1.4593604E-5</v>
      </c>
      <c r="I88" s="217">
        <v>2.9605207999999999E-6</v>
      </c>
      <c r="J88">
        <v>1.2714756E-3</v>
      </c>
      <c r="K88" s="217">
        <v>3.3337624000000003E-5</v>
      </c>
      <c r="L88">
        <v>0.12031517999999999</v>
      </c>
      <c r="M88" s="217">
        <v>4.7706967000000002E-6</v>
      </c>
      <c r="N88">
        <v>3.0993932999999999E-3</v>
      </c>
      <c r="O88">
        <v>3.0982286E-3</v>
      </c>
      <c r="P88" s="217">
        <v>-7.9820867000000004E-8</v>
      </c>
      <c r="Q88" s="217">
        <v>1.2444978999999999E-6</v>
      </c>
      <c r="R88" s="217">
        <v>6.6572872999999996E-10</v>
      </c>
      <c r="S88" s="217">
        <v>1.9513346000000001E-5</v>
      </c>
      <c r="T88" s="217">
        <v>6.3345095000000003E-8</v>
      </c>
      <c r="U88" s="217">
        <v>6.9708915999999996E-6</v>
      </c>
      <c r="V88" s="217">
        <v>7.7308212000000006E-5</v>
      </c>
      <c r="W88" s="217">
        <v>2.1641064999999999E-5</v>
      </c>
      <c r="X88" s="217">
        <v>8.0590795000000001E-9</v>
      </c>
      <c r="Y88">
        <v>4.6462233999999998E-2</v>
      </c>
      <c r="Z88">
        <v>3.5268307E-4</v>
      </c>
      <c r="AA88" s="217">
        <v>2.7779895999999998E-10</v>
      </c>
      <c r="AB88">
        <v>1.9668489E-4</v>
      </c>
      <c r="AC88">
        <v>3.6513683999999998E-2</v>
      </c>
      <c r="AD88" s="217">
        <v>1.5639324E-12</v>
      </c>
      <c r="AE88" s="217">
        <v>4.4940813E-11</v>
      </c>
      <c r="AF88">
        <v>3.7631590999999999E-2</v>
      </c>
      <c r="AG88">
        <v>0</v>
      </c>
      <c r="AH88">
        <v>0</v>
      </c>
      <c r="AI88">
        <v>7.7219924999999997E-4</v>
      </c>
      <c r="AJ88">
        <v>0</v>
      </c>
      <c r="AK88">
        <v>0</v>
      </c>
      <c r="AL88">
        <v>4.9333231999999998E-2</v>
      </c>
      <c r="AM88">
        <v>0</v>
      </c>
      <c r="AN88">
        <v>0</v>
      </c>
      <c r="AO88">
        <v>0</v>
      </c>
      <c r="AP88" s="217">
        <v>1.0132026999999999E-5</v>
      </c>
      <c r="AQ88" s="217">
        <v>3.4785361000000003E-8</v>
      </c>
      <c r="AR88">
        <v>2.4930718000000002E-3</v>
      </c>
      <c r="AS88" s="217">
        <v>3.0228113999999998E-7</v>
      </c>
      <c r="AT88">
        <v>0</v>
      </c>
      <c r="AU88">
        <v>0</v>
      </c>
      <c r="AV88">
        <v>0</v>
      </c>
      <c r="AW88">
        <v>0</v>
      </c>
      <c r="AX88">
        <v>0</v>
      </c>
    </row>
    <row r="89" spans="1:50" x14ac:dyDescent="0.35">
      <c r="A89" t="s">
        <v>884</v>
      </c>
      <c r="B89" s="249">
        <f t="shared" si="1"/>
        <v>2.5307089535114402E-2</v>
      </c>
      <c r="C89" s="217">
        <v>6.7104458999999998E-7</v>
      </c>
      <c r="D89">
        <v>1.0329891E-3</v>
      </c>
      <c r="E89">
        <v>0.26403913000000001</v>
      </c>
      <c r="F89" s="217">
        <v>1.3294485999999999E-8</v>
      </c>
      <c r="G89" s="217">
        <v>8.9349112000000001E-5</v>
      </c>
      <c r="H89">
        <v>8.3905625999999996E-4</v>
      </c>
      <c r="I89">
        <v>1.2099573E-4</v>
      </c>
      <c r="J89">
        <v>7.2340030999999999E-2</v>
      </c>
      <c r="K89">
        <v>4.4242292000000001E-3</v>
      </c>
      <c r="L89">
        <v>6.4506641</v>
      </c>
      <c r="M89">
        <v>4.5112778999999999E-4</v>
      </c>
      <c r="N89">
        <v>0.26760725000000002</v>
      </c>
      <c r="O89">
        <v>0.26697694</v>
      </c>
      <c r="P89">
        <v>5.2664045000000003E-4</v>
      </c>
      <c r="Q89">
        <v>1.0367342E-4</v>
      </c>
      <c r="R89" s="217">
        <v>1.5855329000000001E-8</v>
      </c>
      <c r="S89">
        <v>1.0488685000000001E-3</v>
      </c>
      <c r="T89" s="217">
        <v>9.1830139E-6</v>
      </c>
      <c r="U89">
        <v>2.3249261E-4</v>
      </c>
      <c r="V89">
        <v>2.6952891000000001E-3</v>
      </c>
      <c r="W89">
        <v>7.4715899999999995E-4</v>
      </c>
      <c r="X89" s="217">
        <v>6.7104843000000004E-7</v>
      </c>
      <c r="Y89">
        <v>1.915324</v>
      </c>
      <c r="Z89">
        <v>9.0017688999999998E-2</v>
      </c>
      <c r="AA89" s="217">
        <v>9.7193120999999994E-9</v>
      </c>
      <c r="AB89">
        <v>5.9413914999999996E-3</v>
      </c>
      <c r="AC89">
        <v>3.4285109999999999</v>
      </c>
      <c r="AD89" s="217">
        <v>1.4908830999999999E-10</v>
      </c>
      <c r="AE89" s="217">
        <v>3.8408563E-9</v>
      </c>
      <c r="AF89">
        <v>0.98582811999999997</v>
      </c>
      <c r="AG89">
        <v>0</v>
      </c>
      <c r="AH89">
        <v>0</v>
      </c>
      <c r="AI89">
        <v>0.13301472</v>
      </c>
      <c r="AJ89">
        <v>0</v>
      </c>
      <c r="AK89">
        <v>0</v>
      </c>
      <c r="AL89">
        <v>2.0383271000000001</v>
      </c>
      <c r="AM89">
        <v>0</v>
      </c>
      <c r="AN89">
        <v>0</v>
      </c>
      <c r="AO89">
        <v>0</v>
      </c>
      <c r="AP89">
        <v>2.3146040000000001E-3</v>
      </c>
      <c r="AQ89" s="217">
        <v>3.4404078E-6</v>
      </c>
      <c r="AR89">
        <v>3.8848858999999999E-2</v>
      </c>
      <c r="AS89" s="217">
        <v>7.3416457000000003E-6</v>
      </c>
      <c r="AT89">
        <v>0</v>
      </c>
      <c r="AU89">
        <v>0</v>
      </c>
      <c r="AV89">
        <v>0</v>
      </c>
      <c r="AW89">
        <v>0</v>
      </c>
      <c r="AX89">
        <v>0</v>
      </c>
    </row>
    <row r="90" spans="1:50" x14ac:dyDescent="0.35">
      <c r="A90" t="s">
        <v>885</v>
      </c>
      <c r="B90" s="249">
        <f t="shared" si="1"/>
        <v>5.4184808095919995E-2</v>
      </c>
      <c r="C90" s="217">
        <v>7.3199574999999998E-7</v>
      </c>
      <c r="D90">
        <v>2.2893038999999998E-3</v>
      </c>
      <c r="E90">
        <v>0.43806752999999998</v>
      </c>
      <c r="F90" s="217">
        <v>3.5214179999999998E-8</v>
      </c>
      <c r="G90">
        <v>2.0121240000000001E-4</v>
      </c>
      <c r="H90">
        <v>1.1993456000000001E-3</v>
      </c>
      <c r="I90">
        <v>1.849299E-4</v>
      </c>
      <c r="J90">
        <v>0.23539778</v>
      </c>
      <c r="K90">
        <v>3.1283464999999999E-3</v>
      </c>
      <c r="L90">
        <v>37.472430000000003</v>
      </c>
      <c r="M90">
        <v>3.8165886999999999E-4</v>
      </c>
      <c r="N90">
        <v>0.44248679000000002</v>
      </c>
      <c r="O90">
        <v>0.44276049000000001</v>
      </c>
      <c r="P90">
        <v>-4.2452187000000002E-4</v>
      </c>
      <c r="Q90">
        <v>1.5081984000000001E-4</v>
      </c>
      <c r="R90" s="217">
        <v>4.2185222000000002E-8</v>
      </c>
      <c r="S90">
        <v>1.5316224E-3</v>
      </c>
      <c r="T90" s="217">
        <v>9.2189420000000007E-6</v>
      </c>
      <c r="U90">
        <v>3.9734089000000001E-4</v>
      </c>
      <c r="V90">
        <v>4.5859550999999997E-3</v>
      </c>
      <c r="W90">
        <v>1.4028967000000001E-3</v>
      </c>
      <c r="X90" s="217">
        <v>7.3200796000000001E-7</v>
      </c>
      <c r="Y90">
        <v>4.4690960999999998</v>
      </c>
      <c r="Z90">
        <v>2.8486362000000001E-2</v>
      </c>
      <c r="AA90" s="217">
        <v>1.8780158000000001E-8</v>
      </c>
      <c r="AB90">
        <v>1.1797747000000001E-2</v>
      </c>
      <c r="AC90">
        <v>3.1950378000000001</v>
      </c>
      <c r="AD90" s="217">
        <v>4.5028733999999999E-10</v>
      </c>
      <c r="AE90" s="217">
        <v>3.3708759000000002E-9</v>
      </c>
      <c r="AF90">
        <v>1.3178099999999999</v>
      </c>
      <c r="AG90">
        <v>0</v>
      </c>
      <c r="AH90">
        <v>0</v>
      </c>
      <c r="AI90">
        <v>0.13963785000000001</v>
      </c>
      <c r="AJ90">
        <v>0</v>
      </c>
      <c r="AK90">
        <v>0</v>
      </c>
      <c r="AL90">
        <v>4.8341646999999996</v>
      </c>
      <c r="AM90">
        <v>0</v>
      </c>
      <c r="AN90">
        <v>0</v>
      </c>
      <c r="AO90">
        <v>0</v>
      </c>
      <c r="AP90">
        <v>9.4251432E-4</v>
      </c>
      <c r="AQ90" s="217">
        <v>8.9777067999999997E-6</v>
      </c>
      <c r="AR90">
        <v>6.2627301999999996E-2</v>
      </c>
      <c r="AS90" s="217">
        <v>1.5017494999999999E-5</v>
      </c>
      <c r="AT90">
        <v>0</v>
      </c>
      <c r="AU90">
        <v>0</v>
      </c>
      <c r="AV90">
        <v>0</v>
      </c>
      <c r="AW90">
        <v>0</v>
      </c>
      <c r="AX90">
        <v>0</v>
      </c>
    </row>
    <row r="91" spans="1:50" x14ac:dyDescent="0.35">
      <c r="A91" t="s">
        <v>886</v>
      </c>
      <c r="B91" s="249">
        <f t="shared" si="1"/>
        <v>0.59211186716495201</v>
      </c>
      <c r="C91" s="217">
        <v>8.6308046999999993E-6</v>
      </c>
      <c r="D91">
        <v>3.8869300000000002E-2</v>
      </c>
      <c r="E91">
        <v>2.8280208</v>
      </c>
      <c r="F91" s="217">
        <v>2.3056633999999999E-7</v>
      </c>
      <c r="G91">
        <v>6.9976776999999997E-3</v>
      </c>
      <c r="H91">
        <v>1.0511962E-2</v>
      </c>
      <c r="I91">
        <v>1.357249E-3</v>
      </c>
      <c r="J91">
        <v>4.1036688000000003</v>
      </c>
      <c r="K91">
        <v>1.5320982E-2</v>
      </c>
      <c r="L91">
        <v>62.623883999999997</v>
      </c>
      <c r="M91">
        <v>2.8797830999999999E-3</v>
      </c>
      <c r="N91">
        <v>2.9119169</v>
      </c>
      <c r="O91">
        <v>2.9161370999999998</v>
      </c>
      <c r="P91">
        <v>-5.5200021999999996E-3</v>
      </c>
      <c r="Q91">
        <v>1.2998489E-3</v>
      </c>
      <c r="R91" s="217">
        <v>2.6168118999999997E-7</v>
      </c>
      <c r="S91">
        <v>1.2657095E-2</v>
      </c>
      <c r="T91">
        <v>1.3638231E-4</v>
      </c>
      <c r="U91">
        <v>2.0662635000000002E-3</v>
      </c>
      <c r="V91">
        <v>2.4047544000000001E-2</v>
      </c>
      <c r="W91">
        <v>1.7873845999999999E-2</v>
      </c>
      <c r="X91" s="217">
        <v>8.6309903999999999E-6</v>
      </c>
      <c r="Y91">
        <v>76.992957000000004</v>
      </c>
      <c r="Z91">
        <v>0.87471734000000001</v>
      </c>
      <c r="AA91" s="217">
        <v>1.1690983E-7</v>
      </c>
      <c r="AB91">
        <v>9.5102060000000002E-2</v>
      </c>
      <c r="AC91">
        <v>39.755347999999998</v>
      </c>
      <c r="AD91" s="217">
        <v>6.1455037999999999E-9</v>
      </c>
      <c r="AE91" s="217">
        <v>2.3412202E-8</v>
      </c>
      <c r="AF91">
        <v>6.629842</v>
      </c>
      <c r="AG91">
        <v>0</v>
      </c>
      <c r="AH91">
        <v>0</v>
      </c>
      <c r="AI91">
        <v>1.3938355</v>
      </c>
      <c r="AJ91">
        <v>0</v>
      </c>
      <c r="AK91">
        <v>0</v>
      </c>
      <c r="AL91">
        <v>82.274743000000001</v>
      </c>
      <c r="AM91">
        <v>0</v>
      </c>
      <c r="AN91">
        <v>0</v>
      </c>
      <c r="AO91">
        <v>0</v>
      </c>
      <c r="AP91">
        <v>2.3031317999999999E-2</v>
      </c>
      <c r="AQ91" s="217">
        <v>2.4373438E-5</v>
      </c>
      <c r="AR91">
        <v>0.20139714</v>
      </c>
      <c r="AS91">
        <v>1.1660177E-4</v>
      </c>
      <c r="AT91">
        <v>0</v>
      </c>
      <c r="AU91">
        <v>0</v>
      </c>
      <c r="AV91">
        <v>0</v>
      </c>
      <c r="AW91">
        <v>0</v>
      </c>
      <c r="AX91">
        <v>0</v>
      </c>
    </row>
    <row r="92" spans="1:50" x14ac:dyDescent="0.35">
      <c r="A92" t="s">
        <v>887</v>
      </c>
      <c r="B92" s="249">
        <f t="shared" si="1"/>
        <v>152.94454784800001</v>
      </c>
      <c r="C92">
        <v>0.35371218999999998</v>
      </c>
      <c r="D92">
        <v>6.6043336999999998</v>
      </c>
      <c r="E92">
        <v>935.80457999999999</v>
      </c>
      <c r="F92">
        <v>1.0232712000000001E-4</v>
      </c>
      <c r="G92">
        <v>0.36844599</v>
      </c>
      <c r="H92">
        <v>4.9067360000000004</v>
      </c>
      <c r="I92">
        <v>4.5641635000000003</v>
      </c>
      <c r="J92">
        <v>357.51632000000001</v>
      </c>
      <c r="K92">
        <v>45.180055000000003</v>
      </c>
      <c r="L92">
        <v>95545.004000000001</v>
      </c>
      <c r="M92">
        <v>8.5047227000000003</v>
      </c>
      <c r="N92">
        <v>955.77364999999998</v>
      </c>
      <c r="O92">
        <v>952.41521</v>
      </c>
      <c r="P92">
        <v>1.9238568</v>
      </c>
      <c r="Q92">
        <v>1.434582</v>
      </c>
      <c r="R92" s="217">
        <v>9.8503760999999997E-5</v>
      </c>
      <c r="S92">
        <v>6.1574654999999998</v>
      </c>
      <c r="T92">
        <v>1.3369871</v>
      </c>
      <c r="U92">
        <v>1.2353357</v>
      </c>
      <c r="V92">
        <v>15.007554000000001</v>
      </c>
      <c r="W92">
        <v>3.6564708000000001</v>
      </c>
      <c r="X92">
        <v>0.35371240999999998</v>
      </c>
      <c r="Y92">
        <v>12161.04</v>
      </c>
      <c r="Z92">
        <v>209.56255999999999</v>
      </c>
      <c r="AA92" s="217">
        <v>5.0678611999999999E-5</v>
      </c>
      <c r="AB92">
        <v>50.330117999999999</v>
      </c>
      <c r="AC92">
        <v>59285.063000000002</v>
      </c>
      <c r="AD92" s="217">
        <v>7.3257190000000001E-7</v>
      </c>
      <c r="AE92" s="217">
        <v>4.8078726999999998E-5</v>
      </c>
      <c r="AF92">
        <v>4350.2992000000004</v>
      </c>
      <c r="AG92">
        <v>0</v>
      </c>
      <c r="AH92">
        <v>0</v>
      </c>
      <c r="AI92">
        <v>1126.9716000000001</v>
      </c>
      <c r="AJ92">
        <v>0</v>
      </c>
      <c r="AK92">
        <v>0</v>
      </c>
      <c r="AL92">
        <v>12942.088</v>
      </c>
      <c r="AM92">
        <v>0</v>
      </c>
      <c r="AN92">
        <v>0</v>
      </c>
      <c r="AO92">
        <v>0</v>
      </c>
      <c r="AP92">
        <v>7.6114883000000004</v>
      </c>
      <c r="AQ92">
        <v>1.8901076999999999E-2</v>
      </c>
      <c r="AR92">
        <v>83.974177999999995</v>
      </c>
      <c r="AS92">
        <v>4.0879706000000002E-2</v>
      </c>
      <c r="AT92">
        <v>0</v>
      </c>
      <c r="AU92">
        <v>0</v>
      </c>
      <c r="AV92">
        <v>0</v>
      </c>
      <c r="AW92">
        <v>0</v>
      </c>
      <c r="AX92">
        <v>0</v>
      </c>
    </row>
    <row r="93" spans="1:50" x14ac:dyDescent="0.35">
      <c r="A93" t="s">
        <v>888</v>
      </c>
      <c r="B93" s="249">
        <f t="shared" si="1"/>
        <v>14.272438395655</v>
      </c>
      <c r="C93">
        <v>3.2512060000000002E-2</v>
      </c>
      <c r="D93">
        <v>0.41429112000000001</v>
      </c>
      <c r="E93">
        <v>58.547879000000002</v>
      </c>
      <c r="F93" s="217">
        <v>4.5945485E-6</v>
      </c>
      <c r="G93">
        <v>0.10508832</v>
      </c>
      <c r="H93">
        <v>0.58155098999999999</v>
      </c>
      <c r="I93">
        <v>0.36949110000000002</v>
      </c>
      <c r="J93">
        <v>49.554071</v>
      </c>
      <c r="K93">
        <v>2.4548401000000002</v>
      </c>
      <c r="L93">
        <v>8393.4334999999992</v>
      </c>
      <c r="M93">
        <v>0.64604428999999997</v>
      </c>
      <c r="N93">
        <v>59.252760000000002</v>
      </c>
      <c r="O93">
        <v>59.672282000000003</v>
      </c>
      <c r="P93">
        <v>-0.50588672000000001</v>
      </c>
      <c r="Q93">
        <v>8.6364472999999997E-2</v>
      </c>
      <c r="R93" s="217">
        <v>4.7281235999999997E-6</v>
      </c>
      <c r="S93">
        <v>0.70115658000000003</v>
      </c>
      <c r="T93">
        <v>0.10793959</v>
      </c>
      <c r="U93">
        <v>9.8813657999999999E-2</v>
      </c>
      <c r="V93">
        <v>1.2189327999999999</v>
      </c>
      <c r="W93">
        <v>0.42248194</v>
      </c>
      <c r="X93">
        <v>3.2512390000000002E-2</v>
      </c>
      <c r="Y93">
        <v>772.70358999999996</v>
      </c>
      <c r="Z93">
        <v>18.011042</v>
      </c>
      <c r="AA93" s="217">
        <v>4.4333887999999998E-6</v>
      </c>
      <c r="AB93">
        <v>2.8318745999999999</v>
      </c>
      <c r="AC93">
        <v>6142.4784</v>
      </c>
      <c r="AD93" s="217">
        <v>7.0066166999999997E-8</v>
      </c>
      <c r="AE93" s="217">
        <v>3.9697911E-6</v>
      </c>
      <c r="AF93">
        <v>561.59064999999998</v>
      </c>
      <c r="AG93">
        <v>0</v>
      </c>
      <c r="AH93">
        <v>0</v>
      </c>
      <c r="AI93">
        <v>74.821327999999994</v>
      </c>
      <c r="AJ93">
        <v>0</v>
      </c>
      <c r="AK93">
        <v>0</v>
      </c>
      <c r="AL93">
        <v>823.28620000000001</v>
      </c>
      <c r="AM93">
        <v>0</v>
      </c>
      <c r="AN93">
        <v>0</v>
      </c>
      <c r="AO93">
        <v>0</v>
      </c>
      <c r="AP93">
        <v>0.55645330000000004</v>
      </c>
      <c r="AQ93">
        <v>1.8627509999999999E-3</v>
      </c>
      <c r="AR93">
        <v>7.9254211999999997</v>
      </c>
      <c r="AS93">
        <v>2.4612089000000002E-3</v>
      </c>
      <c r="AT93">
        <v>0</v>
      </c>
      <c r="AU93">
        <v>0</v>
      </c>
      <c r="AV93">
        <v>0</v>
      </c>
      <c r="AW93">
        <v>0</v>
      </c>
      <c r="AX93">
        <v>0</v>
      </c>
    </row>
    <row r="94" spans="1:50" x14ac:dyDescent="0.35">
      <c r="A94" t="s">
        <v>889</v>
      </c>
      <c r="B94" s="249">
        <f t="shared" si="1"/>
        <v>60.281711902929999</v>
      </c>
      <c r="C94">
        <v>0.12110362</v>
      </c>
      <c r="D94">
        <v>2.3421547999999999</v>
      </c>
      <c r="E94">
        <v>334.80892</v>
      </c>
      <c r="F94" s="217">
        <v>3.8822991E-5</v>
      </c>
      <c r="G94">
        <v>0.16067335999999999</v>
      </c>
      <c r="H94">
        <v>2.0937853999999998</v>
      </c>
      <c r="I94">
        <v>1.6413111</v>
      </c>
      <c r="J94">
        <v>168.45948000000001</v>
      </c>
      <c r="K94">
        <v>17.173290999999999</v>
      </c>
      <c r="L94">
        <v>38214.754999999997</v>
      </c>
      <c r="M94">
        <v>2.9944036000000001</v>
      </c>
      <c r="N94">
        <v>341.70799</v>
      </c>
      <c r="O94">
        <v>340.73912000000001</v>
      </c>
      <c r="P94">
        <v>0.42725431000000003</v>
      </c>
      <c r="Q94">
        <v>0.54161110999999995</v>
      </c>
      <c r="R94" s="217">
        <v>3.8133852E-5</v>
      </c>
      <c r="S94">
        <v>2.5822083999999998</v>
      </c>
      <c r="T94">
        <v>0.47777517000000003</v>
      </c>
      <c r="U94">
        <v>0.46012371000000002</v>
      </c>
      <c r="V94">
        <v>5.5544194999999998</v>
      </c>
      <c r="W94">
        <v>1.3947198999999999</v>
      </c>
      <c r="X94">
        <v>0.12110388</v>
      </c>
      <c r="Y94">
        <v>4339.8742000000002</v>
      </c>
      <c r="Z94">
        <v>84.458890999999994</v>
      </c>
      <c r="AA94" s="217">
        <v>1.8346741000000001E-5</v>
      </c>
      <c r="AB94">
        <v>17.693200999999998</v>
      </c>
      <c r="AC94">
        <v>22400.637999999999</v>
      </c>
      <c r="AD94" s="217">
        <v>3.1237158E-7</v>
      </c>
      <c r="AE94" s="217">
        <v>1.9298932999999999E-5</v>
      </c>
      <c r="AF94">
        <v>1657.8251</v>
      </c>
      <c r="AG94">
        <v>0</v>
      </c>
      <c r="AH94">
        <v>0</v>
      </c>
      <c r="AI94">
        <v>389.85892999999999</v>
      </c>
      <c r="AJ94">
        <v>0</v>
      </c>
      <c r="AK94">
        <v>0</v>
      </c>
      <c r="AL94">
        <v>4621.9982</v>
      </c>
      <c r="AM94">
        <v>0</v>
      </c>
      <c r="AN94">
        <v>0</v>
      </c>
      <c r="AO94">
        <v>0</v>
      </c>
      <c r="AP94">
        <v>2.8875825000000002</v>
      </c>
      <c r="AQ94">
        <v>1.5024361E-2</v>
      </c>
      <c r="AR94">
        <v>40.837907000000001</v>
      </c>
      <c r="AS94">
        <v>1.4872130000000001E-2</v>
      </c>
      <c r="AT94">
        <v>0</v>
      </c>
      <c r="AU94">
        <v>0</v>
      </c>
      <c r="AV94">
        <v>0</v>
      </c>
      <c r="AW94">
        <v>0</v>
      </c>
      <c r="AX94">
        <v>0</v>
      </c>
    </row>
    <row r="95" spans="1:50" x14ac:dyDescent="0.35">
      <c r="A95" t="s">
        <v>890</v>
      </c>
      <c r="B95" s="249">
        <f t="shared" si="1"/>
        <v>0.32560468220513999</v>
      </c>
      <c r="C95" s="217">
        <v>8.6150414000000006E-5</v>
      </c>
      <c r="D95">
        <v>3.7807496000000003E-2</v>
      </c>
      <c r="E95">
        <v>2.7253341999999998</v>
      </c>
      <c r="F95" s="217">
        <v>5.3985062999999996E-7</v>
      </c>
      <c r="G95">
        <v>3.4642529E-3</v>
      </c>
      <c r="H95">
        <v>1.3393481E-2</v>
      </c>
      <c r="I95">
        <v>1.7536387999999999E-3</v>
      </c>
      <c r="J95">
        <v>1.0845819999999999</v>
      </c>
      <c r="K95">
        <v>2.2548875999999999E-2</v>
      </c>
      <c r="L95">
        <v>84.720215999999994</v>
      </c>
      <c r="M95">
        <v>3.5457729999999999E-3</v>
      </c>
      <c r="N95">
        <v>2.7441220999999998</v>
      </c>
      <c r="O95">
        <v>2.7906276000000001</v>
      </c>
      <c r="P95">
        <v>-4.8456793999999997E-2</v>
      </c>
      <c r="Q95">
        <v>1.9513126E-3</v>
      </c>
      <c r="R95" s="217">
        <v>6.5865240999999999E-7</v>
      </c>
      <c r="S95">
        <v>1.6137312000000001E-2</v>
      </c>
      <c r="T95">
        <v>1.5463103000000001E-4</v>
      </c>
      <c r="U95">
        <v>2.3465333000000001E-3</v>
      </c>
      <c r="V95">
        <v>2.9082655999999998E-2</v>
      </c>
      <c r="W95">
        <v>1.2923824E-2</v>
      </c>
      <c r="X95" s="217">
        <v>8.6150597000000007E-5</v>
      </c>
      <c r="Y95">
        <v>79.205179999999999</v>
      </c>
      <c r="Z95">
        <v>1.6806741000000001</v>
      </c>
      <c r="AA95" s="217">
        <v>1.9863581E-7</v>
      </c>
      <c r="AB95">
        <v>0.24102923000000001</v>
      </c>
      <c r="AC95">
        <v>50.639336</v>
      </c>
      <c r="AD95" s="217">
        <v>1.0860516999999999E-9</v>
      </c>
      <c r="AE95" s="217">
        <v>2.9253289E-8</v>
      </c>
      <c r="AF95">
        <v>14.941083000000001</v>
      </c>
      <c r="AG95">
        <v>0</v>
      </c>
      <c r="AH95">
        <v>0</v>
      </c>
      <c r="AI95">
        <v>3.0062342000000002</v>
      </c>
      <c r="AJ95">
        <v>0</v>
      </c>
      <c r="AK95">
        <v>0</v>
      </c>
      <c r="AL95">
        <v>84.385373000000001</v>
      </c>
      <c r="AM95">
        <v>0</v>
      </c>
      <c r="AN95">
        <v>0</v>
      </c>
      <c r="AO95">
        <v>0</v>
      </c>
      <c r="AP95">
        <v>4.3675546000000003E-2</v>
      </c>
      <c r="AQ95" s="217">
        <v>3.5657024E-5</v>
      </c>
      <c r="AR95">
        <v>0.23490754999999999</v>
      </c>
      <c r="AS95">
        <v>3.2625973999999999E-4</v>
      </c>
      <c r="AT95">
        <v>0</v>
      </c>
      <c r="AU95">
        <v>0</v>
      </c>
      <c r="AV95">
        <v>0</v>
      </c>
      <c r="AW95">
        <v>0</v>
      </c>
      <c r="AX95">
        <v>0</v>
      </c>
    </row>
    <row r="96" spans="1:50" x14ac:dyDescent="0.35">
      <c r="A96" t="s">
        <v>891</v>
      </c>
      <c r="B96" s="249">
        <f t="shared" si="1"/>
        <v>0.89050464071703983</v>
      </c>
      <c r="C96" s="217">
        <v>1.6386209E-5</v>
      </c>
      <c r="D96">
        <v>3.996268E-2</v>
      </c>
      <c r="E96">
        <v>3.9273532000000002</v>
      </c>
      <c r="F96" s="217">
        <v>4.6003712000000002E-7</v>
      </c>
      <c r="G96">
        <v>4.1221599999999997E-3</v>
      </c>
      <c r="H96">
        <v>1.4715766999999999E-2</v>
      </c>
      <c r="I96">
        <v>3.3421062000000001E-3</v>
      </c>
      <c r="J96">
        <v>6.0236786999999996</v>
      </c>
      <c r="K96">
        <v>1.3223567000000001</v>
      </c>
      <c r="L96">
        <v>84.246972999999997</v>
      </c>
      <c r="M96">
        <v>5.2283985000000002E-3</v>
      </c>
      <c r="N96">
        <v>4.0395019000000003</v>
      </c>
      <c r="O96">
        <v>4.0402348999999997</v>
      </c>
      <c r="P96">
        <v>-3.3363366999999999E-3</v>
      </c>
      <c r="Q96">
        <v>2.6033356999999998E-3</v>
      </c>
      <c r="R96" s="217">
        <v>4.5444161E-7</v>
      </c>
      <c r="S96">
        <v>1.7909527000000001E-2</v>
      </c>
      <c r="T96">
        <v>2.6059698999999998E-4</v>
      </c>
      <c r="U96">
        <v>2.8824506000000001E-3</v>
      </c>
      <c r="V96">
        <v>3.5397277999999997E-2</v>
      </c>
      <c r="W96">
        <v>1.5010172E-2</v>
      </c>
      <c r="X96" s="217">
        <v>1.6386556E-5</v>
      </c>
      <c r="Y96">
        <v>78.010838000000007</v>
      </c>
      <c r="Z96">
        <v>1.8710633999999999</v>
      </c>
      <c r="AA96" s="217">
        <v>1.4975457000000001E-7</v>
      </c>
      <c r="AB96">
        <v>0.12836692999999999</v>
      </c>
      <c r="AC96">
        <v>177.68270000000001</v>
      </c>
      <c r="AD96" s="217">
        <v>9.9554838999999992E-9</v>
      </c>
      <c r="AE96" s="217">
        <v>4.6223445000000003E-8</v>
      </c>
      <c r="AF96">
        <v>9.8231721000000007</v>
      </c>
      <c r="AG96">
        <v>0</v>
      </c>
      <c r="AH96">
        <v>0</v>
      </c>
      <c r="AI96">
        <v>3.006596</v>
      </c>
      <c r="AJ96">
        <v>0</v>
      </c>
      <c r="AK96">
        <v>0</v>
      </c>
      <c r="AL96">
        <v>83.528649999999999</v>
      </c>
      <c r="AM96">
        <v>0</v>
      </c>
      <c r="AN96">
        <v>0</v>
      </c>
      <c r="AO96">
        <v>0</v>
      </c>
      <c r="AP96">
        <v>4.9460377999999999E-2</v>
      </c>
      <c r="AQ96" s="217">
        <v>4.9833500000000003E-5</v>
      </c>
      <c r="AR96">
        <v>0.32600912999999998</v>
      </c>
      <c r="AS96">
        <v>1.1419599E-4</v>
      </c>
      <c r="AT96">
        <v>0</v>
      </c>
      <c r="AU96">
        <v>0</v>
      </c>
      <c r="AV96">
        <v>0</v>
      </c>
      <c r="AW96">
        <v>0</v>
      </c>
      <c r="AX96">
        <v>0</v>
      </c>
    </row>
    <row r="97" spans="1:50" x14ac:dyDescent="0.35">
      <c r="A97" t="s">
        <v>892</v>
      </c>
      <c r="B97" s="249">
        <f t="shared" si="1"/>
        <v>0.89050464071703983</v>
      </c>
      <c r="C97" s="217">
        <v>1.6386209E-5</v>
      </c>
      <c r="D97">
        <v>3.996268E-2</v>
      </c>
      <c r="E97">
        <v>3.9273532000000002</v>
      </c>
      <c r="F97" s="217">
        <v>4.6003712000000002E-7</v>
      </c>
      <c r="G97">
        <v>4.1221599999999997E-3</v>
      </c>
      <c r="H97">
        <v>1.4715766999999999E-2</v>
      </c>
      <c r="I97">
        <v>3.3421062000000001E-3</v>
      </c>
      <c r="J97">
        <v>6.0236786999999996</v>
      </c>
      <c r="K97">
        <v>1.3223567000000001</v>
      </c>
      <c r="L97">
        <v>84.246972999999997</v>
      </c>
      <c r="M97">
        <v>5.2283985000000002E-3</v>
      </c>
      <c r="N97">
        <v>4.0395019000000003</v>
      </c>
      <c r="O97">
        <v>4.0402348999999997</v>
      </c>
      <c r="P97">
        <v>-3.3363366999999999E-3</v>
      </c>
      <c r="Q97">
        <v>2.6033356999999998E-3</v>
      </c>
      <c r="R97" s="217">
        <v>4.5444161E-7</v>
      </c>
      <c r="S97">
        <v>1.7909527000000001E-2</v>
      </c>
      <c r="T97">
        <v>2.6059698999999998E-4</v>
      </c>
      <c r="U97">
        <v>2.8824506000000001E-3</v>
      </c>
      <c r="V97">
        <v>3.5397277999999997E-2</v>
      </c>
      <c r="W97">
        <v>1.5010172E-2</v>
      </c>
      <c r="X97" s="217">
        <v>1.6386556E-5</v>
      </c>
      <c r="Y97">
        <v>78.010838000000007</v>
      </c>
      <c r="Z97">
        <v>1.8710633999999999</v>
      </c>
      <c r="AA97" s="217">
        <v>1.4975457000000001E-7</v>
      </c>
      <c r="AB97">
        <v>0.12836692999999999</v>
      </c>
      <c r="AC97">
        <v>177.68270000000001</v>
      </c>
      <c r="AD97" s="217">
        <v>9.9554838999999992E-9</v>
      </c>
      <c r="AE97" s="217">
        <v>4.6223445000000003E-8</v>
      </c>
      <c r="AF97">
        <v>9.8231721000000007</v>
      </c>
      <c r="AG97">
        <v>0</v>
      </c>
      <c r="AH97">
        <v>0</v>
      </c>
      <c r="AI97">
        <v>3.006596</v>
      </c>
      <c r="AJ97">
        <v>0</v>
      </c>
      <c r="AK97">
        <v>0</v>
      </c>
      <c r="AL97">
        <v>83.528649999999999</v>
      </c>
      <c r="AM97">
        <v>0</v>
      </c>
      <c r="AN97">
        <v>0</v>
      </c>
      <c r="AO97">
        <v>0</v>
      </c>
      <c r="AP97">
        <v>4.9460377999999999E-2</v>
      </c>
      <c r="AQ97" s="217">
        <v>4.9833500000000003E-5</v>
      </c>
      <c r="AR97">
        <v>0.32600912999999998</v>
      </c>
      <c r="AS97">
        <v>1.1419599E-4</v>
      </c>
      <c r="AT97">
        <v>0</v>
      </c>
      <c r="AU97">
        <v>0</v>
      </c>
      <c r="AV97">
        <v>0</v>
      </c>
      <c r="AW97">
        <v>0</v>
      </c>
      <c r="AX97">
        <v>0</v>
      </c>
    </row>
    <row r="98" spans="1:50" x14ac:dyDescent="0.35">
      <c r="A98" t="s">
        <v>893</v>
      </c>
      <c r="B98" s="249">
        <f t="shared" si="1"/>
        <v>0.41595641981666004</v>
      </c>
      <c r="C98" s="217">
        <v>1.9080865999999999E-5</v>
      </c>
      <c r="D98">
        <v>3.0244028999999999E-2</v>
      </c>
      <c r="E98">
        <v>2.9022556000000002</v>
      </c>
      <c r="F98" s="217">
        <v>4.2338147000000001E-7</v>
      </c>
      <c r="G98">
        <v>2.4055945999999998E-3</v>
      </c>
      <c r="H98">
        <v>1.5714556000000001E-2</v>
      </c>
      <c r="I98">
        <v>2.5025711999999999E-3</v>
      </c>
      <c r="J98">
        <v>1.7199393999999999</v>
      </c>
      <c r="K98">
        <v>7.8712872000000003E-2</v>
      </c>
      <c r="L98">
        <v>181.90028000000001</v>
      </c>
      <c r="M98">
        <v>7.5054439000000004E-3</v>
      </c>
      <c r="N98">
        <v>2.9596038</v>
      </c>
      <c r="O98">
        <v>2.9685426000000001</v>
      </c>
      <c r="P98">
        <v>-1.0598679999999999E-2</v>
      </c>
      <c r="Q98">
        <v>1.6598843E-3</v>
      </c>
      <c r="R98" s="217">
        <v>5.0884085999999999E-7</v>
      </c>
      <c r="S98">
        <v>2.0947423E-2</v>
      </c>
      <c r="T98">
        <v>1.8262939999999999E-4</v>
      </c>
      <c r="U98">
        <v>2.6938755999999999E-3</v>
      </c>
      <c r="V98">
        <v>5.3138646999999997E-2</v>
      </c>
      <c r="W98">
        <v>1.0203851999999999E-2</v>
      </c>
      <c r="X98" s="217">
        <v>1.9086306E-5</v>
      </c>
      <c r="Y98">
        <v>57.656385</v>
      </c>
      <c r="Z98">
        <v>4.9963401000000003</v>
      </c>
      <c r="AA98" s="217">
        <v>3.1658314999999998E-7</v>
      </c>
      <c r="AB98">
        <v>0.10223777000000001</v>
      </c>
      <c r="AC98">
        <v>45.617193999999998</v>
      </c>
      <c r="AD98" s="217">
        <v>5.0633013999999999E-8</v>
      </c>
      <c r="AE98" s="217">
        <v>4.0159175000000002E-8</v>
      </c>
      <c r="AF98">
        <v>12.432074</v>
      </c>
      <c r="AG98">
        <v>0</v>
      </c>
      <c r="AH98">
        <v>0</v>
      </c>
      <c r="AI98">
        <v>1.2505921</v>
      </c>
      <c r="AJ98">
        <v>0</v>
      </c>
      <c r="AK98">
        <v>0</v>
      </c>
      <c r="AL98">
        <v>62.767341000000002</v>
      </c>
      <c r="AM98">
        <v>0</v>
      </c>
      <c r="AN98">
        <v>0</v>
      </c>
      <c r="AO98">
        <v>0</v>
      </c>
      <c r="AP98">
        <v>0.11828002</v>
      </c>
      <c r="AQ98" s="217">
        <v>6.4228145999999995E-5</v>
      </c>
      <c r="AR98">
        <v>0.37625291</v>
      </c>
      <c r="AS98">
        <v>1.3517779000000001E-4</v>
      </c>
      <c r="AT98">
        <v>0</v>
      </c>
      <c r="AU98">
        <v>0</v>
      </c>
      <c r="AV98">
        <v>0</v>
      </c>
      <c r="AW98">
        <v>0</v>
      </c>
      <c r="AX98">
        <v>0</v>
      </c>
    </row>
    <row r="99" spans="1:50" x14ac:dyDescent="0.35">
      <c r="A99" t="s">
        <v>894</v>
      </c>
      <c r="B99" s="249">
        <f t="shared" si="1"/>
        <v>24.772609760256543</v>
      </c>
      <c r="C99">
        <v>4.0958385E-4</v>
      </c>
      <c r="D99">
        <v>1.3830439999999999E-2</v>
      </c>
      <c r="E99">
        <v>2.0940037</v>
      </c>
      <c r="F99" s="217">
        <v>8.8375017999999995E-8</v>
      </c>
      <c r="G99">
        <v>1.728771E-3</v>
      </c>
      <c r="H99">
        <v>1.7986096E-2</v>
      </c>
      <c r="I99">
        <v>2.1618917999999998E-3</v>
      </c>
      <c r="J99">
        <v>272.76850000000002</v>
      </c>
      <c r="K99">
        <v>1.4639083000000001E-2</v>
      </c>
      <c r="L99">
        <v>65.695519000000004</v>
      </c>
      <c r="M99">
        <v>0.24326406</v>
      </c>
      <c r="N99">
        <v>2.1561811999999998</v>
      </c>
      <c r="O99">
        <v>2.1343185999999998</v>
      </c>
      <c r="P99">
        <v>1.9885313000000002E-2</v>
      </c>
      <c r="Q99">
        <v>1.9772818999999999E-3</v>
      </c>
      <c r="R99" s="217">
        <v>9.6152705000000003E-8</v>
      </c>
      <c r="S99">
        <v>2.2487002999999998E-2</v>
      </c>
      <c r="T99">
        <v>1.2014425E-4</v>
      </c>
      <c r="U99">
        <v>4.8046764E-3</v>
      </c>
      <c r="V99">
        <v>5.7161107000000003E-2</v>
      </c>
      <c r="W99">
        <v>1.5603789E-2</v>
      </c>
      <c r="X99">
        <v>4.0958386999999998E-4</v>
      </c>
      <c r="Y99">
        <v>23.642509</v>
      </c>
      <c r="Z99">
        <v>0.59061571000000002</v>
      </c>
      <c r="AA99" s="217">
        <v>2.5774229000000003E-7</v>
      </c>
      <c r="AB99">
        <v>7.7097717999999996E-2</v>
      </c>
      <c r="AC99">
        <v>159.22137000000001</v>
      </c>
      <c r="AD99" s="217">
        <v>2.4885727000000002E-7</v>
      </c>
      <c r="AE99" s="217">
        <v>2.5053424999999999E-8</v>
      </c>
      <c r="AF99">
        <v>14.536322</v>
      </c>
      <c r="AG99">
        <v>0</v>
      </c>
      <c r="AH99">
        <v>0</v>
      </c>
      <c r="AI99">
        <v>10.063688000000001</v>
      </c>
      <c r="AJ99">
        <v>0</v>
      </c>
      <c r="AK99">
        <v>0</v>
      </c>
      <c r="AL99">
        <v>25.046938999999998</v>
      </c>
      <c r="AM99">
        <v>0</v>
      </c>
      <c r="AN99">
        <v>0</v>
      </c>
      <c r="AO99">
        <v>0</v>
      </c>
      <c r="AP99">
        <v>1.7313282999999999E-2</v>
      </c>
      <c r="AQ99" s="217">
        <v>2.4605528999999999E-5</v>
      </c>
      <c r="AR99">
        <v>3.9444249999999998</v>
      </c>
      <c r="AS99" s="217">
        <v>6.7902054999999998E-5</v>
      </c>
      <c r="AT99">
        <v>0</v>
      </c>
      <c r="AU99">
        <v>0</v>
      </c>
      <c r="AV99">
        <v>0</v>
      </c>
      <c r="AW99">
        <v>0</v>
      </c>
      <c r="AX99">
        <v>0</v>
      </c>
    </row>
    <row r="100" spans="1:50" x14ac:dyDescent="0.35">
      <c r="A100" t="s">
        <v>895</v>
      </c>
      <c r="B100" s="249">
        <f t="shared" si="1"/>
        <v>1.2259252209917799</v>
      </c>
      <c r="C100" s="217">
        <v>4.3024678000000001E-5</v>
      </c>
      <c r="D100">
        <v>5.9753924E-2</v>
      </c>
      <c r="E100">
        <v>9.0529779999999995</v>
      </c>
      <c r="F100" s="217">
        <v>4.3895210999999997E-7</v>
      </c>
      <c r="G100">
        <v>3.2460013000000002E-3</v>
      </c>
      <c r="H100">
        <v>4.9512638999999997E-2</v>
      </c>
      <c r="I100">
        <v>4.8334381000000003E-3</v>
      </c>
      <c r="J100">
        <v>4.8749491000000003</v>
      </c>
      <c r="K100">
        <v>0.17325893000000001</v>
      </c>
      <c r="L100">
        <v>703.98338999999999</v>
      </c>
      <c r="M100">
        <v>2.1843554000000001E-2</v>
      </c>
      <c r="N100">
        <v>9.2835988999999994</v>
      </c>
      <c r="O100">
        <v>9.2112204999999996</v>
      </c>
      <c r="P100">
        <v>6.6507804000000004E-2</v>
      </c>
      <c r="Q100">
        <v>5.8705566000000001E-3</v>
      </c>
      <c r="R100" s="217">
        <v>4.9426505000000003E-7</v>
      </c>
      <c r="S100">
        <v>5.8916942999999999E-2</v>
      </c>
      <c r="T100">
        <v>5.2586554000000005E-4</v>
      </c>
      <c r="U100">
        <v>8.3203796999999999E-3</v>
      </c>
      <c r="V100">
        <v>9.8075209999999996E-2</v>
      </c>
      <c r="W100">
        <v>2.6899335E-2</v>
      </c>
      <c r="X100" s="217">
        <v>4.3025214999999997E-5</v>
      </c>
      <c r="Y100">
        <v>101.63449</v>
      </c>
      <c r="Z100">
        <v>1.0007330000000001</v>
      </c>
      <c r="AA100" s="217">
        <v>7.3713652000000002E-7</v>
      </c>
      <c r="AB100">
        <v>0.23853917999999999</v>
      </c>
      <c r="AC100">
        <v>267.89778999999999</v>
      </c>
      <c r="AD100" s="217">
        <v>5.0160106000000001E-9</v>
      </c>
      <c r="AE100" s="217">
        <v>2.8004086999999999E-7</v>
      </c>
      <c r="AF100">
        <v>55.435747999999997</v>
      </c>
      <c r="AG100">
        <v>0</v>
      </c>
      <c r="AH100">
        <v>0</v>
      </c>
      <c r="AI100">
        <v>29.573526000000001</v>
      </c>
      <c r="AJ100">
        <v>0</v>
      </c>
      <c r="AK100">
        <v>0</v>
      </c>
      <c r="AL100">
        <v>108.57317</v>
      </c>
      <c r="AM100">
        <v>0</v>
      </c>
      <c r="AN100">
        <v>0</v>
      </c>
      <c r="AO100">
        <v>0</v>
      </c>
      <c r="AP100">
        <v>3.3528369000000002E-2</v>
      </c>
      <c r="AQ100">
        <v>1.074361E-4</v>
      </c>
      <c r="AR100">
        <v>13.213825</v>
      </c>
      <c r="AS100">
        <v>2.2572173999999999E-4</v>
      </c>
      <c r="AT100">
        <v>0</v>
      </c>
      <c r="AU100">
        <v>0</v>
      </c>
      <c r="AV100">
        <v>0</v>
      </c>
      <c r="AW100">
        <v>0</v>
      </c>
      <c r="AX100">
        <v>0</v>
      </c>
    </row>
    <row r="101" spans="1:50" x14ac:dyDescent="0.35">
      <c r="A101" t="s">
        <v>896</v>
      </c>
      <c r="B101" s="249">
        <f t="shared" si="1"/>
        <v>1.06718517946414</v>
      </c>
      <c r="C101" s="217">
        <v>1.1569329000000001E-5</v>
      </c>
      <c r="D101">
        <v>8.2323694000000003E-2</v>
      </c>
      <c r="E101">
        <v>10.577628000000001</v>
      </c>
      <c r="F101" s="217">
        <v>6.1642204999999998E-7</v>
      </c>
      <c r="G101">
        <v>3.5313007E-3</v>
      </c>
      <c r="H101">
        <v>4.8093536999999999E-2</v>
      </c>
      <c r="I101">
        <v>6.1689450999999999E-3</v>
      </c>
      <c r="J101">
        <v>2.5755119999999998</v>
      </c>
      <c r="K101">
        <v>8.1714427000000006E-2</v>
      </c>
      <c r="L101">
        <v>347.48842000000002</v>
      </c>
      <c r="M101">
        <v>1.9300576E-2</v>
      </c>
      <c r="N101">
        <v>10.823898</v>
      </c>
      <c r="O101">
        <v>10.761488999999999</v>
      </c>
      <c r="P101">
        <v>4.5698189E-2</v>
      </c>
      <c r="Q101">
        <v>1.6710237999999999E-2</v>
      </c>
      <c r="R101" s="217">
        <v>5.9321799000000003E-7</v>
      </c>
      <c r="S101">
        <v>5.9050119999999998E-2</v>
      </c>
      <c r="T101">
        <v>7.3644407999999995E-4</v>
      </c>
      <c r="U101">
        <v>8.9130478000000006E-3</v>
      </c>
      <c r="V101">
        <v>0.11849314</v>
      </c>
      <c r="W101">
        <v>2.8368108E-2</v>
      </c>
      <c r="X101" s="217">
        <v>1.1569609E-5</v>
      </c>
      <c r="Y101">
        <v>162.00002000000001</v>
      </c>
      <c r="Z101">
        <v>2.9366384000000001</v>
      </c>
      <c r="AA101" s="217">
        <v>3.9702653000000001E-7</v>
      </c>
      <c r="AB101">
        <v>0.74005641</v>
      </c>
      <c r="AC101">
        <v>178.43445</v>
      </c>
      <c r="AD101" s="217">
        <v>2.8414827E-9</v>
      </c>
      <c r="AE101" s="217">
        <v>1.0146194000000001E-7</v>
      </c>
      <c r="AF101">
        <v>25.001394999999999</v>
      </c>
      <c r="AG101">
        <v>0</v>
      </c>
      <c r="AH101">
        <v>0</v>
      </c>
      <c r="AI101">
        <v>15.451131</v>
      </c>
      <c r="AJ101">
        <v>0</v>
      </c>
      <c r="AK101">
        <v>0</v>
      </c>
      <c r="AL101">
        <v>172.04420999999999</v>
      </c>
      <c r="AM101">
        <v>0</v>
      </c>
      <c r="AN101">
        <v>0</v>
      </c>
      <c r="AO101">
        <v>0</v>
      </c>
      <c r="AP101">
        <v>0.10397116000000001</v>
      </c>
      <c r="AQ101">
        <v>2.0094279E-4</v>
      </c>
      <c r="AR101">
        <v>0.85142083999999996</v>
      </c>
      <c r="AS101">
        <v>5.8927413000000001E-4</v>
      </c>
      <c r="AT101">
        <v>0</v>
      </c>
      <c r="AU101">
        <v>0</v>
      </c>
      <c r="AV101">
        <v>0</v>
      </c>
      <c r="AW101">
        <v>0</v>
      </c>
      <c r="AX101">
        <v>0</v>
      </c>
    </row>
    <row r="102" spans="1:50" x14ac:dyDescent="0.35">
      <c r="A102" t="s">
        <v>897</v>
      </c>
      <c r="B102" s="249">
        <f t="shared" si="1"/>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row>
    <row r="103" spans="1:50" x14ac:dyDescent="0.35">
      <c r="A103" t="s">
        <v>898</v>
      </c>
      <c r="B103" s="249">
        <f t="shared" si="1"/>
        <v>0.88197704673889998</v>
      </c>
      <c r="C103" s="217">
        <v>1.1678845E-5</v>
      </c>
      <c r="D103">
        <v>3.6945861000000003E-2</v>
      </c>
      <c r="E103">
        <v>3.4358141</v>
      </c>
      <c r="F103" s="217">
        <v>4.5740938999999998E-7</v>
      </c>
      <c r="G103">
        <v>7.3595183000000003E-3</v>
      </c>
      <c r="H103">
        <v>2.1041706E-2</v>
      </c>
      <c r="I103">
        <v>2.9094555000000002E-3</v>
      </c>
      <c r="J103">
        <v>6.1890453000000001</v>
      </c>
      <c r="K103">
        <v>0.13812566000000001</v>
      </c>
      <c r="L103">
        <v>177.35051000000001</v>
      </c>
      <c r="M103">
        <v>4.9259196999999998E-3</v>
      </c>
      <c r="N103">
        <v>3.5408537999999998</v>
      </c>
      <c r="O103">
        <v>3.5403690000000001</v>
      </c>
      <c r="P103">
        <v>-1.6435951999999999E-3</v>
      </c>
      <c r="Q103">
        <v>2.1283726000000001E-3</v>
      </c>
      <c r="R103" s="217">
        <v>4.7846167000000003E-7</v>
      </c>
      <c r="S103">
        <v>2.4674050999999999E-2</v>
      </c>
      <c r="T103">
        <v>2.0178371000000001E-4</v>
      </c>
      <c r="U103">
        <v>2.9128572000000001E-3</v>
      </c>
      <c r="V103">
        <v>3.3567201999999997E-2</v>
      </c>
      <c r="W103">
        <v>2.0123021000000001E-2</v>
      </c>
      <c r="X103" s="217">
        <v>1.1678584E-5</v>
      </c>
      <c r="Y103">
        <v>71.558357000000001</v>
      </c>
      <c r="Z103">
        <v>2.0560830000000001</v>
      </c>
      <c r="AA103" s="217">
        <v>1.6721807E-7</v>
      </c>
      <c r="AB103">
        <v>0.12424799</v>
      </c>
      <c r="AC103">
        <v>108.53964999999999</v>
      </c>
      <c r="AD103" s="217">
        <v>7.9032212000000007E-9</v>
      </c>
      <c r="AE103" s="217">
        <v>9.7725101000000006E-8</v>
      </c>
      <c r="AF103">
        <v>11.245138000000001</v>
      </c>
      <c r="AG103">
        <v>0</v>
      </c>
      <c r="AH103">
        <v>0</v>
      </c>
      <c r="AI103">
        <v>2.631259</v>
      </c>
      <c r="AJ103">
        <v>0</v>
      </c>
      <c r="AK103">
        <v>0</v>
      </c>
      <c r="AL103">
        <v>76.593776000000005</v>
      </c>
      <c r="AM103">
        <v>0</v>
      </c>
      <c r="AN103">
        <v>0</v>
      </c>
      <c r="AO103">
        <v>0</v>
      </c>
      <c r="AP103">
        <v>5.240674E-2</v>
      </c>
      <c r="AQ103" s="217">
        <v>7.9338946000000006E-5</v>
      </c>
      <c r="AR103">
        <v>0.73056863000000005</v>
      </c>
      <c r="AS103">
        <v>1.3184433999999999E-4</v>
      </c>
      <c r="AT103">
        <v>0</v>
      </c>
      <c r="AU103">
        <v>0</v>
      </c>
      <c r="AV103">
        <v>0</v>
      </c>
      <c r="AW103">
        <v>0</v>
      </c>
      <c r="AX103">
        <v>0</v>
      </c>
    </row>
    <row r="104" spans="1:50" x14ac:dyDescent="0.35">
      <c r="A104" t="s">
        <v>899</v>
      </c>
      <c r="B104" s="249">
        <f t="shared" si="1"/>
        <v>0.25299053618833195</v>
      </c>
      <c r="C104" s="217">
        <v>1.3536402E-6</v>
      </c>
      <c r="D104">
        <v>1.3021435E-2</v>
      </c>
      <c r="E104">
        <v>1.7700359000000001</v>
      </c>
      <c r="F104" s="217">
        <v>1.0863453E-7</v>
      </c>
      <c r="G104">
        <v>2.4543961999999998E-3</v>
      </c>
      <c r="H104">
        <v>7.6941196000000003E-3</v>
      </c>
      <c r="I104">
        <v>9.6287244000000001E-4</v>
      </c>
      <c r="J104">
        <v>1.2040626999999999</v>
      </c>
      <c r="K104">
        <v>2.1951405E-2</v>
      </c>
      <c r="L104">
        <v>50.223641000000001</v>
      </c>
      <c r="M104">
        <v>6.6736065999999997E-2</v>
      </c>
      <c r="N104">
        <v>1.8443778</v>
      </c>
      <c r="O104">
        <v>1.8520273</v>
      </c>
      <c r="P104">
        <v>-8.5774877000000006E-3</v>
      </c>
      <c r="Q104">
        <v>9.2795096000000004E-4</v>
      </c>
      <c r="R104" s="217">
        <v>1.0820606E-7</v>
      </c>
      <c r="S104">
        <v>9.4363942999999995E-3</v>
      </c>
      <c r="T104" s="217">
        <v>9.0346405999999996E-5</v>
      </c>
      <c r="U104">
        <v>1.7611421999999999E-3</v>
      </c>
      <c r="V104">
        <v>2.0829738E-2</v>
      </c>
      <c r="W104">
        <v>9.0400254000000003E-3</v>
      </c>
      <c r="X104" s="217">
        <v>1.3536496E-6</v>
      </c>
      <c r="Y104">
        <v>20.916097000000001</v>
      </c>
      <c r="Z104">
        <v>0.31013379000000002</v>
      </c>
      <c r="AA104" s="217">
        <v>1.7440930000000001E-7</v>
      </c>
      <c r="AB104">
        <v>4.2831411999999999E-2</v>
      </c>
      <c r="AC104">
        <v>50.838996999999999</v>
      </c>
      <c r="AD104" s="217">
        <v>1.589124E-8</v>
      </c>
      <c r="AE104" s="217">
        <v>3.5092027999999998E-7</v>
      </c>
      <c r="AF104">
        <v>5.0441681000000003</v>
      </c>
      <c r="AG104">
        <v>0</v>
      </c>
      <c r="AH104">
        <v>0</v>
      </c>
      <c r="AI104">
        <v>0.81929269000000005</v>
      </c>
      <c r="AJ104">
        <v>0</v>
      </c>
      <c r="AK104">
        <v>0</v>
      </c>
      <c r="AL104">
        <v>22.156879</v>
      </c>
      <c r="AM104">
        <v>0</v>
      </c>
      <c r="AN104">
        <v>0</v>
      </c>
      <c r="AO104">
        <v>0</v>
      </c>
      <c r="AP104">
        <v>8.8164091999999999E-3</v>
      </c>
      <c r="AQ104">
        <v>1.3895640999999999E-4</v>
      </c>
      <c r="AR104">
        <v>0.25116495999999999</v>
      </c>
      <c r="AS104" s="217">
        <v>4.4297856000000001E-5</v>
      </c>
      <c r="AT104">
        <v>0</v>
      </c>
      <c r="AU104">
        <v>0</v>
      </c>
      <c r="AV104">
        <v>0</v>
      </c>
      <c r="AW104">
        <v>0</v>
      </c>
      <c r="AX104">
        <v>0</v>
      </c>
    </row>
    <row r="105" spans="1:50" x14ac:dyDescent="0.35">
      <c r="A105" t="s">
        <v>900</v>
      </c>
      <c r="B105" s="249">
        <f t="shared" si="1"/>
        <v>1.0497220991133479E-2</v>
      </c>
      <c r="C105" s="217">
        <v>8.4251703E-8</v>
      </c>
      <c r="D105">
        <v>7.3482968999999995E-4</v>
      </c>
      <c r="E105">
        <v>0.10038735</v>
      </c>
      <c r="F105" s="217">
        <v>9.5035487000000003E-9</v>
      </c>
      <c r="G105" s="217">
        <v>4.5644552999999998E-5</v>
      </c>
      <c r="H105">
        <v>5.2704173999999998E-4</v>
      </c>
      <c r="I105" s="217">
        <v>6.3381420999999993E-5</v>
      </c>
      <c r="J105">
        <v>2.5415861000000001E-2</v>
      </c>
      <c r="K105">
        <v>6.2196601999999998E-4</v>
      </c>
      <c r="L105">
        <v>2.772465</v>
      </c>
      <c r="M105">
        <v>1.1267214E-4</v>
      </c>
      <c r="N105">
        <v>0.10271623000000001</v>
      </c>
      <c r="O105">
        <v>0.10211023</v>
      </c>
      <c r="P105">
        <v>5.5279278999999996E-4</v>
      </c>
      <c r="Q105" s="217">
        <v>5.3199491E-5</v>
      </c>
      <c r="R105" s="217">
        <v>1.1235674000000001E-8</v>
      </c>
      <c r="S105">
        <v>6.5601717999999999E-4</v>
      </c>
      <c r="T105" s="217">
        <v>3.0160968000000001E-6</v>
      </c>
      <c r="U105">
        <v>1.3730685000000001E-4</v>
      </c>
      <c r="V105">
        <v>1.6246178999999999E-3</v>
      </c>
      <c r="W105">
        <v>4.3566200000000002E-4</v>
      </c>
      <c r="X105" s="217">
        <v>8.4253251999999994E-8</v>
      </c>
      <c r="Y105">
        <v>1.3576823</v>
      </c>
      <c r="Z105">
        <v>9.2064456999999995E-3</v>
      </c>
      <c r="AA105" s="217">
        <v>6.5434638E-9</v>
      </c>
      <c r="AB105">
        <v>3.3295817000000001E-3</v>
      </c>
      <c r="AC105">
        <v>4.0547871000000004</v>
      </c>
      <c r="AD105" s="217">
        <v>3.3293027999999999E-11</v>
      </c>
      <c r="AE105" s="217">
        <v>8.2315472999999997E-10</v>
      </c>
      <c r="AF105">
        <v>0.35115331</v>
      </c>
      <c r="AG105">
        <v>0</v>
      </c>
      <c r="AH105">
        <v>0</v>
      </c>
      <c r="AI105">
        <v>5.4393194999999998E-2</v>
      </c>
      <c r="AJ105">
        <v>0</v>
      </c>
      <c r="AK105">
        <v>0</v>
      </c>
      <c r="AL105">
        <v>1.4632255000000001</v>
      </c>
      <c r="AM105">
        <v>0</v>
      </c>
      <c r="AN105">
        <v>0</v>
      </c>
      <c r="AO105">
        <v>0</v>
      </c>
      <c r="AP105">
        <v>2.9419393000000002E-4</v>
      </c>
      <c r="AQ105" s="217">
        <v>2.7444209999999999E-6</v>
      </c>
      <c r="AR105">
        <v>1.6561330999999999E-2</v>
      </c>
      <c r="AS105" s="217">
        <v>4.0267838999999998E-6</v>
      </c>
      <c r="AT105">
        <v>0</v>
      </c>
      <c r="AU105">
        <v>0</v>
      </c>
      <c r="AV105">
        <v>0</v>
      </c>
      <c r="AW105">
        <v>0</v>
      </c>
      <c r="AX105">
        <v>0</v>
      </c>
    </row>
    <row r="106" spans="1:50" x14ac:dyDescent="0.35">
      <c r="A106" t="s">
        <v>901</v>
      </c>
      <c r="B106" s="249">
        <f t="shared" si="1"/>
        <v>4.344097646223239E-2</v>
      </c>
      <c r="C106" s="217">
        <v>3.0938063999999997E-7</v>
      </c>
      <c r="D106">
        <v>2.6190830999999999E-3</v>
      </c>
      <c r="E106">
        <v>0.39683682999999997</v>
      </c>
      <c r="F106" s="217">
        <v>2.1985551000000002E-8</v>
      </c>
      <c r="G106">
        <v>1.5729127999999999E-4</v>
      </c>
      <c r="H106">
        <v>2.3759927999999998E-3</v>
      </c>
      <c r="I106">
        <v>2.4514502999999999E-4</v>
      </c>
      <c r="J106">
        <v>0.11062828</v>
      </c>
      <c r="K106">
        <v>2.4381945E-3</v>
      </c>
      <c r="L106">
        <v>10.803981</v>
      </c>
      <c r="M106">
        <v>7.4040722999999995E-4</v>
      </c>
      <c r="N106">
        <v>0.37862853000000002</v>
      </c>
      <c r="O106">
        <v>0.40351604000000002</v>
      </c>
      <c r="P106">
        <v>-2.5266679E-2</v>
      </c>
      <c r="Q106">
        <v>3.7917646000000001E-4</v>
      </c>
      <c r="R106" s="217">
        <v>2.5095321E-8</v>
      </c>
      <c r="S106">
        <v>2.8562524999999998E-3</v>
      </c>
      <c r="T106" s="217">
        <v>1.7542021E-5</v>
      </c>
      <c r="U106">
        <v>4.6107252000000002E-4</v>
      </c>
      <c r="V106">
        <v>5.2268198999999996E-3</v>
      </c>
      <c r="W106">
        <v>1.3921159000000001E-3</v>
      </c>
      <c r="X106" s="217">
        <v>3.0375184000000001E-7</v>
      </c>
      <c r="Y106">
        <v>4.5405106000000002</v>
      </c>
      <c r="Z106">
        <v>6.6209423000000003E-2</v>
      </c>
      <c r="AA106" s="217">
        <v>3.2703833000000003E-8</v>
      </c>
      <c r="AB106">
        <v>1.2377601E-2</v>
      </c>
      <c r="AC106">
        <v>12.210827999999999</v>
      </c>
      <c r="AD106" s="217">
        <v>1.3173209E-10</v>
      </c>
      <c r="AE106" s="217">
        <v>3.9541689000000003E-9</v>
      </c>
      <c r="AF106">
        <v>4.4242512999999999</v>
      </c>
      <c r="AG106">
        <v>0</v>
      </c>
      <c r="AH106">
        <v>0</v>
      </c>
      <c r="AI106">
        <v>0.98630437000000004</v>
      </c>
      <c r="AJ106">
        <v>0</v>
      </c>
      <c r="AK106">
        <v>0</v>
      </c>
      <c r="AL106">
        <v>4.8353389</v>
      </c>
      <c r="AM106">
        <v>0</v>
      </c>
      <c r="AN106">
        <v>0</v>
      </c>
      <c r="AO106">
        <v>0</v>
      </c>
      <c r="AP106">
        <v>2.0782744999999999E-3</v>
      </c>
      <c r="AQ106" s="217">
        <v>1.6657127000000001E-5</v>
      </c>
      <c r="AR106">
        <v>3.7200046000000001E-2</v>
      </c>
      <c r="AS106" s="217">
        <v>1.2653626E-5</v>
      </c>
      <c r="AT106">
        <v>0</v>
      </c>
      <c r="AU106">
        <v>0</v>
      </c>
      <c r="AV106">
        <v>0</v>
      </c>
      <c r="AW106">
        <v>0</v>
      </c>
      <c r="AX106">
        <v>0</v>
      </c>
    </row>
    <row r="107" spans="1:50" x14ac:dyDescent="0.35">
      <c r="A107" t="s">
        <v>902</v>
      </c>
      <c r="B107" s="249">
        <f t="shared" si="1"/>
        <v>0.15569356053655603</v>
      </c>
      <c r="C107" s="217">
        <v>5.8287316000000001E-6</v>
      </c>
      <c r="D107">
        <v>7.1255774999999999E-3</v>
      </c>
      <c r="E107">
        <v>1.1949483000000001</v>
      </c>
      <c r="F107" s="217">
        <v>1.0984875E-7</v>
      </c>
      <c r="G107">
        <v>5.4761977000000002E-4</v>
      </c>
      <c r="H107">
        <v>1.0115633000000001E-2</v>
      </c>
      <c r="I107">
        <v>9.3078775000000002E-4</v>
      </c>
      <c r="J107">
        <v>0.44351449999999998</v>
      </c>
      <c r="K107">
        <v>9.4474333000000004E-3</v>
      </c>
      <c r="L107">
        <v>45.984017000000001</v>
      </c>
      <c r="M107">
        <v>1.1472348000000001E-3</v>
      </c>
      <c r="N107">
        <v>1.2050893</v>
      </c>
      <c r="O107">
        <v>1.1998789999999999</v>
      </c>
      <c r="P107">
        <v>4.7673929000000004E-3</v>
      </c>
      <c r="Q107">
        <v>4.4296351999999998E-4</v>
      </c>
      <c r="R107" s="217">
        <v>1.3353799E-7</v>
      </c>
      <c r="S107">
        <v>1.2278424E-2</v>
      </c>
      <c r="T107" s="217">
        <v>4.8489575999999998E-5</v>
      </c>
      <c r="U107">
        <v>1.9269904999999999E-3</v>
      </c>
      <c r="V107">
        <v>2.3787374E-2</v>
      </c>
      <c r="W107">
        <v>5.8515627000000001E-3</v>
      </c>
      <c r="X107" s="217">
        <v>5.8301472000000004E-6</v>
      </c>
      <c r="Y107">
        <v>13.731757999999999</v>
      </c>
      <c r="Z107">
        <v>0.29399041999999997</v>
      </c>
      <c r="AA107" s="217">
        <v>1.1953885000000001E-7</v>
      </c>
      <c r="AB107">
        <v>3.770892E-2</v>
      </c>
      <c r="AC107">
        <v>25.898652999999999</v>
      </c>
      <c r="AD107" s="217">
        <v>3.5066628000000001E-10</v>
      </c>
      <c r="AE107" s="217">
        <v>9.5889730000000004E-9</v>
      </c>
      <c r="AF107">
        <v>5.0177851000000002</v>
      </c>
      <c r="AG107">
        <v>0</v>
      </c>
      <c r="AH107">
        <v>0</v>
      </c>
      <c r="AI107">
        <v>0.65353285000000005</v>
      </c>
      <c r="AJ107">
        <v>0</v>
      </c>
      <c r="AK107">
        <v>0</v>
      </c>
      <c r="AL107">
        <v>14.799435000000001</v>
      </c>
      <c r="AM107">
        <v>0</v>
      </c>
      <c r="AN107">
        <v>0</v>
      </c>
      <c r="AO107">
        <v>0</v>
      </c>
      <c r="AP107">
        <v>7.6948054E-3</v>
      </c>
      <c r="AQ107" s="217">
        <v>1.8694309999999999E-5</v>
      </c>
      <c r="AR107">
        <v>0.14148353</v>
      </c>
      <c r="AS107" s="217">
        <v>5.0187067999999998E-5</v>
      </c>
      <c r="AT107">
        <v>0</v>
      </c>
      <c r="AU107">
        <v>0</v>
      </c>
      <c r="AV107">
        <v>0</v>
      </c>
      <c r="AW107">
        <v>0</v>
      </c>
      <c r="AX107">
        <v>0</v>
      </c>
    </row>
    <row r="108" spans="1:50" x14ac:dyDescent="0.35">
      <c r="A108" t="s">
        <v>903</v>
      </c>
      <c r="B108" s="249">
        <f t="shared" si="1"/>
        <v>0.39113717979143997</v>
      </c>
      <c r="C108" s="217">
        <v>1.3382409E-5</v>
      </c>
      <c r="D108">
        <v>1.7992721E-2</v>
      </c>
      <c r="E108">
        <v>2.5166350999999998</v>
      </c>
      <c r="F108" s="217">
        <v>1.7336140000000001E-7</v>
      </c>
      <c r="G108">
        <v>1.0963381999999999E-3</v>
      </c>
      <c r="H108">
        <v>1.5957837999999998E-2</v>
      </c>
      <c r="I108">
        <v>1.8538732999999999E-3</v>
      </c>
      <c r="J108">
        <v>1.8747478</v>
      </c>
      <c r="K108">
        <v>2.3433011E-2</v>
      </c>
      <c r="L108">
        <v>100.47148</v>
      </c>
      <c r="M108">
        <v>3.8819828999999998E-3</v>
      </c>
      <c r="N108">
        <v>2.5748872</v>
      </c>
      <c r="O108">
        <v>2.5692770999999999</v>
      </c>
      <c r="P108">
        <v>3.2768129999999999E-3</v>
      </c>
      <c r="Q108">
        <v>2.3332852000000001E-3</v>
      </c>
      <c r="R108" s="217">
        <v>1.8629189999999999E-7</v>
      </c>
      <c r="S108">
        <v>1.9576434E-2</v>
      </c>
      <c r="T108">
        <v>1.2559374000000001E-4</v>
      </c>
      <c r="U108">
        <v>3.7497901999999999E-3</v>
      </c>
      <c r="V108">
        <v>4.3586302E-2</v>
      </c>
      <c r="W108">
        <v>1.1475509E-2</v>
      </c>
      <c r="X108" s="217">
        <v>1.3383645999999999E-5</v>
      </c>
      <c r="Y108">
        <v>34.620547000000002</v>
      </c>
      <c r="Z108">
        <v>0.67664937000000003</v>
      </c>
      <c r="AA108" s="217">
        <v>1.4357211000000001E-7</v>
      </c>
      <c r="AB108">
        <v>0.10300101</v>
      </c>
      <c r="AC108">
        <v>35.372661999999998</v>
      </c>
      <c r="AD108" s="217">
        <v>2.2055333000000002E-9</v>
      </c>
      <c r="AE108" s="217">
        <v>1.3091778999999999E-7</v>
      </c>
      <c r="AF108">
        <v>5.9640307999999997</v>
      </c>
      <c r="AG108">
        <v>0</v>
      </c>
      <c r="AH108">
        <v>0</v>
      </c>
      <c r="AI108">
        <v>2.1150026</v>
      </c>
      <c r="AJ108">
        <v>0</v>
      </c>
      <c r="AK108">
        <v>0</v>
      </c>
      <c r="AL108">
        <v>37.302827000000001</v>
      </c>
      <c r="AM108">
        <v>0</v>
      </c>
      <c r="AN108">
        <v>0</v>
      </c>
      <c r="AO108">
        <v>0</v>
      </c>
      <c r="AP108">
        <v>2.0282818000000001E-2</v>
      </c>
      <c r="AQ108" s="217">
        <v>5.3559734000000001E-5</v>
      </c>
      <c r="AR108">
        <v>0.32678393999999999</v>
      </c>
      <c r="AS108" s="217">
        <v>8.9780328000000002E-5</v>
      </c>
      <c r="AT108">
        <v>0</v>
      </c>
      <c r="AU108">
        <v>0</v>
      </c>
      <c r="AV108">
        <v>0</v>
      </c>
      <c r="AW108">
        <v>0</v>
      </c>
      <c r="AX108">
        <v>0</v>
      </c>
    </row>
    <row r="109" spans="1:50" x14ac:dyDescent="0.35">
      <c r="A109" t="s">
        <v>904</v>
      </c>
      <c r="B109" s="249">
        <f t="shared" si="1"/>
        <v>0.39113717979143997</v>
      </c>
      <c r="C109" s="217">
        <v>1.3382409E-5</v>
      </c>
      <c r="D109">
        <v>1.7992721E-2</v>
      </c>
      <c r="E109">
        <v>2.5166350999999998</v>
      </c>
      <c r="F109" s="217">
        <v>1.7336140000000001E-7</v>
      </c>
      <c r="G109">
        <v>1.0963381999999999E-3</v>
      </c>
      <c r="H109">
        <v>1.5957837999999998E-2</v>
      </c>
      <c r="I109">
        <v>1.8538732999999999E-3</v>
      </c>
      <c r="J109">
        <v>1.8747478</v>
      </c>
      <c r="K109">
        <v>2.3433011E-2</v>
      </c>
      <c r="L109">
        <v>100.47148</v>
      </c>
      <c r="M109">
        <v>3.8819828999999998E-3</v>
      </c>
      <c r="N109">
        <v>2.5748872</v>
      </c>
      <c r="O109">
        <v>2.5692770999999999</v>
      </c>
      <c r="P109">
        <v>3.2768129999999999E-3</v>
      </c>
      <c r="Q109">
        <v>2.3332852000000001E-3</v>
      </c>
      <c r="R109" s="217">
        <v>1.8629189999999999E-7</v>
      </c>
      <c r="S109">
        <v>1.9576434E-2</v>
      </c>
      <c r="T109">
        <v>1.2559374000000001E-4</v>
      </c>
      <c r="U109">
        <v>3.7497901999999999E-3</v>
      </c>
      <c r="V109">
        <v>4.3586302E-2</v>
      </c>
      <c r="W109">
        <v>1.1475509E-2</v>
      </c>
      <c r="X109" s="217">
        <v>1.3383645999999999E-5</v>
      </c>
      <c r="Y109">
        <v>34.620547000000002</v>
      </c>
      <c r="Z109">
        <v>0.67664937000000003</v>
      </c>
      <c r="AA109" s="217">
        <v>1.4357211000000001E-7</v>
      </c>
      <c r="AB109">
        <v>0.10300101</v>
      </c>
      <c r="AC109">
        <v>35.372661999999998</v>
      </c>
      <c r="AD109" s="217">
        <v>2.2055333000000002E-9</v>
      </c>
      <c r="AE109" s="217">
        <v>1.3091778999999999E-7</v>
      </c>
      <c r="AF109">
        <v>5.9640307999999997</v>
      </c>
      <c r="AG109">
        <v>0</v>
      </c>
      <c r="AH109">
        <v>0</v>
      </c>
      <c r="AI109">
        <v>2.1150026</v>
      </c>
      <c r="AJ109">
        <v>0</v>
      </c>
      <c r="AK109">
        <v>0</v>
      </c>
      <c r="AL109">
        <v>37.302827000000001</v>
      </c>
      <c r="AM109">
        <v>0</v>
      </c>
      <c r="AN109">
        <v>0</v>
      </c>
      <c r="AO109">
        <v>0</v>
      </c>
      <c r="AP109">
        <v>2.0282818000000001E-2</v>
      </c>
      <c r="AQ109" s="217">
        <v>5.3559734000000001E-5</v>
      </c>
      <c r="AR109">
        <v>0.32678393999999999</v>
      </c>
      <c r="AS109" s="217">
        <v>8.9780328000000002E-5</v>
      </c>
      <c r="AT109">
        <v>0</v>
      </c>
      <c r="AU109">
        <v>0</v>
      </c>
      <c r="AV109">
        <v>0</v>
      </c>
      <c r="AW109">
        <v>0</v>
      </c>
      <c r="AX109">
        <v>0</v>
      </c>
    </row>
    <row r="110" spans="1:50" x14ac:dyDescent="0.35">
      <c r="A110" t="s">
        <v>905</v>
      </c>
      <c r="B110" s="249">
        <f t="shared" si="1"/>
        <v>0.35668921157319194</v>
      </c>
      <c r="C110" s="217">
        <v>5.6249086999999999E-6</v>
      </c>
      <c r="D110">
        <v>2.1709117E-2</v>
      </c>
      <c r="E110">
        <v>2.7018857000000001</v>
      </c>
      <c r="F110" s="217">
        <v>2.3325225999999999E-7</v>
      </c>
      <c r="G110">
        <v>1.3195957E-3</v>
      </c>
      <c r="H110">
        <v>1.5012027000000001E-2</v>
      </c>
      <c r="I110">
        <v>2.4969571000000002E-3</v>
      </c>
      <c r="J110">
        <v>1.3512185000000001</v>
      </c>
      <c r="K110">
        <v>3.3463728999999998E-2</v>
      </c>
      <c r="L110">
        <v>99.616139000000004</v>
      </c>
      <c r="M110">
        <v>6.3077704999999996E-3</v>
      </c>
      <c r="N110">
        <v>2.7633120999999998</v>
      </c>
      <c r="O110">
        <v>2.7398058999999999</v>
      </c>
      <c r="P110">
        <v>1.9419874E-2</v>
      </c>
      <c r="Q110">
        <v>4.0863888999999997E-3</v>
      </c>
      <c r="R110" s="217">
        <v>2.3174192000000001E-7</v>
      </c>
      <c r="S110">
        <v>2.0433138E-2</v>
      </c>
      <c r="T110">
        <v>1.9674503E-4</v>
      </c>
      <c r="U110">
        <v>3.4635903E-3</v>
      </c>
      <c r="V110">
        <v>6.0974838000000003E-2</v>
      </c>
      <c r="W110">
        <v>1.0663621E-2</v>
      </c>
      <c r="X110" s="217">
        <v>5.6249830999999996E-6</v>
      </c>
      <c r="Y110">
        <v>40.587328999999997</v>
      </c>
      <c r="Z110">
        <v>1.1557904999999999</v>
      </c>
      <c r="AA110" s="217">
        <v>1.4822399999999999E-7</v>
      </c>
      <c r="AB110">
        <v>0.12759446999999999</v>
      </c>
      <c r="AC110">
        <v>61.248651000000002</v>
      </c>
      <c r="AD110" s="217">
        <v>7.9486407000000002E-9</v>
      </c>
      <c r="AE110" s="217">
        <v>2.8997509999999999E-8</v>
      </c>
      <c r="AF110">
        <v>7.3144868000000001</v>
      </c>
      <c r="AG110">
        <v>0</v>
      </c>
      <c r="AH110">
        <v>0</v>
      </c>
      <c r="AI110">
        <v>3.0114716000000001</v>
      </c>
      <c r="AJ110">
        <v>0</v>
      </c>
      <c r="AK110">
        <v>0</v>
      </c>
      <c r="AL110">
        <v>43.568741000000003</v>
      </c>
      <c r="AM110">
        <v>0</v>
      </c>
      <c r="AN110">
        <v>0</v>
      </c>
      <c r="AO110">
        <v>0</v>
      </c>
      <c r="AP110">
        <v>3.2764414999999998E-2</v>
      </c>
      <c r="AQ110" s="217">
        <v>5.2161555999999998E-5</v>
      </c>
      <c r="AR110">
        <v>0.27766041000000002</v>
      </c>
      <c r="AS110">
        <v>1.0280987E-4</v>
      </c>
      <c r="AT110">
        <v>0</v>
      </c>
      <c r="AU110">
        <v>0</v>
      </c>
      <c r="AV110">
        <v>0</v>
      </c>
      <c r="AW110">
        <v>0</v>
      </c>
      <c r="AX110">
        <v>0</v>
      </c>
    </row>
    <row r="111" spans="1:50" x14ac:dyDescent="0.35">
      <c r="A111" t="s">
        <v>906</v>
      </c>
      <c r="B111" s="249">
        <f t="shared" si="1"/>
        <v>0.47474857059648806</v>
      </c>
      <c r="C111" s="217">
        <v>4.7386718000000002E-6</v>
      </c>
      <c r="D111">
        <v>6.6313492E-3</v>
      </c>
      <c r="E111">
        <v>1.6330616</v>
      </c>
      <c r="F111" s="217">
        <v>8.9276899999999994E-8</v>
      </c>
      <c r="G111">
        <v>6.7013122999999997E-4</v>
      </c>
      <c r="H111">
        <v>4.1706050000000001E-2</v>
      </c>
      <c r="I111">
        <v>1.7967229000000001E-2</v>
      </c>
      <c r="J111">
        <v>0.57309463000000005</v>
      </c>
      <c r="K111">
        <v>7.6546733000000006E-2</v>
      </c>
      <c r="L111">
        <v>47.724879999999999</v>
      </c>
      <c r="M111">
        <v>5.8568467999999999E-2</v>
      </c>
      <c r="N111">
        <v>0.33267551000000001</v>
      </c>
      <c r="O111">
        <v>1.7313791999999999</v>
      </c>
      <c r="P111">
        <v>-1.3995526</v>
      </c>
      <c r="Q111">
        <v>8.4887939000000004E-4</v>
      </c>
      <c r="R111" s="217">
        <v>1.0704169E-7</v>
      </c>
      <c r="S111">
        <v>7.4697620000000006E-2</v>
      </c>
      <c r="T111">
        <v>3.9104633999999998E-4</v>
      </c>
      <c r="U111">
        <v>2.1551744000000001E-2</v>
      </c>
      <c r="V111">
        <v>0.32258108000000002</v>
      </c>
      <c r="W111">
        <v>7.6388406000000002E-3</v>
      </c>
      <c r="X111" s="217">
        <v>4.7387043E-6</v>
      </c>
      <c r="Y111">
        <v>12.30419</v>
      </c>
      <c r="Z111">
        <v>0.11302571</v>
      </c>
      <c r="AA111" s="217">
        <v>5.1361272999999996E-7</v>
      </c>
      <c r="AB111">
        <v>4.5200558000000002E-2</v>
      </c>
      <c r="AC111">
        <v>27.485302999999998</v>
      </c>
      <c r="AD111" s="217">
        <v>4.4744026000000002E-9</v>
      </c>
      <c r="AE111" s="217">
        <v>4.7810426000000002E-7</v>
      </c>
      <c r="AF111">
        <v>761.01894000000004</v>
      </c>
      <c r="AG111">
        <v>0</v>
      </c>
      <c r="AH111">
        <v>0</v>
      </c>
      <c r="AI111">
        <v>16.992428</v>
      </c>
      <c r="AJ111">
        <v>0</v>
      </c>
      <c r="AK111">
        <v>0</v>
      </c>
      <c r="AL111">
        <v>13.049289999999999</v>
      </c>
      <c r="AM111">
        <v>0</v>
      </c>
      <c r="AN111">
        <v>0</v>
      </c>
      <c r="AO111">
        <v>0</v>
      </c>
      <c r="AP111">
        <v>3.8252580999999998E-3</v>
      </c>
      <c r="AQ111" s="217">
        <v>1.5484729E-5</v>
      </c>
      <c r="AR111">
        <v>7.0656167000000006E-2</v>
      </c>
      <c r="AS111" s="217">
        <v>5.5137038999999997E-5</v>
      </c>
      <c r="AT111">
        <v>0</v>
      </c>
      <c r="AU111">
        <v>0</v>
      </c>
      <c r="AV111">
        <v>0</v>
      </c>
      <c r="AW111">
        <v>0</v>
      </c>
      <c r="AX111">
        <v>0</v>
      </c>
    </row>
    <row r="112" spans="1:50" x14ac:dyDescent="0.35">
      <c r="A112" t="s">
        <v>907</v>
      </c>
      <c r="B112" s="249">
        <f t="shared" si="1"/>
        <v>9.4107509175252402E-2</v>
      </c>
      <c r="C112" s="217">
        <v>5.9481113999999997E-7</v>
      </c>
      <c r="D112">
        <v>3.9445202E-3</v>
      </c>
      <c r="E112">
        <v>0.79817731000000003</v>
      </c>
      <c r="F112" s="217">
        <v>5.9505449000000003E-8</v>
      </c>
      <c r="G112">
        <v>2.1045147999999999E-4</v>
      </c>
      <c r="H112">
        <v>2.2205014999999999E-3</v>
      </c>
      <c r="I112">
        <v>4.3159734999999999E-4</v>
      </c>
      <c r="J112">
        <v>0.37583701000000003</v>
      </c>
      <c r="K112">
        <v>4.5523020000000003E-3</v>
      </c>
      <c r="L112">
        <v>63.461672</v>
      </c>
      <c r="M112">
        <v>1.1714640000000001E-3</v>
      </c>
      <c r="N112">
        <v>0.81025144000000004</v>
      </c>
      <c r="O112">
        <v>0.80543766000000006</v>
      </c>
      <c r="P112">
        <v>4.1276361000000001E-3</v>
      </c>
      <c r="Q112">
        <v>6.8614757000000001E-4</v>
      </c>
      <c r="R112" s="217">
        <v>6.5674254000000005E-8</v>
      </c>
      <c r="S112">
        <v>2.9810460999999998E-3</v>
      </c>
      <c r="T112" s="217">
        <v>2.1332235000000001E-5</v>
      </c>
      <c r="U112">
        <v>9.0541574999999995E-4</v>
      </c>
      <c r="V112">
        <v>1.0961144000000001E-2</v>
      </c>
      <c r="W112">
        <v>2.5888383000000001E-3</v>
      </c>
      <c r="X112" s="217">
        <v>5.9472281000000005E-7</v>
      </c>
      <c r="Y112">
        <v>8.1867222000000002</v>
      </c>
      <c r="Z112">
        <v>7.3041399000000007E-2</v>
      </c>
      <c r="AA112" s="217">
        <v>1.2742759E-8</v>
      </c>
      <c r="AB112">
        <v>2.8874238E-2</v>
      </c>
      <c r="AC112">
        <v>5.4259474000000001</v>
      </c>
      <c r="AD112" s="217">
        <v>1.5374402E-10</v>
      </c>
      <c r="AE112" s="217">
        <v>3.9297432000000003E-9</v>
      </c>
      <c r="AF112">
        <v>2.2888232999999998</v>
      </c>
      <c r="AG112">
        <v>0</v>
      </c>
      <c r="AH112">
        <v>0</v>
      </c>
      <c r="AI112">
        <v>0.45641208999999999</v>
      </c>
      <c r="AJ112">
        <v>0</v>
      </c>
      <c r="AK112">
        <v>0</v>
      </c>
      <c r="AL112">
        <v>8.8249653000000006</v>
      </c>
      <c r="AM112">
        <v>0</v>
      </c>
      <c r="AN112">
        <v>0</v>
      </c>
      <c r="AO112">
        <v>0</v>
      </c>
      <c r="AP112">
        <v>3.1461430000000001E-3</v>
      </c>
      <c r="AQ112" s="217">
        <v>1.1040933999999999E-5</v>
      </c>
      <c r="AR112">
        <v>4.9682780000000003E-2</v>
      </c>
      <c r="AS112" s="217">
        <v>3.0884913999999998E-5</v>
      </c>
      <c r="AT112">
        <v>0</v>
      </c>
      <c r="AU112">
        <v>0</v>
      </c>
      <c r="AV112">
        <v>0</v>
      </c>
      <c r="AW112">
        <v>0</v>
      </c>
      <c r="AX112">
        <v>0</v>
      </c>
    </row>
    <row r="113" spans="1:50" x14ac:dyDescent="0.35">
      <c r="A113" t="s">
        <v>908</v>
      </c>
      <c r="B113" s="249">
        <f t="shared" si="1"/>
        <v>1.5027800218492E-3</v>
      </c>
      <c r="C113" s="217">
        <v>4.3543445000000001E-8</v>
      </c>
      <c r="D113" s="217">
        <v>8.4156317000000006E-5</v>
      </c>
      <c r="E113">
        <v>1.1809395E-2</v>
      </c>
      <c r="F113" s="217">
        <v>1.6905846E-9</v>
      </c>
      <c r="G113" s="217">
        <v>8.6634195000000008E-6</v>
      </c>
      <c r="H113" s="217">
        <v>7.2477672000000002E-5</v>
      </c>
      <c r="I113" s="217">
        <v>1.2015732E-5</v>
      </c>
      <c r="J113">
        <v>4.8842021000000003E-3</v>
      </c>
      <c r="K113">
        <v>1.0258008E-4</v>
      </c>
      <c r="L113">
        <v>0.39467853000000003</v>
      </c>
      <c r="M113" s="217">
        <v>2.1416953999999999E-5</v>
      </c>
      <c r="N113">
        <v>1.2019011E-2</v>
      </c>
      <c r="O113">
        <v>1.1995899000000001E-2</v>
      </c>
      <c r="P113" s="217">
        <v>1.5169922E-5</v>
      </c>
      <c r="Q113" s="217">
        <v>7.9420091000000008E-6</v>
      </c>
      <c r="R113" s="217">
        <v>2.0838117999999998E-9</v>
      </c>
      <c r="S113" s="217">
        <v>9.3763980000000004E-5</v>
      </c>
      <c r="T113" s="217">
        <v>4.6487534999999998E-7</v>
      </c>
      <c r="U113" s="217">
        <v>2.6875898999999999E-5</v>
      </c>
      <c r="V113">
        <v>3.0642519999999999E-4</v>
      </c>
      <c r="W113" s="217">
        <v>8.5379490000000004E-5</v>
      </c>
      <c r="X113" s="217">
        <v>4.3544419000000001E-8</v>
      </c>
      <c r="Y113">
        <v>0.16957087000000001</v>
      </c>
      <c r="Z113">
        <v>6.1220248999999997E-2</v>
      </c>
      <c r="AA113" s="217">
        <v>1.1761847E-9</v>
      </c>
      <c r="AB113">
        <v>7.1314021000000005E-4</v>
      </c>
      <c r="AC113">
        <v>0.16962844999999999</v>
      </c>
      <c r="AD113" s="217">
        <v>8.5265348E-12</v>
      </c>
      <c r="AE113" s="217">
        <v>1.9421668999999999E-10</v>
      </c>
      <c r="AF113">
        <v>0.14240800000000001</v>
      </c>
      <c r="AG113">
        <v>0</v>
      </c>
      <c r="AH113">
        <v>0</v>
      </c>
      <c r="AI113">
        <v>5.5118016000000004E-3</v>
      </c>
      <c r="AJ113">
        <v>0</v>
      </c>
      <c r="AK113">
        <v>0</v>
      </c>
      <c r="AL113">
        <v>0.18006156000000001</v>
      </c>
      <c r="AM113">
        <v>0</v>
      </c>
      <c r="AN113">
        <v>0</v>
      </c>
      <c r="AO113">
        <v>0</v>
      </c>
      <c r="AP113">
        <v>1.4369579000000001E-3</v>
      </c>
      <c r="AQ113" s="217">
        <v>6.1011165000000001E-7</v>
      </c>
      <c r="AR113">
        <v>5.4855327000000002E-3</v>
      </c>
      <c r="AS113" s="217">
        <v>9.9536388000000009E-7</v>
      </c>
      <c r="AT113">
        <v>0</v>
      </c>
      <c r="AU113">
        <v>0</v>
      </c>
      <c r="AV113">
        <v>0</v>
      </c>
      <c r="AW113">
        <v>0</v>
      </c>
      <c r="AX113">
        <v>0</v>
      </c>
    </row>
    <row r="114" spans="1:50" x14ac:dyDescent="0.35">
      <c r="A114" t="s">
        <v>909</v>
      </c>
      <c r="B114" s="249">
        <f t="shared" si="1"/>
        <v>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row>
    <row r="115" spans="1:50" x14ac:dyDescent="0.35">
      <c r="A115" t="s">
        <v>910</v>
      </c>
      <c r="B115" s="249">
        <f t="shared" si="1"/>
        <v>1.2948399152948398E-3</v>
      </c>
      <c r="C115" s="217">
        <v>1.9895974E-8</v>
      </c>
      <c r="D115" s="217">
        <v>7.5731297999999999E-5</v>
      </c>
      <c r="E115">
        <v>1.0410231000000001E-2</v>
      </c>
      <c r="F115" s="217">
        <v>1.9228233E-9</v>
      </c>
      <c r="G115" s="217">
        <v>7.8059576999999998E-6</v>
      </c>
      <c r="H115" s="217">
        <v>5.7731949000000003E-5</v>
      </c>
      <c r="I115" s="217">
        <v>1.2330514E-5</v>
      </c>
      <c r="J115">
        <v>4.0747817999999998E-3</v>
      </c>
      <c r="K115" s="217">
        <v>9.7248689999999995E-5</v>
      </c>
      <c r="L115">
        <v>0.34295725999999999</v>
      </c>
      <c r="M115" s="217">
        <v>1.1543391000000001E-5</v>
      </c>
      <c r="N115">
        <v>1.0511503E-2</v>
      </c>
      <c r="O115">
        <v>1.0506654000000001E-2</v>
      </c>
      <c r="P115" s="217">
        <v>2.5585582999999999E-6</v>
      </c>
      <c r="Q115" s="217">
        <v>2.2906196000000001E-6</v>
      </c>
      <c r="R115" s="217">
        <v>2.4176207E-9</v>
      </c>
      <c r="S115" s="217">
        <v>7.8751689000000004E-5</v>
      </c>
      <c r="T115" s="217">
        <v>1.2881513E-7</v>
      </c>
      <c r="U115" s="217">
        <v>3.1024091999999998E-5</v>
      </c>
      <c r="V115">
        <v>3.4201358000000002E-4</v>
      </c>
      <c r="W115" s="217">
        <v>9.5359534999999996E-5</v>
      </c>
      <c r="X115" s="217">
        <v>1.9895916000000001E-8</v>
      </c>
      <c r="Y115">
        <v>0.15883765</v>
      </c>
      <c r="Z115">
        <v>1.032313E-3</v>
      </c>
      <c r="AA115" s="217">
        <v>1.6717573E-9</v>
      </c>
      <c r="AB115">
        <v>6.7857854999999996E-4</v>
      </c>
      <c r="AC115">
        <v>0.10534195</v>
      </c>
      <c r="AD115" s="217">
        <v>3.8813478999999998E-12</v>
      </c>
      <c r="AE115" s="217">
        <v>1.2117995E-10</v>
      </c>
      <c r="AF115">
        <v>9.2247335E-2</v>
      </c>
      <c r="AG115">
        <v>0</v>
      </c>
      <c r="AH115">
        <v>0</v>
      </c>
      <c r="AI115">
        <v>1.3971840999999999E-3</v>
      </c>
      <c r="AJ115">
        <v>0</v>
      </c>
      <c r="AK115">
        <v>0</v>
      </c>
      <c r="AL115">
        <v>0.16866354</v>
      </c>
      <c r="AM115">
        <v>0</v>
      </c>
      <c r="AN115">
        <v>0</v>
      </c>
      <c r="AO115">
        <v>0</v>
      </c>
      <c r="AP115" s="217">
        <v>2.7042151999999999E-5</v>
      </c>
      <c r="AQ115" s="217">
        <v>9.0148634999999995E-8</v>
      </c>
      <c r="AR115">
        <v>6.2707902000000001E-3</v>
      </c>
      <c r="AS115" s="217">
        <v>1.0805161E-6</v>
      </c>
      <c r="AT115">
        <v>0</v>
      </c>
      <c r="AU115">
        <v>0</v>
      </c>
      <c r="AV115">
        <v>0</v>
      </c>
      <c r="AW115">
        <v>0</v>
      </c>
      <c r="AX115">
        <v>0</v>
      </c>
    </row>
    <row r="116" spans="1:50" x14ac:dyDescent="0.35">
      <c r="A116" t="s">
        <v>911</v>
      </c>
      <c r="B116" s="249">
        <f t="shared" si="1"/>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row>
    <row r="117" spans="1:50" x14ac:dyDescent="0.35">
      <c r="A117" t="s">
        <v>912</v>
      </c>
      <c r="B117" s="249">
        <f t="shared" si="1"/>
        <v>1.7750786674428639E-2</v>
      </c>
      <c r="C117" s="217">
        <v>4.0021428999999999E-8</v>
      </c>
      <c r="D117">
        <v>7.2846428999999999E-4</v>
      </c>
      <c r="E117">
        <v>0.25489286</v>
      </c>
      <c r="F117" s="217">
        <v>6.3374999999999997E-9</v>
      </c>
      <c r="G117" s="217">
        <v>5.1350000000000001E-5</v>
      </c>
      <c r="H117">
        <v>5.1210714000000002E-4</v>
      </c>
      <c r="I117" s="217">
        <v>9.5782142999999997E-5</v>
      </c>
      <c r="J117">
        <v>1.8432143000000002E-2</v>
      </c>
      <c r="K117">
        <v>4.2250000000000002E-4</v>
      </c>
      <c r="L117">
        <v>1.7875000000000001</v>
      </c>
      <c r="M117">
        <v>4.3178571E-4</v>
      </c>
      <c r="N117">
        <v>0</v>
      </c>
      <c r="O117">
        <v>0</v>
      </c>
      <c r="P117">
        <v>0</v>
      </c>
      <c r="Q117">
        <v>0</v>
      </c>
      <c r="R117">
        <v>0</v>
      </c>
      <c r="S117">
        <v>0</v>
      </c>
      <c r="T117">
        <v>0</v>
      </c>
      <c r="U117">
        <v>0</v>
      </c>
      <c r="V117">
        <v>0</v>
      </c>
      <c r="W117">
        <v>0</v>
      </c>
      <c r="X117">
        <v>0</v>
      </c>
      <c r="Y117">
        <v>0</v>
      </c>
      <c r="Z117">
        <v>1.2271429E-2</v>
      </c>
      <c r="AA117">
        <v>0</v>
      </c>
      <c r="AB117">
        <v>0</v>
      </c>
      <c r="AC117">
        <v>0</v>
      </c>
      <c r="AD117">
        <v>0</v>
      </c>
      <c r="AE117">
        <v>0</v>
      </c>
      <c r="AF117">
        <v>0</v>
      </c>
      <c r="AG117">
        <v>0</v>
      </c>
      <c r="AH117">
        <v>0</v>
      </c>
      <c r="AI117">
        <v>9.0721429000000006E-2</v>
      </c>
      <c r="AJ117">
        <v>0</v>
      </c>
      <c r="AK117">
        <v>0</v>
      </c>
      <c r="AL117">
        <v>1.4903571</v>
      </c>
      <c r="AM117">
        <v>0</v>
      </c>
      <c r="AN117">
        <v>0</v>
      </c>
      <c r="AO117">
        <v>0</v>
      </c>
      <c r="AP117">
        <v>7.0125000000000005E-4</v>
      </c>
      <c r="AQ117" s="217">
        <v>7.2428571000000004E-6</v>
      </c>
      <c r="AR117">
        <v>6.3978571000000003E-3</v>
      </c>
      <c r="AS117">
        <v>0</v>
      </c>
      <c r="AT117">
        <v>0</v>
      </c>
      <c r="AU117">
        <v>0</v>
      </c>
      <c r="AV117">
        <v>0</v>
      </c>
      <c r="AW117">
        <v>0</v>
      </c>
      <c r="AX117">
        <v>0</v>
      </c>
    </row>
    <row r="118" spans="1:50" x14ac:dyDescent="0.35">
      <c r="A118" t="s">
        <v>913</v>
      </c>
      <c r="B118" s="249">
        <f t="shared" si="1"/>
        <v>0.182797342291912</v>
      </c>
      <c r="C118" s="217">
        <v>1.3441641999999999E-6</v>
      </c>
      <c r="D118">
        <v>8.8231809999999994E-3</v>
      </c>
      <c r="E118">
        <v>1.2717932000000001</v>
      </c>
      <c r="F118" s="217">
        <v>7.1727387999999996E-8</v>
      </c>
      <c r="G118">
        <v>1.6727214E-3</v>
      </c>
      <c r="H118">
        <v>7.8685821000000003E-3</v>
      </c>
      <c r="I118">
        <v>9.8487212000000009E-4</v>
      </c>
      <c r="J118">
        <v>0.77250026999999999</v>
      </c>
      <c r="K118">
        <v>2.8575672E-2</v>
      </c>
      <c r="L118">
        <v>33.054619000000002</v>
      </c>
      <c r="M118">
        <v>7.0371634000000001E-3</v>
      </c>
      <c r="N118">
        <v>-0.35383850999999999</v>
      </c>
      <c r="O118">
        <v>1.2809687000000001</v>
      </c>
      <c r="P118">
        <v>-1.6524814000000001</v>
      </c>
      <c r="Q118">
        <v>1.7674222E-2</v>
      </c>
      <c r="R118" s="217">
        <v>7.3062921000000002E-8</v>
      </c>
      <c r="S118">
        <v>9.6748774999999999E-3</v>
      </c>
      <c r="T118" s="217">
        <v>7.486177E-5</v>
      </c>
      <c r="U118">
        <v>1.6522632E-3</v>
      </c>
      <c r="V118">
        <v>2.0243622999999999E-2</v>
      </c>
      <c r="W118">
        <v>7.2193472000000002E-3</v>
      </c>
      <c r="X118" s="217">
        <v>1.3404133000000001E-6</v>
      </c>
      <c r="Y118">
        <v>15.184683</v>
      </c>
      <c r="Z118">
        <v>0.28288362</v>
      </c>
      <c r="AA118" s="217">
        <v>1.1096646E-7</v>
      </c>
      <c r="AB118">
        <v>3.8418613999999997E-2</v>
      </c>
      <c r="AC118">
        <v>36.460683000000003</v>
      </c>
      <c r="AD118" s="217">
        <v>4.5425093999999997E-9</v>
      </c>
      <c r="AE118" s="217">
        <v>1.8787827E-8</v>
      </c>
      <c r="AF118">
        <v>129.99047999999999</v>
      </c>
      <c r="AG118">
        <v>0</v>
      </c>
      <c r="AH118">
        <v>0</v>
      </c>
      <c r="AI118">
        <v>24.372223000000002</v>
      </c>
      <c r="AJ118">
        <v>0</v>
      </c>
      <c r="AK118">
        <v>0</v>
      </c>
      <c r="AL118">
        <v>16.160844999999998</v>
      </c>
      <c r="AM118">
        <v>0</v>
      </c>
      <c r="AN118">
        <v>0</v>
      </c>
      <c r="AO118">
        <v>0</v>
      </c>
      <c r="AP118">
        <v>8.3825792000000003E-3</v>
      </c>
      <c r="AQ118" s="217">
        <v>2.4221526999999999E-5</v>
      </c>
      <c r="AR118">
        <v>0.17698314000000001</v>
      </c>
      <c r="AS118" s="217">
        <v>3.9338899999999997E-5</v>
      </c>
      <c r="AT118">
        <v>0</v>
      </c>
      <c r="AU118">
        <v>0</v>
      </c>
      <c r="AV118">
        <v>0</v>
      </c>
      <c r="AW118">
        <v>0</v>
      </c>
      <c r="AX118">
        <v>0</v>
      </c>
    </row>
    <row r="119" spans="1:50" x14ac:dyDescent="0.35">
      <c r="A119" t="s">
        <v>914</v>
      </c>
      <c r="B119" s="249">
        <f t="shared" si="1"/>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row>
    <row r="120" spans="1:50" x14ac:dyDescent="0.35">
      <c r="A120" t="s">
        <v>915</v>
      </c>
      <c r="B120" s="249">
        <f t="shared" si="1"/>
        <v>3.6156191318771604E-2</v>
      </c>
      <c r="C120" s="217">
        <v>1.1461901E-7</v>
      </c>
      <c r="D120">
        <v>1.3487524000000001E-3</v>
      </c>
      <c r="E120">
        <v>0.20043727</v>
      </c>
      <c r="F120" s="217">
        <v>3.1131751E-8</v>
      </c>
      <c r="G120">
        <v>2.4883833000000001E-4</v>
      </c>
      <c r="H120">
        <v>3.3543105999999999E-3</v>
      </c>
      <c r="I120">
        <v>3.2694472999999998E-4</v>
      </c>
      <c r="J120">
        <v>9.1579957000000003E-2</v>
      </c>
      <c r="K120">
        <v>2.0452477999999999E-3</v>
      </c>
      <c r="L120">
        <v>7.3204304000000002</v>
      </c>
      <c r="M120">
        <v>4.0928181999999998E-4</v>
      </c>
      <c r="N120">
        <v>-1.2856977000000001</v>
      </c>
      <c r="O120">
        <v>0.19513902</v>
      </c>
      <c r="P120">
        <v>-1.4813508</v>
      </c>
      <c r="Q120">
        <v>5.1409676999999998E-4</v>
      </c>
      <c r="R120" s="217">
        <v>3.8670367000000003E-8</v>
      </c>
      <c r="S120">
        <v>4.1104041999999999E-3</v>
      </c>
      <c r="T120" s="217">
        <v>3.6712055000000002E-6</v>
      </c>
      <c r="U120">
        <v>8.4983491999999995E-4</v>
      </c>
      <c r="V120">
        <v>9.5417282000000003E-3</v>
      </c>
      <c r="W120">
        <v>2.6454044999999998E-3</v>
      </c>
      <c r="X120" s="217">
        <v>1.1451137E-7</v>
      </c>
      <c r="Y120">
        <v>2.8063307000000002</v>
      </c>
      <c r="Z120">
        <v>1.9792651000000001E-2</v>
      </c>
      <c r="AA120" s="217">
        <v>1.2069276000000001E-8</v>
      </c>
      <c r="AB120">
        <v>1.2453037E-2</v>
      </c>
      <c r="AC120">
        <v>1.9873624999999999</v>
      </c>
      <c r="AD120" s="217">
        <v>8.4339822000000004E-11</v>
      </c>
      <c r="AE120" s="217">
        <v>1.9344378999999999E-9</v>
      </c>
      <c r="AF120">
        <v>11.961995</v>
      </c>
      <c r="AG120">
        <v>0</v>
      </c>
      <c r="AH120">
        <v>0</v>
      </c>
      <c r="AI120">
        <v>26.575915999999999</v>
      </c>
      <c r="AJ120">
        <v>0</v>
      </c>
      <c r="AK120">
        <v>0</v>
      </c>
      <c r="AL120">
        <v>2.9797128000000002</v>
      </c>
      <c r="AM120">
        <v>0</v>
      </c>
      <c r="AN120">
        <v>0</v>
      </c>
      <c r="AO120">
        <v>0</v>
      </c>
      <c r="AP120">
        <v>6.1184724000000002E-4</v>
      </c>
      <c r="AQ120" s="217">
        <v>3.0809398999999999E-6</v>
      </c>
      <c r="AR120">
        <v>3.3400221000000001E-2</v>
      </c>
      <c r="AS120" s="217">
        <v>1.8232993000000001E-5</v>
      </c>
      <c r="AT120">
        <v>0</v>
      </c>
      <c r="AU120">
        <v>0</v>
      </c>
      <c r="AV120">
        <v>0</v>
      </c>
      <c r="AW120">
        <v>0</v>
      </c>
      <c r="AX120">
        <v>0</v>
      </c>
    </row>
    <row r="121" spans="1:50" x14ac:dyDescent="0.35">
      <c r="A121" t="s">
        <v>916</v>
      </c>
      <c r="B121" s="249">
        <f t="shared" si="1"/>
        <v>4.7886043559183196E-2</v>
      </c>
      <c r="C121" s="217">
        <v>9.4474402000000005E-7</v>
      </c>
      <c r="D121">
        <v>2.707536E-3</v>
      </c>
      <c r="E121">
        <v>0.37036887000000002</v>
      </c>
      <c r="F121" s="217">
        <v>5.8074237999999998E-8</v>
      </c>
      <c r="G121">
        <v>4.7602335000000002E-4</v>
      </c>
      <c r="H121">
        <v>1.8821802999999999E-3</v>
      </c>
      <c r="I121">
        <v>3.8339881999999999E-4</v>
      </c>
      <c r="J121">
        <v>0.17041047000000001</v>
      </c>
      <c r="K121">
        <v>6.0405952999999998E-3</v>
      </c>
      <c r="L121">
        <v>14.071133</v>
      </c>
      <c r="M121">
        <v>1.2645028999999999E-3</v>
      </c>
      <c r="N121">
        <v>-2.1972683000000002</v>
      </c>
      <c r="O121">
        <v>0.37427304</v>
      </c>
      <c r="P121">
        <v>-2.5737798000000001</v>
      </c>
      <c r="Q121">
        <v>2.2383956E-3</v>
      </c>
      <c r="R121" s="217">
        <v>7.1926456999999995E-8</v>
      </c>
      <c r="S121">
        <v>2.5010738000000002E-3</v>
      </c>
      <c r="T121" s="217">
        <v>1.0145248E-5</v>
      </c>
      <c r="U121">
        <v>8.4700545999999996E-4</v>
      </c>
      <c r="V121">
        <v>9.4599451000000005E-3</v>
      </c>
      <c r="W121">
        <v>3.0470605E-3</v>
      </c>
      <c r="X121" s="217">
        <v>9.4426325E-7</v>
      </c>
      <c r="Y121">
        <v>5.5319466000000004</v>
      </c>
      <c r="Z121">
        <v>5.2610904999999999E-2</v>
      </c>
      <c r="AA121" s="217">
        <v>7.7377087000000003E-8</v>
      </c>
      <c r="AB121">
        <v>2.3703545999999999E-2</v>
      </c>
      <c r="AC121">
        <v>7.3320217999999997</v>
      </c>
      <c r="AD121" s="217">
        <v>2.5068354000000001E-10</v>
      </c>
      <c r="AE121" s="217">
        <v>7.5567861000000007E-9</v>
      </c>
      <c r="AF121">
        <v>157.08868000000001</v>
      </c>
      <c r="AG121">
        <v>0</v>
      </c>
      <c r="AH121">
        <v>0</v>
      </c>
      <c r="AI121">
        <v>30.461096000000001</v>
      </c>
      <c r="AJ121">
        <v>0</v>
      </c>
      <c r="AK121">
        <v>0</v>
      </c>
      <c r="AL121">
        <v>5.8801484999999998</v>
      </c>
      <c r="AM121">
        <v>0</v>
      </c>
      <c r="AN121">
        <v>0</v>
      </c>
      <c r="AO121">
        <v>0</v>
      </c>
      <c r="AP121">
        <v>1.5557441E-3</v>
      </c>
      <c r="AQ121" s="217">
        <v>7.3033570000000001E-6</v>
      </c>
      <c r="AR121">
        <v>0.25394176000000002</v>
      </c>
      <c r="AS121" s="217">
        <v>3.3932332999999997E-5</v>
      </c>
      <c r="AT121">
        <v>0</v>
      </c>
      <c r="AU121">
        <v>0</v>
      </c>
      <c r="AV121">
        <v>0</v>
      </c>
      <c r="AW121">
        <v>0</v>
      </c>
      <c r="AX121">
        <v>0</v>
      </c>
    </row>
    <row r="122" spans="1:50" x14ac:dyDescent="0.35">
      <c r="A122" t="s">
        <v>917</v>
      </c>
      <c r="B122" s="249">
        <f t="shared" si="1"/>
        <v>1.4687932095303599E-2</v>
      </c>
      <c r="C122" s="217">
        <v>5.8666956000000004E-7</v>
      </c>
      <c r="D122">
        <v>3.1461142000000002E-4</v>
      </c>
      <c r="E122">
        <v>6.1196198E-2</v>
      </c>
      <c r="F122" s="217">
        <v>6.0151357999999999E-9</v>
      </c>
      <c r="G122" s="217">
        <v>3.9056268E-5</v>
      </c>
      <c r="H122">
        <v>3.6710445999999999E-4</v>
      </c>
      <c r="I122">
        <v>7.0080692999999997E-4</v>
      </c>
      <c r="J122">
        <v>3.9926967000000001E-2</v>
      </c>
      <c r="K122">
        <v>-2.6585072999999999E-4</v>
      </c>
      <c r="L122">
        <v>1.4481198</v>
      </c>
      <c r="M122">
        <v>-1.0910312E-4</v>
      </c>
      <c r="N122">
        <v>-1.6979500000000001</v>
      </c>
      <c r="O122">
        <v>6.3769709999999993E-2</v>
      </c>
      <c r="P122">
        <v>-1.7617601000000001</v>
      </c>
      <c r="Q122" s="217">
        <v>4.0379102E-5</v>
      </c>
      <c r="R122" s="217">
        <v>7.3098508000000002E-9</v>
      </c>
      <c r="S122">
        <v>5.2970719999999999E-4</v>
      </c>
      <c r="T122" s="217">
        <v>5.2516523999999997E-5</v>
      </c>
      <c r="U122">
        <v>1.1639705E-3</v>
      </c>
      <c r="V122">
        <v>2.0036414000000002E-3</v>
      </c>
      <c r="W122">
        <v>3.6507446999999997E-4</v>
      </c>
      <c r="X122" s="217">
        <v>5.7463390999999995E-7</v>
      </c>
      <c r="Y122">
        <v>0.61492566999999998</v>
      </c>
      <c r="Z122">
        <v>1.5101183000000001E-2</v>
      </c>
      <c r="AA122" s="217">
        <v>3.5543939000000002E-9</v>
      </c>
      <c r="AB122">
        <v>2.1540594E-3</v>
      </c>
      <c r="AC122">
        <v>5.0783363000000001</v>
      </c>
      <c r="AD122" s="217">
        <v>2.2294052999999999E-10</v>
      </c>
      <c r="AE122" s="217">
        <v>-1.0722512000000001E-9</v>
      </c>
      <c r="AF122">
        <v>47.574475999999997</v>
      </c>
      <c r="AG122">
        <v>0</v>
      </c>
      <c r="AH122">
        <v>0</v>
      </c>
      <c r="AI122">
        <v>20.477121</v>
      </c>
      <c r="AJ122">
        <v>0</v>
      </c>
      <c r="AK122">
        <v>0</v>
      </c>
      <c r="AL122">
        <v>0.65559378000000001</v>
      </c>
      <c r="AM122">
        <v>0</v>
      </c>
      <c r="AN122">
        <v>0</v>
      </c>
      <c r="AO122">
        <v>0</v>
      </c>
      <c r="AP122">
        <v>3.8831171E-4</v>
      </c>
      <c r="AQ122" s="217">
        <v>1.1169019E-6</v>
      </c>
      <c r="AR122">
        <v>2.3378764999999999E-2</v>
      </c>
      <c r="AS122" s="217">
        <v>3.1016990000000001E-6</v>
      </c>
      <c r="AT122">
        <v>0</v>
      </c>
      <c r="AU122">
        <v>0</v>
      </c>
      <c r="AV122">
        <v>0</v>
      </c>
      <c r="AW122">
        <v>0</v>
      </c>
      <c r="AX122">
        <v>0</v>
      </c>
    </row>
    <row r="123" spans="1:50" x14ac:dyDescent="0.35">
      <c r="A123" t="s">
        <v>918</v>
      </c>
      <c r="B123" s="249">
        <f t="shared" si="1"/>
        <v>9.4347492411854E-2</v>
      </c>
      <c r="C123" s="217">
        <v>1.3057749000000001E-6</v>
      </c>
      <c r="D123">
        <v>4.4944067000000001E-3</v>
      </c>
      <c r="E123">
        <v>0.42418389000000001</v>
      </c>
      <c r="F123" s="217">
        <v>3.6060688999999998E-8</v>
      </c>
      <c r="G123">
        <v>8.9557334000000004E-4</v>
      </c>
      <c r="H123">
        <v>2.0327992000000001E-3</v>
      </c>
      <c r="I123">
        <v>3.9689804000000002E-4</v>
      </c>
      <c r="J123">
        <v>0.63002599000000004</v>
      </c>
      <c r="K123">
        <v>3.0801182999999999E-2</v>
      </c>
      <c r="L123">
        <v>12.463476999999999</v>
      </c>
      <c r="M123">
        <v>8.4589941999999995E-4</v>
      </c>
      <c r="N123">
        <v>-0.10110117</v>
      </c>
      <c r="O123">
        <v>0.43303589999999997</v>
      </c>
      <c r="P123">
        <v>-0.53511829</v>
      </c>
      <c r="Q123">
        <v>9.8121534000000007E-4</v>
      </c>
      <c r="R123" s="217">
        <v>3.9415544000000001E-8</v>
      </c>
      <c r="S123">
        <v>2.5842615999999998E-3</v>
      </c>
      <c r="T123" s="217">
        <v>2.4615634000000002E-5</v>
      </c>
      <c r="U123">
        <v>5.7965150999999995E-4</v>
      </c>
      <c r="V123">
        <v>7.0835591000000002E-3</v>
      </c>
      <c r="W123">
        <v>3.1863645999999999E-3</v>
      </c>
      <c r="X123" s="217">
        <v>1.3057485E-6</v>
      </c>
      <c r="Y123">
        <v>8.8179499999999997</v>
      </c>
      <c r="Z123">
        <v>0.18088306000000001</v>
      </c>
      <c r="AA123" s="217">
        <v>7.2177674999999998E-8</v>
      </c>
      <c r="AB123">
        <v>1.9722409E-2</v>
      </c>
      <c r="AC123">
        <v>11.645178</v>
      </c>
      <c r="AD123" s="217">
        <v>1.5209769999999999E-9</v>
      </c>
      <c r="AE123" s="217">
        <v>7.2622294000000003E-9</v>
      </c>
      <c r="AF123">
        <v>48.133347000000001</v>
      </c>
      <c r="AG123">
        <v>0</v>
      </c>
      <c r="AH123">
        <v>0</v>
      </c>
      <c r="AI123">
        <v>9.6758275999999999</v>
      </c>
      <c r="AJ123">
        <v>0</v>
      </c>
      <c r="AK123">
        <v>0</v>
      </c>
      <c r="AL123">
        <v>9.4226463999999996</v>
      </c>
      <c r="AM123">
        <v>0</v>
      </c>
      <c r="AN123">
        <v>0</v>
      </c>
      <c r="AO123">
        <v>0</v>
      </c>
      <c r="AP123">
        <v>5.2003068000000003E-3</v>
      </c>
      <c r="AQ123" s="217">
        <v>1.0000034E-5</v>
      </c>
      <c r="AR123">
        <v>7.8710856999999995E-2</v>
      </c>
      <c r="AS123" s="217">
        <v>2.0372039000000001E-5</v>
      </c>
      <c r="AT123">
        <v>0</v>
      </c>
      <c r="AU123">
        <v>0</v>
      </c>
      <c r="AV123">
        <v>0</v>
      </c>
      <c r="AW123">
        <v>0</v>
      </c>
      <c r="AX123">
        <v>0</v>
      </c>
    </row>
    <row r="124" spans="1:50" x14ac:dyDescent="0.35">
      <c r="A124" t="s">
        <v>919</v>
      </c>
      <c r="B124" s="249">
        <f t="shared" si="1"/>
        <v>0.11325964143479199</v>
      </c>
      <c r="C124" s="217">
        <v>3.1137761999999998E-6</v>
      </c>
      <c r="D124">
        <v>6.6953220000000001E-3</v>
      </c>
      <c r="E124">
        <v>0.78366433999999996</v>
      </c>
      <c r="F124" s="217">
        <v>1.1351622E-7</v>
      </c>
      <c r="G124">
        <v>1.4086407999999999E-3</v>
      </c>
      <c r="H124">
        <v>4.9504833999999996E-3</v>
      </c>
      <c r="I124">
        <v>1.0790966000000001E-3</v>
      </c>
      <c r="J124">
        <v>0.40410840999999997</v>
      </c>
      <c r="K124">
        <v>1.8726868000000001E-2</v>
      </c>
      <c r="L124">
        <v>35.204231999999998</v>
      </c>
      <c r="M124">
        <v>3.6366414000000001E-3</v>
      </c>
      <c r="N124">
        <v>-3.4979825</v>
      </c>
      <c r="O124">
        <v>0.79089021999999998</v>
      </c>
      <c r="P124">
        <v>-4.2939251000000001</v>
      </c>
      <c r="Q124">
        <v>5.0523629000000002E-3</v>
      </c>
      <c r="R124" s="217">
        <v>1.2537134000000001E-7</v>
      </c>
      <c r="S124">
        <v>6.7725657000000002E-3</v>
      </c>
      <c r="T124" s="217">
        <v>5.6192734999999997E-5</v>
      </c>
      <c r="U124">
        <v>1.5825975E-3</v>
      </c>
      <c r="V124">
        <v>2.2937190999999999E-2</v>
      </c>
      <c r="W124">
        <v>6.0467291000000003E-3</v>
      </c>
      <c r="X124" s="217">
        <v>3.1133780999999999E-6</v>
      </c>
      <c r="Y124">
        <v>14.861236</v>
      </c>
      <c r="Z124">
        <v>0.73869739999999995</v>
      </c>
      <c r="AA124" s="217">
        <v>3.7232673E-7</v>
      </c>
      <c r="AB124">
        <v>7.2692089000000001E-2</v>
      </c>
      <c r="AC124">
        <v>31.979717000000001</v>
      </c>
      <c r="AD124" s="217">
        <v>5.6812034E-9</v>
      </c>
      <c r="AE124" s="217">
        <v>2.7036125000000001E-8</v>
      </c>
      <c r="AF124">
        <v>271.53050999999999</v>
      </c>
      <c r="AG124">
        <v>0</v>
      </c>
      <c r="AH124">
        <v>0</v>
      </c>
      <c r="AI124">
        <v>64.923457999999997</v>
      </c>
      <c r="AJ124">
        <v>0</v>
      </c>
      <c r="AK124">
        <v>0</v>
      </c>
      <c r="AL124">
        <v>15.904188</v>
      </c>
      <c r="AM124">
        <v>0</v>
      </c>
      <c r="AN124">
        <v>0</v>
      </c>
      <c r="AO124">
        <v>0</v>
      </c>
      <c r="AP124">
        <v>2.0154869999999998E-2</v>
      </c>
      <c r="AQ124" s="217">
        <v>2.0859599999999999E-5</v>
      </c>
      <c r="AR124">
        <v>0.19385983000000001</v>
      </c>
      <c r="AS124" s="217">
        <v>7.4364005999999998E-5</v>
      </c>
      <c r="AT124">
        <v>0</v>
      </c>
      <c r="AU124">
        <v>0</v>
      </c>
      <c r="AV124">
        <v>0</v>
      </c>
      <c r="AW124">
        <v>0</v>
      </c>
      <c r="AX124">
        <v>0</v>
      </c>
    </row>
    <row r="125" spans="1:50" x14ac:dyDescent="0.35">
      <c r="A125" t="s">
        <v>920</v>
      </c>
      <c r="B125" s="249">
        <f t="shared" si="1"/>
        <v>0.14632176774526398</v>
      </c>
      <c r="C125" s="217">
        <v>4.4483279000000002E-6</v>
      </c>
      <c r="D125">
        <v>8.5502002000000001E-3</v>
      </c>
      <c r="E125">
        <v>1.0326721000000001</v>
      </c>
      <c r="F125" s="217">
        <v>1.4157455999999999E-7</v>
      </c>
      <c r="G125">
        <v>1.4932267999999999E-3</v>
      </c>
      <c r="H125">
        <v>6.5263936000000003E-3</v>
      </c>
      <c r="I125">
        <v>1.3319467000000001E-3</v>
      </c>
      <c r="J125">
        <v>0.51891686999999997</v>
      </c>
      <c r="K125">
        <v>2.0623642000000001E-2</v>
      </c>
      <c r="L125">
        <v>46.736029000000002</v>
      </c>
      <c r="M125">
        <v>4.0132164000000001E-3</v>
      </c>
      <c r="N125">
        <v>-3.2462767000000001</v>
      </c>
      <c r="O125">
        <v>1.0435601999999999</v>
      </c>
      <c r="P125">
        <v>-4.2950121000000001</v>
      </c>
      <c r="Q125">
        <v>5.17527E-3</v>
      </c>
      <c r="R125" s="217">
        <v>1.5942855E-7</v>
      </c>
      <c r="S125">
        <v>9.0727755999999993E-3</v>
      </c>
      <c r="T125" s="217">
        <v>6.9423462E-5</v>
      </c>
      <c r="U125">
        <v>1.7890472000000001E-3</v>
      </c>
      <c r="V125">
        <v>2.9926723999999998E-2</v>
      </c>
      <c r="W125">
        <v>6.5901138999999997E-3</v>
      </c>
      <c r="X125" s="217">
        <v>4.4484624999999998E-6</v>
      </c>
      <c r="Y125">
        <v>18.432634</v>
      </c>
      <c r="Z125">
        <v>1.2356381999999999</v>
      </c>
      <c r="AA125" s="217">
        <v>4.0423277E-7</v>
      </c>
      <c r="AB125">
        <v>8.2283555999999994E-2</v>
      </c>
      <c r="AC125">
        <v>35.305636</v>
      </c>
      <c r="AD125" s="217">
        <v>5.7846562999999998E-9</v>
      </c>
      <c r="AE125" s="217">
        <v>2.9766110999999999E-8</v>
      </c>
      <c r="AF125">
        <v>272.24682000000001</v>
      </c>
      <c r="AG125">
        <v>0</v>
      </c>
      <c r="AH125">
        <v>0</v>
      </c>
      <c r="AI125">
        <v>65.056263999999999</v>
      </c>
      <c r="AJ125">
        <v>0</v>
      </c>
      <c r="AK125">
        <v>0</v>
      </c>
      <c r="AL125">
        <v>19.760594999999999</v>
      </c>
      <c r="AM125">
        <v>0</v>
      </c>
      <c r="AN125">
        <v>0</v>
      </c>
      <c r="AO125">
        <v>0</v>
      </c>
      <c r="AP125">
        <v>3.1948061999999999E-2</v>
      </c>
      <c r="AQ125" s="217">
        <v>2.4576567000000001E-5</v>
      </c>
      <c r="AR125">
        <v>0.21107272999999999</v>
      </c>
      <c r="AS125" s="217">
        <v>8.6845335000000003E-5</v>
      </c>
      <c r="AT125">
        <v>0</v>
      </c>
      <c r="AU125">
        <v>0</v>
      </c>
      <c r="AV125">
        <v>0</v>
      </c>
      <c r="AW125">
        <v>0</v>
      </c>
      <c r="AX125">
        <v>0</v>
      </c>
    </row>
    <row r="126" spans="1:50" x14ac:dyDescent="0.35">
      <c r="A126" t="s">
        <v>921</v>
      </c>
      <c r="B126" s="249">
        <f t="shared" si="1"/>
        <v>9.1820184676292008E-2</v>
      </c>
      <c r="C126" s="217">
        <v>2.6415257000000001E-6</v>
      </c>
      <c r="D126">
        <v>5.4745315999999997E-3</v>
      </c>
      <c r="E126">
        <v>0.63042876000000003</v>
      </c>
      <c r="F126" s="217">
        <v>8.4513706000000004E-8</v>
      </c>
      <c r="G126">
        <v>9.3012170000000003E-4</v>
      </c>
      <c r="H126">
        <v>3.4931536999999999E-3</v>
      </c>
      <c r="I126">
        <v>7.4740129999999996E-4</v>
      </c>
      <c r="J126">
        <v>0.38315220999999999</v>
      </c>
      <c r="K126">
        <v>8.5923284999999995E-3</v>
      </c>
      <c r="L126">
        <v>19.917826000000002</v>
      </c>
      <c r="M126">
        <v>2.1190384999999999E-3</v>
      </c>
      <c r="N126">
        <v>-1.3680547999999999</v>
      </c>
      <c r="O126">
        <v>0.64816414</v>
      </c>
      <c r="P126">
        <v>-2.0177564000000001</v>
      </c>
      <c r="Q126">
        <v>1.5374778E-3</v>
      </c>
      <c r="R126" s="217">
        <v>9.2498564999999997E-8</v>
      </c>
      <c r="S126">
        <v>4.4896674000000003E-3</v>
      </c>
      <c r="T126" s="217">
        <v>4.2140500000000001E-5</v>
      </c>
      <c r="U126">
        <v>1.2483163000000001E-3</v>
      </c>
      <c r="V126">
        <v>1.3038657E-2</v>
      </c>
      <c r="W126">
        <v>4.3978432000000003E-3</v>
      </c>
      <c r="X126" s="217">
        <v>2.6420813E-6</v>
      </c>
      <c r="Y126">
        <v>10.71733</v>
      </c>
      <c r="Z126">
        <v>0.25284947000000002</v>
      </c>
      <c r="AA126" s="217">
        <v>4.1327501999999998E-8</v>
      </c>
      <c r="AB126">
        <v>3.1105384E-2</v>
      </c>
      <c r="AC126">
        <v>26.351576000000001</v>
      </c>
      <c r="AD126" s="217">
        <v>4.6503716999999997E-9</v>
      </c>
      <c r="AE126" s="217">
        <v>3.9868125E-8</v>
      </c>
      <c r="AF126">
        <v>179.43226000000001</v>
      </c>
      <c r="AG126">
        <v>0</v>
      </c>
      <c r="AH126">
        <v>0</v>
      </c>
      <c r="AI126">
        <v>30.047585000000002</v>
      </c>
      <c r="AJ126">
        <v>0</v>
      </c>
      <c r="AK126">
        <v>0</v>
      </c>
      <c r="AL126">
        <v>11.447312</v>
      </c>
      <c r="AM126">
        <v>0</v>
      </c>
      <c r="AN126">
        <v>0</v>
      </c>
      <c r="AO126">
        <v>0</v>
      </c>
      <c r="AP126">
        <v>7.0562013999999999E-3</v>
      </c>
      <c r="AQ126" s="217">
        <v>2.1344613000000001E-5</v>
      </c>
      <c r="AR126">
        <v>0.17261297</v>
      </c>
      <c r="AS126" s="217">
        <v>3.4708902000000001E-5</v>
      </c>
      <c r="AT126">
        <v>0</v>
      </c>
      <c r="AU126">
        <v>0</v>
      </c>
      <c r="AV126">
        <v>0</v>
      </c>
      <c r="AW126">
        <v>0</v>
      </c>
      <c r="AX126">
        <v>0</v>
      </c>
    </row>
    <row r="127" spans="1:50" x14ac:dyDescent="0.35">
      <c r="A127" t="s">
        <v>922</v>
      </c>
      <c r="B127" s="249">
        <f t="shared" si="1"/>
        <v>0.10040972842355798</v>
      </c>
      <c r="C127" s="217">
        <v>2.1162137999999998E-6</v>
      </c>
      <c r="D127">
        <v>4.9369638999999998E-3</v>
      </c>
      <c r="E127">
        <v>0.55333758</v>
      </c>
      <c r="F127" s="217">
        <v>7.0272444999999995E-8</v>
      </c>
      <c r="G127">
        <v>9.4204486999999995E-4</v>
      </c>
      <c r="H127">
        <v>3.6344265999999998E-3</v>
      </c>
      <c r="I127">
        <v>4.7169538E-4</v>
      </c>
      <c r="J127">
        <v>0.53861141999999995</v>
      </c>
      <c r="K127">
        <v>9.6937540000000006E-3</v>
      </c>
      <c r="L127">
        <v>24.343941999999998</v>
      </c>
      <c r="M127">
        <v>1.3866542E-3</v>
      </c>
      <c r="N127">
        <v>-0.9148984</v>
      </c>
      <c r="O127">
        <v>0.55010176</v>
      </c>
      <c r="P127">
        <v>-1.4663663</v>
      </c>
      <c r="Q127">
        <v>1.3661518E-3</v>
      </c>
      <c r="R127" s="217">
        <v>8.3368805999999995E-8</v>
      </c>
      <c r="S127">
        <v>4.6150595999999997E-3</v>
      </c>
      <c r="T127" s="217">
        <v>2.9180776000000001E-5</v>
      </c>
      <c r="U127">
        <v>7.3818988000000005E-4</v>
      </c>
      <c r="V127">
        <v>1.0788994E-2</v>
      </c>
      <c r="W127">
        <v>3.5282204E-3</v>
      </c>
      <c r="X127" s="217">
        <v>2.1166060999999999E-6</v>
      </c>
      <c r="Y127">
        <v>9.7216740000000001</v>
      </c>
      <c r="Z127">
        <v>0.49101207000000002</v>
      </c>
      <c r="AA127" s="217">
        <v>9.5746519000000006E-8</v>
      </c>
      <c r="AB127">
        <v>2.8060771000000002E-2</v>
      </c>
      <c r="AC127">
        <v>10.732065</v>
      </c>
      <c r="AD127" s="217">
        <v>3.7456494E-9</v>
      </c>
      <c r="AE127" s="217">
        <v>8.9063046E-9</v>
      </c>
      <c r="AF127">
        <v>51.233553000000001</v>
      </c>
      <c r="AG127">
        <v>0</v>
      </c>
      <c r="AH127">
        <v>0</v>
      </c>
      <c r="AI127">
        <v>28.128129999999999</v>
      </c>
      <c r="AJ127">
        <v>0</v>
      </c>
      <c r="AK127">
        <v>0</v>
      </c>
      <c r="AL127">
        <v>10.466354000000001</v>
      </c>
      <c r="AM127">
        <v>0</v>
      </c>
      <c r="AN127">
        <v>0</v>
      </c>
      <c r="AO127">
        <v>0</v>
      </c>
      <c r="AP127">
        <v>1.2553193000000001E-2</v>
      </c>
      <c r="AQ127" s="217">
        <v>1.5662667000000001E-5</v>
      </c>
      <c r="AR127">
        <v>0.10172920000000001</v>
      </c>
      <c r="AS127" s="217">
        <v>3.3459639999999997E-5</v>
      </c>
      <c r="AT127">
        <v>0</v>
      </c>
      <c r="AU127">
        <v>0</v>
      </c>
      <c r="AV127">
        <v>0</v>
      </c>
      <c r="AW127">
        <v>0</v>
      </c>
      <c r="AX127">
        <v>0</v>
      </c>
    </row>
    <row r="128" spans="1:50" x14ac:dyDescent="0.35">
      <c r="A128" t="s">
        <v>923</v>
      </c>
      <c r="B128" s="249">
        <f t="shared" si="1"/>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row>
    <row r="129" spans="1:50" x14ac:dyDescent="0.35">
      <c r="A129" t="s">
        <v>924</v>
      </c>
      <c r="B129" s="249">
        <f t="shared" si="1"/>
        <v>6.4297062719650801E-3</v>
      </c>
      <c r="C129" s="217">
        <v>3.6224737999999998E-8</v>
      </c>
      <c r="D129">
        <v>3.4438167999999999E-4</v>
      </c>
      <c r="E129">
        <v>4.9111567000000002E-2</v>
      </c>
      <c r="F129" s="217">
        <v>8.9459588999999996E-9</v>
      </c>
      <c r="G129" s="217">
        <v>4.647087E-5</v>
      </c>
      <c r="H129">
        <v>3.4709492E-4</v>
      </c>
      <c r="I129" s="217">
        <v>7.7309431E-5</v>
      </c>
      <c r="J129">
        <v>1.8081421E-2</v>
      </c>
      <c r="K129">
        <v>3.0055735999999999E-4</v>
      </c>
      <c r="L129">
        <v>1.0316102</v>
      </c>
      <c r="M129" s="217">
        <v>3.5679144000000002E-5</v>
      </c>
      <c r="N129">
        <v>4.9629566999999999E-2</v>
      </c>
      <c r="O129">
        <v>4.9614498E-2</v>
      </c>
      <c r="P129" s="217">
        <v>9.1775677999999993E-6</v>
      </c>
      <c r="Q129" s="217">
        <v>5.8919509999999998E-6</v>
      </c>
      <c r="R129" s="217">
        <v>1.1261560000000001E-8</v>
      </c>
      <c r="S129">
        <v>4.8239415999999999E-4</v>
      </c>
      <c r="T129" s="217">
        <v>4.3722921E-7</v>
      </c>
      <c r="U129">
        <v>2.0536392999999999E-4</v>
      </c>
      <c r="V129">
        <v>2.2581827999999999E-3</v>
      </c>
      <c r="W129">
        <v>6.2205256000000004E-4</v>
      </c>
      <c r="X129" s="217">
        <v>3.6224827000000003E-8</v>
      </c>
      <c r="Y129">
        <v>0.72579464999999999</v>
      </c>
      <c r="Z129">
        <v>4.1239906999999999E-3</v>
      </c>
      <c r="AA129" s="217">
        <v>1.2154999E-8</v>
      </c>
      <c r="AB129">
        <v>3.1209179999999999E-3</v>
      </c>
      <c r="AC129">
        <v>0.42895878999999998</v>
      </c>
      <c r="AD129" s="217">
        <v>1.5066744E-11</v>
      </c>
      <c r="AE129" s="217">
        <v>4.0902689999999998E-10</v>
      </c>
      <c r="AF129">
        <v>0.17848220000000001</v>
      </c>
      <c r="AG129">
        <v>0</v>
      </c>
      <c r="AH129">
        <v>0</v>
      </c>
      <c r="AI129">
        <v>4.7770460999999997E-3</v>
      </c>
      <c r="AJ129">
        <v>0</v>
      </c>
      <c r="AK129">
        <v>0</v>
      </c>
      <c r="AL129">
        <v>0.77071065999999999</v>
      </c>
      <c r="AM129">
        <v>0</v>
      </c>
      <c r="AN129">
        <v>0</v>
      </c>
      <c r="AO129">
        <v>0</v>
      </c>
      <c r="AP129">
        <v>1.0590337E-4</v>
      </c>
      <c r="AQ129" s="217">
        <v>3.4683505999999997E-7</v>
      </c>
      <c r="AR129">
        <v>8.0953174999999992E-3</v>
      </c>
      <c r="AS129" s="217">
        <v>5.0141601999999998E-6</v>
      </c>
      <c r="AT129">
        <v>0</v>
      </c>
      <c r="AU129">
        <v>0</v>
      </c>
      <c r="AV129">
        <v>0</v>
      </c>
      <c r="AW129">
        <v>0</v>
      </c>
      <c r="AX129">
        <v>0</v>
      </c>
    </row>
    <row r="130" spans="1:50" x14ac:dyDescent="0.35">
      <c r="A130" t="s">
        <v>925</v>
      </c>
      <c r="B130" s="249">
        <f t="shared" si="1"/>
        <v>4.4691137193102394E-2</v>
      </c>
      <c r="C130" s="217">
        <v>3.5537514E-7</v>
      </c>
      <c r="D130">
        <v>1.9823505000000001E-3</v>
      </c>
      <c r="E130">
        <v>0.33433260999999997</v>
      </c>
      <c r="F130" s="217">
        <v>4.0039515999999998E-8</v>
      </c>
      <c r="G130">
        <v>2.8531573000000003E-4</v>
      </c>
      <c r="H130">
        <v>2.8375519000000001E-3</v>
      </c>
      <c r="I130">
        <v>3.6600184999999999E-4</v>
      </c>
      <c r="J130">
        <v>0.12717194000000001</v>
      </c>
      <c r="K130">
        <v>2.4113738999999999E-3</v>
      </c>
      <c r="L130">
        <v>8.9234329999999993</v>
      </c>
      <c r="M130">
        <v>5.1762900999999999E-4</v>
      </c>
      <c r="N130">
        <v>-1.6260573</v>
      </c>
      <c r="O130">
        <v>0.28434091</v>
      </c>
      <c r="P130">
        <v>-1.9107943000000001</v>
      </c>
      <c r="Q130">
        <v>3.9605652999999999E-4</v>
      </c>
      <c r="R130" s="217">
        <v>4.8854241000000003E-8</v>
      </c>
      <c r="S130">
        <v>3.5735471999999999E-3</v>
      </c>
      <c r="T130" s="217">
        <v>8.5694461000000004E-6</v>
      </c>
      <c r="U130">
        <v>8.8911212999999998E-4</v>
      </c>
      <c r="V130">
        <v>1.0048563E-2</v>
      </c>
      <c r="W130">
        <v>2.8264086000000001E-3</v>
      </c>
      <c r="X130" s="217">
        <v>3.5533078000000002E-7</v>
      </c>
      <c r="Y130">
        <v>4.0773929000000004</v>
      </c>
      <c r="Z130">
        <v>3.7948448000000003E-2</v>
      </c>
      <c r="AA130" s="217">
        <v>4.7403866000000002E-8</v>
      </c>
      <c r="AB130">
        <v>1.8443350000000001E-2</v>
      </c>
      <c r="AC130">
        <v>3.8731005999999999</v>
      </c>
      <c r="AD130" s="217">
        <v>1.3804032E-10</v>
      </c>
      <c r="AE130" s="217">
        <v>3.1326000000000001E-9</v>
      </c>
      <c r="AF130">
        <v>358.24869000000001</v>
      </c>
      <c r="AG130">
        <v>0</v>
      </c>
      <c r="AH130">
        <v>0</v>
      </c>
      <c r="AI130">
        <v>58.298574000000002</v>
      </c>
      <c r="AJ130">
        <v>0</v>
      </c>
      <c r="AK130">
        <v>0</v>
      </c>
      <c r="AL130">
        <v>4.3276794000000001</v>
      </c>
      <c r="AM130">
        <v>0</v>
      </c>
      <c r="AN130">
        <v>0</v>
      </c>
      <c r="AO130">
        <v>0</v>
      </c>
      <c r="AP130">
        <v>1.2425423E-3</v>
      </c>
      <c r="AQ130" s="217">
        <v>7.7379897000000006E-6</v>
      </c>
      <c r="AR130">
        <v>5.8299781000000002E-2</v>
      </c>
      <c r="AS130" s="217">
        <v>2.4560453000000001E-5</v>
      </c>
      <c r="AT130">
        <v>0</v>
      </c>
      <c r="AU130">
        <v>0</v>
      </c>
      <c r="AV130">
        <v>0</v>
      </c>
      <c r="AW130">
        <v>0</v>
      </c>
      <c r="AX130">
        <v>0</v>
      </c>
    </row>
    <row r="131" spans="1:50" x14ac:dyDescent="0.35">
      <c r="A131" t="s">
        <v>926</v>
      </c>
      <c r="B131" s="249">
        <f t="shared" si="1"/>
        <v>4.4229586234267607E-2</v>
      </c>
      <c r="C131" s="217">
        <v>4.0709135999999998E-7</v>
      </c>
      <c r="D131">
        <v>1.9368129999999999E-3</v>
      </c>
      <c r="E131">
        <v>0.27304545000000002</v>
      </c>
      <c r="F131" s="217">
        <v>4.0688435000000003E-8</v>
      </c>
      <c r="G131">
        <v>3.8504510000000002E-4</v>
      </c>
      <c r="H131">
        <v>3.2634055000000002E-3</v>
      </c>
      <c r="I131">
        <v>3.9349007000000002E-4</v>
      </c>
      <c r="J131">
        <v>0.13021240000000001</v>
      </c>
      <c r="K131">
        <v>3.8807273000000002E-3</v>
      </c>
      <c r="L131">
        <v>10.131093999999999</v>
      </c>
      <c r="M131">
        <v>8.7279695999999997E-4</v>
      </c>
      <c r="N131">
        <v>-1.3954002000000001</v>
      </c>
      <c r="O131">
        <v>0.27597321000000002</v>
      </c>
      <c r="P131">
        <v>-1.6728647000000001</v>
      </c>
      <c r="Q131">
        <v>1.4913033999999999E-3</v>
      </c>
      <c r="R131" s="217">
        <v>5.0164285999999997E-8</v>
      </c>
      <c r="S131">
        <v>4.0710440999999998E-3</v>
      </c>
      <c r="T131" s="217">
        <v>7.2882761000000003E-6</v>
      </c>
      <c r="U131">
        <v>9.5692675000000002E-4</v>
      </c>
      <c r="V131">
        <v>1.0756673E-2</v>
      </c>
      <c r="W131">
        <v>3.1555221E-3</v>
      </c>
      <c r="X131" s="217">
        <v>4.0677675999999999E-7</v>
      </c>
      <c r="Y131">
        <v>3.9623132000000001</v>
      </c>
      <c r="Z131">
        <v>3.5782016999999999E-2</v>
      </c>
      <c r="AA131" s="217">
        <v>4.6309812999999999E-8</v>
      </c>
      <c r="AB131">
        <v>1.7367569999999999E-2</v>
      </c>
      <c r="AC131">
        <v>4.9570599</v>
      </c>
      <c r="AD131" s="217">
        <v>1.6504336000000001E-10</v>
      </c>
      <c r="AE131" s="217">
        <v>4.5729965000000004E-9</v>
      </c>
      <c r="AF131">
        <v>101.30077</v>
      </c>
      <c r="AG131">
        <v>0</v>
      </c>
      <c r="AH131">
        <v>0</v>
      </c>
      <c r="AI131">
        <v>19.82405</v>
      </c>
      <c r="AJ131">
        <v>0</v>
      </c>
      <c r="AK131">
        <v>0</v>
      </c>
      <c r="AL131">
        <v>4.2102751999999999</v>
      </c>
      <c r="AM131">
        <v>0</v>
      </c>
      <c r="AN131">
        <v>0</v>
      </c>
      <c r="AO131">
        <v>0</v>
      </c>
      <c r="AP131">
        <v>1.1069406E-3</v>
      </c>
      <c r="AQ131" s="217">
        <v>4.9057913999999998E-6</v>
      </c>
      <c r="AR131">
        <v>9.0015689999999995E-2</v>
      </c>
      <c r="AS131" s="217">
        <v>2.4197918E-5</v>
      </c>
      <c r="AT131">
        <v>0</v>
      </c>
      <c r="AU131">
        <v>0</v>
      </c>
      <c r="AV131">
        <v>0</v>
      </c>
      <c r="AW131">
        <v>0</v>
      </c>
      <c r="AX131">
        <v>0</v>
      </c>
    </row>
    <row r="132" spans="1:50" x14ac:dyDescent="0.35">
      <c r="A132" t="s">
        <v>927</v>
      </c>
      <c r="B132" s="249">
        <f t="shared" si="1"/>
        <v>0.25765725066948997</v>
      </c>
      <c r="C132" s="217">
        <v>1.7817180000000001E-6</v>
      </c>
      <c r="D132">
        <v>6.5015908000000001E-3</v>
      </c>
      <c r="E132">
        <v>0.49819493999999998</v>
      </c>
      <c r="F132" s="217">
        <v>6.3649686999999994E-8</v>
      </c>
      <c r="G132">
        <v>6.6123057000000004E-3</v>
      </c>
      <c r="H132">
        <v>2.3707598999999999E-3</v>
      </c>
      <c r="I132">
        <v>4.1248069000000002E-4</v>
      </c>
      <c r="J132">
        <v>0.62631249</v>
      </c>
      <c r="K132">
        <v>4.9183200999999999</v>
      </c>
      <c r="L132">
        <v>13.121378999999999</v>
      </c>
      <c r="M132">
        <v>9.2020610000000005E-4</v>
      </c>
      <c r="N132">
        <v>-1.8607625000000001</v>
      </c>
      <c r="O132">
        <v>0.52428898000000002</v>
      </c>
      <c r="P132">
        <v>-2.3861987</v>
      </c>
      <c r="Q132">
        <v>1.1472729000000001E-3</v>
      </c>
      <c r="R132" s="217">
        <v>6.0881261999999998E-8</v>
      </c>
      <c r="S132">
        <v>2.9795501000000001E-3</v>
      </c>
      <c r="T132" s="217">
        <v>4.7601178999999997E-5</v>
      </c>
      <c r="U132">
        <v>6.6441644000000001E-4</v>
      </c>
      <c r="V132">
        <v>7.8324984000000004E-3</v>
      </c>
      <c r="W132">
        <v>1.5628547E-2</v>
      </c>
      <c r="X132" s="217">
        <v>1.7815516999999999E-6</v>
      </c>
      <c r="Y132">
        <v>10.287815</v>
      </c>
      <c r="Z132">
        <v>0.65645403000000002</v>
      </c>
      <c r="AA132" s="217">
        <v>8.0987882999999996E-8</v>
      </c>
      <c r="AB132">
        <v>1.6203085999999998E-2</v>
      </c>
      <c r="AC132">
        <v>620.54418999999996</v>
      </c>
      <c r="AD132" s="217">
        <v>4.6449374999999998E-8</v>
      </c>
      <c r="AE132" s="217">
        <v>1.1583837000000001E-8</v>
      </c>
      <c r="AF132">
        <v>215.34734</v>
      </c>
      <c r="AG132">
        <v>0</v>
      </c>
      <c r="AH132">
        <v>0</v>
      </c>
      <c r="AI132">
        <v>29.628601</v>
      </c>
      <c r="AJ132">
        <v>0</v>
      </c>
      <c r="AK132">
        <v>0</v>
      </c>
      <c r="AL132">
        <v>10.920883999999999</v>
      </c>
      <c r="AM132">
        <v>0</v>
      </c>
      <c r="AN132">
        <v>0</v>
      </c>
      <c r="AO132">
        <v>0</v>
      </c>
      <c r="AP132">
        <v>1.5841073000000001E-2</v>
      </c>
      <c r="AQ132" s="217">
        <v>1.2428098999999999E-5</v>
      </c>
      <c r="AR132">
        <v>7.9527972000000002E-2</v>
      </c>
      <c r="AS132" s="217">
        <v>1.8332478000000001E-5</v>
      </c>
      <c r="AT132">
        <v>0</v>
      </c>
      <c r="AU132">
        <v>0</v>
      </c>
      <c r="AV132">
        <v>0</v>
      </c>
      <c r="AW132">
        <v>0</v>
      </c>
      <c r="AX132">
        <v>0</v>
      </c>
    </row>
    <row r="133" spans="1:50" x14ac:dyDescent="0.35">
      <c r="A133" t="s">
        <v>928</v>
      </c>
      <c r="B133" s="249">
        <f t="shared" si="1"/>
        <v>6.7921607234570011E-2</v>
      </c>
      <c r="C133" s="217">
        <v>1.2227094E-5</v>
      </c>
      <c r="D133">
        <v>2.3901918000000001E-3</v>
      </c>
      <c r="E133">
        <v>0.36263514000000002</v>
      </c>
      <c r="F133" s="217">
        <v>3.2191951000000002E-8</v>
      </c>
      <c r="G133">
        <v>3.1354266000000001E-4</v>
      </c>
      <c r="H133">
        <v>3.0196936000000001E-3</v>
      </c>
      <c r="I133">
        <v>6.2825485000000004E-4</v>
      </c>
      <c r="J133">
        <v>0.31048012000000003</v>
      </c>
      <c r="K133">
        <v>8.9442579000000005E-3</v>
      </c>
      <c r="L133">
        <v>27.473434000000001</v>
      </c>
      <c r="M133">
        <v>1.4243691E-3</v>
      </c>
      <c r="N133">
        <v>-2.4937090999999998</v>
      </c>
      <c r="O133">
        <v>0.36788989</v>
      </c>
      <c r="P133">
        <v>-2.8629419</v>
      </c>
      <c r="Q133">
        <v>1.3428595E-3</v>
      </c>
      <c r="R133" s="217">
        <v>3.7843093000000003E-8</v>
      </c>
      <c r="S133">
        <v>3.7026219E-3</v>
      </c>
      <c r="T133">
        <v>1.1671951E-4</v>
      </c>
      <c r="U133">
        <v>6.3810769999999998E-4</v>
      </c>
      <c r="V133">
        <v>7.7706158999999997E-3</v>
      </c>
      <c r="W133">
        <v>2.1462398000000001E-3</v>
      </c>
      <c r="X133" s="217">
        <v>1.2227354E-5</v>
      </c>
      <c r="Y133">
        <v>4.5321347999999997</v>
      </c>
      <c r="Z133">
        <v>0.11712154</v>
      </c>
      <c r="AA133" s="217">
        <v>7.4539591999999993E-8</v>
      </c>
      <c r="AB133">
        <v>1.7189999000000001E-2</v>
      </c>
      <c r="AC133">
        <v>18.289508999999999</v>
      </c>
      <c r="AD133" s="217">
        <v>5.6622457000000002E-9</v>
      </c>
      <c r="AE133" s="217">
        <v>1.7464201000000001E-8</v>
      </c>
      <c r="AF133">
        <v>254.50387000000001</v>
      </c>
      <c r="AG133">
        <v>0</v>
      </c>
      <c r="AH133">
        <v>0</v>
      </c>
      <c r="AI133">
        <v>35.051389999999998</v>
      </c>
      <c r="AJ133">
        <v>0</v>
      </c>
      <c r="AK133">
        <v>0</v>
      </c>
      <c r="AL133">
        <v>4.8318143999999998</v>
      </c>
      <c r="AM133">
        <v>0</v>
      </c>
      <c r="AN133">
        <v>0</v>
      </c>
      <c r="AO133">
        <v>0</v>
      </c>
      <c r="AP133">
        <v>3.3515372E-3</v>
      </c>
      <c r="AQ133" s="217">
        <v>1.2265979999999999E-5</v>
      </c>
      <c r="AR133">
        <v>0.12532302000000001</v>
      </c>
      <c r="AS133" s="217">
        <v>1.9222077000000001E-5</v>
      </c>
      <c r="AT133">
        <v>0</v>
      </c>
      <c r="AU133">
        <v>0</v>
      </c>
      <c r="AV133">
        <v>0</v>
      </c>
      <c r="AW133">
        <v>0</v>
      </c>
      <c r="AX133">
        <v>0</v>
      </c>
    </row>
    <row r="134" spans="1:50" x14ac:dyDescent="0.35">
      <c r="A134" t="s">
        <v>929</v>
      </c>
      <c r="B134" s="249">
        <f t="shared" ref="B134:B197" si="2">(C134*0.16)+(D134*0.16)+(E134*0.05)+(F134*30)+(G134*2)+(H134*4)+(I134*9)+(J134*0.09)+(K134*0.03)+(L134*0.0001)+(M134*0.06)</f>
        <v>2.9746360569515198E-2</v>
      </c>
      <c r="C134" s="217">
        <v>9.2793946999999997E-7</v>
      </c>
      <c r="D134">
        <v>1.6261721E-3</v>
      </c>
      <c r="E134">
        <v>0.23058202</v>
      </c>
      <c r="F134" s="217">
        <v>2.501164E-8</v>
      </c>
      <c r="G134">
        <v>2.2065784999999999E-4</v>
      </c>
      <c r="H134">
        <v>1.2623635E-3</v>
      </c>
      <c r="I134">
        <v>2.3105660999999999E-4</v>
      </c>
      <c r="J134">
        <v>0.1062584</v>
      </c>
      <c r="K134">
        <v>2.7138501999999999E-3</v>
      </c>
      <c r="L134">
        <v>6.9319658000000004</v>
      </c>
      <c r="M134">
        <v>8.004323E-4</v>
      </c>
      <c r="N134">
        <v>-2.7385370999999998</v>
      </c>
      <c r="O134">
        <v>0.23362193000000001</v>
      </c>
      <c r="P134">
        <v>-2.9734359000000001</v>
      </c>
      <c r="Q134">
        <v>1.2768888E-3</v>
      </c>
      <c r="R134" s="217">
        <v>2.9819408000000002E-8</v>
      </c>
      <c r="S134">
        <v>1.6546041000000001E-3</v>
      </c>
      <c r="T134" s="217">
        <v>1.0885318999999999E-5</v>
      </c>
      <c r="U134">
        <v>4.7954686E-4</v>
      </c>
      <c r="V134">
        <v>5.5992304000000003E-3</v>
      </c>
      <c r="W134">
        <v>1.6187462E-3</v>
      </c>
      <c r="X134" s="217">
        <v>9.2771612999999999E-7</v>
      </c>
      <c r="Y134">
        <v>3.1756940999999999</v>
      </c>
      <c r="Z134">
        <v>3.6932054999999998E-2</v>
      </c>
      <c r="AA134" s="217">
        <v>6.7175324000000002E-8</v>
      </c>
      <c r="AB134">
        <v>1.3543417E-2</v>
      </c>
      <c r="AC134">
        <v>4.8454714000000001</v>
      </c>
      <c r="AD134" s="217">
        <v>1.8967152999999999E-10</v>
      </c>
      <c r="AE134" s="217">
        <v>4.3378369999999999E-9</v>
      </c>
      <c r="AF134">
        <v>262.55838999999997</v>
      </c>
      <c r="AG134">
        <v>0</v>
      </c>
      <c r="AH134">
        <v>0</v>
      </c>
      <c r="AI134">
        <v>36.263032000000003</v>
      </c>
      <c r="AJ134">
        <v>0</v>
      </c>
      <c r="AK134">
        <v>0</v>
      </c>
      <c r="AL134">
        <v>3.3759386999999998</v>
      </c>
      <c r="AM134">
        <v>0</v>
      </c>
      <c r="AN134">
        <v>0</v>
      </c>
      <c r="AO134">
        <v>0</v>
      </c>
      <c r="AP134">
        <v>1.3266401000000001E-3</v>
      </c>
      <c r="AQ134" s="217">
        <v>9.9350504000000005E-6</v>
      </c>
      <c r="AR134">
        <v>6.6792239000000003E-2</v>
      </c>
      <c r="AS134" s="217">
        <v>1.5876954000000001E-5</v>
      </c>
      <c r="AT134">
        <v>0</v>
      </c>
      <c r="AU134">
        <v>0</v>
      </c>
      <c r="AV134">
        <v>0</v>
      </c>
      <c r="AW134">
        <v>0</v>
      </c>
      <c r="AX134">
        <v>0</v>
      </c>
    </row>
    <row r="135" spans="1:50" x14ac:dyDescent="0.35">
      <c r="A135" t="s">
        <v>930</v>
      </c>
      <c r="B135" s="249">
        <f t="shared" si="2"/>
        <v>6.8008766636525997E-2</v>
      </c>
      <c r="C135" s="217">
        <v>1.4706310999999999E-6</v>
      </c>
      <c r="D135">
        <v>3.8214999999999998E-3</v>
      </c>
      <c r="E135">
        <v>0.51101023000000001</v>
      </c>
      <c r="F135" s="217">
        <v>6.3548185000000004E-8</v>
      </c>
      <c r="G135">
        <v>5.9565184E-4</v>
      </c>
      <c r="H135">
        <v>3.0469387000000001E-3</v>
      </c>
      <c r="I135">
        <v>6.0599695999999999E-4</v>
      </c>
      <c r="J135">
        <v>0.23234221999999999</v>
      </c>
      <c r="K135">
        <v>7.1538699999999997E-3</v>
      </c>
      <c r="L135">
        <v>17.814250000000001</v>
      </c>
      <c r="M135">
        <v>1.7466895E-3</v>
      </c>
      <c r="N135">
        <v>-3.0057344000000001</v>
      </c>
      <c r="O135">
        <v>0.51661551999999999</v>
      </c>
      <c r="P135">
        <v>-3.5243923000000001</v>
      </c>
      <c r="Q135">
        <v>2.0423277999999999E-3</v>
      </c>
      <c r="R135" s="217">
        <v>7.2664618E-8</v>
      </c>
      <c r="S135">
        <v>4.0628670000000004E-3</v>
      </c>
      <c r="T135" s="217">
        <v>2.8724017000000001E-5</v>
      </c>
      <c r="U135">
        <v>1.1195885000000001E-3</v>
      </c>
      <c r="V135">
        <v>1.3979715E-2</v>
      </c>
      <c r="W135">
        <v>3.7332144E-3</v>
      </c>
      <c r="X135" s="217">
        <v>1.4704029000000001E-6</v>
      </c>
      <c r="Y135">
        <v>8.0711583000000005</v>
      </c>
      <c r="Z135">
        <v>0.19374786999999999</v>
      </c>
      <c r="AA135" s="217">
        <v>1.7879114999999999E-7</v>
      </c>
      <c r="AB135">
        <v>3.9762565999999999E-2</v>
      </c>
      <c r="AC135">
        <v>16.194371</v>
      </c>
      <c r="AD135" s="217">
        <v>1.3621256E-9</v>
      </c>
      <c r="AE135" s="217">
        <v>1.3877020000000001E-8</v>
      </c>
      <c r="AF135">
        <v>324.21821</v>
      </c>
      <c r="AG135">
        <v>0</v>
      </c>
      <c r="AH135">
        <v>0</v>
      </c>
      <c r="AI135">
        <v>48.049872999999998</v>
      </c>
      <c r="AJ135">
        <v>0</v>
      </c>
      <c r="AK135">
        <v>0</v>
      </c>
      <c r="AL135">
        <v>8.5847233999999997</v>
      </c>
      <c r="AM135">
        <v>0</v>
      </c>
      <c r="AN135">
        <v>0</v>
      </c>
      <c r="AO135">
        <v>0</v>
      </c>
      <c r="AP135">
        <v>5.9692946000000002E-3</v>
      </c>
      <c r="AQ135" s="217">
        <v>2.0057522999999999E-5</v>
      </c>
      <c r="AR135">
        <v>0.14931090999999999</v>
      </c>
      <c r="AS135" s="217">
        <v>4.3211660999999998E-5</v>
      </c>
      <c r="AT135">
        <v>0</v>
      </c>
      <c r="AU135">
        <v>0</v>
      </c>
      <c r="AV135">
        <v>0</v>
      </c>
      <c r="AW135">
        <v>0</v>
      </c>
      <c r="AX135">
        <v>0</v>
      </c>
    </row>
    <row r="136" spans="1:50" x14ac:dyDescent="0.35">
      <c r="A136" t="s">
        <v>931</v>
      </c>
      <c r="B136" s="249">
        <f t="shared" si="2"/>
        <v>0.94421406357009996</v>
      </c>
      <c r="C136">
        <v>2.9806921000000001E-4</v>
      </c>
      <c r="D136">
        <v>1.4859870000000001E-2</v>
      </c>
      <c r="E136">
        <v>2.7508156000000001</v>
      </c>
      <c r="F136" s="217">
        <v>1.6720455E-7</v>
      </c>
      <c r="G136">
        <v>2.4194217E-3</v>
      </c>
      <c r="H136">
        <v>4.3717641000000002E-2</v>
      </c>
      <c r="I136">
        <v>1.027278E-2</v>
      </c>
      <c r="J136">
        <v>5.2667567000000002</v>
      </c>
      <c r="K136">
        <v>0.15889512</v>
      </c>
      <c r="L136">
        <v>523.69569999999999</v>
      </c>
      <c r="M136">
        <v>1.5567386000000001E-2</v>
      </c>
      <c r="N136">
        <v>2.7994648999999998</v>
      </c>
      <c r="O136">
        <v>2.7957174</v>
      </c>
      <c r="P136">
        <v>2.3854522000000002E-3</v>
      </c>
      <c r="Q136">
        <v>1.362048E-3</v>
      </c>
      <c r="R136" s="217">
        <v>1.9317208E-7</v>
      </c>
      <c r="S136">
        <v>5.0823497000000002E-2</v>
      </c>
      <c r="T136">
        <v>2.7868372E-3</v>
      </c>
      <c r="U136">
        <v>3.6953012999999999E-3</v>
      </c>
      <c r="V136">
        <v>5.1804635000000002E-2</v>
      </c>
      <c r="W136">
        <v>1.2922135E-2</v>
      </c>
      <c r="X136">
        <v>2.9808179E-4</v>
      </c>
      <c r="Y136">
        <v>26.941666000000001</v>
      </c>
      <c r="Z136">
        <v>1.3409833</v>
      </c>
      <c r="AA136" s="217">
        <v>2.1834108000000001E-7</v>
      </c>
      <c r="AB136">
        <v>6.4714963E-2</v>
      </c>
      <c r="AC136">
        <v>345.88929000000002</v>
      </c>
      <c r="AD136" s="217">
        <v>1.4659309E-7</v>
      </c>
      <c r="AE136" s="217">
        <v>3.4540181000000001E-7</v>
      </c>
      <c r="AF136">
        <v>15.991336</v>
      </c>
      <c r="AG136">
        <v>0</v>
      </c>
      <c r="AH136">
        <v>0</v>
      </c>
      <c r="AI136">
        <v>2.4212240999999999</v>
      </c>
      <c r="AJ136">
        <v>0</v>
      </c>
      <c r="AK136">
        <v>0</v>
      </c>
      <c r="AL136">
        <v>28.986003</v>
      </c>
      <c r="AM136">
        <v>0</v>
      </c>
      <c r="AN136">
        <v>0</v>
      </c>
      <c r="AO136">
        <v>0</v>
      </c>
      <c r="AP136">
        <v>3.3570863999999999E-2</v>
      </c>
      <c r="AQ136" s="217">
        <v>4.9319476000000002E-5</v>
      </c>
      <c r="AR136">
        <v>1.4965098999999999</v>
      </c>
      <c r="AS136" s="217">
        <v>7.2398534999999997E-5</v>
      </c>
      <c r="AT136">
        <v>0</v>
      </c>
      <c r="AU136">
        <v>0</v>
      </c>
      <c r="AV136">
        <v>0</v>
      </c>
      <c r="AW136">
        <v>0</v>
      </c>
      <c r="AX136">
        <v>0</v>
      </c>
    </row>
    <row r="137" spans="1:50" x14ac:dyDescent="0.35">
      <c r="A137" t="s">
        <v>932</v>
      </c>
      <c r="B137" s="249">
        <f t="shared" si="2"/>
        <v>0.12931355205512998</v>
      </c>
      <c r="C137" s="217">
        <v>2.2460510000000001E-6</v>
      </c>
      <c r="D137">
        <v>7.9188987999999991E-3</v>
      </c>
      <c r="E137">
        <v>1.0679639999999999</v>
      </c>
      <c r="F137" s="217">
        <v>6.0292298999999994E-8</v>
      </c>
      <c r="G137">
        <v>1.0847325000000001E-3</v>
      </c>
      <c r="H137">
        <v>6.0531392E-3</v>
      </c>
      <c r="I137">
        <v>7.9797655000000002E-4</v>
      </c>
      <c r="J137">
        <v>0.41844458000000001</v>
      </c>
      <c r="K137">
        <v>1.013322E-2</v>
      </c>
      <c r="L137">
        <v>29.614912</v>
      </c>
      <c r="M137">
        <v>2.6141559999999999E-3</v>
      </c>
      <c r="N137">
        <v>-0.19892249000000001</v>
      </c>
      <c r="O137">
        <v>1.0886826000000001</v>
      </c>
      <c r="P137">
        <v>-1.2898882</v>
      </c>
      <c r="Q137">
        <v>2.2830777999999999E-3</v>
      </c>
      <c r="R137" s="217">
        <v>6.6667196999999997E-8</v>
      </c>
      <c r="S137">
        <v>7.4705409000000002E-3</v>
      </c>
      <c r="T137" s="217">
        <v>6.0292443000000003E-5</v>
      </c>
      <c r="U137">
        <v>1.309532E-3</v>
      </c>
      <c r="V137">
        <v>1.6006155000000001E-2</v>
      </c>
      <c r="W137">
        <v>5.1791989999999998E-3</v>
      </c>
      <c r="X137" s="217">
        <v>2.2341575000000001E-6</v>
      </c>
      <c r="Y137">
        <v>14.383093000000001</v>
      </c>
      <c r="Z137">
        <v>0.37739526000000001</v>
      </c>
      <c r="AA137" s="217">
        <v>8.5463997999999996E-8</v>
      </c>
      <c r="AB137">
        <v>3.8188883E-2</v>
      </c>
      <c r="AC137">
        <v>28.292007000000002</v>
      </c>
      <c r="AD137" s="217">
        <v>1.5708412999999999E-9</v>
      </c>
      <c r="AE137" s="217">
        <v>1.7452158E-8</v>
      </c>
      <c r="AF137">
        <v>81.998047999999997</v>
      </c>
      <c r="AG137">
        <v>0</v>
      </c>
      <c r="AH137">
        <v>0</v>
      </c>
      <c r="AI137">
        <v>19.895562999999999</v>
      </c>
      <c r="AJ137">
        <v>0</v>
      </c>
      <c r="AK137">
        <v>0</v>
      </c>
      <c r="AL137">
        <v>15.338956</v>
      </c>
      <c r="AM137">
        <v>0</v>
      </c>
      <c r="AN137">
        <v>0</v>
      </c>
      <c r="AO137">
        <v>0</v>
      </c>
      <c r="AP137">
        <v>1.1302272E-2</v>
      </c>
      <c r="AQ137" s="217">
        <v>2.3048130999999999E-5</v>
      </c>
      <c r="AR137">
        <v>0.15199330999999999</v>
      </c>
      <c r="AS137" s="217">
        <v>3.7719200999999999E-5</v>
      </c>
      <c r="AT137">
        <v>0</v>
      </c>
      <c r="AU137">
        <v>0</v>
      </c>
      <c r="AV137">
        <v>0</v>
      </c>
      <c r="AW137">
        <v>0</v>
      </c>
      <c r="AX137">
        <v>0</v>
      </c>
    </row>
    <row r="138" spans="1:50" x14ac:dyDescent="0.35">
      <c r="A138" t="s">
        <v>933</v>
      </c>
      <c r="B138" s="249">
        <f t="shared" si="2"/>
        <v>6.60433878258396E-2</v>
      </c>
      <c r="C138" s="217">
        <v>7.5120305999999999E-7</v>
      </c>
      <c r="D138">
        <v>3.2799081999999999E-3</v>
      </c>
      <c r="E138">
        <v>0.74493281</v>
      </c>
      <c r="F138" s="217">
        <v>3.9921485000000003E-8</v>
      </c>
      <c r="G138">
        <v>3.3436054999999999E-4</v>
      </c>
      <c r="H138">
        <v>2.0771353E-3</v>
      </c>
      <c r="I138">
        <v>3.1507455000000001E-4</v>
      </c>
      <c r="J138">
        <v>0.16882359999999999</v>
      </c>
      <c r="K138">
        <v>2.9459307000000001E-3</v>
      </c>
      <c r="L138">
        <v>11.15855</v>
      </c>
      <c r="M138">
        <v>9.8923342999999997E-4</v>
      </c>
      <c r="N138">
        <v>0.64855646</v>
      </c>
      <c r="O138">
        <v>0.75210547999999999</v>
      </c>
      <c r="P138">
        <v>-0.10386405</v>
      </c>
      <c r="Q138">
        <v>3.1504029999999999E-4</v>
      </c>
      <c r="R138" s="217">
        <v>4.769999E-8</v>
      </c>
      <c r="S138">
        <v>2.6529481000000001E-3</v>
      </c>
      <c r="T138" s="217">
        <v>1.6210421000000001E-5</v>
      </c>
      <c r="U138">
        <v>6.4503599000000002E-4</v>
      </c>
      <c r="V138">
        <v>7.6906366E-3</v>
      </c>
      <c r="W138">
        <v>2.2816783000000002E-3</v>
      </c>
      <c r="X138" s="217">
        <v>7.5123766999999996E-7</v>
      </c>
      <c r="Y138">
        <v>6.4016393999999996</v>
      </c>
      <c r="Z138">
        <v>0.15140786000000001</v>
      </c>
      <c r="AA138" s="217">
        <v>2.6601238000000001E-8</v>
      </c>
      <c r="AB138">
        <v>1.7978909000000001E-2</v>
      </c>
      <c r="AC138">
        <v>7.3467475999999996</v>
      </c>
      <c r="AD138" s="217">
        <v>3.3784576000000001E-10</v>
      </c>
      <c r="AE138" s="217">
        <v>6.4443052000000002E-9</v>
      </c>
      <c r="AF138">
        <v>9.8710885000000008</v>
      </c>
      <c r="AG138">
        <v>0</v>
      </c>
      <c r="AH138">
        <v>0</v>
      </c>
      <c r="AI138">
        <v>1.7571665000000001</v>
      </c>
      <c r="AJ138">
        <v>0</v>
      </c>
      <c r="AK138">
        <v>0</v>
      </c>
      <c r="AL138">
        <v>6.8198505999999997</v>
      </c>
      <c r="AM138">
        <v>0</v>
      </c>
      <c r="AN138">
        <v>0</v>
      </c>
      <c r="AO138">
        <v>0</v>
      </c>
      <c r="AP138">
        <v>3.5712424999999998E-3</v>
      </c>
      <c r="AQ138" s="217">
        <v>1.0446403E-5</v>
      </c>
      <c r="AR138">
        <v>8.7602464000000005E-2</v>
      </c>
      <c r="AS138" s="217">
        <v>2.3148841999999999E-5</v>
      </c>
      <c r="AT138">
        <v>0</v>
      </c>
      <c r="AU138">
        <v>0</v>
      </c>
      <c r="AV138">
        <v>0</v>
      </c>
      <c r="AW138">
        <v>0</v>
      </c>
      <c r="AX138">
        <v>0</v>
      </c>
    </row>
    <row r="139" spans="1:50" x14ac:dyDescent="0.35">
      <c r="A139" t="s">
        <v>934</v>
      </c>
      <c r="B139" s="249">
        <f t="shared" si="2"/>
        <v>4.8389420270132801E-2</v>
      </c>
      <c r="C139" s="217">
        <v>6.9088457999999999E-7</v>
      </c>
      <c r="D139">
        <v>2.3073859000000002E-3</v>
      </c>
      <c r="E139">
        <v>0.54763165999999996</v>
      </c>
      <c r="F139" s="217">
        <v>3.1079399999999998E-8</v>
      </c>
      <c r="G139">
        <v>1.8337868000000001E-4</v>
      </c>
      <c r="H139">
        <v>1.609914E-3</v>
      </c>
      <c r="I139">
        <v>2.4376249000000001E-4</v>
      </c>
      <c r="J139">
        <v>0.11823067</v>
      </c>
      <c r="K139">
        <v>2.1925088E-3</v>
      </c>
      <c r="L139">
        <v>8.8368126999999994</v>
      </c>
      <c r="M139">
        <v>7.8533330999999999E-4</v>
      </c>
      <c r="N139">
        <v>0.46772606</v>
      </c>
      <c r="O139">
        <v>0.55278541999999997</v>
      </c>
      <c r="P139">
        <v>-8.5275382999999996E-2</v>
      </c>
      <c r="Q139">
        <v>2.1602146E-4</v>
      </c>
      <c r="R139" s="217">
        <v>3.7370631000000002E-8</v>
      </c>
      <c r="S139">
        <v>2.0546785000000001E-3</v>
      </c>
      <c r="T139" s="217">
        <v>1.2675097E-5</v>
      </c>
      <c r="U139">
        <v>5.0641339E-4</v>
      </c>
      <c r="V139">
        <v>5.9861897999999997E-3</v>
      </c>
      <c r="W139">
        <v>1.6367180999999999E-3</v>
      </c>
      <c r="X139" s="217">
        <v>6.9090160000000001E-7</v>
      </c>
      <c r="Y139">
        <v>4.4579165999999999</v>
      </c>
      <c r="Z139">
        <v>9.6475438999999996E-2</v>
      </c>
      <c r="AA139" s="217">
        <v>1.9926093999999999E-8</v>
      </c>
      <c r="AB139">
        <v>1.4512880000000001E-2</v>
      </c>
      <c r="AC139">
        <v>5.7438545999999997</v>
      </c>
      <c r="AD139" s="217">
        <v>2.1094111E-10</v>
      </c>
      <c r="AE139" s="217">
        <v>5.0629070999999997E-9</v>
      </c>
      <c r="AF139">
        <v>11.400378</v>
      </c>
      <c r="AG139">
        <v>0</v>
      </c>
      <c r="AH139">
        <v>0</v>
      </c>
      <c r="AI139">
        <v>1.2243637999999999</v>
      </c>
      <c r="AJ139">
        <v>0</v>
      </c>
      <c r="AK139">
        <v>0</v>
      </c>
      <c r="AL139">
        <v>4.7400850999999999</v>
      </c>
      <c r="AM139">
        <v>0</v>
      </c>
      <c r="AN139">
        <v>0</v>
      </c>
      <c r="AO139">
        <v>0</v>
      </c>
      <c r="AP139">
        <v>2.2907704999999999E-3</v>
      </c>
      <c r="AQ139" s="217">
        <v>9.0687957999999995E-6</v>
      </c>
      <c r="AR139">
        <v>8.2000009999999998E-2</v>
      </c>
      <c r="AS139" s="217">
        <v>1.8595515999999999E-5</v>
      </c>
      <c r="AT139">
        <v>0</v>
      </c>
      <c r="AU139">
        <v>0</v>
      </c>
      <c r="AV139">
        <v>0</v>
      </c>
      <c r="AW139">
        <v>0</v>
      </c>
      <c r="AX139">
        <v>0</v>
      </c>
    </row>
    <row r="140" spans="1:50" x14ac:dyDescent="0.35">
      <c r="A140" t="s">
        <v>935</v>
      </c>
      <c r="B140" s="249">
        <f t="shared" si="2"/>
        <v>2.1102891168818E-2</v>
      </c>
      <c r="C140" s="217">
        <v>1.5458554999999999E-7</v>
      </c>
      <c r="D140">
        <v>8.9437901999999997E-4</v>
      </c>
      <c r="E140">
        <v>0.13048794999999999</v>
      </c>
      <c r="F140" s="217">
        <v>1.6747281000000001E-8</v>
      </c>
      <c r="G140">
        <v>1.1061639E-4</v>
      </c>
      <c r="H140">
        <v>1.7973723999999999E-3</v>
      </c>
      <c r="I140">
        <v>2.0001072E-4</v>
      </c>
      <c r="J140">
        <v>5.2683662999999999E-2</v>
      </c>
      <c r="K140">
        <v>9.5907882999999997E-4</v>
      </c>
      <c r="L140">
        <v>4.4125806000000001</v>
      </c>
      <c r="M140">
        <v>2.0811530999999999E-4</v>
      </c>
      <c r="N140">
        <v>0.13260979000000001</v>
      </c>
      <c r="O140">
        <v>0.13214809999999999</v>
      </c>
      <c r="P140">
        <v>3.5761023999999998E-4</v>
      </c>
      <c r="Q140">
        <v>1.0408014E-4</v>
      </c>
      <c r="R140" s="217">
        <v>2.0354835E-8</v>
      </c>
      <c r="S140">
        <v>2.2450832000000002E-3</v>
      </c>
      <c r="T140" s="217">
        <v>4.1253320000000002E-6</v>
      </c>
      <c r="U140">
        <v>4.9179248000000004E-4</v>
      </c>
      <c r="V140">
        <v>5.7625597000000002E-3</v>
      </c>
      <c r="W140">
        <v>1.4641767E-3</v>
      </c>
      <c r="X140" s="217">
        <v>1.5457882000000001E-7</v>
      </c>
      <c r="Y140">
        <v>1.8021003</v>
      </c>
      <c r="Z140">
        <v>1.5326452000000001E-2</v>
      </c>
      <c r="AA140" s="217">
        <v>8.2201067999999995E-9</v>
      </c>
      <c r="AB140">
        <v>7.9467127000000005E-3</v>
      </c>
      <c r="AC140">
        <v>9.4477668000000001</v>
      </c>
      <c r="AD140" s="217">
        <v>5.1102511999999999E-11</v>
      </c>
      <c r="AE140" s="217">
        <v>1.2751931E-9</v>
      </c>
      <c r="AF140">
        <v>0.58993262000000002</v>
      </c>
      <c r="AG140">
        <v>0</v>
      </c>
      <c r="AH140">
        <v>0</v>
      </c>
      <c r="AI140">
        <v>8.1362659000000004E-2</v>
      </c>
      <c r="AJ140">
        <v>0</v>
      </c>
      <c r="AK140">
        <v>0</v>
      </c>
      <c r="AL140">
        <v>1.9114808000000001</v>
      </c>
      <c r="AM140">
        <v>0</v>
      </c>
      <c r="AN140">
        <v>0</v>
      </c>
      <c r="AO140">
        <v>0</v>
      </c>
      <c r="AP140">
        <v>5.3748159000000005E-4</v>
      </c>
      <c r="AQ140" s="217">
        <v>1.4844858000000001E-6</v>
      </c>
      <c r="AR140">
        <v>1.6010798999999999E-2</v>
      </c>
      <c r="AS140" s="217">
        <v>1.0387553E-5</v>
      </c>
      <c r="AT140">
        <v>0</v>
      </c>
      <c r="AU140">
        <v>0</v>
      </c>
      <c r="AV140">
        <v>0</v>
      </c>
      <c r="AW140">
        <v>0</v>
      </c>
      <c r="AX140">
        <v>0</v>
      </c>
    </row>
    <row r="141" spans="1:50" x14ac:dyDescent="0.35">
      <c r="A141" t="s">
        <v>936</v>
      </c>
      <c r="B141" s="249">
        <f t="shared" si="2"/>
        <v>0.22338115472587999</v>
      </c>
      <c r="C141" s="217">
        <v>1.2042802999999999E-5</v>
      </c>
      <c r="D141">
        <v>2.1079212999999999E-2</v>
      </c>
      <c r="E141">
        <v>1.1215913</v>
      </c>
      <c r="F141" s="217">
        <v>5.2385258000000001E-7</v>
      </c>
      <c r="G141">
        <v>2.2339082999999998E-3</v>
      </c>
      <c r="H141">
        <v>8.0547501000000007E-3</v>
      </c>
      <c r="I141">
        <v>2.9597619999999999E-3</v>
      </c>
      <c r="J141">
        <v>0.91974127999999999</v>
      </c>
      <c r="K141">
        <v>0.25792201999999997</v>
      </c>
      <c r="L141">
        <v>54.564700000000002</v>
      </c>
      <c r="M141">
        <v>7.6929206999999999E-2</v>
      </c>
      <c r="N141">
        <v>0.41068461000000001</v>
      </c>
      <c r="O141">
        <v>0.93264263000000003</v>
      </c>
      <c r="P141">
        <v>-0.73405288999999996</v>
      </c>
      <c r="Q141">
        <v>0.21209488000000001</v>
      </c>
      <c r="R141" s="217">
        <v>6.5501310999999999E-7</v>
      </c>
      <c r="S141">
        <v>1.0866011E-2</v>
      </c>
      <c r="T141">
        <v>1.0853401E-4</v>
      </c>
      <c r="U141">
        <v>4.1832967999999998E-3</v>
      </c>
      <c r="V141">
        <v>2.8075514999999999E-2</v>
      </c>
      <c r="W141">
        <v>4.5521396000000004E-3</v>
      </c>
      <c r="X141" s="217">
        <v>2.0993803999999998E-6</v>
      </c>
      <c r="Y141">
        <v>44.170242999999999</v>
      </c>
      <c r="Z141">
        <v>2.9904462999999999</v>
      </c>
      <c r="AA141" s="217">
        <v>1.0110849E-7</v>
      </c>
      <c r="AB141">
        <v>0.18278419000000001</v>
      </c>
      <c r="AC141">
        <v>53.326630000000002</v>
      </c>
      <c r="AD141" s="217">
        <v>4.9282742000000001E-9</v>
      </c>
      <c r="AE141" s="217">
        <v>1.0809656999999999E-7</v>
      </c>
      <c r="AF141">
        <v>43.072406000000001</v>
      </c>
      <c r="AG141">
        <v>0</v>
      </c>
      <c r="AH141">
        <v>0</v>
      </c>
      <c r="AI141">
        <v>16.978465</v>
      </c>
      <c r="AJ141">
        <v>0</v>
      </c>
      <c r="AK141">
        <v>0</v>
      </c>
      <c r="AL141">
        <v>49.204301000000001</v>
      </c>
      <c r="AM141">
        <v>0</v>
      </c>
      <c r="AN141">
        <v>0</v>
      </c>
      <c r="AO141">
        <v>0</v>
      </c>
      <c r="AP141">
        <v>0.11242035</v>
      </c>
      <c r="AQ141" s="217">
        <v>1.9196181999999998E-5</v>
      </c>
      <c r="AR141">
        <v>9.8865183999999995E-2</v>
      </c>
      <c r="AS141">
        <v>2.8699676999999999E-4</v>
      </c>
      <c r="AT141">
        <v>0</v>
      </c>
      <c r="AU141">
        <v>0</v>
      </c>
      <c r="AV141">
        <v>0</v>
      </c>
      <c r="AW141">
        <v>0</v>
      </c>
      <c r="AX141">
        <v>0</v>
      </c>
    </row>
    <row r="142" spans="1:50" x14ac:dyDescent="0.35">
      <c r="A142" t="s">
        <v>937</v>
      </c>
      <c r="B142" s="249">
        <f t="shared" si="2"/>
        <v>5.3827165721450001</v>
      </c>
      <c r="C142">
        <v>3.8685834999999998E-3</v>
      </c>
      <c r="D142">
        <v>0.1999678</v>
      </c>
      <c r="E142">
        <v>28.582882999999999</v>
      </c>
      <c r="F142" s="217">
        <v>2.0040895E-6</v>
      </c>
      <c r="G142">
        <v>2.8489508E-2</v>
      </c>
      <c r="H142">
        <v>0.18250975</v>
      </c>
      <c r="I142">
        <v>6.1428604999999997E-2</v>
      </c>
      <c r="J142">
        <v>25.493929999999999</v>
      </c>
      <c r="K142">
        <v>0.80745549000000005</v>
      </c>
      <c r="L142">
        <v>2546.5547999999999</v>
      </c>
      <c r="M142">
        <v>0.12816954</v>
      </c>
      <c r="N142">
        <v>29.093216999999999</v>
      </c>
      <c r="O142">
        <v>29.139842000000002</v>
      </c>
      <c r="P142">
        <v>-0.10669007</v>
      </c>
      <c r="Q142">
        <v>6.0064992999999997E-2</v>
      </c>
      <c r="R142" s="217">
        <v>2.0047484999999998E-6</v>
      </c>
      <c r="S142">
        <v>0.22111528999999999</v>
      </c>
      <c r="T142">
        <v>1.5470036E-2</v>
      </c>
      <c r="U142">
        <v>3.3492503999999999E-2</v>
      </c>
      <c r="V142">
        <v>0.40396082</v>
      </c>
      <c r="W142">
        <v>0.13001555000000001</v>
      </c>
      <c r="X142">
        <v>3.8686062000000002E-3</v>
      </c>
      <c r="Y142">
        <v>371.37502000000001</v>
      </c>
      <c r="Z142">
        <v>8.1027702000000001</v>
      </c>
      <c r="AA142" s="217">
        <v>1.5861761000000001E-6</v>
      </c>
      <c r="AB142">
        <v>1.3038137000000001</v>
      </c>
      <c r="AC142">
        <v>1757.7606000000001</v>
      </c>
      <c r="AD142" s="217">
        <v>2.9743700999999999E-8</v>
      </c>
      <c r="AE142" s="217">
        <v>1.1979432E-6</v>
      </c>
      <c r="AF142">
        <v>161.41901999999999</v>
      </c>
      <c r="AG142">
        <v>0</v>
      </c>
      <c r="AH142">
        <v>0</v>
      </c>
      <c r="AI142">
        <v>40.237934000000003</v>
      </c>
      <c r="AJ142">
        <v>0</v>
      </c>
      <c r="AK142">
        <v>0</v>
      </c>
      <c r="AL142">
        <v>396.04014000000001</v>
      </c>
      <c r="AM142">
        <v>0</v>
      </c>
      <c r="AN142">
        <v>0</v>
      </c>
      <c r="AO142">
        <v>0</v>
      </c>
      <c r="AP142">
        <v>0.26251511</v>
      </c>
      <c r="AQ142">
        <v>3.9203791999999999E-3</v>
      </c>
      <c r="AR142">
        <v>4.0941738000000001</v>
      </c>
      <c r="AS142">
        <v>1.0738656E-3</v>
      </c>
      <c r="AT142">
        <v>0</v>
      </c>
      <c r="AU142">
        <v>0</v>
      </c>
      <c r="AV142">
        <v>0</v>
      </c>
      <c r="AW142">
        <v>0</v>
      </c>
      <c r="AX142">
        <v>0</v>
      </c>
    </row>
    <row r="143" spans="1:50" x14ac:dyDescent="0.35">
      <c r="A143" t="s">
        <v>938</v>
      </c>
      <c r="B143" s="249">
        <f t="shared" si="2"/>
        <v>4.6962644867029999</v>
      </c>
      <c r="C143">
        <v>2.0917253000000001E-3</v>
      </c>
      <c r="D143">
        <v>8.5200394999999998E-2</v>
      </c>
      <c r="E143">
        <v>12.167133</v>
      </c>
      <c r="F143" s="217">
        <v>8.8453849999999996E-7</v>
      </c>
      <c r="G143">
        <v>1.7324201000000001E-2</v>
      </c>
      <c r="H143">
        <v>0.18159475999999999</v>
      </c>
      <c r="I143">
        <v>5.6774656999999999E-2</v>
      </c>
      <c r="J143">
        <v>28.078240000000001</v>
      </c>
      <c r="K143">
        <v>0.55045277000000004</v>
      </c>
      <c r="L143">
        <v>2516.7669999999998</v>
      </c>
      <c r="M143">
        <v>0.11138872</v>
      </c>
      <c r="N143">
        <v>12.384344</v>
      </c>
      <c r="O143">
        <v>12.402256</v>
      </c>
      <c r="P143">
        <v>-4.0267203000000001E-2</v>
      </c>
      <c r="Q143">
        <v>2.2355239999999998E-2</v>
      </c>
      <c r="R143" s="217">
        <v>8.8908315999999999E-7</v>
      </c>
      <c r="S143">
        <v>0.21169173999999999</v>
      </c>
      <c r="T143">
        <v>1.5962064000000002E-2</v>
      </c>
      <c r="U143">
        <v>1.8943814999999999E-2</v>
      </c>
      <c r="V143">
        <v>0.23820004</v>
      </c>
      <c r="W143">
        <v>7.4630413000000007E-2</v>
      </c>
      <c r="X143">
        <v>2.0917723000000001E-3</v>
      </c>
      <c r="Y143">
        <v>156.30194</v>
      </c>
      <c r="Z143">
        <v>4.1007283000000001</v>
      </c>
      <c r="AA143" s="217">
        <v>8.9646740999999996E-7</v>
      </c>
      <c r="AB143">
        <v>0.57512554999999999</v>
      </c>
      <c r="AC143">
        <v>1563.1782000000001</v>
      </c>
      <c r="AD143" s="217">
        <v>3.0123747000000001E-8</v>
      </c>
      <c r="AE143" s="217">
        <v>1.6689238999999999E-6</v>
      </c>
      <c r="AF143">
        <v>80.559163999999996</v>
      </c>
      <c r="AG143">
        <v>0</v>
      </c>
      <c r="AH143">
        <v>0</v>
      </c>
      <c r="AI143">
        <v>18.299745999999999</v>
      </c>
      <c r="AJ143">
        <v>0</v>
      </c>
      <c r="AK143">
        <v>0</v>
      </c>
      <c r="AL143">
        <v>166.47945999999999</v>
      </c>
      <c r="AM143">
        <v>0</v>
      </c>
      <c r="AN143">
        <v>0</v>
      </c>
      <c r="AO143">
        <v>0</v>
      </c>
      <c r="AP143">
        <v>0.12588885</v>
      </c>
      <c r="AQ143">
        <v>5.6459902000000001E-3</v>
      </c>
      <c r="AR143">
        <v>2.3581835</v>
      </c>
      <c r="AS143">
        <v>4.7840285000000002E-4</v>
      </c>
      <c r="AT143">
        <v>0</v>
      </c>
      <c r="AU143">
        <v>0</v>
      </c>
      <c r="AV143">
        <v>0</v>
      </c>
      <c r="AW143">
        <v>0</v>
      </c>
      <c r="AX143">
        <v>0</v>
      </c>
    </row>
    <row r="144" spans="1:50" x14ac:dyDescent="0.35">
      <c r="A144" t="s">
        <v>939</v>
      </c>
      <c r="B144" s="249">
        <f t="shared" si="2"/>
        <v>0.95210344418775195</v>
      </c>
      <c r="C144" s="217">
        <v>3.6855522000000002E-6</v>
      </c>
      <c r="D144">
        <v>4.2169591999999999E-2</v>
      </c>
      <c r="E144">
        <v>5.9378517999999998</v>
      </c>
      <c r="F144" s="217">
        <v>1.8028198000000001E-7</v>
      </c>
      <c r="G144">
        <v>1.8900954E-3</v>
      </c>
      <c r="H144">
        <v>3.1230304E-2</v>
      </c>
      <c r="I144">
        <v>1.4629956E-2</v>
      </c>
      <c r="J144">
        <v>4.0594590000000004</v>
      </c>
      <c r="K144">
        <v>0.12017897</v>
      </c>
      <c r="L144">
        <v>181.20846</v>
      </c>
      <c r="M144">
        <v>1.6819757000000001E-2</v>
      </c>
      <c r="N144">
        <v>0.71974669999999996</v>
      </c>
      <c r="O144">
        <v>5.5541432000000004</v>
      </c>
      <c r="P144">
        <v>-4.9117554999999999</v>
      </c>
      <c r="Q144">
        <v>7.7359002999999996E-2</v>
      </c>
      <c r="R144" s="217">
        <v>2.0171352000000001E-7</v>
      </c>
      <c r="S144">
        <v>4.4039707999999997E-2</v>
      </c>
      <c r="T144">
        <v>7.6316771999999998E-4</v>
      </c>
      <c r="U144">
        <v>9.8448852999999999E-3</v>
      </c>
      <c r="V144">
        <v>0.1358722</v>
      </c>
      <c r="W144">
        <v>1.7328685E-2</v>
      </c>
      <c r="X144" s="217">
        <v>3.6719815E-6</v>
      </c>
      <c r="Y144">
        <v>66.195061999999993</v>
      </c>
      <c r="Z144">
        <v>8.0183458999999999</v>
      </c>
      <c r="AA144" s="217">
        <v>2.5128042E-7</v>
      </c>
      <c r="AB144">
        <v>0.13574264</v>
      </c>
      <c r="AC144">
        <v>318.85570000000001</v>
      </c>
      <c r="AD144" s="217">
        <v>3.1661862999999999E-9</v>
      </c>
      <c r="AE144" s="217">
        <v>3.0324513999999999E-8</v>
      </c>
      <c r="AF144">
        <v>134.85963000000001</v>
      </c>
      <c r="AG144">
        <v>0</v>
      </c>
      <c r="AH144">
        <v>0</v>
      </c>
      <c r="AI144">
        <v>59.254621999999998</v>
      </c>
      <c r="AJ144">
        <v>0</v>
      </c>
      <c r="AK144">
        <v>0</v>
      </c>
      <c r="AL144">
        <v>70.210475000000002</v>
      </c>
      <c r="AM144">
        <v>0</v>
      </c>
      <c r="AN144">
        <v>0</v>
      </c>
      <c r="AO144">
        <v>0</v>
      </c>
      <c r="AP144">
        <v>0.23843046000000001</v>
      </c>
      <c r="AQ144" s="217">
        <v>5.4898572E-5</v>
      </c>
      <c r="AR144">
        <v>0.55025846</v>
      </c>
      <c r="AS144">
        <v>1.2513359000000001E-4</v>
      </c>
      <c r="AT144">
        <v>0</v>
      </c>
      <c r="AU144">
        <v>0</v>
      </c>
      <c r="AV144">
        <v>0</v>
      </c>
      <c r="AW144">
        <v>0</v>
      </c>
      <c r="AX144">
        <v>0</v>
      </c>
    </row>
    <row r="145" spans="1:50" x14ac:dyDescent="0.35">
      <c r="A145" t="s">
        <v>940</v>
      </c>
      <c r="B145" s="249">
        <f t="shared" si="2"/>
        <v>5.2994122912148812E-2</v>
      </c>
      <c r="C145" s="217">
        <v>8.5607054999999995E-8</v>
      </c>
      <c r="D145">
        <v>1.7127486E-3</v>
      </c>
      <c r="E145">
        <v>0.88016852999999995</v>
      </c>
      <c r="F145" s="217">
        <v>4.7059473999999997E-8</v>
      </c>
      <c r="G145">
        <v>1.9040305E-4</v>
      </c>
      <c r="H145">
        <v>8.6220795000000003E-4</v>
      </c>
      <c r="I145">
        <v>1.1850101E-4</v>
      </c>
      <c r="J145">
        <v>3.6850464999999999E-2</v>
      </c>
      <c r="K145">
        <v>1.466289E-3</v>
      </c>
      <c r="L145">
        <v>4.4301472999999998</v>
      </c>
      <c r="M145">
        <v>1.7564858E-4</v>
      </c>
      <c r="N145">
        <v>0.89228552000000005</v>
      </c>
      <c r="O145">
        <v>0.88668080999999999</v>
      </c>
      <c r="P145">
        <v>5.5427358999999999E-3</v>
      </c>
      <c r="Q145" s="217">
        <v>6.1973382000000003E-5</v>
      </c>
      <c r="R145" s="217">
        <v>5.8009759000000001E-8</v>
      </c>
      <c r="S145">
        <v>1.0747914E-3</v>
      </c>
      <c r="T145" s="217">
        <v>1.8236276E-6</v>
      </c>
      <c r="U145">
        <v>2.0463358999999999E-4</v>
      </c>
      <c r="V145">
        <v>2.5523881000000001E-3</v>
      </c>
      <c r="W145">
        <v>8.6172899999999999E-4</v>
      </c>
      <c r="X145" s="217">
        <v>8.5555019000000004E-8</v>
      </c>
      <c r="Y145">
        <v>3.8674992000000001</v>
      </c>
      <c r="Z145">
        <v>1.6101529E-2</v>
      </c>
      <c r="AA145" s="217">
        <v>4.7999630999999998E-9</v>
      </c>
      <c r="AB145">
        <v>2.1540558000000001E-2</v>
      </c>
      <c r="AC145">
        <v>5.3141730000000003</v>
      </c>
      <c r="AD145" s="217">
        <v>2.8585159999999999E-11</v>
      </c>
      <c r="AE145" s="217">
        <v>4.7888853999999998E-9</v>
      </c>
      <c r="AF145">
        <v>2.1456300000000001</v>
      </c>
      <c r="AG145">
        <v>0</v>
      </c>
      <c r="AH145">
        <v>0</v>
      </c>
      <c r="AI145">
        <v>0.53118666000000003</v>
      </c>
      <c r="AJ145">
        <v>0</v>
      </c>
      <c r="AK145">
        <v>0</v>
      </c>
      <c r="AL145">
        <v>4.0923290999999997</v>
      </c>
      <c r="AM145">
        <v>0</v>
      </c>
      <c r="AN145">
        <v>0</v>
      </c>
      <c r="AO145">
        <v>0</v>
      </c>
      <c r="AP145">
        <v>1.2245256E-3</v>
      </c>
      <c r="AQ145" s="217">
        <v>1.4203066E-6</v>
      </c>
      <c r="AR145">
        <v>1.5958422999999999E-2</v>
      </c>
      <c r="AS145" s="217">
        <v>2.8991478000000002E-5</v>
      </c>
      <c r="AT145">
        <v>0</v>
      </c>
      <c r="AU145">
        <v>0</v>
      </c>
      <c r="AV145">
        <v>0</v>
      </c>
      <c r="AW145">
        <v>0</v>
      </c>
      <c r="AX145">
        <v>0</v>
      </c>
    </row>
    <row r="146" spans="1:50" x14ac:dyDescent="0.35">
      <c r="A146" t="s">
        <v>941</v>
      </c>
      <c r="B146" s="249">
        <f t="shared" si="2"/>
        <v>8.2777277468343996E-4</v>
      </c>
      <c r="C146" s="217">
        <v>1.2058874E-8</v>
      </c>
      <c r="D146" s="217">
        <v>3.8409540999999998E-5</v>
      </c>
      <c r="E146">
        <v>5.5133324000000003E-3</v>
      </c>
      <c r="F146" s="217">
        <v>8.8689552000000001E-10</v>
      </c>
      <c r="G146" s="217">
        <v>6.5830560000000002E-6</v>
      </c>
      <c r="H146" s="217">
        <v>5.1363180999999998E-5</v>
      </c>
      <c r="I146" s="217">
        <v>1.1401877E-5</v>
      </c>
      <c r="J146">
        <v>2.2846780000000001E-3</v>
      </c>
      <c r="K146" s="217">
        <v>4.7529069000000001E-5</v>
      </c>
      <c r="L146">
        <v>0.17231018000000001</v>
      </c>
      <c r="M146" s="217">
        <v>6.9742127999999999E-6</v>
      </c>
      <c r="N146">
        <v>5.6304806000000004E-3</v>
      </c>
      <c r="O146">
        <v>5.6196932000000003E-3</v>
      </c>
      <c r="P146" s="217">
        <v>8.8578488999999992E-6</v>
      </c>
      <c r="Q146" s="217">
        <v>1.9295557999999999E-6</v>
      </c>
      <c r="R146" s="217">
        <v>1.1093048E-9</v>
      </c>
      <c r="S146" s="217">
        <v>7.5176237999999998E-5</v>
      </c>
      <c r="T146" s="217">
        <v>1.2173120999999999E-7</v>
      </c>
      <c r="U146" s="217">
        <v>2.5496458000000001E-5</v>
      </c>
      <c r="V146">
        <v>3.4373390999999998E-4</v>
      </c>
      <c r="W146" s="217">
        <v>7.7491700000000002E-5</v>
      </c>
      <c r="X146" s="217">
        <v>1.2057987E-8</v>
      </c>
      <c r="Y146">
        <v>7.8738563999999997E-2</v>
      </c>
      <c r="Z146">
        <v>3.9160458000000002E-3</v>
      </c>
      <c r="AA146" s="217">
        <v>1.0998740999999999E-9</v>
      </c>
      <c r="AB146">
        <v>3.2535803000000003E-4</v>
      </c>
      <c r="AC146">
        <v>2.2607377999999998</v>
      </c>
      <c r="AD146" s="217">
        <v>2.4118139999999999E-12</v>
      </c>
      <c r="AE146" s="217">
        <v>8.7769936999999994E-11</v>
      </c>
      <c r="AF146">
        <v>5.0458613999999999E-2</v>
      </c>
      <c r="AG146">
        <v>0</v>
      </c>
      <c r="AH146">
        <v>0</v>
      </c>
      <c r="AI146">
        <v>2.7387980999999998E-3</v>
      </c>
      <c r="AJ146">
        <v>0</v>
      </c>
      <c r="AK146">
        <v>0</v>
      </c>
      <c r="AL146">
        <v>8.3635005999999998E-2</v>
      </c>
      <c r="AM146">
        <v>0</v>
      </c>
      <c r="AN146">
        <v>0</v>
      </c>
      <c r="AO146">
        <v>0</v>
      </c>
      <c r="AP146" s="217">
        <v>9.3746144999999997E-5</v>
      </c>
      <c r="AQ146" s="217">
        <v>6.1547505999999998E-8</v>
      </c>
      <c r="AR146">
        <v>2.6084213000000002E-3</v>
      </c>
      <c r="AS146" s="217">
        <v>5.0075085999999998E-7</v>
      </c>
      <c r="AT146">
        <v>0</v>
      </c>
      <c r="AU146">
        <v>0</v>
      </c>
      <c r="AV146">
        <v>0</v>
      </c>
      <c r="AW146">
        <v>0</v>
      </c>
      <c r="AX146">
        <v>0</v>
      </c>
    </row>
    <row r="147" spans="1:50" x14ac:dyDescent="0.35">
      <c r="A147" t="s">
        <v>942</v>
      </c>
      <c r="B147" s="249">
        <f t="shared" si="2"/>
        <v>9.6964224734590002E-2</v>
      </c>
      <c r="C147" s="217">
        <v>4.8465145000000001E-5</v>
      </c>
      <c r="D147">
        <v>5.9699564000000004E-3</v>
      </c>
      <c r="E147">
        <v>0.81962572</v>
      </c>
      <c r="F147" s="217">
        <v>7.0591113E-8</v>
      </c>
      <c r="G147">
        <v>3.7386283999999998E-4</v>
      </c>
      <c r="H147">
        <v>3.8732997E-3</v>
      </c>
      <c r="I147">
        <v>5.4541241999999995E-4</v>
      </c>
      <c r="J147">
        <v>0.32516877999999999</v>
      </c>
      <c r="K147">
        <v>2.2715608000000002E-2</v>
      </c>
      <c r="L147">
        <v>38.189352999999997</v>
      </c>
      <c r="M147">
        <v>1.7107259000000001E-3</v>
      </c>
      <c r="N147">
        <v>0.82424142</v>
      </c>
      <c r="O147">
        <v>0.83490516999999997</v>
      </c>
      <c r="P147">
        <v>-1.140059E-2</v>
      </c>
      <c r="Q147">
        <v>7.3684110000000005E-4</v>
      </c>
      <c r="R147" s="217">
        <v>7.9587908999999998E-8</v>
      </c>
      <c r="S147">
        <v>4.7653948999999999E-3</v>
      </c>
      <c r="T147" s="217">
        <v>7.0706216999999997E-5</v>
      </c>
      <c r="U147">
        <v>7.7029552999999999E-4</v>
      </c>
      <c r="V147">
        <v>9.8644351000000009E-3</v>
      </c>
      <c r="W147">
        <v>2.5772888999999999E-3</v>
      </c>
      <c r="X147" s="217">
        <v>4.8465218000000001E-5</v>
      </c>
      <c r="Y147">
        <v>10.983739</v>
      </c>
      <c r="Z147">
        <v>0.23628244000000001</v>
      </c>
      <c r="AA147" s="217">
        <v>2.1173212999999998E-6</v>
      </c>
      <c r="AB147">
        <v>2.7112634E-2</v>
      </c>
      <c r="AC147">
        <v>19.672160000000002</v>
      </c>
      <c r="AD147" s="217">
        <v>6.6236628999999997E-10</v>
      </c>
      <c r="AE147" s="217">
        <v>2.3022927E-8</v>
      </c>
      <c r="AF147">
        <v>7.2851460000000001</v>
      </c>
      <c r="AG147">
        <v>0</v>
      </c>
      <c r="AH147">
        <v>0</v>
      </c>
      <c r="AI147">
        <v>0.8174169</v>
      </c>
      <c r="AJ147">
        <v>0</v>
      </c>
      <c r="AK147">
        <v>0</v>
      </c>
      <c r="AL147">
        <v>11.865453</v>
      </c>
      <c r="AM147">
        <v>0</v>
      </c>
      <c r="AN147">
        <v>0</v>
      </c>
      <c r="AO147">
        <v>0</v>
      </c>
      <c r="AP147">
        <v>6.5121277999999998E-3</v>
      </c>
      <c r="AQ147">
        <v>9.6436058999999994E-3</v>
      </c>
      <c r="AR147">
        <v>0.27026728</v>
      </c>
      <c r="AS147" s="217">
        <v>2.6732128000000001E-5</v>
      </c>
      <c r="AT147">
        <v>0</v>
      </c>
      <c r="AU147">
        <v>0</v>
      </c>
      <c r="AV147">
        <v>0</v>
      </c>
      <c r="AW147">
        <v>0</v>
      </c>
      <c r="AX147">
        <v>0</v>
      </c>
    </row>
    <row r="148" spans="1:50" x14ac:dyDescent="0.35">
      <c r="A148" t="s">
        <v>943</v>
      </c>
      <c r="B148" s="249">
        <f t="shared" si="2"/>
        <v>0.11902943318772202</v>
      </c>
      <c r="C148" s="217">
        <v>6.4972377000000002E-6</v>
      </c>
      <c r="D148">
        <v>1.5277738000000001E-2</v>
      </c>
      <c r="E148">
        <v>1.1191333999999999</v>
      </c>
      <c r="F148" s="217">
        <v>5.6859723000000002E-8</v>
      </c>
      <c r="G148">
        <v>8.7019701999999999E-4</v>
      </c>
      <c r="H148">
        <v>6.3368987999999999E-3</v>
      </c>
      <c r="I148">
        <v>7.475235E-4</v>
      </c>
      <c r="J148">
        <v>0.27496967</v>
      </c>
      <c r="K148">
        <v>6.6628774000000003E-3</v>
      </c>
      <c r="L148">
        <v>15.422845000000001</v>
      </c>
      <c r="M148">
        <v>5.3406316000000004E-3</v>
      </c>
      <c r="N148">
        <v>1.1491986999999999</v>
      </c>
      <c r="O148">
        <v>1.1424928000000001</v>
      </c>
      <c r="P148">
        <v>6.3423934000000001E-3</v>
      </c>
      <c r="Q148">
        <v>3.6355360000000001E-4</v>
      </c>
      <c r="R148" s="217">
        <v>5.6112989000000001E-8</v>
      </c>
      <c r="S148">
        <v>7.7554664000000001E-3</v>
      </c>
      <c r="T148" s="217">
        <v>5.1997645999999997E-5</v>
      </c>
      <c r="U148">
        <v>1.5193003E-3</v>
      </c>
      <c r="V148">
        <v>1.7019587999999999E-2</v>
      </c>
      <c r="W148">
        <v>5.3820138E-3</v>
      </c>
      <c r="X148" s="217">
        <v>5.3070924999999999E-6</v>
      </c>
      <c r="Y148">
        <v>31.312989999999999</v>
      </c>
      <c r="Z148">
        <v>0.95869161999999997</v>
      </c>
      <c r="AA148" s="217">
        <v>7.4253328999999999E-8</v>
      </c>
      <c r="AB148">
        <v>2.4778933E-2</v>
      </c>
      <c r="AC148">
        <v>16.348409</v>
      </c>
      <c r="AD148" s="217">
        <v>5.8569039999999999E-10</v>
      </c>
      <c r="AE148" s="217">
        <v>3.0134185999999997E-8</v>
      </c>
      <c r="AF148">
        <v>3.0760041999999999</v>
      </c>
      <c r="AG148">
        <v>0</v>
      </c>
      <c r="AH148">
        <v>0</v>
      </c>
      <c r="AI148">
        <v>0.79361006999999995</v>
      </c>
      <c r="AJ148">
        <v>0</v>
      </c>
      <c r="AK148">
        <v>0</v>
      </c>
      <c r="AL148">
        <v>33.783861000000002</v>
      </c>
      <c r="AM148">
        <v>0</v>
      </c>
      <c r="AN148">
        <v>0</v>
      </c>
      <c r="AO148">
        <v>0</v>
      </c>
      <c r="AP148">
        <v>2.4122507000000001E-2</v>
      </c>
      <c r="AQ148">
        <v>3.3985215000000002E-4</v>
      </c>
      <c r="AR148">
        <v>6.5216633999999996E-2</v>
      </c>
      <c r="AS148" s="217">
        <v>2.3026692999999998E-5</v>
      </c>
      <c r="AT148">
        <v>0</v>
      </c>
      <c r="AU148">
        <v>0</v>
      </c>
      <c r="AV148">
        <v>0</v>
      </c>
      <c r="AW148">
        <v>0</v>
      </c>
      <c r="AX148">
        <v>0</v>
      </c>
    </row>
    <row r="149" spans="1:50" x14ac:dyDescent="0.35">
      <c r="A149" t="s">
        <v>944</v>
      </c>
      <c r="B149" s="249">
        <f t="shared" si="2"/>
        <v>0.22270040652268003</v>
      </c>
      <c r="C149" s="217">
        <v>9.2469829999999999E-6</v>
      </c>
      <c r="D149">
        <v>2.0679647999999998E-2</v>
      </c>
      <c r="E149">
        <v>1.9608148999999999</v>
      </c>
      <c r="F149" s="217">
        <v>7.6798437999999998E-7</v>
      </c>
      <c r="G149">
        <v>1.8929566999999999E-3</v>
      </c>
      <c r="H149">
        <v>8.9156658E-3</v>
      </c>
      <c r="I149">
        <v>1.1281753E-3</v>
      </c>
      <c r="J149">
        <v>0.71835347000000005</v>
      </c>
      <c r="K149">
        <v>2.4134474999999999E-2</v>
      </c>
      <c r="L149">
        <v>61.531283999999999</v>
      </c>
      <c r="M149">
        <v>3.2544924E-3</v>
      </c>
      <c r="N149">
        <v>2.0426213</v>
      </c>
      <c r="O149">
        <v>2.0050571000000001</v>
      </c>
      <c r="P149">
        <v>3.6269020999999999E-2</v>
      </c>
      <c r="Q149">
        <v>1.2951811000000001E-3</v>
      </c>
      <c r="R149" s="217">
        <v>5.9762896999999995E-7</v>
      </c>
      <c r="S149">
        <v>1.0890566000000001E-2</v>
      </c>
      <c r="T149">
        <v>1.3112772999999999E-4</v>
      </c>
      <c r="U149">
        <v>1.6540967999999999E-3</v>
      </c>
      <c r="V149">
        <v>2.1162731000000001E-2</v>
      </c>
      <c r="W149">
        <v>7.5636940999999997E-3</v>
      </c>
      <c r="X149" s="217">
        <v>9.2471210000000007E-6</v>
      </c>
      <c r="Y149">
        <v>42.376576999999997</v>
      </c>
      <c r="Z149">
        <v>2.1434690999999999</v>
      </c>
      <c r="AA149" s="217">
        <v>8.9679401999999994E-8</v>
      </c>
      <c r="AB149">
        <v>7.9548355000000001E-2</v>
      </c>
      <c r="AC149">
        <v>32.686244000000002</v>
      </c>
      <c r="AD149" s="217">
        <v>1.5507241000000001E-9</v>
      </c>
      <c r="AE149" s="217">
        <v>2.9068275000000001E-8</v>
      </c>
      <c r="AF149">
        <v>8.9326336000000008</v>
      </c>
      <c r="AG149">
        <v>0</v>
      </c>
      <c r="AH149">
        <v>0</v>
      </c>
      <c r="AI149">
        <v>2.8514599999999999</v>
      </c>
      <c r="AJ149">
        <v>0</v>
      </c>
      <c r="AK149">
        <v>0</v>
      </c>
      <c r="AL149">
        <v>45.513278</v>
      </c>
      <c r="AM149">
        <v>0</v>
      </c>
      <c r="AN149">
        <v>0</v>
      </c>
      <c r="AO149">
        <v>0</v>
      </c>
      <c r="AP149">
        <v>5.8041834E-2</v>
      </c>
      <c r="AQ149" s="217">
        <v>2.6360243999999999E-5</v>
      </c>
      <c r="AR149">
        <v>0.16039128</v>
      </c>
      <c r="AS149" s="217">
        <v>7.1903801000000004E-5</v>
      </c>
      <c r="AT149">
        <v>0</v>
      </c>
      <c r="AU149">
        <v>0</v>
      </c>
      <c r="AV149">
        <v>0</v>
      </c>
      <c r="AW149">
        <v>0</v>
      </c>
      <c r="AX149">
        <v>0</v>
      </c>
    </row>
    <row r="150" spans="1:50" x14ac:dyDescent="0.35">
      <c r="A150" t="s">
        <v>945</v>
      </c>
      <c r="B150" s="249">
        <f t="shared" si="2"/>
        <v>0.22950979169555397</v>
      </c>
      <c r="C150" s="217">
        <v>7.0386899000000003E-6</v>
      </c>
      <c r="D150">
        <v>2.5640616000000001E-2</v>
      </c>
      <c r="E150">
        <v>2.2765114</v>
      </c>
      <c r="F150" s="217">
        <v>5.9111838999999998E-8</v>
      </c>
      <c r="G150">
        <v>2.1601697000000002E-3</v>
      </c>
      <c r="H150">
        <v>9.3662017E-3</v>
      </c>
      <c r="I150">
        <v>1.6755822E-3</v>
      </c>
      <c r="J150">
        <v>0.55426375999999999</v>
      </c>
      <c r="K150">
        <v>1.9029173999999999E-2</v>
      </c>
      <c r="L150">
        <v>40.461447</v>
      </c>
      <c r="M150">
        <v>3.5446545000000001E-3</v>
      </c>
      <c r="N150">
        <v>2.4175449000000002</v>
      </c>
      <c r="O150">
        <v>2.3596604999999999</v>
      </c>
      <c r="P150">
        <v>5.7380439999999998E-2</v>
      </c>
      <c r="Q150">
        <v>5.0396519999999995E-4</v>
      </c>
      <c r="R150" s="217">
        <v>6.1316876000000006E-8</v>
      </c>
      <c r="S150">
        <v>1.1389287999999999E-2</v>
      </c>
      <c r="T150">
        <v>2.3116063000000001E-4</v>
      </c>
      <c r="U150">
        <v>2.2612230000000001E-3</v>
      </c>
      <c r="V150">
        <v>2.1980994E-2</v>
      </c>
      <c r="W150">
        <v>8.6914440999999992E-3</v>
      </c>
      <c r="X150" s="217">
        <v>7.0387815999999996E-6</v>
      </c>
      <c r="Y150">
        <v>54.878070999999998</v>
      </c>
      <c r="Z150">
        <v>2.4670002000000002</v>
      </c>
      <c r="AA150" s="217">
        <v>2.3195386000000001E-7</v>
      </c>
      <c r="AB150">
        <v>3.5850725E-2</v>
      </c>
      <c r="AC150">
        <v>151.22393</v>
      </c>
      <c r="AD150" s="217">
        <v>1.4077647E-9</v>
      </c>
      <c r="AE150" s="217">
        <v>6.4534407999999998E-8</v>
      </c>
      <c r="AF150">
        <v>3.8630157000000001</v>
      </c>
      <c r="AG150">
        <v>0</v>
      </c>
      <c r="AH150">
        <v>0</v>
      </c>
      <c r="AI150">
        <v>2.5811660000000001</v>
      </c>
      <c r="AJ150">
        <v>0</v>
      </c>
      <c r="AK150">
        <v>0</v>
      </c>
      <c r="AL150">
        <v>58.812078</v>
      </c>
      <c r="AM150">
        <v>0</v>
      </c>
      <c r="AN150">
        <v>0</v>
      </c>
      <c r="AO150">
        <v>0</v>
      </c>
      <c r="AP150">
        <v>5.960414E-2</v>
      </c>
      <c r="AQ150" s="217">
        <v>1.2133376000000001E-5</v>
      </c>
      <c r="AR150">
        <v>0.12541331</v>
      </c>
      <c r="AS150" s="217">
        <v>3.4563909999999997E-5</v>
      </c>
      <c r="AT150">
        <v>0</v>
      </c>
      <c r="AU150">
        <v>0</v>
      </c>
      <c r="AV150">
        <v>0</v>
      </c>
      <c r="AW150">
        <v>0</v>
      </c>
      <c r="AX150">
        <v>0</v>
      </c>
    </row>
    <row r="151" spans="1:50" x14ac:dyDescent="0.35">
      <c r="A151" t="s">
        <v>946</v>
      </c>
      <c r="B151" s="249">
        <f t="shared" si="2"/>
        <v>1.9447404211261998E-3</v>
      </c>
      <c r="C151" s="217">
        <v>2.1455311999999999E-7</v>
      </c>
      <c r="D151" s="217">
        <v>6.6524737999999994E-5</v>
      </c>
      <c r="E151">
        <v>9.8963379999999993E-3</v>
      </c>
      <c r="F151" s="217">
        <v>1.2737689000000001E-9</v>
      </c>
      <c r="G151" s="217">
        <v>8.9265700999999998E-6</v>
      </c>
      <c r="H151" s="217">
        <v>6.6366772E-5</v>
      </c>
      <c r="I151" s="217">
        <v>1.4547771000000001E-5</v>
      </c>
      <c r="J151">
        <v>1.0830146000000001E-2</v>
      </c>
      <c r="K151">
        <v>1.2848186000000001E-4</v>
      </c>
      <c r="L151">
        <v>0.42823634999999999</v>
      </c>
      <c r="M151" s="217">
        <v>5.9427057999999997E-5</v>
      </c>
      <c r="N151">
        <v>1.000126E-2</v>
      </c>
      <c r="O151">
        <v>1.0064211E-2</v>
      </c>
      <c r="P151" s="217">
        <v>-7.1218236E-5</v>
      </c>
      <c r="Q151" s="217">
        <v>8.2677358000000007E-6</v>
      </c>
      <c r="R151" s="217">
        <v>1.5569509E-9</v>
      </c>
      <c r="S151" s="217">
        <v>8.8555286000000004E-5</v>
      </c>
      <c r="T151" s="217">
        <v>1.4683641999999999E-6</v>
      </c>
      <c r="U151" s="217">
        <v>2.4009028999999999E-5</v>
      </c>
      <c r="V151">
        <v>3.0393801999999999E-4</v>
      </c>
      <c r="W151" s="217">
        <v>7.7922357999999996E-5</v>
      </c>
      <c r="X151" s="217">
        <v>2.1455562E-7</v>
      </c>
      <c r="Y151">
        <v>0.12969264999999999</v>
      </c>
      <c r="Z151">
        <v>2.3243622E-3</v>
      </c>
      <c r="AA151" s="217">
        <v>1.4814297E-9</v>
      </c>
      <c r="AB151">
        <v>4.681075E-4</v>
      </c>
      <c r="AC151">
        <v>0.25892724</v>
      </c>
      <c r="AD151" s="217">
        <v>2.3070936000000002E-11</v>
      </c>
      <c r="AE151" s="217">
        <v>4.1625345999999999E-10</v>
      </c>
      <c r="AF151">
        <v>0.11745617999999999</v>
      </c>
      <c r="AG151">
        <v>0</v>
      </c>
      <c r="AH151">
        <v>0</v>
      </c>
      <c r="AI151">
        <v>5.9790486E-3</v>
      </c>
      <c r="AJ151">
        <v>0</v>
      </c>
      <c r="AK151">
        <v>0</v>
      </c>
      <c r="AL151">
        <v>0.137848</v>
      </c>
      <c r="AM151">
        <v>0</v>
      </c>
      <c r="AN151">
        <v>0</v>
      </c>
      <c r="AO151">
        <v>0</v>
      </c>
      <c r="AP151" s="217">
        <v>6.1065073000000005E-5</v>
      </c>
      <c r="AQ151" s="217">
        <v>3.1286699999999999E-7</v>
      </c>
      <c r="AR151">
        <v>5.6298980000000004E-3</v>
      </c>
      <c r="AS151" s="217">
        <v>6.9058124999999996E-7</v>
      </c>
      <c r="AT151">
        <v>0</v>
      </c>
      <c r="AU151">
        <v>0</v>
      </c>
      <c r="AV151">
        <v>0</v>
      </c>
      <c r="AW151">
        <v>0</v>
      </c>
      <c r="AX151">
        <v>0</v>
      </c>
    </row>
    <row r="152" spans="1:50" x14ac:dyDescent="0.35">
      <c r="A152" t="s">
        <v>947</v>
      </c>
      <c r="B152" s="249">
        <f t="shared" si="2"/>
        <v>4.90324992147564E-2</v>
      </c>
      <c r="C152" s="217">
        <v>4.7802928999999997E-7</v>
      </c>
      <c r="D152">
        <v>2.5457678999999999E-3</v>
      </c>
      <c r="E152">
        <v>0.42928459000000002</v>
      </c>
      <c r="F152" s="217">
        <v>1.2477389E-8</v>
      </c>
      <c r="G152">
        <v>1.7905575E-4</v>
      </c>
      <c r="H152">
        <v>2.9389645999999998E-3</v>
      </c>
      <c r="I152">
        <v>2.1812247E-4</v>
      </c>
      <c r="J152">
        <v>0.13285029000000001</v>
      </c>
      <c r="K152">
        <v>1.539805E-3</v>
      </c>
      <c r="L152">
        <v>10.454708999999999</v>
      </c>
      <c r="M152">
        <v>5.8721274000000001E-4</v>
      </c>
      <c r="N152">
        <v>0.44663508000000002</v>
      </c>
      <c r="O152">
        <v>0.43768901999999998</v>
      </c>
      <c r="P152">
        <v>8.8259433999999994E-3</v>
      </c>
      <c r="Q152">
        <v>1.2011648999999999E-4</v>
      </c>
      <c r="R152" s="217">
        <v>1.4882954E-8</v>
      </c>
      <c r="S152">
        <v>3.4415267000000001E-3</v>
      </c>
      <c r="T152" s="217">
        <v>1.9023263E-5</v>
      </c>
      <c r="U152">
        <v>4.2117340999999999E-4</v>
      </c>
      <c r="V152">
        <v>4.8282925999999999E-3</v>
      </c>
      <c r="W152">
        <v>1.3833898999999999E-3</v>
      </c>
      <c r="X152" s="217">
        <v>4.7799880000000001E-7</v>
      </c>
      <c r="Y152">
        <v>3.9319655999999998</v>
      </c>
      <c r="Z152">
        <v>2.6856468000000001E-2</v>
      </c>
      <c r="AA152" s="217">
        <v>4.9162985999999997E-8</v>
      </c>
      <c r="AB152">
        <v>6.1675439999999996E-3</v>
      </c>
      <c r="AC152">
        <v>14.226846</v>
      </c>
      <c r="AD152" s="217">
        <v>1.6425008E-10</v>
      </c>
      <c r="AE152" s="217">
        <v>4.3584389000000002E-9</v>
      </c>
      <c r="AF152">
        <v>2.3541058000000001</v>
      </c>
      <c r="AG152">
        <v>0</v>
      </c>
      <c r="AH152">
        <v>0</v>
      </c>
      <c r="AI152">
        <v>0.37791035000000001</v>
      </c>
      <c r="AJ152">
        <v>0</v>
      </c>
      <c r="AK152">
        <v>0</v>
      </c>
      <c r="AL152">
        <v>4.1498248000000002</v>
      </c>
      <c r="AM152">
        <v>0</v>
      </c>
      <c r="AN152">
        <v>0</v>
      </c>
      <c r="AO152">
        <v>0</v>
      </c>
      <c r="AP152">
        <v>8.6817190000000003E-4</v>
      </c>
      <c r="AQ152" s="217">
        <v>2.8161255000000002E-6</v>
      </c>
      <c r="AR152">
        <v>2.2538336999999999E-2</v>
      </c>
      <c r="AS152" s="217">
        <v>7.5102861999999998E-6</v>
      </c>
      <c r="AT152">
        <v>0</v>
      </c>
      <c r="AU152">
        <v>0</v>
      </c>
      <c r="AV152">
        <v>0</v>
      </c>
      <c r="AW152">
        <v>0</v>
      </c>
      <c r="AX152">
        <v>0</v>
      </c>
    </row>
    <row r="153" spans="1:50" x14ac:dyDescent="0.35">
      <c r="A153" t="s">
        <v>948</v>
      </c>
      <c r="B153" s="249">
        <f t="shared" si="2"/>
        <v>0.12284150586767882</v>
      </c>
      <c r="C153" s="217">
        <v>3.6602418000000001E-7</v>
      </c>
      <c r="D153">
        <v>9.0206955999999998E-3</v>
      </c>
      <c r="E153">
        <v>1.1195005</v>
      </c>
      <c r="F153" s="217">
        <v>4.0959426999999997E-8</v>
      </c>
      <c r="G153">
        <v>3.8786914999999999E-4</v>
      </c>
      <c r="H153">
        <v>7.0732236999999998E-3</v>
      </c>
      <c r="I153">
        <v>7.8602379000000005E-4</v>
      </c>
      <c r="J153">
        <v>0.28341638000000002</v>
      </c>
      <c r="K153">
        <v>5.5583511E-3</v>
      </c>
      <c r="L153">
        <v>35.381911000000002</v>
      </c>
      <c r="M153">
        <v>1.1103197E-3</v>
      </c>
      <c r="N153">
        <v>1.1259256</v>
      </c>
      <c r="O153">
        <v>1.1306172999999999</v>
      </c>
      <c r="P153">
        <v>-5.2535372E-3</v>
      </c>
      <c r="Q153">
        <v>5.6181004999999995E-4</v>
      </c>
      <c r="R153" s="217">
        <v>4.6097988000000003E-8</v>
      </c>
      <c r="S153">
        <v>8.6227039000000005E-3</v>
      </c>
      <c r="T153" s="217">
        <v>6.4517502000000006E-5</v>
      </c>
      <c r="U153">
        <v>1.5891766000000001E-3</v>
      </c>
      <c r="V153">
        <v>1.8476177999999999E-2</v>
      </c>
      <c r="W153">
        <v>4.7653267000000001E-3</v>
      </c>
      <c r="X153" s="217">
        <v>3.6601334000000003E-7</v>
      </c>
      <c r="Y153">
        <v>14.206868999999999</v>
      </c>
      <c r="Z153">
        <v>0.13886364000000001</v>
      </c>
      <c r="AA153" s="217">
        <v>2.3497236000000001E-8</v>
      </c>
      <c r="AB153">
        <v>3.0863607000000001E-2</v>
      </c>
      <c r="AC153">
        <v>26.234337</v>
      </c>
      <c r="AD153" s="217">
        <v>2.8225465000000002E-10</v>
      </c>
      <c r="AE153" s="217">
        <v>1.2662247E-8</v>
      </c>
      <c r="AF153">
        <v>2.1223996999999999</v>
      </c>
      <c r="AG153">
        <v>0</v>
      </c>
      <c r="AH153">
        <v>0</v>
      </c>
      <c r="AI153">
        <v>0.77684403000000002</v>
      </c>
      <c r="AJ153">
        <v>0</v>
      </c>
      <c r="AK153">
        <v>0</v>
      </c>
      <c r="AL153">
        <v>15.00104</v>
      </c>
      <c r="AM153">
        <v>0</v>
      </c>
      <c r="AN153">
        <v>0</v>
      </c>
      <c r="AO153">
        <v>0</v>
      </c>
      <c r="AP153">
        <v>4.2282092000000002E-3</v>
      </c>
      <c r="AQ153" s="217">
        <v>6.5808776E-6</v>
      </c>
      <c r="AR153">
        <v>8.0187044999999998E-2</v>
      </c>
      <c r="AS153" s="217">
        <v>2.9133709E-5</v>
      </c>
      <c r="AT153">
        <v>0</v>
      </c>
      <c r="AU153">
        <v>0</v>
      </c>
      <c r="AV153">
        <v>0</v>
      </c>
      <c r="AW153">
        <v>0</v>
      </c>
      <c r="AX153">
        <v>0</v>
      </c>
    </row>
    <row r="154" spans="1:50" x14ac:dyDescent="0.35">
      <c r="A154" t="s">
        <v>949</v>
      </c>
      <c r="B154" s="249">
        <f t="shared" si="2"/>
        <v>0.82558061188742005</v>
      </c>
      <c r="C154" s="217">
        <v>1.0481845000000001E-6</v>
      </c>
      <c r="D154">
        <v>7.2105787000000005E-2</v>
      </c>
      <c r="E154">
        <v>8.0274883999999993</v>
      </c>
      <c r="F154" s="217">
        <v>2.6523832999999999E-7</v>
      </c>
      <c r="G154">
        <v>2.9130318999999998E-3</v>
      </c>
      <c r="H154">
        <v>5.4203340000000003E-2</v>
      </c>
      <c r="I154">
        <v>4.9208233000000001E-3</v>
      </c>
      <c r="J154">
        <v>1.4287439</v>
      </c>
      <c r="K154">
        <v>2.3595924000000001E-2</v>
      </c>
      <c r="L154">
        <v>159.05187000000001</v>
      </c>
      <c r="M154">
        <v>8.9048648000000005E-3</v>
      </c>
      <c r="N154">
        <v>8.1772267000000003</v>
      </c>
      <c r="O154">
        <v>8.1851684999999996</v>
      </c>
      <c r="P154">
        <v>-1.0435623E-2</v>
      </c>
      <c r="Q154">
        <v>2.4938594999999999E-3</v>
      </c>
      <c r="R154" s="217">
        <v>2.7012847999999999E-7</v>
      </c>
      <c r="S154">
        <v>6.4288806000000004E-2</v>
      </c>
      <c r="T154">
        <v>5.9367819000000004E-4</v>
      </c>
      <c r="U154">
        <v>8.1327407999999997E-3</v>
      </c>
      <c r="V154">
        <v>9.9612778999999999E-2</v>
      </c>
      <c r="W154">
        <v>2.5710184000000001E-2</v>
      </c>
      <c r="X154" s="217">
        <v>1.0481223999999999E-6</v>
      </c>
      <c r="Y154">
        <v>113.46852</v>
      </c>
      <c r="Z154">
        <v>0.40727078</v>
      </c>
      <c r="AA154" s="217">
        <v>5.9665196999999999E-7</v>
      </c>
      <c r="AB154">
        <v>0.1966137</v>
      </c>
      <c r="AC154">
        <v>260.87633</v>
      </c>
      <c r="AD154" s="217">
        <v>1.5491837E-9</v>
      </c>
      <c r="AE154" s="217">
        <v>8.1470344999999995E-8</v>
      </c>
      <c r="AF154">
        <v>15.251791000000001</v>
      </c>
      <c r="AG154">
        <v>0</v>
      </c>
      <c r="AH154">
        <v>0</v>
      </c>
      <c r="AI154">
        <v>3.5832440000000001</v>
      </c>
      <c r="AJ154">
        <v>0</v>
      </c>
      <c r="AK154">
        <v>0</v>
      </c>
      <c r="AL154">
        <v>119.93849</v>
      </c>
      <c r="AM154">
        <v>0</v>
      </c>
      <c r="AN154">
        <v>0</v>
      </c>
      <c r="AO154">
        <v>0</v>
      </c>
      <c r="AP154">
        <v>1.953015E-2</v>
      </c>
      <c r="AQ154" s="217">
        <v>4.3592701000000003E-5</v>
      </c>
      <c r="AR154">
        <v>0.10967702</v>
      </c>
      <c r="AS154">
        <v>1.8261444999999999E-4</v>
      </c>
      <c r="AT154">
        <v>0</v>
      </c>
      <c r="AU154">
        <v>0</v>
      </c>
      <c r="AV154">
        <v>0</v>
      </c>
      <c r="AW154">
        <v>0</v>
      </c>
      <c r="AX154">
        <v>0</v>
      </c>
    </row>
    <row r="155" spans="1:50" x14ac:dyDescent="0.35">
      <c r="A155" t="s">
        <v>950</v>
      </c>
      <c r="B155" s="249">
        <f t="shared" si="2"/>
        <v>4.1881232808199993</v>
      </c>
      <c r="C155">
        <v>1.5855881E-3</v>
      </c>
      <c r="D155">
        <v>1.7202697999999999E-2</v>
      </c>
      <c r="E155">
        <v>2.6440340999999998</v>
      </c>
      <c r="F155" s="217">
        <v>1.9004479999999999E-7</v>
      </c>
      <c r="G155">
        <v>9.1991621999999995E-3</v>
      </c>
      <c r="H155">
        <v>0.18603523</v>
      </c>
      <c r="I155">
        <v>6.9193974000000005E-2</v>
      </c>
      <c r="J155">
        <v>26.589676000000001</v>
      </c>
      <c r="K155">
        <v>0.46782494000000002</v>
      </c>
      <c r="L155">
        <v>2559.8094000000001</v>
      </c>
      <c r="M155">
        <v>7.5636834999999999E-2</v>
      </c>
      <c r="N155">
        <v>2.6844035000000002</v>
      </c>
      <c r="O155">
        <v>2.6863925000000002</v>
      </c>
      <c r="P155">
        <v>-5.0390169999999998E-3</v>
      </c>
      <c r="Q155">
        <v>3.0500462999999999E-3</v>
      </c>
      <c r="R155" s="217">
        <v>2.0286778000000001E-7</v>
      </c>
      <c r="S155">
        <v>0.21325941000000001</v>
      </c>
      <c r="T155">
        <v>1.8216645E-2</v>
      </c>
      <c r="U155">
        <v>3.0715269999999999E-2</v>
      </c>
      <c r="V155">
        <v>0.16519648000000001</v>
      </c>
      <c r="W155">
        <v>4.2387606000000001E-2</v>
      </c>
      <c r="X155">
        <v>1.5856347000000001E-3</v>
      </c>
      <c r="Y155">
        <v>32.999521999999999</v>
      </c>
      <c r="Z155">
        <v>1.8297882000000001</v>
      </c>
      <c r="AA155" s="217">
        <v>4.9308434999999997E-7</v>
      </c>
      <c r="AB155">
        <v>0.13349800000000001</v>
      </c>
      <c r="AC155">
        <v>2523.8020999999999</v>
      </c>
      <c r="AD155" s="217">
        <v>2.0771291000000001E-8</v>
      </c>
      <c r="AE155" s="217">
        <v>1.9065481000000001E-6</v>
      </c>
      <c r="AF155">
        <v>41.520716</v>
      </c>
      <c r="AG155">
        <v>0</v>
      </c>
      <c r="AH155">
        <v>0</v>
      </c>
      <c r="AI155">
        <v>8.2676630000000007</v>
      </c>
      <c r="AJ155">
        <v>0</v>
      </c>
      <c r="AK155">
        <v>0</v>
      </c>
      <c r="AL155">
        <v>35.118659999999998</v>
      </c>
      <c r="AM155">
        <v>0</v>
      </c>
      <c r="AN155">
        <v>0</v>
      </c>
      <c r="AO155">
        <v>0</v>
      </c>
      <c r="AP155">
        <v>4.9820103999999997E-2</v>
      </c>
      <c r="AQ155" s="217">
        <v>6.6634463000000006E-5</v>
      </c>
      <c r="AR155">
        <v>6.3363073999999999</v>
      </c>
      <c r="AS155">
        <v>1.2411485E-4</v>
      </c>
      <c r="AT155">
        <v>0</v>
      </c>
      <c r="AU155">
        <v>0</v>
      </c>
      <c r="AV155">
        <v>0</v>
      </c>
      <c r="AW155">
        <v>0</v>
      </c>
      <c r="AX155">
        <v>0</v>
      </c>
    </row>
    <row r="156" spans="1:50" x14ac:dyDescent="0.35">
      <c r="A156" t="s">
        <v>951</v>
      </c>
      <c r="B156" s="249">
        <f t="shared" si="2"/>
        <v>1.7960573807519002</v>
      </c>
      <c r="C156">
        <v>6.7441698000000004E-4</v>
      </c>
      <c r="D156">
        <v>1.2629881000000001E-2</v>
      </c>
      <c r="E156">
        <v>1.9100583</v>
      </c>
      <c r="F156" s="217">
        <v>1.4039916999999999E-7</v>
      </c>
      <c r="G156">
        <v>3.9143138000000003E-3</v>
      </c>
      <c r="H156">
        <v>7.6312421000000005E-2</v>
      </c>
      <c r="I156">
        <v>3.4302037E-2</v>
      </c>
      <c r="J156">
        <v>10.691689999999999</v>
      </c>
      <c r="K156">
        <v>0.20658832999999999</v>
      </c>
      <c r="L156">
        <v>1061.9032</v>
      </c>
      <c r="M156">
        <v>3.3080859999999997E-2</v>
      </c>
      <c r="N156">
        <v>1.9463490999999999</v>
      </c>
      <c r="O156">
        <v>1.9406146</v>
      </c>
      <c r="P156">
        <v>3.5398357000000001E-3</v>
      </c>
      <c r="Q156">
        <v>2.1946652999999998E-3</v>
      </c>
      <c r="R156" s="217">
        <v>1.4160730999999999E-7</v>
      </c>
      <c r="S156">
        <v>8.8621571999999996E-2</v>
      </c>
      <c r="T156">
        <v>9.4407491999999992E-3</v>
      </c>
      <c r="U156">
        <v>1.2438918E-2</v>
      </c>
      <c r="V156">
        <v>8.7175833999999994E-2</v>
      </c>
      <c r="W156">
        <v>2.1006324E-2</v>
      </c>
      <c r="X156">
        <v>6.7443256000000002E-4</v>
      </c>
      <c r="Y156">
        <v>25.637454999999999</v>
      </c>
      <c r="Z156">
        <v>1.0407586</v>
      </c>
      <c r="AA156" s="217">
        <v>2.5110633E-7</v>
      </c>
      <c r="AB156">
        <v>0.12708222</v>
      </c>
      <c r="AC156">
        <v>1065.4356</v>
      </c>
      <c r="AD156" s="217">
        <v>9.6545784000000007E-9</v>
      </c>
      <c r="AE156" s="217">
        <v>8.4979210999999997E-7</v>
      </c>
      <c r="AF156">
        <v>26.078517999999999</v>
      </c>
      <c r="AG156">
        <v>0</v>
      </c>
      <c r="AH156">
        <v>0</v>
      </c>
      <c r="AI156">
        <v>5.4334582999999999</v>
      </c>
      <c r="AJ156">
        <v>0</v>
      </c>
      <c r="AK156">
        <v>0</v>
      </c>
      <c r="AL156">
        <v>27.137288000000002</v>
      </c>
      <c r="AM156">
        <v>0</v>
      </c>
      <c r="AN156">
        <v>0</v>
      </c>
      <c r="AO156">
        <v>0</v>
      </c>
      <c r="AP156">
        <v>3.2382853000000003E-2</v>
      </c>
      <c r="AQ156" s="217">
        <v>4.0962584999999999E-5</v>
      </c>
      <c r="AR156">
        <v>2.3142592999999998</v>
      </c>
      <c r="AS156">
        <v>1.1654040000000001E-4</v>
      </c>
      <c r="AT156">
        <v>0</v>
      </c>
      <c r="AU156">
        <v>0</v>
      </c>
      <c r="AV156">
        <v>0</v>
      </c>
      <c r="AW156">
        <v>0</v>
      </c>
      <c r="AX156">
        <v>0</v>
      </c>
    </row>
    <row r="157" spans="1:50" x14ac:dyDescent="0.35">
      <c r="A157" t="s">
        <v>952</v>
      </c>
      <c r="B157" s="249">
        <f t="shared" si="2"/>
        <v>0.25215908553225996</v>
      </c>
      <c r="C157" s="217">
        <v>3.2761159999999999E-6</v>
      </c>
      <c r="D157">
        <v>1.0296389E-2</v>
      </c>
      <c r="E157">
        <v>0.96313895000000005</v>
      </c>
      <c r="F157" s="217">
        <v>1.3951579E-7</v>
      </c>
      <c r="G157">
        <v>2.1759025000000001E-3</v>
      </c>
      <c r="H157">
        <v>3.6673261999999999E-3</v>
      </c>
      <c r="I157">
        <v>8.6048034E-4</v>
      </c>
      <c r="J157">
        <v>1.9217512999999999</v>
      </c>
      <c r="K157">
        <v>6.2231988000000004E-3</v>
      </c>
      <c r="L157">
        <v>23.598592</v>
      </c>
      <c r="M157">
        <v>1.3400186000000001E-3</v>
      </c>
      <c r="N157">
        <v>0.92232678000000001</v>
      </c>
      <c r="O157">
        <v>0.99123134000000002</v>
      </c>
      <c r="P157">
        <v>-6.9468803999999995E-2</v>
      </c>
      <c r="Q157">
        <v>5.6423927999999998E-4</v>
      </c>
      <c r="R157" s="217">
        <v>1.4545986E-7</v>
      </c>
      <c r="S157">
        <v>4.4352343999999998E-3</v>
      </c>
      <c r="T157" s="217">
        <v>5.1448668E-5</v>
      </c>
      <c r="U157">
        <v>7.4257562E-4</v>
      </c>
      <c r="V157">
        <v>8.5959387999999994E-3</v>
      </c>
      <c r="W157">
        <v>5.754795E-3</v>
      </c>
      <c r="X157" s="217">
        <v>3.2761724999999998E-6</v>
      </c>
      <c r="Y157">
        <v>20.05395</v>
      </c>
      <c r="Z157">
        <v>0.48829045999999998</v>
      </c>
      <c r="AA157" s="217">
        <v>4.1810381999999998E-8</v>
      </c>
      <c r="AB157">
        <v>3.2937713E-2</v>
      </c>
      <c r="AC157">
        <v>31.693625999999998</v>
      </c>
      <c r="AD157" s="217">
        <v>1.8581696000000001E-9</v>
      </c>
      <c r="AE157" s="217">
        <v>2.7737729E-8</v>
      </c>
      <c r="AF157">
        <v>2.9132456000000002</v>
      </c>
      <c r="AG157">
        <v>0</v>
      </c>
      <c r="AH157">
        <v>0</v>
      </c>
      <c r="AI157">
        <v>0.68577208999999995</v>
      </c>
      <c r="AJ157">
        <v>0</v>
      </c>
      <c r="AK157">
        <v>0</v>
      </c>
      <c r="AL157">
        <v>21.457757000000001</v>
      </c>
      <c r="AM157">
        <v>0</v>
      </c>
      <c r="AN157">
        <v>0</v>
      </c>
      <c r="AO157">
        <v>0</v>
      </c>
      <c r="AP157">
        <v>1.2524341E-2</v>
      </c>
      <c r="AQ157" s="217">
        <v>1.162563E-5</v>
      </c>
      <c r="AR157">
        <v>8.3127988E-2</v>
      </c>
      <c r="AS157" s="217">
        <v>3.5271112000000001E-5</v>
      </c>
      <c r="AT157">
        <v>0</v>
      </c>
      <c r="AU157">
        <v>0</v>
      </c>
      <c r="AV157">
        <v>0</v>
      </c>
      <c r="AW157">
        <v>0</v>
      </c>
      <c r="AX157">
        <v>0</v>
      </c>
    </row>
    <row r="158" spans="1:50" x14ac:dyDescent="0.35">
      <c r="A158" t="s">
        <v>953</v>
      </c>
      <c r="B158" s="249">
        <f t="shared" si="2"/>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row>
    <row r="159" spans="1:50" x14ac:dyDescent="0.35">
      <c r="A159" t="s">
        <v>954</v>
      </c>
      <c r="B159" s="249">
        <f t="shared" si="2"/>
        <v>0.23021020076135601</v>
      </c>
      <c r="C159" s="217">
        <v>3.6079590999999999E-6</v>
      </c>
      <c r="D159">
        <v>1.4014647E-2</v>
      </c>
      <c r="E159">
        <v>1.8196646999999999</v>
      </c>
      <c r="F159" s="217">
        <v>1.3134953000000001E-7</v>
      </c>
      <c r="G159">
        <v>1.1229636E-3</v>
      </c>
      <c r="H159">
        <v>1.0461478E-2</v>
      </c>
      <c r="I159">
        <v>1.2035123E-3</v>
      </c>
      <c r="J159">
        <v>0.82807306000000003</v>
      </c>
      <c r="K159">
        <v>3.2078691999999999E-2</v>
      </c>
      <c r="L159">
        <v>63.544466999999997</v>
      </c>
      <c r="M159">
        <v>3.5545287000000002E-3</v>
      </c>
      <c r="N159">
        <v>-9.5757209999999997</v>
      </c>
      <c r="O159">
        <v>1.8534926</v>
      </c>
      <c r="P159">
        <v>-11.432536000000001</v>
      </c>
      <c r="Q159">
        <v>3.3228276000000002E-3</v>
      </c>
      <c r="R159" s="217">
        <v>1.4704382000000001E-7</v>
      </c>
      <c r="S159">
        <v>1.2999579000000001E-2</v>
      </c>
      <c r="T159">
        <v>1.0099038000000001E-4</v>
      </c>
      <c r="U159">
        <v>1.793113E-3</v>
      </c>
      <c r="V159">
        <v>2.6329000000000002E-2</v>
      </c>
      <c r="W159">
        <v>6.4191958000000002E-3</v>
      </c>
      <c r="X159" s="217">
        <v>3.6083651000000001E-6</v>
      </c>
      <c r="Y159">
        <v>25.920753000000001</v>
      </c>
      <c r="Z159">
        <v>0.97101395000000001</v>
      </c>
      <c r="AA159" s="217">
        <v>1.4277063999999999E-7</v>
      </c>
      <c r="AB159">
        <v>8.0529597999999994E-2</v>
      </c>
      <c r="AC159">
        <v>38.542603999999997</v>
      </c>
      <c r="AD159" s="217">
        <v>5.8870993000000003E-9</v>
      </c>
      <c r="AE159" s="217">
        <v>1.8907046E-8</v>
      </c>
      <c r="AF159">
        <v>310.49576000000002</v>
      </c>
      <c r="AG159">
        <v>0</v>
      </c>
      <c r="AH159">
        <v>0</v>
      </c>
      <c r="AI159">
        <v>125.83599</v>
      </c>
      <c r="AJ159">
        <v>0</v>
      </c>
      <c r="AK159">
        <v>0</v>
      </c>
      <c r="AL159">
        <v>27.697371</v>
      </c>
      <c r="AM159">
        <v>0</v>
      </c>
      <c r="AN159">
        <v>0</v>
      </c>
      <c r="AO159">
        <v>0</v>
      </c>
      <c r="AP159">
        <v>2.6377939E-2</v>
      </c>
      <c r="AQ159" s="217">
        <v>2.6536630000000001E-5</v>
      </c>
      <c r="AR159">
        <v>0.15770497999999999</v>
      </c>
      <c r="AS159" s="217">
        <v>7.8862255000000002E-5</v>
      </c>
      <c r="AT159">
        <v>0</v>
      </c>
      <c r="AU159">
        <v>0</v>
      </c>
      <c r="AV159">
        <v>0</v>
      </c>
      <c r="AW159">
        <v>0</v>
      </c>
      <c r="AX159">
        <v>0</v>
      </c>
    </row>
    <row r="160" spans="1:50" x14ac:dyDescent="0.35">
      <c r="A160" t="s">
        <v>955</v>
      </c>
      <c r="B160" s="249">
        <f t="shared" si="2"/>
        <v>0.19169759225345198</v>
      </c>
      <c r="C160" s="217">
        <v>8.6446201999999998E-6</v>
      </c>
      <c r="D160">
        <v>2.4967563000000002E-2</v>
      </c>
      <c r="E160">
        <v>1.7896117</v>
      </c>
      <c r="F160" s="217">
        <v>6.4025474000000005E-8</v>
      </c>
      <c r="G160">
        <v>1.3573559000000001E-3</v>
      </c>
      <c r="H160">
        <v>6.7025918000000002E-3</v>
      </c>
      <c r="I160">
        <v>9.3511636000000002E-4</v>
      </c>
      <c r="J160">
        <v>0.63832540999999998</v>
      </c>
      <c r="K160">
        <v>6.1461637999999999E-3</v>
      </c>
      <c r="L160">
        <v>25.096812</v>
      </c>
      <c r="M160">
        <v>2.2402336000000001E-3</v>
      </c>
      <c r="N160">
        <v>1.8598375</v>
      </c>
      <c r="O160">
        <v>1.8448764</v>
      </c>
      <c r="P160">
        <v>1.3672326E-2</v>
      </c>
      <c r="Q160">
        <v>1.2887873999999999E-3</v>
      </c>
      <c r="R160" s="217">
        <v>4.8351205000000003E-8</v>
      </c>
      <c r="S160">
        <v>8.3649514000000008E-3</v>
      </c>
      <c r="T160">
        <v>1.2530179000000001E-4</v>
      </c>
      <c r="U160">
        <v>1.1598043000000001E-3</v>
      </c>
      <c r="V160">
        <v>1.7379737999999999E-2</v>
      </c>
      <c r="W160">
        <v>5.4897191999999997E-3</v>
      </c>
      <c r="X160" s="217">
        <v>8.6447872E-6</v>
      </c>
      <c r="Y160">
        <v>54.824545000000001</v>
      </c>
      <c r="Z160">
        <v>1.1419349000000001</v>
      </c>
      <c r="AA160" s="217">
        <v>5.2955092000000003E-8</v>
      </c>
      <c r="AB160">
        <v>0.10264036</v>
      </c>
      <c r="AC160">
        <v>13.306010000000001</v>
      </c>
      <c r="AD160" s="217">
        <v>5.6551863999999997E-10</v>
      </c>
      <c r="AE160" s="217">
        <v>1.5169192E-8</v>
      </c>
      <c r="AF160">
        <v>4.1096015000000001</v>
      </c>
      <c r="AG160">
        <v>0</v>
      </c>
      <c r="AH160">
        <v>0</v>
      </c>
      <c r="AI160">
        <v>2.1831532999999999</v>
      </c>
      <c r="AJ160">
        <v>0</v>
      </c>
      <c r="AK160">
        <v>0</v>
      </c>
      <c r="AL160">
        <v>58.568170000000002</v>
      </c>
      <c r="AM160">
        <v>0</v>
      </c>
      <c r="AN160">
        <v>0</v>
      </c>
      <c r="AO160">
        <v>0</v>
      </c>
      <c r="AP160">
        <v>3.2111415999999997E-2</v>
      </c>
      <c r="AQ160" s="217">
        <v>1.7325426E-5</v>
      </c>
      <c r="AR160">
        <v>9.9062531999999995E-2</v>
      </c>
      <c r="AS160" s="217">
        <v>8.6687632999999997E-5</v>
      </c>
      <c r="AT160">
        <v>0</v>
      </c>
      <c r="AU160">
        <v>0</v>
      </c>
      <c r="AV160">
        <v>0</v>
      </c>
      <c r="AW160">
        <v>0</v>
      </c>
      <c r="AX160">
        <v>0</v>
      </c>
    </row>
    <row r="161" spans="1:50" x14ac:dyDescent="0.35">
      <c r="A161" t="s">
        <v>956</v>
      </c>
      <c r="B161" s="249">
        <f t="shared" si="2"/>
        <v>1.3164429297654401</v>
      </c>
      <c r="C161" s="217">
        <v>6.7421784000000002E-5</v>
      </c>
      <c r="D161">
        <v>5.3888903000000002E-2</v>
      </c>
      <c r="E161">
        <v>15.265433</v>
      </c>
      <c r="F161">
        <v>9.7303926000000002E-4</v>
      </c>
      <c r="G161">
        <v>1.1420034000000001E-2</v>
      </c>
      <c r="H161">
        <v>4.5337859000000001E-2</v>
      </c>
      <c r="I161">
        <v>4.2959864E-3</v>
      </c>
      <c r="J161">
        <v>2.7039979000000001</v>
      </c>
      <c r="K161">
        <v>5.1486999999999998E-2</v>
      </c>
      <c r="L161">
        <v>262.56506000000002</v>
      </c>
      <c r="M161">
        <v>2.2179689999999998E-2</v>
      </c>
      <c r="N161">
        <v>16.693325999999999</v>
      </c>
      <c r="O161">
        <v>16.695294000000001</v>
      </c>
      <c r="P161">
        <v>-7.4974632999999999E-3</v>
      </c>
      <c r="Q161">
        <v>5.5299177999999999E-3</v>
      </c>
      <c r="R161">
        <v>7.8425502999999997E-4</v>
      </c>
      <c r="S161">
        <v>5.3815638999999998E-2</v>
      </c>
      <c r="T161">
        <v>4.6859545000000003E-4</v>
      </c>
      <c r="U161">
        <v>7.5311166000000002E-3</v>
      </c>
      <c r="V161">
        <v>8.7390802000000004E-2</v>
      </c>
      <c r="W161">
        <v>3.7345372000000002E-2</v>
      </c>
      <c r="X161" s="217">
        <v>6.7429785999999998E-5</v>
      </c>
      <c r="Y161">
        <v>103.85181</v>
      </c>
      <c r="Z161">
        <v>5.4923438999999998</v>
      </c>
      <c r="AA161" s="217">
        <v>5.2675909999999995E-7</v>
      </c>
      <c r="AB161">
        <v>0.23136071</v>
      </c>
      <c r="AC161">
        <v>212.33295000000001</v>
      </c>
      <c r="AD161" s="217">
        <v>1.569931E-8</v>
      </c>
      <c r="AE161" s="217">
        <v>2.2088011999999999E-7</v>
      </c>
      <c r="AF161">
        <v>15.558291000000001</v>
      </c>
      <c r="AG161">
        <v>0</v>
      </c>
      <c r="AH161">
        <v>0</v>
      </c>
      <c r="AI161">
        <v>5.3672757000000004</v>
      </c>
      <c r="AJ161">
        <v>0</v>
      </c>
      <c r="AK161">
        <v>0</v>
      </c>
      <c r="AL161">
        <v>111.71353999999999</v>
      </c>
      <c r="AM161">
        <v>0</v>
      </c>
      <c r="AN161">
        <v>0</v>
      </c>
      <c r="AO161">
        <v>0</v>
      </c>
      <c r="AP161">
        <v>0.13749557000000001</v>
      </c>
      <c r="AQ161">
        <v>1.4018278999999999E-4</v>
      </c>
      <c r="AR161">
        <v>0.62072952000000003</v>
      </c>
      <c r="AS161">
        <v>2.0504968E-4</v>
      </c>
      <c r="AT161">
        <v>0</v>
      </c>
      <c r="AU161">
        <v>0</v>
      </c>
      <c r="AV161">
        <v>0</v>
      </c>
      <c r="AW161">
        <v>0</v>
      </c>
      <c r="AX161">
        <v>0</v>
      </c>
    </row>
    <row r="162" spans="1:50" x14ac:dyDescent="0.35">
      <c r="A162" t="s">
        <v>957</v>
      </c>
      <c r="B162" s="249">
        <f t="shared" si="2"/>
        <v>0.23001073917163645</v>
      </c>
      <c r="C162" s="217">
        <v>5.9294553999999999E-7</v>
      </c>
      <c r="D162">
        <v>4.0674125999999998E-2</v>
      </c>
      <c r="E162">
        <v>2.6965254999999999</v>
      </c>
      <c r="F162" s="217">
        <v>4.8875450000000002E-9</v>
      </c>
      <c r="G162">
        <v>1.9858736000000002E-3</v>
      </c>
      <c r="H162">
        <v>1.4974134E-2</v>
      </c>
      <c r="I162">
        <v>1.4723005999999999E-3</v>
      </c>
      <c r="J162">
        <v>0.1071011</v>
      </c>
      <c r="K162">
        <v>5.5049278E-3</v>
      </c>
      <c r="L162">
        <v>8.7088935999999997</v>
      </c>
      <c r="M162">
        <v>1.4703961999999999E-2</v>
      </c>
      <c r="N162">
        <v>2.7684891999999999</v>
      </c>
      <c r="O162">
        <v>2.7531903</v>
      </c>
      <c r="P162">
        <v>1.5285421E-2</v>
      </c>
      <c r="Q162" s="217">
        <v>1.3403104E-5</v>
      </c>
      <c r="R162" s="217">
        <v>6.0619032999999997E-9</v>
      </c>
      <c r="S162">
        <v>1.8322187E-2</v>
      </c>
      <c r="T162" s="217">
        <v>1.8040136E-6</v>
      </c>
      <c r="U162">
        <v>4.1238955000000004E-3</v>
      </c>
      <c r="V162">
        <v>4.3302574000000003E-2</v>
      </c>
      <c r="W162">
        <v>1.3989658E-2</v>
      </c>
      <c r="X162" s="217">
        <v>5.9294476000000002E-7</v>
      </c>
      <c r="Y162">
        <v>81.874668999999997</v>
      </c>
      <c r="Z162">
        <v>2.6969438999999999</v>
      </c>
      <c r="AA162" s="217">
        <v>1.9746324E-7</v>
      </c>
      <c r="AB162">
        <v>1.9345225000000001E-3</v>
      </c>
      <c r="AC162">
        <v>24.379861999999999</v>
      </c>
      <c r="AD162" s="217">
        <v>8.4787154999999997E-10</v>
      </c>
      <c r="AE162" s="217">
        <v>7.0349121999999996E-8</v>
      </c>
      <c r="AF162">
        <v>0.37171444999999997</v>
      </c>
      <c r="AG162">
        <v>0</v>
      </c>
      <c r="AH162">
        <v>0</v>
      </c>
      <c r="AI162">
        <v>1.0218784999999999E-2</v>
      </c>
      <c r="AJ162">
        <v>0</v>
      </c>
      <c r="AK162">
        <v>0</v>
      </c>
      <c r="AL162">
        <v>88.646128000000004</v>
      </c>
      <c r="AM162">
        <v>0</v>
      </c>
      <c r="AN162">
        <v>0</v>
      </c>
      <c r="AO162">
        <v>0</v>
      </c>
      <c r="AP162">
        <v>6.2810273999999999E-2</v>
      </c>
      <c r="AQ162">
        <v>1.1003218999999999E-3</v>
      </c>
      <c r="AR162">
        <v>5.9919796999999997E-2</v>
      </c>
      <c r="AS162" s="217">
        <v>2.8539763000000001E-6</v>
      </c>
      <c r="AT162">
        <v>0</v>
      </c>
      <c r="AU162">
        <v>0</v>
      </c>
      <c r="AV162">
        <v>0</v>
      </c>
      <c r="AW162">
        <v>0</v>
      </c>
      <c r="AX162">
        <v>0</v>
      </c>
    </row>
    <row r="163" spans="1:50" x14ac:dyDescent="0.35">
      <c r="A163" t="s">
        <v>958</v>
      </c>
      <c r="B163" s="249">
        <f t="shared" si="2"/>
        <v>39.977369241978003</v>
      </c>
      <c r="C163">
        <v>3.2286837999999998E-3</v>
      </c>
      <c r="D163">
        <v>2.0577371000000002</v>
      </c>
      <c r="E163">
        <v>288.32342</v>
      </c>
      <c r="F163" s="217">
        <v>1.5067019E-5</v>
      </c>
      <c r="G163">
        <v>0.10342923</v>
      </c>
      <c r="H163">
        <v>1.5854424</v>
      </c>
      <c r="I163">
        <v>0.37064427999999999</v>
      </c>
      <c r="J163">
        <v>148.18494000000001</v>
      </c>
      <c r="K163">
        <v>2.2892302</v>
      </c>
      <c r="L163">
        <v>19077.269</v>
      </c>
      <c r="M163">
        <v>0.558612</v>
      </c>
      <c r="N163">
        <v>294.40859999999998</v>
      </c>
      <c r="O163">
        <v>293.36694</v>
      </c>
      <c r="P163">
        <v>0.63536820999999999</v>
      </c>
      <c r="Q163">
        <v>0.40629770999999998</v>
      </c>
      <c r="R163" s="217">
        <v>1.5542344999999998E-5</v>
      </c>
      <c r="S163">
        <v>1.9440978</v>
      </c>
      <c r="T163">
        <v>7.5886052999999995E-2</v>
      </c>
      <c r="U163">
        <v>0.34156790999999997</v>
      </c>
      <c r="V163">
        <v>3.9857811999999999</v>
      </c>
      <c r="W163">
        <v>0.96983775999999999</v>
      </c>
      <c r="X163">
        <v>3.2288213999999999E-3</v>
      </c>
      <c r="Y163">
        <v>3752.3276000000001</v>
      </c>
      <c r="Z163">
        <v>89.365213999999995</v>
      </c>
      <c r="AA163" s="217">
        <v>1.4984239E-5</v>
      </c>
      <c r="AB163">
        <v>14.670597000000001</v>
      </c>
      <c r="AC163">
        <v>9047.1296999999995</v>
      </c>
      <c r="AD163" s="217">
        <v>1.1638255E-7</v>
      </c>
      <c r="AE163" s="217">
        <v>4.4735900999999999E-6</v>
      </c>
      <c r="AF163">
        <v>914.28138999999999</v>
      </c>
      <c r="AG163">
        <v>0</v>
      </c>
      <c r="AH163">
        <v>0</v>
      </c>
      <c r="AI163">
        <v>354.39724999999999</v>
      </c>
      <c r="AJ163">
        <v>0</v>
      </c>
      <c r="AK163">
        <v>0</v>
      </c>
      <c r="AL163">
        <v>3994.8951999999999</v>
      </c>
      <c r="AM163">
        <v>0</v>
      </c>
      <c r="AN163">
        <v>0</v>
      </c>
      <c r="AO163">
        <v>0</v>
      </c>
      <c r="AP163">
        <v>2.8257984</v>
      </c>
      <c r="AQ163">
        <v>5.8847472000000001E-3</v>
      </c>
      <c r="AR163">
        <v>27.956669999999999</v>
      </c>
      <c r="AS163">
        <v>1.1630438999999999E-2</v>
      </c>
      <c r="AT163">
        <v>0</v>
      </c>
      <c r="AU163">
        <v>0</v>
      </c>
      <c r="AV163">
        <v>0</v>
      </c>
      <c r="AW163">
        <v>0</v>
      </c>
      <c r="AX163">
        <v>0</v>
      </c>
    </row>
    <row r="164" spans="1:50" x14ac:dyDescent="0.35">
      <c r="A164" t="s">
        <v>959</v>
      </c>
      <c r="B164" s="249">
        <f t="shared" si="2"/>
        <v>1.2624474028022E-2</v>
      </c>
      <c r="C164" s="217">
        <v>2.8497095E-7</v>
      </c>
      <c r="D164">
        <v>7.7257667999999996E-4</v>
      </c>
      <c r="E164">
        <v>0.10884228</v>
      </c>
      <c r="F164" s="217">
        <v>1.4105709000000001E-8</v>
      </c>
      <c r="G164" s="217">
        <v>6.3232632000000003E-5</v>
      </c>
      <c r="H164">
        <v>5.4525373999999996E-4</v>
      </c>
      <c r="I164" s="217">
        <v>8.7233585999999999E-5</v>
      </c>
      <c r="J164">
        <v>3.9520112000000003E-2</v>
      </c>
      <c r="K164">
        <v>9.2749320000000001E-4</v>
      </c>
      <c r="L164">
        <v>3.7024518999999998</v>
      </c>
      <c r="M164">
        <v>1.8027380999999999E-4</v>
      </c>
      <c r="N164">
        <v>0.11076714999999999</v>
      </c>
      <c r="O164">
        <v>0.11034972</v>
      </c>
      <c r="P164">
        <v>3.4696516999999999E-4</v>
      </c>
      <c r="Q164" s="217">
        <v>7.0471009000000001E-5</v>
      </c>
      <c r="R164" s="217">
        <v>1.7333928999999999E-8</v>
      </c>
      <c r="S164">
        <v>6.9456786999999999E-4</v>
      </c>
      <c r="T164" s="217">
        <v>4.2567714000000001E-6</v>
      </c>
      <c r="U164">
        <v>1.8383498999999999E-4</v>
      </c>
      <c r="V164">
        <v>2.0869628000000002E-3</v>
      </c>
      <c r="W164">
        <v>5.9122961999999999E-4</v>
      </c>
      <c r="X164" s="217">
        <v>2.8498082000000001E-7</v>
      </c>
      <c r="Y164">
        <v>1.5205867</v>
      </c>
      <c r="Z164">
        <v>5.0319479E-2</v>
      </c>
      <c r="AA164" s="217">
        <v>9.4872885000000002E-9</v>
      </c>
      <c r="AB164">
        <v>6.1626086999999998E-3</v>
      </c>
      <c r="AC164">
        <v>1.771976</v>
      </c>
      <c r="AD164" s="217">
        <v>6.9847680000000002E-11</v>
      </c>
      <c r="AE164" s="217">
        <v>1.5195396E-9</v>
      </c>
      <c r="AF164">
        <v>0.93264913000000005</v>
      </c>
      <c r="AG164">
        <v>0</v>
      </c>
      <c r="AH164">
        <v>0</v>
      </c>
      <c r="AI164">
        <v>5.9356687999999998E-2</v>
      </c>
      <c r="AJ164">
        <v>0</v>
      </c>
      <c r="AK164">
        <v>0</v>
      </c>
      <c r="AL164">
        <v>1.6138049999999999</v>
      </c>
      <c r="AM164">
        <v>0</v>
      </c>
      <c r="AN164">
        <v>0</v>
      </c>
      <c r="AO164">
        <v>0</v>
      </c>
      <c r="AP164">
        <v>1.3109558E-3</v>
      </c>
      <c r="AQ164" s="217">
        <v>6.0942625000000002E-6</v>
      </c>
      <c r="AR164">
        <v>5.5206765999999997E-2</v>
      </c>
      <c r="AS164" s="217">
        <v>8.4029895000000003E-6</v>
      </c>
      <c r="AT164">
        <v>0</v>
      </c>
      <c r="AU164">
        <v>0</v>
      </c>
      <c r="AV164">
        <v>0</v>
      </c>
      <c r="AW164">
        <v>0</v>
      </c>
      <c r="AX164">
        <v>0</v>
      </c>
    </row>
    <row r="165" spans="1:50" x14ac:dyDescent="0.35">
      <c r="A165" t="s">
        <v>960</v>
      </c>
      <c r="B165" s="249">
        <f t="shared" si="2"/>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row>
    <row r="166" spans="1:50" x14ac:dyDescent="0.35">
      <c r="A166" t="s">
        <v>961</v>
      </c>
      <c r="B166" s="249">
        <f t="shared" si="2"/>
        <v>0.60744474610159993</v>
      </c>
      <c r="C166" s="217">
        <v>1.7960159999999998E-5</v>
      </c>
      <c r="D166">
        <v>3.9735968000000003E-2</v>
      </c>
      <c r="E166">
        <v>3.3505604999999998</v>
      </c>
      <c r="F166" s="217">
        <v>3.4703040000000003E-7</v>
      </c>
      <c r="G166">
        <v>4.0316138000000001E-3</v>
      </c>
      <c r="H166">
        <v>1.3645321E-2</v>
      </c>
      <c r="I166">
        <v>2.7420075E-3</v>
      </c>
      <c r="J166">
        <v>3.5409663999999998</v>
      </c>
      <c r="K166">
        <v>0.66884977000000001</v>
      </c>
      <c r="L166">
        <v>71.923630000000003</v>
      </c>
      <c r="M166">
        <v>4.6378414000000003E-3</v>
      </c>
      <c r="N166">
        <v>3.4468504000000002</v>
      </c>
      <c r="O166">
        <v>3.4416221</v>
      </c>
      <c r="P166">
        <v>3.229432E-3</v>
      </c>
      <c r="Q166">
        <v>1.9988800000000002E-3</v>
      </c>
      <c r="R166" s="217">
        <v>3.4847000999999998E-7</v>
      </c>
      <c r="S166">
        <v>1.6629736999999999E-2</v>
      </c>
      <c r="T166">
        <v>2.3455451000000001E-4</v>
      </c>
      <c r="U166">
        <v>3.1056375999999998E-3</v>
      </c>
      <c r="V166">
        <v>3.2157505000000003E-2</v>
      </c>
      <c r="W166">
        <v>1.4212951E-2</v>
      </c>
      <c r="X166" s="217">
        <v>1.7960721E-5</v>
      </c>
      <c r="Y166">
        <v>79.776899</v>
      </c>
      <c r="Z166">
        <v>1.7823348000000001</v>
      </c>
      <c r="AA166" s="217">
        <v>1.3525387999999999E-7</v>
      </c>
      <c r="AB166">
        <v>0.11214224</v>
      </c>
      <c r="AC166">
        <v>126.67946999999999</v>
      </c>
      <c r="AD166" s="217">
        <v>6.3351016000000003E-9</v>
      </c>
      <c r="AE166" s="217">
        <v>4.1950706999999999E-8</v>
      </c>
      <c r="AF166">
        <v>9.6576312000000009</v>
      </c>
      <c r="AG166">
        <v>0</v>
      </c>
      <c r="AH166">
        <v>0</v>
      </c>
      <c r="AI166">
        <v>2.8584827000000002</v>
      </c>
      <c r="AJ166">
        <v>0</v>
      </c>
      <c r="AK166">
        <v>0</v>
      </c>
      <c r="AL166">
        <v>85.512929999999997</v>
      </c>
      <c r="AM166">
        <v>0</v>
      </c>
      <c r="AN166">
        <v>0</v>
      </c>
      <c r="AO166">
        <v>0</v>
      </c>
      <c r="AP166">
        <v>4.7090904000000003E-2</v>
      </c>
      <c r="AQ166" s="217">
        <v>4.4347331E-5</v>
      </c>
      <c r="AR166">
        <v>0.25818915999999997</v>
      </c>
      <c r="AS166">
        <v>1.0325637E-4</v>
      </c>
      <c r="AT166">
        <v>0</v>
      </c>
      <c r="AU166">
        <v>0</v>
      </c>
      <c r="AV166">
        <v>0</v>
      </c>
      <c r="AW166">
        <v>0</v>
      </c>
      <c r="AX166">
        <v>0</v>
      </c>
    </row>
    <row r="167" spans="1:50" x14ac:dyDescent="0.35">
      <c r="A167" t="s">
        <v>962</v>
      </c>
      <c r="B167" s="249">
        <f t="shared" si="2"/>
        <v>4.9878366840950004E-2</v>
      </c>
      <c r="C167" s="217">
        <v>3.0479442999999999E-5</v>
      </c>
      <c r="D167">
        <v>2.7648360000000001E-3</v>
      </c>
      <c r="E167">
        <v>0.61624902999999998</v>
      </c>
      <c r="F167" s="217">
        <v>2.9252509E-8</v>
      </c>
      <c r="G167">
        <v>2.6133638999999999E-4</v>
      </c>
      <c r="H167">
        <v>1.5475833E-3</v>
      </c>
      <c r="I167">
        <v>2.747739E-4</v>
      </c>
      <c r="J167">
        <v>8.3776900000000001E-2</v>
      </c>
      <c r="K167">
        <v>1.1601185999999999E-2</v>
      </c>
      <c r="L167">
        <v>14.999381</v>
      </c>
      <c r="M167">
        <v>7.3202558000000004E-4</v>
      </c>
      <c r="N167">
        <v>0.22391512</v>
      </c>
      <c r="O167">
        <v>0.22469338999999999</v>
      </c>
      <c r="P167">
        <v>-9.5351094999999997E-4</v>
      </c>
      <c r="Q167">
        <v>1.7523832E-4</v>
      </c>
      <c r="R167" s="217">
        <v>2.7564516E-8</v>
      </c>
      <c r="S167">
        <v>1.2970855000000001E-3</v>
      </c>
      <c r="T167" s="217">
        <v>1.5759986E-5</v>
      </c>
      <c r="U167">
        <v>1.9898297999999999E-4</v>
      </c>
      <c r="V167">
        <v>2.5421361E-3</v>
      </c>
      <c r="W167">
        <v>8.2154766999999998E-4</v>
      </c>
      <c r="X167" s="217">
        <v>9.3927031000000003E-7</v>
      </c>
      <c r="Y167">
        <v>4.0551437000000004</v>
      </c>
      <c r="Z167">
        <v>0.17174538</v>
      </c>
      <c r="AA167" s="217">
        <v>1.050831E-8</v>
      </c>
      <c r="AB167">
        <v>1.2967100000000001E-2</v>
      </c>
      <c r="AC167">
        <v>4.8125147999999998</v>
      </c>
      <c r="AD167" s="217">
        <v>2.0438365999999999E-10</v>
      </c>
      <c r="AE167" s="217">
        <v>8.7257749999999993E-9</v>
      </c>
      <c r="AF167">
        <v>1.8303469000000001</v>
      </c>
      <c r="AG167">
        <v>0</v>
      </c>
      <c r="AH167">
        <v>0</v>
      </c>
      <c r="AI167">
        <v>0.48643847000000001</v>
      </c>
      <c r="AJ167">
        <v>0</v>
      </c>
      <c r="AK167">
        <v>0</v>
      </c>
      <c r="AL167">
        <v>5.6109026999999996</v>
      </c>
      <c r="AM167">
        <v>0</v>
      </c>
      <c r="AN167">
        <v>0</v>
      </c>
      <c r="AO167">
        <v>0</v>
      </c>
      <c r="AP167">
        <v>5.2768153000000003E-3</v>
      </c>
      <c r="AQ167" s="217">
        <v>1.2413164E-5</v>
      </c>
      <c r="AR167">
        <v>5.3966334999999997E-2</v>
      </c>
      <c r="AS167" s="217">
        <v>1.3166952E-5</v>
      </c>
      <c r="AT167">
        <v>0</v>
      </c>
      <c r="AU167">
        <v>0</v>
      </c>
      <c r="AV167">
        <v>0</v>
      </c>
      <c r="AW167">
        <v>0</v>
      </c>
      <c r="AX167">
        <v>0</v>
      </c>
    </row>
    <row r="168" spans="1:50" x14ac:dyDescent="0.35">
      <c r="A168" t="s">
        <v>963</v>
      </c>
      <c r="B168" s="249">
        <f t="shared" si="2"/>
        <v>0.30763133363619999</v>
      </c>
      <c r="C168">
        <v>2.7832880000000001E-3</v>
      </c>
      <c r="D168">
        <v>7.1472669000000001E-3</v>
      </c>
      <c r="E168">
        <v>1.2184834</v>
      </c>
      <c r="F168" s="217">
        <v>1.7174033999999999E-7</v>
      </c>
      <c r="G168">
        <v>1.6359295999999999E-3</v>
      </c>
      <c r="H168">
        <v>3.0103445E-2</v>
      </c>
      <c r="I168">
        <v>3.0453605000000002E-3</v>
      </c>
      <c r="J168">
        <v>0.92977282999999999</v>
      </c>
      <c r="K168">
        <v>5.2111602999999999E-2</v>
      </c>
      <c r="L168">
        <v>84.551496</v>
      </c>
      <c r="M168">
        <v>5.3531092000000001E-3</v>
      </c>
      <c r="N168">
        <v>1.2473552999999999</v>
      </c>
      <c r="O168">
        <v>1.2381424999999999</v>
      </c>
      <c r="P168">
        <v>8.3762226999999998E-3</v>
      </c>
      <c r="Q168">
        <v>8.3659046999999998E-4</v>
      </c>
      <c r="R168" s="217">
        <v>1.7916174999999999E-7</v>
      </c>
      <c r="S168">
        <v>3.4841325999999999E-2</v>
      </c>
      <c r="T168">
        <v>6.4445786000000001E-4</v>
      </c>
      <c r="U168">
        <v>2.4348327999999999E-3</v>
      </c>
      <c r="V168">
        <v>3.4243402999999999E-2</v>
      </c>
      <c r="W168">
        <v>8.9468298999999998E-3</v>
      </c>
      <c r="X168">
        <v>2.7832880000000001E-3</v>
      </c>
      <c r="Y168">
        <v>12.657553</v>
      </c>
      <c r="Z168">
        <v>0.53755408999999998</v>
      </c>
      <c r="AA168" s="217">
        <v>1.6470753000000001E-7</v>
      </c>
      <c r="AB168">
        <v>3.7683883000000001E-2</v>
      </c>
      <c r="AC168">
        <v>278.94065999999998</v>
      </c>
      <c r="AD168" s="217">
        <v>7.3849168000000004E-9</v>
      </c>
      <c r="AE168" s="217">
        <v>6.8550301999999999E-7</v>
      </c>
      <c r="AF168">
        <v>6.3118391999999997</v>
      </c>
      <c r="AG168">
        <v>0</v>
      </c>
      <c r="AH168">
        <v>0</v>
      </c>
      <c r="AI168">
        <v>1.0881485</v>
      </c>
      <c r="AJ168">
        <v>0</v>
      </c>
      <c r="AK168">
        <v>0</v>
      </c>
      <c r="AL168">
        <v>13.493829</v>
      </c>
      <c r="AM168">
        <v>0</v>
      </c>
      <c r="AN168">
        <v>0</v>
      </c>
      <c r="AO168">
        <v>0</v>
      </c>
      <c r="AP168">
        <v>1.4076577999999999E-2</v>
      </c>
      <c r="AQ168" s="217">
        <v>1.9782446000000001E-5</v>
      </c>
      <c r="AR168">
        <v>0.32420666999999997</v>
      </c>
      <c r="AS168" s="217">
        <v>3.8277661999999997E-5</v>
      </c>
      <c r="AT168">
        <v>0</v>
      </c>
      <c r="AU168">
        <v>0</v>
      </c>
      <c r="AV168">
        <v>0</v>
      </c>
      <c r="AW168">
        <v>0</v>
      </c>
      <c r="AX168">
        <v>0</v>
      </c>
    </row>
    <row r="169" spans="1:50" x14ac:dyDescent="0.35">
      <c r="A169" t="s">
        <v>964</v>
      </c>
      <c r="B169" s="249">
        <f t="shared" si="2"/>
        <v>0.126544738484272</v>
      </c>
      <c r="C169" s="217">
        <v>3.6323067000000001E-6</v>
      </c>
      <c r="D169">
        <v>8.2537605999999999E-3</v>
      </c>
      <c r="E169">
        <v>0.96634967000000005</v>
      </c>
      <c r="F169" s="217">
        <v>1.0492544E-7</v>
      </c>
      <c r="G169">
        <v>9.9154758000000003E-4</v>
      </c>
      <c r="H169">
        <v>5.0113661999999998E-3</v>
      </c>
      <c r="I169">
        <v>8.4217288999999999E-4</v>
      </c>
      <c r="J169">
        <v>0.46813754000000002</v>
      </c>
      <c r="K169">
        <v>1.6415353000000001E-2</v>
      </c>
      <c r="L169">
        <v>45.236063000000001</v>
      </c>
      <c r="M169">
        <v>2.4393815999999998E-3</v>
      </c>
      <c r="N169">
        <v>0.24266768999999999</v>
      </c>
      <c r="O169">
        <v>0.98369368000000001</v>
      </c>
      <c r="P169">
        <v>-0.74227145999999999</v>
      </c>
      <c r="Q169">
        <v>1.2454808E-3</v>
      </c>
      <c r="R169" s="217">
        <v>1.2469386000000001E-7</v>
      </c>
      <c r="S169">
        <v>6.6789889999999998E-3</v>
      </c>
      <c r="T169" s="217">
        <v>5.4384720999999999E-5</v>
      </c>
      <c r="U169">
        <v>1.2393927E-3</v>
      </c>
      <c r="V169">
        <v>1.9329071E-2</v>
      </c>
      <c r="W169">
        <v>4.7679204000000003E-3</v>
      </c>
      <c r="X169" s="217">
        <v>3.6337043E-6</v>
      </c>
      <c r="Y169">
        <v>15.599118000000001</v>
      </c>
      <c r="Z169">
        <v>0.92338880000000001</v>
      </c>
      <c r="AA169" s="217">
        <v>1.041308E-7</v>
      </c>
      <c r="AB169">
        <v>3.8521857999999999E-2</v>
      </c>
      <c r="AC169">
        <v>21.817012999999999</v>
      </c>
      <c r="AD169" s="217">
        <v>8.3920565999999998E-9</v>
      </c>
      <c r="AE169" s="217">
        <v>1.6429667999999999E-8</v>
      </c>
      <c r="AF169">
        <v>75.861979000000005</v>
      </c>
      <c r="AG169">
        <v>0</v>
      </c>
      <c r="AH169">
        <v>0</v>
      </c>
      <c r="AI169">
        <v>13.604319</v>
      </c>
      <c r="AJ169">
        <v>0</v>
      </c>
      <c r="AK169">
        <v>0</v>
      </c>
      <c r="AL169">
        <v>16.861553000000001</v>
      </c>
      <c r="AM169">
        <v>0</v>
      </c>
      <c r="AN169">
        <v>0</v>
      </c>
      <c r="AO169">
        <v>0</v>
      </c>
      <c r="AP169">
        <v>2.2828195999999999E-2</v>
      </c>
      <c r="AQ169" s="217">
        <v>2.4842408E-5</v>
      </c>
      <c r="AR169">
        <v>0.18190554</v>
      </c>
      <c r="AS169" s="217">
        <v>4.4130052000000002E-5</v>
      </c>
      <c r="AT169">
        <v>0</v>
      </c>
      <c r="AU169">
        <v>0</v>
      </c>
      <c r="AV169">
        <v>0</v>
      </c>
      <c r="AW169">
        <v>0</v>
      </c>
      <c r="AX169">
        <v>0</v>
      </c>
    </row>
    <row r="170" spans="1:50" x14ac:dyDescent="0.35">
      <c r="A170" t="s">
        <v>965</v>
      </c>
      <c r="B170" s="249">
        <f t="shared" si="2"/>
        <v>0.59699420296116013</v>
      </c>
      <c r="C170" s="217">
        <v>2.7068825999999999E-5</v>
      </c>
      <c r="D170">
        <v>4.2064998999999999E-2</v>
      </c>
      <c r="E170">
        <v>4.5239821999999998</v>
      </c>
      <c r="F170" s="217">
        <v>6.1765870000000004E-7</v>
      </c>
      <c r="G170">
        <v>2.3247608999999998E-3</v>
      </c>
      <c r="H170">
        <v>2.5341068000000001E-2</v>
      </c>
      <c r="I170">
        <v>4.0031338000000001E-3</v>
      </c>
      <c r="J170">
        <v>2.1504783999999999</v>
      </c>
      <c r="K170">
        <v>7.9797558000000005E-2</v>
      </c>
      <c r="L170">
        <v>256.03616</v>
      </c>
      <c r="M170">
        <v>7.6539268000000004E-3</v>
      </c>
      <c r="N170">
        <v>4.5950557999999999</v>
      </c>
      <c r="O170">
        <v>4.6117103999999998</v>
      </c>
      <c r="P170">
        <v>-1.8556662000000002E-2</v>
      </c>
      <c r="Q170">
        <v>1.9020475E-3</v>
      </c>
      <c r="R170" s="217">
        <v>7.4409578999999997E-7</v>
      </c>
      <c r="S170">
        <v>3.5726297999999997E-2</v>
      </c>
      <c r="T170">
        <v>2.676655E-4</v>
      </c>
      <c r="U170">
        <v>3.5949218999999999E-3</v>
      </c>
      <c r="V170">
        <v>0.10103381</v>
      </c>
      <c r="W170">
        <v>1.1355194000000001E-2</v>
      </c>
      <c r="X170" s="217">
        <v>2.7078414999999999E-5</v>
      </c>
      <c r="Y170">
        <v>80.807225000000003</v>
      </c>
      <c r="Z170">
        <v>8.6244627000000005</v>
      </c>
      <c r="AA170" s="217">
        <v>5.2642250999999997E-7</v>
      </c>
      <c r="AB170">
        <v>0.16816236000000001</v>
      </c>
      <c r="AC170">
        <v>63.282704000000003</v>
      </c>
      <c r="AD170" s="217">
        <v>2.7606059000000001E-8</v>
      </c>
      <c r="AE170" s="217">
        <v>5.1423065999999998E-8</v>
      </c>
      <c r="AF170">
        <v>13.574548</v>
      </c>
      <c r="AG170">
        <v>0</v>
      </c>
      <c r="AH170">
        <v>0</v>
      </c>
      <c r="AI170">
        <v>2.2724047999999999</v>
      </c>
      <c r="AJ170">
        <v>0</v>
      </c>
      <c r="AK170">
        <v>0</v>
      </c>
      <c r="AL170">
        <v>87.869034999999997</v>
      </c>
      <c r="AM170">
        <v>0</v>
      </c>
      <c r="AN170">
        <v>0</v>
      </c>
      <c r="AO170">
        <v>0</v>
      </c>
      <c r="AP170">
        <v>0.20463302999999999</v>
      </c>
      <c r="AQ170" s="217">
        <v>8.4178133999999999E-5</v>
      </c>
      <c r="AR170">
        <v>0.36303073000000002</v>
      </c>
      <c r="AS170">
        <v>2.2121085E-4</v>
      </c>
      <c r="AT170">
        <v>0</v>
      </c>
      <c r="AU170">
        <v>0</v>
      </c>
      <c r="AV170">
        <v>0</v>
      </c>
      <c r="AW170">
        <v>0</v>
      </c>
      <c r="AX170">
        <v>0</v>
      </c>
    </row>
    <row r="171" spans="1:50" x14ac:dyDescent="0.35">
      <c r="A171" t="s">
        <v>966</v>
      </c>
      <c r="B171" s="249">
        <f t="shared" si="2"/>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row>
    <row r="172" spans="1:50" x14ac:dyDescent="0.35">
      <c r="A172" t="s">
        <v>967</v>
      </c>
      <c r="B172" s="249">
        <f t="shared" si="2"/>
        <v>5.8977815383883003</v>
      </c>
      <c r="C172">
        <v>3.3331354999999998E-3</v>
      </c>
      <c r="D172">
        <v>2.7261186999999999E-2</v>
      </c>
      <c r="E172">
        <v>4.2483053000000002</v>
      </c>
      <c r="F172" s="217">
        <v>2.1929961E-7</v>
      </c>
      <c r="G172">
        <v>1.3140148000000001E-2</v>
      </c>
      <c r="H172">
        <v>0.27288833000000001</v>
      </c>
      <c r="I172">
        <v>7.7360337000000001E-2</v>
      </c>
      <c r="J172">
        <v>38.506464000000001</v>
      </c>
      <c r="K172">
        <v>0.67171177999999998</v>
      </c>
      <c r="L172">
        <v>3716.7609000000002</v>
      </c>
      <c r="M172">
        <v>0.14964584</v>
      </c>
      <c r="N172">
        <v>4.3110685999999996</v>
      </c>
      <c r="O172">
        <v>4.3155207000000004</v>
      </c>
      <c r="P172">
        <v>-1.2053391E-2</v>
      </c>
      <c r="Q172">
        <v>7.6012294999999999E-3</v>
      </c>
      <c r="R172" s="217">
        <v>2.4235453000000002E-7</v>
      </c>
      <c r="S172">
        <v>0.31058878000000001</v>
      </c>
      <c r="T172">
        <v>2.3105598000000001E-2</v>
      </c>
      <c r="U172">
        <v>1.5902361E-2</v>
      </c>
      <c r="V172">
        <v>0.21129313</v>
      </c>
      <c r="W172">
        <v>5.7802356999999999E-2</v>
      </c>
      <c r="X172">
        <v>3.3332142000000002E-3</v>
      </c>
      <c r="Y172">
        <v>47.169471999999999</v>
      </c>
      <c r="Z172">
        <v>2.2120563</v>
      </c>
      <c r="AA172" s="217">
        <v>6.9866911000000005E-7</v>
      </c>
      <c r="AB172">
        <v>0.13402360999999999</v>
      </c>
      <c r="AC172">
        <v>2282.6723000000002</v>
      </c>
      <c r="AD172" s="217">
        <v>3.0780213999999997E-8</v>
      </c>
      <c r="AE172" s="217">
        <v>2.9516561E-6</v>
      </c>
      <c r="AF172">
        <v>46.105276000000003</v>
      </c>
      <c r="AG172">
        <v>0</v>
      </c>
      <c r="AH172">
        <v>0</v>
      </c>
      <c r="AI172">
        <v>9.3372475000000001</v>
      </c>
      <c r="AJ172">
        <v>0</v>
      </c>
      <c r="AK172">
        <v>0</v>
      </c>
      <c r="AL172">
        <v>50.290388999999998</v>
      </c>
      <c r="AM172">
        <v>0</v>
      </c>
      <c r="AN172">
        <v>0</v>
      </c>
      <c r="AO172">
        <v>0</v>
      </c>
      <c r="AP172">
        <v>6.0979190000000003E-2</v>
      </c>
      <c r="AQ172">
        <v>1.0115174999999999E-3</v>
      </c>
      <c r="AR172">
        <v>1.4231278999999999</v>
      </c>
      <c r="AS172">
        <v>1.2154522E-4</v>
      </c>
      <c r="AT172">
        <v>0</v>
      </c>
      <c r="AU172">
        <v>0</v>
      </c>
      <c r="AV172">
        <v>0</v>
      </c>
      <c r="AW172">
        <v>0</v>
      </c>
      <c r="AX172">
        <v>0</v>
      </c>
    </row>
    <row r="173" spans="1:50" x14ac:dyDescent="0.35">
      <c r="A173" t="s">
        <v>968</v>
      </c>
      <c r="B173" s="249">
        <f t="shared" si="2"/>
        <v>0.50143245936629999</v>
      </c>
      <c r="C173">
        <v>1.1308226E-4</v>
      </c>
      <c r="D173">
        <v>2.3229909E-2</v>
      </c>
      <c r="E173">
        <v>2.3324061</v>
      </c>
      <c r="F173" s="217">
        <v>4.9272229000000003E-7</v>
      </c>
      <c r="G173">
        <v>4.4934435000000002E-2</v>
      </c>
      <c r="H173">
        <v>1.3200496000000001E-2</v>
      </c>
      <c r="I173">
        <v>2.5579285999999999E-3</v>
      </c>
      <c r="J173">
        <v>2.1491663000000001</v>
      </c>
      <c r="K173">
        <v>0.28274331000000003</v>
      </c>
      <c r="L173">
        <v>129.74841000000001</v>
      </c>
      <c r="M173">
        <v>8.1362566000000008E-3</v>
      </c>
      <c r="N173">
        <v>2.4359820999999999</v>
      </c>
      <c r="O173">
        <v>2.4076205000000002</v>
      </c>
      <c r="P173">
        <v>2.7087507E-2</v>
      </c>
      <c r="Q173">
        <v>1.2741273E-3</v>
      </c>
      <c r="R173" s="217">
        <v>4.7054675999999999E-7</v>
      </c>
      <c r="S173">
        <v>1.581598E-2</v>
      </c>
      <c r="T173">
        <v>2.7131151999999997E-4</v>
      </c>
      <c r="U173">
        <v>3.0163128E-3</v>
      </c>
      <c r="V173">
        <v>2.4840129999999998E-2</v>
      </c>
      <c r="W173">
        <v>9.0652857999999996E-3</v>
      </c>
      <c r="X173" s="217">
        <v>1.0803058999999999E-5</v>
      </c>
      <c r="Y173">
        <v>48.054040999999998</v>
      </c>
      <c r="Z173">
        <v>1.5595112</v>
      </c>
      <c r="AA173" s="217">
        <v>1.5754874000000001E-7</v>
      </c>
      <c r="AB173">
        <v>0.10659710999999999</v>
      </c>
      <c r="AC173">
        <v>149.48202000000001</v>
      </c>
      <c r="AD173" s="217">
        <v>8.2929974999999994E-9</v>
      </c>
      <c r="AE173" s="217">
        <v>1.2030428E-7</v>
      </c>
      <c r="AF173">
        <v>7.2559209999999998</v>
      </c>
      <c r="AG173">
        <v>0</v>
      </c>
      <c r="AH173">
        <v>0</v>
      </c>
      <c r="AI173">
        <v>2.5660322999999998</v>
      </c>
      <c r="AJ173">
        <v>0</v>
      </c>
      <c r="AK173">
        <v>0</v>
      </c>
      <c r="AL173">
        <v>51.455813999999997</v>
      </c>
      <c r="AM173">
        <v>0</v>
      </c>
      <c r="AN173">
        <v>0</v>
      </c>
      <c r="AO173">
        <v>0</v>
      </c>
      <c r="AP173">
        <v>4.0338055999999997E-2</v>
      </c>
      <c r="AQ173" s="217">
        <v>3.4480502999999998E-5</v>
      </c>
      <c r="AR173">
        <v>0.31788897999999999</v>
      </c>
      <c r="AS173">
        <v>1.1759986E-4</v>
      </c>
      <c r="AT173">
        <v>0</v>
      </c>
      <c r="AU173">
        <v>0</v>
      </c>
      <c r="AV173">
        <v>0</v>
      </c>
      <c r="AW173">
        <v>0</v>
      </c>
      <c r="AX173">
        <v>0</v>
      </c>
    </row>
    <row r="174" spans="1:50" x14ac:dyDescent="0.35">
      <c r="A174" t="s">
        <v>969</v>
      </c>
      <c r="B174" s="249">
        <f t="shared" si="2"/>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row>
    <row r="175" spans="1:50" x14ac:dyDescent="0.35">
      <c r="A175" t="s">
        <v>970</v>
      </c>
      <c r="B175" s="249">
        <f t="shared" si="2"/>
        <v>0.10634994154150521</v>
      </c>
      <c r="C175" s="217">
        <v>3.4248922000000002E-7</v>
      </c>
      <c r="D175">
        <v>7.1441576999999997E-3</v>
      </c>
      <c r="E175">
        <v>0.99933159000000005</v>
      </c>
      <c r="F175" s="217">
        <v>7.2198740999999997E-8</v>
      </c>
      <c r="G175">
        <v>3.7465940999999999E-4</v>
      </c>
      <c r="H175">
        <v>4.9604445999999998E-3</v>
      </c>
      <c r="I175">
        <v>7.4862968999999996E-4</v>
      </c>
      <c r="J175">
        <v>0.27442833</v>
      </c>
      <c r="K175">
        <v>5.7920324999999996E-3</v>
      </c>
      <c r="L175">
        <v>29.417382</v>
      </c>
      <c r="M175">
        <v>1.5877123999999999E-3</v>
      </c>
      <c r="N175">
        <v>1.0172380999999999</v>
      </c>
      <c r="O175">
        <v>1.0143883</v>
      </c>
      <c r="P175">
        <v>1.4098909999999999E-3</v>
      </c>
      <c r="Q175">
        <v>1.4399390000000001E-3</v>
      </c>
      <c r="R175" s="217">
        <v>7.9756581000000006E-8</v>
      </c>
      <c r="S175">
        <v>6.2948261000000004E-3</v>
      </c>
      <c r="T175" s="217">
        <v>5.2736306000000002E-5</v>
      </c>
      <c r="U175">
        <v>1.5338005E-3</v>
      </c>
      <c r="V175">
        <v>1.7924078E-2</v>
      </c>
      <c r="W175">
        <v>4.6223593E-3</v>
      </c>
      <c r="X175" s="217">
        <v>3.4249530999999998E-7</v>
      </c>
      <c r="Y175">
        <v>13.525798999999999</v>
      </c>
      <c r="Z175">
        <v>0.20115784</v>
      </c>
      <c r="AA175" s="217">
        <v>1.8144142999999999E-6</v>
      </c>
      <c r="AB175">
        <v>6.1026961999999997E-2</v>
      </c>
      <c r="AC175">
        <v>15.839395</v>
      </c>
      <c r="AD175" s="217">
        <v>2.3313322000000002E-10</v>
      </c>
      <c r="AE175" s="217">
        <v>8.6463483000000003E-9</v>
      </c>
      <c r="AF175">
        <v>2.1063166</v>
      </c>
      <c r="AG175">
        <v>0</v>
      </c>
      <c r="AH175">
        <v>0</v>
      </c>
      <c r="AI175">
        <v>1.1234062</v>
      </c>
      <c r="AJ175">
        <v>0</v>
      </c>
      <c r="AK175">
        <v>0</v>
      </c>
      <c r="AL175">
        <v>14.364754</v>
      </c>
      <c r="AM175">
        <v>0</v>
      </c>
      <c r="AN175">
        <v>0</v>
      </c>
      <c r="AO175">
        <v>0</v>
      </c>
      <c r="AP175">
        <v>7.2245939000000004E-3</v>
      </c>
      <c r="AQ175" s="217">
        <v>1.6499361999999999E-5</v>
      </c>
      <c r="AR175">
        <v>7.5985266999999995E-2</v>
      </c>
      <c r="AS175" s="217">
        <v>5.5303204E-5</v>
      </c>
      <c r="AT175">
        <v>0</v>
      </c>
      <c r="AU175">
        <v>0</v>
      </c>
      <c r="AV175">
        <v>0</v>
      </c>
      <c r="AW175">
        <v>0</v>
      </c>
      <c r="AX175">
        <v>0</v>
      </c>
    </row>
    <row r="176" spans="1:50" x14ac:dyDescent="0.35">
      <c r="A176" t="s">
        <v>971</v>
      </c>
      <c r="B176" s="249">
        <f t="shared" si="2"/>
        <v>9.4699571655246003E-3</v>
      </c>
      <c r="C176" s="217">
        <v>6.3523381000000001E-7</v>
      </c>
      <c r="D176">
        <v>3.3123511999999999E-4</v>
      </c>
      <c r="E176">
        <v>6.1973733000000003E-2</v>
      </c>
      <c r="F176" s="217">
        <v>5.7795305000000004E-9</v>
      </c>
      <c r="G176" s="217">
        <v>3.6234469000000002E-5</v>
      </c>
      <c r="H176">
        <v>3.9079628000000002E-4</v>
      </c>
      <c r="I176">
        <v>2.6404101999999999E-4</v>
      </c>
      <c r="J176">
        <v>2.6245029999999999E-2</v>
      </c>
      <c r="K176">
        <v>-2.3104085000000001E-3</v>
      </c>
      <c r="L176">
        <v>0.75110809999999995</v>
      </c>
      <c r="M176">
        <v>-1.0312769999999999E-3</v>
      </c>
      <c r="N176">
        <v>-1.6220555000000001</v>
      </c>
      <c r="O176">
        <v>6.4660044999999999E-2</v>
      </c>
      <c r="P176">
        <v>-1.6867612999999999</v>
      </c>
      <c r="Q176" s="217">
        <v>4.5780671000000001E-5</v>
      </c>
      <c r="R176" s="217">
        <v>7.0292386000000004E-9</v>
      </c>
      <c r="S176">
        <v>5.1741761999999996E-4</v>
      </c>
      <c r="T176" s="217">
        <v>3.7901619000000002E-5</v>
      </c>
      <c r="U176">
        <v>2.9860339E-4</v>
      </c>
      <c r="V176">
        <v>1.6112607E-3</v>
      </c>
      <c r="W176">
        <v>3.6437009E-4</v>
      </c>
      <c r="X176" s="217">
        <v>6.2965264999999995E-7</v>
      </c>
      <c r="Y176">
        <v>0.64195018000000004</v>
      </c>
      <c r="Z176">
        <v>2.2777648000000001E-2</v>
      </c>
      <c r="AA176" s="217">
        <v>3.2290743E-9</v>
      </c>
      <c r="AB176">
        <v>2.1782837999999999E-3</v>
      </c>
      <c r="AC176">
        <v>12.644781999999999</v>
      </c>
      <c r="AD176" s="217">
        <v>9.4406670999999998E-11</v>
      </c>
      <c r="AE176" s="217">
        <v>-4.7398036E-9</v>
      </c>
      <c r="AF176">
        <v>31.508040999999999</v>
      </c>
      <c r="AG176">
        <v>0</v>
      </c>
      <c r="AH176">
        <v>0</v>
      </c>
      <c r="AI176">
        <v>19.751567000000001</v>
      </c>
      <c r="AJ176">
        <v>0</v>
      </c>
      <c r="AK176">
        <v>0</v>
      </c>
      <c r="AL176">
        <v>0.68628195999999997</v>
      </c>
      <c r="AM176">
        <v>0</v>
      </c>
      <c r="AN176">
        <v>0</v>
      </c>
      <c r="AO176">
        <v>0</v>
      </c>
      <c r="AP176">
        <v>5.788891E-4</v>
      </c>
      <c r="AQ176" s="217">
        <v>8.7519831000000001E-7</v>
      </c>
      <c r="AR176">
        <v>3.5869570000000003E-2</v>
      </c>
      <c r="AS176" s="217">
        <v>2.9753853E-6</v>
      </c>
      <c r="AT176">
        <v>0</v>
      </c>
      <c r="AU176">
        <v>0</v>
      </c>
      <c r="AV176">
        <v>0</v>
      </c>
      <c r="AW176">
        <v>0</v>
      </c>
      <c r="AX176">
        <v>0</v>
      </c>
    </row>
    <row r="177" spans="1:50" x14ac:dyDescent="0.35">
      <c r="A177" t="s">
        <v>972</v>
      </c>
      <c r="B177" s="249">
        <f t="shared" si="2"/>
        <v>0.17779785573894402</v>
      </c>
      <c r="C177" s="217">
        <v>2.1838108999999999E-6</v>
      </c>
      <c r="D177">
        <v>8.8230038999999993E-3</v>
      </c>
      <c r="E177">
        <v>1.4282151000000001</v>
      </c>
      <c r="F177" s="217">
        <v>7.1910840000000003E-8</v>
      </c>
      <c r="G177">
        <v>6.2510186999999997E-4</v>
      </c>
      <c r="H177">
        <v>9.0160741000000003E-3</v>
      </c>
      <c r="I177">
        <v>1.2968113E-3</v>
      </c>
      <c r="J177">
        <v>0.53350649999999999</v>
      </c>
      <c r="K177">
        <v>7.4518366000000003E-2</v>
      </c>
      <c r="L177">
        <v>38.877898000000002</v>
      </c>
      <c r="M177">
        <v>3.0803095999999999E-2</v>
      </c>
      <c r="N177">
        <v>0.42674124000000002</v>
      </c>
      <c r="O177">
        <v>1.4220067000000001</v>
      </c>
      <c r="P177">
        <v>-1.0149976000000001</v>
      </c>
      <c r="Q177">
        <v>1.9732075000000002E-2</v>
      </c>
      <c r="R177" s="217">
        <v>8.0329526999999997E-8</v>
      </c>
      <c r="S177">
        <v>1.1013007999999999E-2</v>
      </c>
      <c r="T177" s="217">
        <v>8.0455226000000006E-5</v>
      </c>
      <c r="U177">
        <v>2.2140243999999999E-3</v>
      </c>
      <c r="V177">
        <v>2.0788688E-2</v>
      </c>
      <c r="W177">
        <v>4.9316747999999999E-3</v>
      </c>
      <c r="X177" s="217">
        <v>2.0374564000000002E-6</v>
      </c>
      <c r="Y177">
        <v>15.321232</v>
      </c>
      <c r="Z177">
        <v>0.47404341999999999</v>
      </c>
      <c r="AA177" s="217">
        <v>1.2355616E-7</v>
      </c>
      <c r="AB177">
        <v>5.0003491999999997E-2</v>
      </c>
      <c r="AC177">
        <v>40.913384999999998</v>
      </c>
      <c r="AD177" s="217">
        <v>6.1636722000000004E-10</v>
      </c>
      <c r="AE177" s="217">
        <v>2.0644728E-8</v>
      </c>
      <c r="AF177">
        <v>52.763542000000001</v>
      </c>
      <c r="AG177">
        <v>0</v>
      </c>
      <c r="AH177">
        <v>0</v>
      </c>
      <c r="AI177">
        <v>13.288053</v>
      </c>
      <c r="AJ177">
        <v>0</v>
      </c>
      <c r="AK177">
        <v>0</v>
      </c>
      <c r="AL177">
        <v>16.242694</v>
      </c>
      <c r="AM177">
        <v>0</v>
      </c>
      <c r="AN177">
        <v>0</v>
      </c>
      <c r="AO177">
        <v>0</v>
      </c>
      <c r="AP177">
        <v>1.5371065999999999E-2</v>
      </c>
      <c r="AQ177" s="217">
        <v>1.6440093E-5</v>
      </c>
      <c r="AR177">
        <v>0.13111606000000001</v>
      </c>
      <c r="AS177" s="217">
        <v>5.0434428000000003E-5</v>
      </c>
      <c r="AT177">
        <v>0</v>
      </c>
      <c r="AU177">
        <v>0</v>
      </c>
      <c r="AV177">
        <v>0</v>
      </c>
      <c r="AW177">
        <v>0</v>
      </c>
      <c r="AX177">
        <v>0</v>
      </c>
    </row>
    <row r="178" spans="1:50" x14ac:dyDescent="0.35">
      <c r="A178" t="s">
        <v>973</v>
      </c>
      <c r="B178" s="249">
        <f t="shared" si="2"/>
        <v>0.19490821803778</v>
      </c>
      <c r="C178" s="217">
        <v>1.1933968E-5</v>
      </c>
      <c r="D178">
        <v>1.6382405999999999E-2</v>
      </c>
      <c r="E178">
        <v>1.3171999999999999</v>
      </c>
      <c r="F178" s="217">
        <v>2.1426943E-7</v>
      </c>
      <c r="G178">
        <v>1.3147555999999999E-3</v>
      </c>
      <c r="H178">
        <v>7.3913531999999999E-3</v>
      </c>
      <c r="I178">
        <v>8.1961415999999999E-4</v>
      </c>
      <c r="J178">
        <v>0.90114148000000005</v>
      </c>
      <c r="K178">
        <v>1.6831584E-2</v>
      </c>
      <c r="L178">
        <v>51.138570999999999</v>
      </c>
      <c r="M178">
        <v>2.0951049999999999E-3</v>
      </c>
      <c r="N178">
        <v>1.3575033999999999</v>
      </c>
      <c r="O178">
        <v>1.3575109999999999</v>
      </c>
      <c r="P178">
        <v>-1.0608131999999999E-3</v>
      </c>
      <c r="Q178">
        <v>1.0532412E-3</v>
      </c>
      <c r="R178" s="217">
        <v>2.2613722000000001E-7</v>
      </c>
      <c r="S178">
        <v>8.8546184E-3</v>
      </c>
      <c r="T178" s="217">
        <v>8.7723579000000004E-5</v>
      </c>
      <c r="U178">
        <v>1.2350504E-3</v>
      </c>
      <c r="V178">
        <v>1.5107346000000001E-2</v>
      </c>
      <c r="W178">
        <v>5.5312570000000004E-3</v>
      </c>
      <c r="X178" s="217">
        <v>1.1935753E-5</v>
      </c>
      <c r="Y178">
        <v>31.835642</v>
      </c>
      <c r="Z178">
        <v>1.0940428</v>
      </c>
      <c r="AA178" s="217">
        <v>6.9093021999999996E-8</v>
      </c>
      <c r="AB178">
        <v>4.8321414E-2</v>
      </c>
      <c r="AC178">
        <v>22.257992999999999</v>
      </c>
      <c r="AD178" s="217">
        <v>1.453565E-9</v>
      </c>
      <c r="AE178" s="217">
        <v>1.5364061000000001E-8</v>
      </c>
      <c r="AF178">
        <v>3.3370346999999998</v>
      </c>
      <c r="AG178">
        <v>0</v>
      </c>
      <c r="AH178">
        <v>0</v>
      </c>
      <c r="AI178">
        <v>0.97129571000000003</v>
      </c>
      <c r="AJ178">
        <v>0</v>
      </c>
      <c r="AK178">
        <v>0</v>
      </c>
      <c r="AL178">
        <v>34.281201000000003</v>
      </c>
      <c r="AM178">
        <v>0</v>
      </c>
      <c r="AN178">
        <v>0</v>
      </c>
      <c r="AO178">
        <v>0</v>
      </c>
      <c r="AP178">
        <v>2.7288611000000001E-2</v>
      </c>
      <c r="AQ178" s="217">
        <v>2.6544325000000001E-5</v>
      </c>
      <c r="AR178">
        <v>0.12974953</v>
      </c>
      <c r="AS178" s="217">
        <v>4.7303167000000001E-5</v>
      </c>
      <c r="AT178">
        <v>0</v>
      </c>
      <c r="AU178">
        <v>0</v>
      </c>
      <c r="AV178">
        <v>0</v>
      </c>
      <c r="AW178">
        <v>0</v>
      </c>
      <c r="AX178">
        <v>0</v>
      </c>
    </row>
    <row r="179" spans="1:50" x14ac:dyDescent="0.35">
      <c r="A179" t="s">
        <v>974</v>
      </c>
      <c r="B179" s="249">
        <f t="shared" si="2"/>
        <v>0.74164374611278194</v>
      </c>
      <c r="C179" s="217">
        <v>6.3749747000000001E-6</v>
      </c>
      <c r="D179">
        <v>6.3790537999999994E-2</v>
      </c>
      <c r="E179">
        <v>8.7658090000000009</v>
      </c>
      <c r="F179" s="217">
        <v>1.9151761000000002E-8</v>
      </c>
      <c r="G179">
        <v>9.3020205000000009E-3</v>
      </c>
      <c r="H179">
        <v>4.2944369000000003E-2</v>
      </c>
      <c r="I179">
        <v>3.5066006000000001E-3</v>
      </c>
      <c r="J179">
        <v>0.74140002999999999</v>
      </c>
      <c r="K179">
        <v>1.8337368999999999E-2</v>
      </c>
      <c r="L179">
        <v>38.083914999999998</v>
      </c>
      <c r="M179">
        <v>1.9962969000000001E-3</v>
      </c>
      <c r="N179">
        <v>9.2033707000000007</v>
      </c>
      <c r="O179">
        <v>9.1260396999999998</v>
      </c>
      <c r="P179">
        <v>7.7278762000000001E-2</v>
      </c>
      <c r="Q179" s="217">
        <v>5.2305310000000003E-5</v>
      </c>
      <c r="R179" s="217">
        <v>2.2751695E-8</v>
      </c>
      <c r="S179">
        <v>4.9889346000000001E-2</v>
      </c>
      <c r="T179">
        <v>2.2771434999999999E-4</v>
      </c>
      <c r="U179">
        <v>7.6079064000000004E-3</v>
      </c>
      <c r="V179">
        <v>6.5457754000000007E-2</v>
      </c>
      <c r="W179">
        <v>3.4036928000000001E-2</v>
      </c>
      <c r="X179" s="217">
        <v>6.3749846999999999E-6</v>
      </c>
      <c r="Y179">
        <v>134.58037999999999</v>
      </c>
      <c r="Z179">
        <v>1.4429187999999999</v>
      </c>
      <c r="AA179" s="217">
        <v>4.1363552999999997E-7</v>
      </c>
      <c r="AB179">
        <v>6.0963275000000001E-3</v>
      </c>
      <c r="AC179">
        <v>38.382266000000001</v>
      </c>
      <c r="AD179" s="217">
        <v>1.4972442E-9</v>
      </c>
      <c r="AE179" s="217">
        <v>2.1159225E-8</v>
      </c>
      <c r="AF179">
        <v>1.0272346999999999</v>
      </c>
      <c r="AG179">
        <v>0</v>
      </c>
      <c r="AH179">
        <v>0</v>
      </c>
      <c r="AI179">
        <v>1.3602566</v>
      </c>
      <c r="AJ179">
        <v>0</v>
      </c>
      <c r="AK179">
        <v>0</v>
      </c>
      <c r="AL179">
        <v>145.04637</v>
      </c>
      <c r="AM179">
        <v>0</v>
      </c>
      <c r="AN179">
        <v>0</v>
      </c>
      <c r="AO179">
        <v>0</v>
      </c>
      <c r="AP179">
        <v>3.3688175000000001E-2</v>
      </c>
      <c r="AQ179" s="217">
        <v>6.3666519E-6</v>
      </c>
      <c r="AR179">
        <v>0.15114929999999999</v>
      </c>
      <c r="AS179" s="217">
        <v>8.8377101000000007E-6</v>
      </c>
      <c r="AT179">
        <v>0</v>
      </c>
      <c r="AU179">
        <v>0</v>
      </c>
      <c r="AV179">
        <v>0</v>
      </c>
      <c r="AW179">
        <v>0</v>
      </c>
      <c r="AX179">
        <v>0</v>
      </c>
    </row>
    <row r="180" spans="1:50" x14ac:dyDescent="0.35">
      <c r="A180" t="s">
        <v>975</v>
      </c>
      <c r="B180" s="249">
        <f t="shared" si="2"/>
        <v>3.7308702852945999</v>
      </c>
      <c r="C180">
        <v>1.1358201E-4</v>
      </c>
      <c r="D180">
        <v>0.27998880999999998</v>
      </c>
      <c r="E180">
        <v>35.060147000000001</v>
      </c>
      <c r="F180" s="217">
        <v>4.2520651000000004E-6</v>
      </c>
      <c r="G180">
        <v>2.0922933000000001E-2</v>
      </c>
      <c r="H180">
        <v>0.12409555</v>
      </c>
      <c r="I180">
        <v>1.6429994E-2</v>
      </c>
      <c r="J180">
        <v>11.99155</v>
      </c>
      <c r="K180">
        <v>1.0763491999999999</v>
      </c>
      <c r="L180">
        <v>1318.7421999999999</v>
      </c>
      <c r="M180">
        <v>5.6946376999999999E-2</v>
      </c>
      <c r="N180">
        <v>35.757620000000003</v>
      </c>
      <c r="O180">
        <v>35.723013999999999</v>
      </c>
      <c r="P180">
        <v>-6.7697499999999994E-2</v>
      </c>
      <c r="Q180">
        <v>0.10230312</v>
      </c>
      <c r="R180" s="217">
        <v>4.4511607999999999E-6</v>
      </c>
      <c r="S180">
        <v>0.15026665</v>
      </c>
      <c r="T180">
        <v>1.8477190000000001E-3</v>
      </c>
      <c r="U180">
        <v>2.2712382999999999E-2</v>
      </c>
      <c r="V180">
        <v>0.27819168</v>
      </c>
      <c r="W180">
        <v>9.4144041999999997E-2</v>
      </c>
      <c r="X180">
        <v>1.1356080000000001E-4</v>
      </c>
      <c r="Y180">
        <v>531.36451</v>
      </c>
      <c r="Z180">
        <v>10.784172999999999</v>
      </c>
      <c r="AA180" s="217">
        <v>9.6595538000000008E-7</v>
      </c>
      <c r="AB180">
        <v>1.2553726000000001</v>
      </c>
      <c r="AC180">
        <v>540.19376999999997</v>
      </c>
      <c r="AD180" s="217">
        <v>2.0906733000000001E-8</v>
      </c>
      <c r="AE180" s="217">
        <v>9.8251665999999999E-7</v>
      </c>
      <c r="AF180">
        <v>83.229963999999995</v>
      </c>
      <c r="AG180">
        <v>0</v>
      </c>
      <c r="AH180">
        <v>0</v>
      </c>
      <c r="AI180">
        <v>29.783470999999999</v>
      </c>
      <c r="AJ180">
        <v>0</v>
      </c>
      <c r="AK180">
        <v>0</v>
      </c>
      <c r="AL180">
        <v>576.21477000000004</v>
      </c>
      <c r="AM180">
        <v>0</v>
      </c>
      <c r="AN180">
        <v>0</v>
      </c>
      <c r="AO180">
        <v>0</v>
      </c>
      <c r="AP180">
        <v>0.30452202</v>
      </c>
      <c r="AQ180">
        <v>7.3035403E-4</v>
      </c>
      <c r="AR180">
        <v>3.4434727000000001</v>
      </c>
      <c r="AS180">
        <v>1.0820345999999999E-3</v>
      </c>
      <c r="AT180">
        <v>0</v>
      </c>
      <c r="AU180">
        <v>0</v>
      </c>
      <c r="AV180">
        <v>0</v>
      </c>
      <c r="AW180">
        <v>0</v>
      </c>
      <c r="AX180">
        <v>0</v>
      </c>
    </row>
    <row r="181" spans="1:50" x14ac:dyDescent="0.35">
      <c r="A181" t="s">
        <v>976</v>
      </c>
      <c r="B181" s="249">
        <f t="shared" si="2"/>
        <v>0.69643611034511999</v>
      </c>
      <c r="C181" s="217">
        <v>6.5346588000000003E-5</v>
      </c>
      <c r="D181">
        <v>5.6040607999999999E-2</v>
      </c>
      <c r="E181">
        <v>9.3067940999999994</v>
      </c>
      <c r="F181" s="217">
        <v>1.9182968E-8</v>
      </c>
      <c r="G181">
        <v>4.9234861E-3</v>
      </c>
      <c r="H181">
        <v>3.0160765999999999E-2</v>
      </c>
      <c r="I181">
        <v>5.7837415999999996E-3</v>
      </c>
      <c r="J181">
        <v>0.37586859</v>
      </c>
      <c r="K181">
        <v>3.290266E-2</v>
      </c>
      <c r="L181">
        <v>46.955499000000003</v>
      </c>
      <c r="M181">
        <v>1.0727287E-3</v>
      </c>
      <c r="N181">
        <v>9.9381760000000003</v>
      </c>
      <c r="O181">
        <v>9.9187495999999999</v>
      </c>
      <c r="P181">
        <v>1.9377630999999999E-2</v>
      </c>
      <c r="Q181" s="217">
        <v>4.8792182999999997E-5</v>
      </c>
      <c r="R181" s="217">
        <v>2.2813919999999999E-8</v>
      </c>
      <c r="S181">
        <v>3.6894788999999997E-2</v>
      </c>
      <c r="T181">
        <v>1.1123908E-4</v>
      </c>
      <c r="U181">
        <v>8.5165781999999995E-3</v>
      </c>
      <c r="V181">
        <v>8.4305417999999993E-2</v>
      </c>
      <c r="W181">
        <v>2.8962049E-2</v>
      </c>
      <c r="X181" s="217">
        <v>6.5346588000000003E-5</v>
      </c>
      <c r="Y181">
        <v>113.54143999999999</v>
      </c>
      <c r="Z181">
        <v>2.9687459999999999</v>
      </c>
      <c r="AA181" s="217">
        <v>3.4846538000000002E-7</v>
      </c>
      <c r="AB181">
        <v>6.0552401000000004E-3</v>
      </c>
      <c r="AC181">
        <v>10.829122999999999</v>
      </c>
      <c r="AD181" s="217">
        <v>8.8206629999999999E-10</v>
      </c>
      <c r="AE181" s="217">
        <v>1.8898686999999999E-8</v>
      </c>
      <c r="AF181">
        <v>1.0941723000000001</v>
      </c>
      <c r="AG181">
        <v>0</v>
      </c>
      <c r="AH181">
        <v>0</v>
      </c>
      <c r="AI181">
        <v>0.58906720000000001</v>
      </c>
      <c r="AJ181">
        <v>0</v>
      </c>
      <c r="AK181">
        <v>0</v>
      </c>
      <c r="AL181">
        <v>122.78225</v>
      </c>
      <c r="AM181">
        <v>0</v>
      </c>
      <c r="AN181">
        <v>0</v>
      </c>
      <c r="AO181">
        <v>0</v>
      </c>
      <c r="AP181">
        <v>6.9212975999999996E-2</v>
      </c>
      <c r="AQ181" s="217">
        <v>1.6488230999999999E-6</v>
      </c>
      <c r="AR181">
        <v>0.14051441000000001</v>
      </c>
      <c r="AS181" s="217">
        <v>8.8323478999999998E-6</v>
      </c>
      <c r="AT181">
        <v>0</v>
      </c>
      <c r="AU181">
        <v>0</v>
      </c>
      <c r="AV181">
        <v>0</v>
      </c>
      <c r="AW181">
        <v>0</v>
      </c>
      <c r="AX181">
        <v>0</v>
      </c>
    </row>
    <row r="182" spans="1:50" x14ac:dyDescent="0.35">
      <c r="A182" t="s">
        <v>977</v>
      </c>
      <c r="B182" s="249">
        <f t="shared" si="2"/>
        <v>0.33233679357803209</v>
      </c>
      <c r="C182" s="217">
        <v>2.292337E-7</v>
      </c>
      <c r="D182">
        <v>4.5289728000000001E-2</v>
      </c>
      <c r="E182">
        <v>4.0754104</v>
      </c>
      <c r="F182" s="217">
        <v>1.5368608000000001E-8</v>
      </c>
      <c r="G182">
        <v>5.3283421999999999E-3</v>
      </c>
      <c r="H182">
        <v>2.0477184999999998E-2</v>
      </c>
      <c r="I182">
        <v>1.1197421E-3</v>
      </c>
      <c r="J182">
        <v>0.19038482000000001</v>
      </c>
      <c r="K182">
        <v>5.7118064E-3</v>
      </c>
      <c r="L182">
        <v>13.468192999999999</v>
      </c>
      <c r="M182">
        <v>3.9181284000000001E-4</v>
      </c>
      <c r="N182">
        <v>4.2033601000000003</v>
      </c>
      <c r="O182">
        <v>4.1827964</v>
      </c>
      <c r="P182">
        <v>2.0525176999999999E-2</v>
      </c>
      <c r="Q182" s="217">
        <v>3.8541078999999999E-5</v>
      </c>
      <c r="R182" s="217">
        <v>1.8846786000000001E-8</v>
      </c>
      <c r="S182">
        <v>2.3955500000000001E-2</v>
      </c>
      <c r="T182" s="217">
        <v>4.0299208000000002E-6</v>
      </c>
      <c r="U182">
        <v>3.2009158999999998E-3</v>
      </c>
      <c r="V182">
        <v>3.5041954E-2</v>
      </c>
      <c r="W182">
        <v>1.9009076E-2</v>
      </c>
      <c r="X182" s="217">
        <v>2.2923328999999999E-7</v>
      </c>
      <c r="Y182">
        <v>93.246943000000002</v>
      </c>
      <c r="Z182">
        <v>0.39769466999999997</v>
      </c>
      <c r="AA182" s="217">
        <v>2.0786351999999999E-7</v>
      </c>
      <c r="AB182">
        <v>5.4163513000000003E-3</v>
      </c>
      <c r="AC182">
        <v>7.50915</v>
      </c>
      <c r="AD182" s="217">
        <v>3.4286880000000001E-10</v>
      </c>
      <c r="AE182" s="217">
        <v>8.1844006999999994E-9</v>
      </c>
      <c r="AF182">
        <v>0.98077762999999996</v>
      </c>
      <c r="AG182">
        <v>0</v>
      </c>
      <c r="AH182">
        <v>0</v>
      </c>
      <c r="AI182">
        <v>0.43949991999999999</v>
      </c>
      <c r="AJ182">
        <v>0</v>
      </c>
      <c r="AK182">
        <v>0</v>
      </c>
      <c r="AL182">
        <v>100.14645</v>
      </c>
      <c r="AM182">
        <v>0</v>
      </c>
      <c r="AN182">
        <v>0</v>
      </c>
      <c r="AO182">
        <v>0</v>
      </c>
      <c r="AP182">
        <v>9.3265796000000008E-3</v>
      </c>
      <c r="AQ182" s="217">
        <v>1.1358457E-6</v>
      </c>
      <c r="AR182">
        <v>9.8870488000000006E-2</v>
      </c>
      <c r="AS182" s="217">
        <v>8.1261637000000003E-6</v>
      </c>
      <c r="AT182">
        <v>0</v>
      </c>
      <c r="AU182">
        <v>0</v>
      </c>
      <c r="AV182">
        <v>0</v>
      </c>
      <c r="AW182">
        <v>0</v>
      </c>
      <c r="AX182">
        <v>0</v>
      </c>
    </row>
    <row r="183" spans="1:50" x14ac:dyDescent="0.35">
      <c r="A183" t="s">
        <v>978</v>
      </c>
      <c r="B183" s="249">
        <f t="shared" si="2"/>
        <v>0.58002871707190196</v>
      </c>
      <c r="C183" s="217">
        <v>1.5735872E-6</v>
      </c>
      <c r="D183">
        <v>5.0367715E-2</v>
      </c>
      <c r="E183">
        <v>8.2027180000000008</v>
      </c>
      <c r="F183" s="217">
        <v>1.6697264999999999E-8</v>
      </c>
      <c r="G183">
        <v>3.6354101E-3</v>
      </c>
      <c r="H183">
        <v>2.5386104999999999E-2</v>
      </c>
      <c r="I183">
        <v>2.0244180000000001E-3</v>
      </c>
      <c r="J183">
        <v>0.32846604000000001</v>
      </c>
      <c r="K183">
        <v>3.1584398E-2</v>
      </c>
      <c r="L183">
        <v>26.514890999999999</v>
      </c>
      <c r="M183">
        <v>2.7287718999999998E-2</v>
      </c>
      <c r="N183">
        <v>8.6875052000000004</v>
      </c>
      <c r="O183">
        <v>8.6704968999999998</v>
      </c>
      <c r="P183">
        <v>1.6965917E-2</v>
      </c>
      <c r="Q183" s="217">
        <v>4.2404811999999997E-5</v>
      </c>
      <c r="R183" s="217">
        <v>2.0277658999999998E-8</v>
      </c>
      <c r="S183">
        <v>3.0173789999999999E-2</v>
      </c>
      <c r="T183">
        <v>1.0948495E-4</v>
      </c>
      <c r="U183">
        <v>4.9151812999999999E-3</v>
      </c>
      <c r="V183">
        <v>5.3861827000000001E-2</v>
      </c>
      <c r="W183">
        <v>1.9178132000000001E-2</v>
      </c>
      <c r="X183" s="217">
        <v>1.5735871000000001E-6</v>
      </c>
      <c r="Y183">
        <v>99.707098999999999</v>
      </c>
      <c r="Z183">
        <v>2.2659951999999999</v>
      </c>
      <c r="AA183" s="217">
        <v>6.3902515000000001E-7</v>
      </c>
      <c r="AB183">
        <v>5.7373811000000002E-3</v>
      </c>
      <c r="AC183">
        <v>179.90769</v>
      </c>
      <c r="AD183" s="217">
        <v>1.731817E-9</v>
      </c>
      <c r="AE183" s="217">
        <v>1.5877267999999999E-7</v>
      </c>
      <c r="AF183">
        <v>1.0526173000000001</v>
      </c>
      <c r="AG183">
        <v>0</v>
      </c>
      <c r="AH183">
        <v>0</v>
      </c>
      <c r="AI183">
        <v>0.49898050999999999</v>
      </c>
      <c r="AJ183">
        <v>0</v>
      </c>
      <c r="AK183">
        <v>0</v>
      </c>
      <c r="AL183">
        <v>108.27058</v>
      </c>
      <c r="AM183">
        <v>0</v>
      </c>
      <c r="AN183">
        <v>0</v>
      </c>
      <c r="AO183">
        <v>0</v>
      </c>
      <c r="AP183">
        <v>5.2841340000000001E-2</v>
      </c>
      <c r="AQ183" s="217">
        <v>1.3126082E-6</v>
      </c>
      <c r="AR183">
        <v>0.14503269999999999</v>
      </c>
      <c r="AS183" s="217">
        <v>8.5000678999999993E-6</v>
      </c>
      <c r="AT183">
        <v>0</v>
      </c>
      <c r="AU183">
        <v>0</v>
      </c>
      <c r="AV183">
        <v>0</v>
      </c>
      <c r="AW183">
        <v>0</v>
      </c>
      <c r="AX183">
        <v>0</v>
      </c>
    </row>
    <row r="184" spans="1:50" x14ac:dyDescent="0.35">
      <c r="A184" t="s">
        <v>979</v>
      </c>
      <c r="B184" s="249">
        <f t="shared" si="2"/>
        <v>1.05489258218406</v>
      </c>
      <c r="C184" s="217">
        <v>1.9214445999999999E-5</v>
      </c>
      <c r="D184">
        <v>5.4566563999999998E-2</v>
      </c>
      <c r="E184">
        <v>6.3003451999999998</v>
      </c>
      <c r="F184" s="217">
        <v>6.8007708999999996E-7</v>
      </c>
      <c r="G184">
        <v>4.9135135000000002E-3</v>
      </c>
      <c r="H184">
        <v>2.3157003999999998E-2</v>
      </c>
      <c r="I184">
        <v>6.4079361E-3</v>
      </c>
      <c r="J184">
        <v>6.1431744000000004</v>
      </c>
      <c r="K184">
        <v>5.6849979000000002E-2</v>
      </c>
      <c r="L184">
        <v>158.67758000000001</v>
      </c>
      <c r="M184">
        <v>8.9295675000000008E-3</v>
      </c>
      <c r="N184">
        <v>6.5405772000000004</v>
      </c>
      <c r="O184">
        <v>6.6122377999999999</v>
      </c>
      <c r="P184">
        <v>-7.5314796000000003E-2</v>
      </c>
      <c r="Q184">
        <v>3.6542083E-3</v>
      </c>
      <c r="R184" s="217">
        <v>6.8719826E-7</v>
      </c>
      <c r="S184">
        <v>2.8064470000000001E-2</v>
      </c>
      <c r="T184">
        <v>2.9952446999999998E-4</v>
      </c>
      <c r="U184">
        <v>4.2949898000000002E-3</v>
      </c>
      <c r="V184">
        <v>5.2187972999999999E-2</v>
      </c>
      <c r="W184">
        <v>1.9601477999999999E-2</v>
      </c>
      <c r="X184" s="217">
        <v>1.9213950999999999E-5</v>
      </c>
      <c r="Y184">
        <v>108.07637</v>
      </c>
      <c r="Z184">
        <v>4.4381485999999999</v>
      </c>
      <c r="AA184" s="217">
        <v>2.6863047999999998E-7</v>
      </c>
      <c r="AB184">
        <v>0.17851744999999999</v>
      </c>
      <c r="AC184">
        <v>176.07149000000001</v>
      </c>
      <c r="AD184" s="217">
        <v>4.6687473E-9</v>
      </c>
      <c r="AE184" s="217">
        <v>1.5777282E-7</v>
      </c>
      <c r="AF184">
        <v>22.417860000000001</v>
      </c>
      <c r="AG184">
        <v>0</v>
      </c>
      <c r="AH184">
        <v>0</v>
      </c>
      <c r="AI184">
        <v>5.7530982000000002</v>
      </c>
      <c r="AJ184">
        <v>0</v>
      </c>
      <c r="AK184">
        <v>0</v>
      </c>
      <c r="AL184">
        <v>115.87311</v>
      </c>
      <c r="AM184">
        <v>0</v>
      </c>
      <c r="AN184">
        <v>0</v>
      </c>
      <c r="AO184">
        <v>0</v>
      </c>
      <c r="AP184">
        <v>0.11216508</v>
      </c>
      <c r="AQ184" s="217">
        <v>7.4122344999999996E-5</v>
      </c>
      <c r="AR184">
        <v>0.39885649000000001</v>
      </c>
      <c r="AS184">
        <v>1.6212333999999999E-4</v>
      </c>
      <c r="AT184">
        <v>0</v>
      </c>
      <c r="AU184">
        <v>0</v>
      </c>
      <c r="AV184">
        <v>0</v>
      </c>
      <c r="AW184">
        <v>0</v>
      </c>
      <c r="AX184">
        <v>0</v>
      </c>
    </row>
    <row r="185" spans="1:50" x14ac:dyDescent="0.35">
      <c r="A185" t="s">
        <v>980</v>
      </c>
      <c r="B185" s="249">
        <f t="shared" si="2"/>
        <v>0.69764363049444011</v>
      </c>
      <c r="C185" s="217">
        <v>1.5759223999999999E-5</v>
      </c>
      <c r="D185">
        <v>3.2588200999999997E-2</v>
      </c>
      <c r="E185">
        <v>3.953433</v>
      </c>
      <c r="F185" s="217">
        <v>3.8315862000000002E-7</v>
      </c>
      <c r="G185">
        <v>8.5104176000000004E-3</v>
      </c>
      <c r="H185">
        <v>1.8812725999999998E-2</v>
      </c>
      <c r="I185">
        <v>3.6309959E-3</v>
      </c>
      <c r="J185">
        <v>3.9309628999999999</v>
      </c>
      <c r="K185">
        <v>8.3549310000000002E-2</v>
      </c>
      <c r="L185">
        <v>120.86027</v>
      </c>
      <c r="M185">
        <v>2.3566375000000001E-2</v>
      </c>
      <c r="N185">
        <v>4.0201637999999997</v>
      </c>
      <c r="O185">
        <v>3.9778807999999999</v>
      </c>
      <c r="P185">
        <v>-7.1189416000000005E-2</v>
      </c>
      <c r="Q185">
        <v>0.1134724</v>
      </c>
      <c r="R185" s="217">
        <v>4.0576997999999999E-7</v>
      </c>
      <c r="S185">
        <v>2.3079833000000001E-2</v>
      </c>
      <c r="T185">
        <v>1.9718544999999999E-4</v>
      </c>
      <c r="U185">
        <v>4.5895818999999996E-3</v>
      </c>
      <c r="V185">
        <v>4.9616816000000001E-2</v>
      </c>
      <c r="W185">
        <v>2.5048542E-2</v>
      </c>
      <c r="X185" s="217">
        <v>1.5724066000000001E-5</v>
      </c>
      <c r="Y185">
        <v>63.529446999999998</v>
      </c>
      <c r="Z185">
        <v>1.9451807000000001</v>
      </c>
      <c r="AA185" s="217">
        <v>1.9575153999999999E-7</v>
      </c>
      <c r="AB185">
        <v>0.13283508999999999</v>
      </c>
      <c r="AC185">
        <v>86.808509999999998</v>
      </c>
      <c r="AD185" s="217">
        <v>4.3206236000000002E-9</v>
      </c>
      <c r="AE185" s="217">
        <v>1.4415605000000001E-7</v>
      </c>
      <c r="AF185">
        <v>18.555858000000001</v>
      </c>
      <c r="AG185">
        <v>0</v>
      </c>
      <c r="AH185">
        <v>0</v>
      </c>
      <c r="AI185">
        <v>4.9446082999999996</v>
      </c>
      <c r="AJ185">
        <v>0</v>
      </c>
      <c r="AK185">
        <v>0</v>
      </c>
      <c r="AL185">
        <v>68.692750000000004</v>
      </c>
      <c r="AM185">
        <v>0</v>
      </c>
      <c r="AN185">
        <v>0</v>
      </c>
      <c r="AO185">
        <v>0</v>
      </c>
      <c r="AP185">
        <v>5.0513230999999999E-2</v>
      </c>
      <c r="AQ185" s="217">
        <v>7.0269294000000005E-5</v>
      </c>
      <c r="AR185">
        <v>0.47943342999999999</v>
      </c>
      <c r="AS185">
        <v>1.2961801000000001E-4</v>
      </c>
      <c r="AT185">
        <v>0</v>
      </c>
      <c r="AU185">
        <v>0</v>
      </c>
      <c r="AV185">
        <v>0</v>
      </c>
      <c r="AW185">
        <v>0</v>
      </c>
      <c r="AX185">
        <v>0</v>
      </c>
    </row>
    <row r="186" spans="1:50" x14ac:dyDescent="0.35">
      <c r="A186" t="s">
        <v>981</v>
      </c>
      <c r="B186" s="249">
        <f t="shared" si="2"/>
        <v>0.22380487989570161</v>
      </c>
      <c r="C186" s="217">
        <v>9.5013176000000003E-7</v>
      </c>
      <c r="D186">
        <v>3.7994723000000001E-2</v>
      </c>
      <c r="E186">
        <v>2.6561161000000002</v>
      </c>
      <c r="F186" s="217">
        <v>4.6662353999999998E-8</v>
      </c>
      <c r="G186">
        <v>2.9115634E-3</v>
      </c>
      <c r="H186">
        <v>9.5751745000000003E-3</v>
      </c>
      <c r="I186">
        <v>8.3718387999999998E-4</v>
      </c>
      <c r="J186">
        <v>0.33699995999999999</v>
      </c>
      <c r="K186">
        <v>9.1038724000000008E-3</v>
      </c>
      <c r="L186">
        <v>25.607458000000001</v>
      </c>
      <c r="M186">
        <v>1.6004871999999999E-3</v>
      </c>
      <c r="N186">
        <v>2.7089808</v>
      </c>
      <c r="O186">
        <v>2.7767143000000001</v>
      </c>
      <c r="P186">
        <v>-6.8772559999999996E-2</v>
      </c>
      <c r="Q186">
        <v>1.0390338E-3</v>
      </c>
      <c r="R186" s="217">
        <v>4.9009736000000002E-8</v>
      </c>
      <c r="S186">
        <v>1.1544375000000001E-2</v>
      </c>
      <c r="T186" s="217">
        <v>3.8352741999999998E-5</v>
      </c>
      <c r="U186">
        <v>1.9531004000000001E-3</v>
      </c>
      <c r="V186">
        <v>2.2486763999999999E-2</v>
      </c>
      <c r="W186">
        <v>1.0748939000000001E-2</v>
      </c>
      <c r="X186" s="217">
        <v>9.4904215999999998E-7</v>
      </c>
      <c r="Y186">
        <v>80.312800999999993</v>
      </c>
      <c r="Z186">
        <v>1.3678817000000001</v>
      </c>
      <c r="AA186" s="217">
        <v>1.0990887E-7</v>
      </c>
      <c r="AB186">
        <v>4.1351788E-2</v>
      </c>
      <c r="AC186">
        <v>13.098167999999999</v>
      </c>
      <c r="AD186" s="217">
        <v>4.7023248000000002E-10</v>
      </c>
      <c r="AE186" s="217">
        <v>2.1854348E-8</v>
      </c>
      <c r="AF186">
        <v>9.7205870000000001</v>
      </c>
      <c r="AG186">
        <v>0</v>
      </c>
      <c r="AH186">
        <v>0</v>
      </c>
      <c r="AI186">
        <v>2.8585756999999998</v>
      </c>
      <c r="AJ186">
        <v>0</v>
      </c>
      <c r="AK186">
        <v>0</v>
      </c>
      <c r="AL186">
        <v>86.118347999999997</v>
      </c>
      <c r="AM186">
        <v>0</v>
      </c>
      <c r="AN186">
        <v>0</v>
      </c>
      <c r="AO186">
        <v>0</v>
      </c>
      <c r="AP186">
        <v>3.3783971000000003E-2</v>
      </c>
      <c r="AQ186" s="217">
        <v>1.1762363999999999E-5</v>
      </c>
      <c r="AR186">
        <v>0.12875417</v>
      </c>
      <c r="AS186" s="217">
        <v>3.6453806000000003E-5</v>
      </c>
      <c r="AT186">
        <v>0</v>
      </c>
      <c r="AU186">
        <v>0</v>
      </c>
      <c r="AV186">
        <v>0</v>
      </c>
      <c r="AW186">
        <v>0</v>
      </c>
      <c r="AX186">
        <v>0</v>
      </c>
    </row>
    <row r="187" spans="1:50" x14ac:dyDescent="0.35">
      <c r="A187" t="s">
        <v>982</v>
      </c>
      <c r="B187" s="249">
        <f t="shared" si="2"/>
        <v>0.1569425379733628</v>
      </c>
      <c r="C187" s="217">
        <v>2.2440433000000001E-7</v>
      </c>
      <c r="D187">
        <v>3.3853086999999997E-2</v>
      </c>
      <c r="E187">
        <v>2.0786870999999998</v>
      </c>
      <c r="F187" s="217">
        <v>1.4725549000000001E-8</v>
      </c>
      <c r="G187">
        <v>2.7282640000000002E-3</v>
      </c>
      <c r="H187">
        <v>7.0157435000000002E-3</v>
      </c>
      <c r="I187">
        <v>5.1699983000000002E-4</v>
      </c>
      <c r="J187">
        <v>9.3823106000000003E-2</v>
      </c>
      <c r="K187">
        <v>4.0093728999999996E-3</v>
      </c>
      <c r="L187">
        <v>8.3829317000000003</v>
      </c>
      <c r="M187">
        <v>2.6761691999999999E-4</v>
      </c>
      <c r="N187">
        <v>2.2078864</v>
      </c>
      <c r="O187">
        <v>2.1898493999999999</v>
      </c>
      <c r="P187">
        <v>1.7999845E-2</v>
      </c>
      <c r="Q187" s="217">
        <v>3.7141872000000001E-5</v>
      </c>
      <c r="R187" s="217">
        <v>1.8159332000000001E-8</v>
      </c>
      <c r="S187">
        <v>8.3940364000000007E-3</v>
      </c>
      <c r="T187" s="217">
        <v>2.9629231E-6</v>
      </c>
      <c r="U187">
        <v>1.4648656000000001E-3</v>
      </c>
      <c r="V187">
        <v>1.6055685E-2</v>
      </c>
      <c r="W187">
        <v>9.2078627999999992E-3</v>
      </c>
      <c r="X187" s="217">
        <v>2.2440375E-7</v>
      </c>
      <c r="Y187">
        <v>72.289868999999996</v>
      </c>
      <c r="Z187">
        <v>0.54090667000000003</v>
      </c>
      <c r="AA187" s="217">
        <v>8.3673714999999997E-8</v>
      </c>
      <c r="AB187">
        <v>5.3341155000000001E-3</v>
      </c>
      <c r="AC187">
        <v>3.2443110000000002</v>
      </c>
      <c r="AD187" s="217">
        <v>2.0541352000000001E-10</v>
      </c>
      <c r="AE187" s="217">
        <v>1.6506856000000001E-8</v>
      </c>
      <c r="AF187">
        <v>0.95328482000000003</v>
      </c>
      <c r="AG187">
        <v>0</v>
      </c>
      <c r="AH187">
        <v>0</v>
      </c>
      <c r="AI187">
        <v>0.92140069999999996</v>
      </c>
      <c r="AJ187">
        <v>0</v>
      </c>
      <c r="AK187">
        <v>0</v>
      </c>
      <c r="AL187">
        <v>77.588122999999996</v>
      </c>
      <c r="AM187">
        <v>0</v>
      </c>
      <c r="AN187">
        <v>0</v>
      </c>
      <c r="AO187">
        <v>0</v>
      </c>
      <c r="AP187">
        <v>1.2657731E-2</v>
      </c>
      <c r="AQ187" s="217">
        <v>1.0526444999999999E-6</v>
      </c>
      <c r="AR187">
        <v>8.1787092000000006E-2</v>
      </c>
      <c r="AS187" s="217">
        <v>8.0073873999999998E-6</v>
      </c>
      <c r="AT187">
        <v>0</v>
      </c>
      <c r="AU187">
        <v>0</v>
      </c>
      <c r="AV187">
        <v>0</v>
      </c>
      <c r="AW187">
        <v>0</v>
      </c>
      <c r="AX187">
        <v>0</v>
      </c>
    </row>
    <row r="188" spans="1:50" x14ac:dyDescent="0.35">
      <c r="A188" t="s">
        <v>983</v>
      </c>
      <c r="B188" s="249">
        <f t="shared" si="2"/>
        <v>9.4404222912044006E-2</v>
      </c>
      <c r="C188" s="217">
        <v>1.4711174E-6</v>
      </c>
      <c r="D188">
        <v>3.6463679000000001E-3</v>
      </c>
      <c r="E188">
        <v>0.67637022999999996</v>
      </c>
      <c r="F188" s="217">
        <v>5.0372941999999999E-8</v>
      </c>
      <c r="G188">
        <v>2.4349872E-4</v>
      </c>
      <c r="H188">
        <v>2.3330593999999999E-3</v>
      </c>
      <c r="I188">
        <v>4.0586242E-4</v>
      </c>
      <c r="J188">
        <v>0.48722723000000001</v>
      </c>
      <c r="K188">
        <v>7.2741650999999996E-3</v>
      </c>
      <c r="L188">
        <v>22.768407</v>
      </c>
      <c r="M188">
        <v>3.0505468000000002E-3</v>
      </c>
      <c r="N188">
        <v>0.72933102000000005</v>
      </c>
      <c r="O188">
        <v>0.65978502999999999</v>
      </c>
      <c r="P188">
        <v>6.8867328000000005E-2</v>
      </c>
      <c r="Q188">
        <v>6.7865918999999997E-4</v>
      </c>
      <c r="R188" s="217">
        <v>4.9011852000000002E-8</v>
      </c>
      <c r="S188">
        <v>3.0015365000000001E-3</v>
      </c>
      <c r="T188" s="217">
        <v>4.2796722000000003E-5</v>
      </c>
      <c r="U188">
        <v>5.4506911000000002E-4</v>
      </c>
      <c r="V188">
        <v>7.5175605999999997E-3</v>
      </c>
      <c r="W188">
        <v>1.6909632E-3</v>
      </c>
      <c r="X188" s="217">
        <v>1.4710950000000001E-6</v>
      </c>
      <c r="Y188">
        <v>8.8275603</v>
      </c>
      <c r="Z188">
        <v>0.1491323</v>
      </c>
      <c r="AA188" s="217">
        <v>3.1080214999999997E-8</v>
      </c>
      <c r="AB188">
        <v>5.0492059999999998E-2</v>
      </c>
      <c r="AC188">
        <v>11.059279999999999</v>
      </c>
      <c r="AD188" s="217">
        <v>5.4690057E-10</v>
      </c>
      <c r="AE188" s="217">
        <v>8.7278938999999997E-9</v>
      </c>
      <c r="AF188">
        <v>4.9208083</v>
      </c>
      <c r="AG188">
        <v>0</v>
      </c>
      <c r="AH188">
        <v>0</v>
      </c>
      <c r="AI188">
        <v>0.98061074000000004</v>
      </c>
      <c r="AJ188">
        <v>0</v>
      </c>
      <c r="AK188">
        <v>0</v>
      </c>
      <c r="AL188">
        <v>9.3258016999999995</v>
      </c>
      <c r="AM188">
        <v>0</v>
      </c>
      <c r="AN188">
        <v>0</v>
      </c>
      <c r="AO188">
        <v>0</v>
      </c>
      <c r="AP188">
        <v>5.8082671000000002E-3</v>
      </c>
      <c r="AQ188" s="217">
        <v>1.0139623999999999E-5</v>
      </c>
      <c r="AR188">
        <v>0.22498998000000001</v>
      </c>
      <c r="AS188" s="217">
        <v>4.824864E-5</v>
      </c>
      <c r="AT188">
        <v>0</v>
      </c>
      <c r="AU188">
        <v>0</v>
      </c>
      <c r="AV188">
        <v>0</v>
      </c>
      <c r="AW188">
        <v>0</v>
      </c>
      <c r="AX188">
        <v>0</v>
      </c>
    </row>
    <row r="189" spans="1:50" x14ac:dyDescent="0.35">
      <c r="A189" t="s">
        <v>984</v>
      </c>
      <c r="B189" s="249">
        <f t="shared" si="2"/>
        <v>0.20874476994042082</v>
      </c>
      <c r="C189" s="217">
        <v>9.0999287999999998E-7</v>
      </c>
      <c r="D189">
        <v>3.7045144000000002E-2</v>
      </c>
      <c r="E189">
        <v>2.5298866000000002</v>
      </c>
      <c r="F189" s="217">
        <v>3.7197552000000003E-8</v>
      </c>
      <c r="G189">
        <v>2.8712179E-3</v>
      </c>
      <c r="H189">
        <v>9.2583144000000003E-3</v>
      </c>
      <c r="I189">
        <v>7.7349698999999998E-4</v>
      </c>
      <c r="J189">
        <v>0.26823153</v>
      </c>
      <c r="K189">
        <v>6.8776004999999999E-3</v>
      </c>
      <c r="L189">
        <v>21.670926000000001</v>
      </c>
      <c r="M189">
        <v>1.1755125E-3</v>
      </c>
      <c r="N189">
        <v>2.6145095999999999</v>
      </c>
      <c r="O189">
        <v>2.6485254</v>
      </c>
      <c r="P189">
        <v>-3.4705484000000002E-2</v>
      </c>
      <c r="Q189">
        <v>6.8968263999999999E-4</v>
      </c>
      <c r="R189" s="217">
        <v>3.9525105000000002E-8</v>
      </c>
      <c r="S189">
        <v>1.1129689E-2</v>
      </c>
      <c r="T189" s="217">
        <v>3.1983316E-5</v>
      </c>
      <c r="U189">
        <v>1.8598974E-3</v>
      </c>
      <c r="V189">
        <v>2.1281350000000001E-2</v>
      </c>
      <c r="W189">
        <v>1.0455013000000001E-2</v>
      </c>
      <c r="X189" s="217">
        <v>9.0999179999999998E-7</v>
      </c>
      <c r="Y189">
        <v>78.355834999999999</v>
      </c>
      <c r="Z189">
        <v>0.94280131</v>
      </c>
      <c r="AA189" s="217">
        <v>1.069569E-7</v>
      </c>
      <c r="AB189">
        <v>3.2827090000000003E-2</v>
      </c>
      <c r="AC189">
        <v>12.048878999999999</v>
      </c>
      <c r="AD189" s="217">
        <v>4.1319874999999999E-10</v>
      </c>
      <c r="AE189" s="217">
        <v>2.1004550000000001E-8</v>
      </c>
      <c r="AF189">
        <v>7.0931208000000003</v>
      </c>
      <c r="AG189">
        <v>0</v>
      </c>
      <c r="AH189">
        <v>0</v>
      </c>
      <c r="AI189">
        <v>2.2525506000000002</v>
      </c>
      <c r="AJ189">
        <v>0</v>
      </c>
      <c r="AK189">
        <v>0</v>
      </c>
      <c r="AL189">
        <v>84.018421000000004</v>
      </c>
      <c r="AM189">
        <v>0</v>
      </c>
      <c r="AN189">
        <v>0</v>
      </c>
      <c r="AO189">
        <v>0</v>
      </c>
      <c r="AP189">
        <v>2.347202E-2</v>
      </c>
      <c r="AQ189" s="217">
        <v>9.0939254999999992E-6</v>
      </c>
      <c r="AR189">
        <v>0.11831941999999999</v>
      </c>
      <c r="AS189" s="217">
        <v>2.9750561999999999E-5</v>
      </c>
      <c r="AT189">
        <v>0</v>
      </c>
      <c r="AU189">
        <v>0</v>
      </c>
      <c r="AV189">
        <v>0</v>
      </c>
      <c r="AW189">
        <v>0</v>
      </c>
      <c r="AX189">
        <v>0</v>
      </c>
    </row>
    <row r="190" spans="1:50" x14ac:dyDescent="0.35">
      <c r="A190" t="s">
        <v>985</v>
      </c>
      <c r="B190" s="249">
        <f t="shared" si="2"/>
        <v>0.24762559911800602</v>
      </c>
      <c r="C190" s="217">
        <v>1.3715196000000001E-6</v>
      </c>
      <c r="D190">
        <v>3.8791538E-2</v>
      </c>
      <c r="E190">
        <v>2.9223946000000001</v>
      </c>
      <c r="F190" s="217">
        <v>6.3704928999999994E-8</v>
      </c>
      <c r="G190">
        <v>3.0222345000000001E-3</v>
      </c>
      <c r="H190">
        <v>1.1501391E-2</v>
      </c>
      <c r="I190">
        <v>1.0004230000000001E-3</v>
      </c>
      <c r="J190">
        <v>0.34576515000000002</v>
      </c>
      <c r="K190">
        <v>9.7641606999999998E-3</v>
      </c>
      <c r="L190">
        <v>27.290866000000001</v>
      </c>
      <c r="M190">
        <v>1.7062920999999999E-3</v>
      </c>
      <c r="N190">
        <v>2.9781594999999998</v>
      </c>
      <c r="O190">
        <v>3.0434950000000001</v>
      </c>
      <c r="P190">
        <v>-6.6374796999999999E-2</v>
      </c>
      <c r="Q190">
        <v>1.0393739E-3</v>
      </c>
      <c r="R190" s="217">
        <v>6.7459032999999996E-8</v>
      </c>
      <c r="S190">
        <v>1.3890916E-2</v>
      </c>
      <c r="T190" s="217">
        <v>4.1950821000000002E-5</v>
      </c>
      <c r="U190">
        <v>2.3376849999999999E-3</v>
      </c>
      <c r="V190">
        <v>2.7222700999999998E-2</v>
      </c>
      <c r="W190">
        <v>1.2084546999999999E-2</v>
      </c>
      <c r="X190" s="217">
        <v>1.3704168E-6</v>
      </c>
      <c r="Y190">
        <v>84.895221000000006</v>
      </c>
      <c r="Z190">
        <v>1.6347018</v>
      </c>
      <c r="AA190" s="217">
        <v>1.2707950000000001E-7</v>
      </c>
      <c r="AB190">
        <v>5.3493751999999999E-2</v>
      </c>
      <c r="AC190">
        <v>12.197087</v>
      </c>
      <c r="AD190" s="217">
        <v>5.8121815999999996E-10</v>
      </c>
      <c r="AE190" s="217">
        <v>1.2850304E-8</v>
      </c>
      <c r="AF190">
        <v>10.83427</v>
      </c>
      <c r="AG190">
        <v>0</v>
      </c>
      <c r="AH190">
        <v>0</v>
      </c>
      <c r="AI190">
        <v>3.4456099</v>
      </c>
      <c r="AJ190">
        <v>0</v>
      </c>
      <c r="AK190">
        <v>0</v>
      </c>
      <c r="AL190">
        <v>90.873558000000003</v>
      </c>
      <c r="AM190">
        <v>0</v>
      </c>
      <c r="AN190">
        <v>0</v>
      </c>
      <c r="AO190">
        <v>0</v>
      </c>
      <c r="AP190">
        <v>4.0448979000000003E-2</v>
      </c>
      <c r="AQ190" s="217">
        <v>1.6903122000000001E-5</v>
      </c>
      <c r="AR190">
        <v>0.18972496</v>
      </c>
      <c r="AS190" s="217">
        <v>5.1050590000000001E-5</v>
      </c>
      <c r="AT190">
        <v>0</v>
      </c>
      <c r="AU190">
        <v>0</v>
      </c>
      <c r="AV190">
        <v>0</v>
      </c>
      <c r="AW190">
        <v>0</v>
      </c>
      <c r="AX190">
        <v>0</v>
      </c>
    </row>
    <row r="191" spans="1:50" x14ac:dyDescent="0.35">
      <c r="A191" t="s">
        <v>986</v>
      </c>
      <c r="B191" s="249">
        <f t="shared" si="2"/>
        <v>0.22385217657919557</v>
      </c>
      <c r="C191" s="217">
        <v>9.6607966000000007E-7</v>
      </c>
      <c r="D191">
        <v>3.7126429000000002E-2</v>
      </c>
      <c r="E191">
        <v>2.6896366</v>
      </c>
      <c r="F191" s="217">
        <v>4.6306114999999998E-8</v>
      </c>
      <c r="G191">
        <v>2.3763319000000001E-3</v>
      </c>
      <c r="H191">
        <v>9.2474794999999992E-3</v>
      </c>
      <c r="I191">
        <v>9.8568538999999999E-4</v>
      </c>
      <c r="J191">
        <v>0.33350971000000001</v>
      </c>
      <c r="K191">
        <v>8.4166786999999993E-3</v>
      </c>
      <c r="L191">
        <v>24.514386999999999</v>
      </c>
      <c r="M191">
        <v>1.5835152E-3</v>
      </c>
      <c r="N191">
        <v>2.7127112000000002</v>
      </c>
      <c r="O191">
        <v>2.7859702999999998</v>
      </c>
      <c r="P191">
        <v>-7.4296728000000006E-2</v>
      </c>
      <c r="Q191">
        <v>1.037669E-3</v>
      </c>
      <c r="R191" s="217">
        <v>4.8639403999999999E-8</v>
      </c>
      <c r="S191">
        <v>1.1196302999999999E-2</v>
      </c>
      <c r="T191" s="217">
        <v>8.0356348000000006E-5</v>
      </c>
      <c r="U191">
        <v>2.0010346999999999E-3</v>
      </c>
      <c r="V191">
        <v>2.2708968E-2</v>
      </c>
      <c r="W191">
        <v>9.7421159000000007E-3</v>
      </c>
      <c r="X191" s="217">
        <v>9.6498998999999998E-7</v>
      </c>
      <c r="Y191">
        <v>78.925742</v>
      </c>
      <c r="Z191">
        <v>1.5038058000000001</v>
      </c>
      <c r="AA191" s="217">
        <v>1.046199E-7</v>
      </c>
      <c r="AB191">
        <v>4.1233323000000002E-2</v>
      </c>
      <c r="AC191">
        <v>13.068533</v>
      </c>
      <c r="AD191" s="217">
        <v>4.4384070000000001E-10</v>
      </c>
      <c r="AE191" s="217">
        <v>1.4700629E-8</v>
      </c>
      <c r="AF191">
        <v>9.7060665000000004</v>
      </c>
      <c r="AG191">
        <v>0</v>
      </c>
      <c r="AH191">
        <v>0</v>
      </c>
      <c r="AI191">
        <v>2.4401815999999998</v>
      </c>
      <c r="AJ191">
        <v>0</v>
      </c>
      <c r="AK191">
        <v>0</v>
      </c>
      <c r="AL191">
        <v>84.424114000000003</v>
      </c>
      <c r="AM191">
        <v>0</v>
      </c>
      <c r="AN191">
        <v>0</v>
      </c>
      <c r="AO191">
        <v>0</v>
      </c>
      <c r="AP191">
        <v>3.694397E-2</v>
      </c>
      <c r="AQ191" s="217">
        <v>1.1711006E-5</v>
      </c>
      <c r="AR191">
        <v>0.12453843000000001</v>
      </c>
      <c r="AS191" s="217">
        <v>3.6342413000000002E-5</v>
      </c>
      <c r="AT191">
        <v>0</v>
      </c>
      <c r="AU191">
        <v>0</v>
      </c>
      <c r="AV191">
        <v>0</v>
      </c>
      <c r="AW191">
        <v>0</v>
      </c>
      <c r="AX191">
        <v>0</v>
      </c>
    </row>
    <row r="192" spans="1:50" x14ac:dyDescent="0.35">
      <c r="A192" t="s">
        <v>987</v>
      </c>
      <c r="B192" s="249">
        <f t="shared" si="2"/>
        <v>0.20879206582991641</v>
      </c>
      <c r="C192" s="217">
        <v>9.2594079000000005E-7</v>
      </c>
      <c r="D192">
        <v>3.6176850000000003E-2</v>
      </c>
      <c r="E192">
        <v>2.5634071</v>
      </c>
      <c r="F192" s="217">
        <v>3.6841313000000003E-8</v>
      </c>
      <c r="G192">
        <v>2.3359864000000001E-3</v>
      </c>
      <c r="H192">
        <v>8.9306193999999992E-3</v>
      </c>
      <c r="I192">
        <v>9.219985E-4</v>
      </c>
      <c r="J192">
        <v>0.26474126999999997</v>
      </c>
      <c r="K192">
        <v>6.1904068000000001E-3</v>
      </c>
      <c r="L192">
        <v>20.577856000000001</v>
      </c>
      <c r="M192">
        <v>1.1585406E-3</v>
      </c>
      <c r="N192">
        <v>2.6182400000000001</v>
      </c>
      <c r="O192">
        <v>2.6577814000000002</v>
      </c>
      <c r="P192">
        <v>-4.0229651999999998E-2</v>
      </c>
      <c r="Q192">
        <v>6.8831785999999996E-4</v>
      </c>
      <c r="R192" s="217">
        <v>3.9154772999999999E-8</v>
      </c>
      <c r="S192">
        <v>1.0781618E-2</v>
      </c>
      <c r="T192" s="217">
        <v>7.3986921999999995E-5</v>
      </c>
      <c r="U192">
        <v>1.9078317E-3</v>
      </c>
      <c r="V192">
        <v>2.1503554000000001E-2</v>
      </c>
      <c r="W192">
        <v>9.4481897999999995E-3</v>
      </c>
      <c r="X192" s="217">
        <v>9.2593962999999997E-7</v>
      </c>
      <c r="Y192">
        <v>76.968776000000005</v>
      </c>
      <c r="Z192">
        <v>1.0787253999999999</v>
      </c>
      <c r="AA192" s="217">
        <v>1.0166792E-7</v>
      </c>
      <c r="AB192">
        <v>3.2708624999999998E-2</v>
      </c>
      <c r="AC192">
        <v>12.019244</v>
      </c>
      <c r="AD192" s="217">
        <v>3.8680696999999998E-10</v>
      </c>
      <c r="AE192" s="217">
        <v>1.3850831E-8</v>
      </c>
      <c r="AF192">
        <v>7.0786002000000003</v>
      </c>
      <c r="AG192">
        <v>0</v>
      </c>
      <c r="AH192">
        <v>0</v>
      </c>
      <c r="AI192">
        <v>1.8341566</v>
      </c>
      <c r="AJ192">
        <v>0</v>
      </c>
      <c r="AK192">
        <v>0</v>
      </c>
      <c r="AL192">
        <v>82.324186999999995</v>
      </c>
      <c r="AM192">
        <v>0</v>
      </c>
      <c r="AN192">
        <v>0</v>
      </c>
      <c r="AO192">
        <v>0</v>
      </c>
      <c r="AP192">
        <v>2.6632019E-2</v>
      </c>
      <c r="AQ192" s="217">
        <v>9.0425680999999995E-6</v>
      </c>
      <c r="AR192">
        <v>0.11410367</v>
      </c>
      <c r="AS192" s="217">
        <v>2.9639169000000001E-5</v>
      </c>
      <c r="AT192">
        <v>0</v>
      </c>
      <c r="AU192">
        <v>0</v>
      </c>
      <c r="AV192">
        <v>0</v>
      </c>
      <c r="AW192">
        <v>0</v>
      </c>
      <c r="AX192">
        <v>0</v>
      </c>
    </row>
    <row r="193" spans="1:50" x14ac:dyDescent="0.35">
      <c r="A193" t="s">
        <v>988</v>
      </c>
      <c r="B193" s="249">
        <f t="shared" si="2"/>
        <v>0.15698983930405844</v>
      </c>
      <c r="C193" s="217">
        <v>2.4035223999999998E-7</v>
      </c>
      <c r="D193">
        <v>3.2984792999999998E-2</v>
      </c>
      <c r="E193">
        <v>2.1122076999999999</v>
      </c>
      <c r="F193" s="217">
        <v>1.4369310000000001E-8</v>
      </c>
      <c r="G193">
        <v>2.1930324999999999E-3</v>
      </c>
      <c r="H193">
        <v>6.6880485E-3</v>
      </c>
      <c r="I193">
        <v>6.6550134000000003E-4</v>
      </c>
      <c r="J193">
        <v>9.0332851000000006E-2</v>
      </c>
      <c r="K193">
        <v>3.3221792999999999E-3</v>
      </c>
      <c r="L193">
        <v>7.2898616000000001</v>
      </c>
      <c r="M193">
        <v>2.5064499000000001E-4</v>
      </c>
      <c r="N193">
        <v>2.2116167999999998</v>
      </c>
      <c r="O193">
        <v>2.1991054000000001</v>
      </c>
      <c r="P193">
        <v>1.2475676E-2</v>
      </c>
      <c r="Q193" s="217">
        <v>3.5777091999999998E-5</v>
      </c>
      <c r="R193" s="217">
        <v>1.7789000000000001E-8</v>
      </c>
      <c r="S193">
        <v>8.0459645000000007E-3</v>
      </c>
      <c r="T193" s="217">
        <v>4.4966528E-5</v>
      </c>
      <c r="U193">
        <v>1.5127999000000001E-3</v>
      </c>
      <c r="V193">
        <v>1.6277889E-2</v>
      </c>
      <c r="W193">
        <v>8.2010391999999994E-3</v>
      </c>
      <c r="X193" s="217">
        <v>2.4035158000000002E-7</v>
      </c>
      <c r="Y193">
        <v>70.902810000000002</v>
      </c>
      <c r="Z193">
        <v>0.67683075999999998</v>
      </c>
      <c r="AA193" s="217">
        <v>7.8384742000000001E-8</v>
      </c>
      <c r="AB193">
        <v>5.2156505000000002E-3</v>
      </c>
      <c r="AC193">
        <v>3.2146756000000001</v>
      </c>
      <c r="AD193" s="217">
        <v>1.7902175000000001E-10</v>
      </c>
      <c r="AE193" s="217">
        <v>9.3531375000000003E-9</v>
      </c>
      <c r="AF193">
        <v>0.93876428000000001</v>
      </c>
      <c r="AG193">
        <v>0</v>
      </c>
      <c r="AH193">
        <v>0</v>
      </c>
      <c r="AI193">
        <v>0.50300668999999998</v>
      </c>
      <c r="AJ193">
        <v>0</v>
      </c>
      <c r="AK193">
        <v>0</v>
      </c>
      <c r="AL193">
        <v>75.893889000000001</v>
      </c>
      <c r="AM193">
        <v>0</v>
      </c>
      <c r="AN193">
        <v>0</v>
      </c>
      <c r="AO193">
        <v>0</v>
      </c>
      <c r="AP193">
        <v>1.5817728999999999E-2</v>
      </c>
      <c r="AQ193" s="217">
        <v>1.0012871000000001E-6</v>
      </c>
      <c r="AR193">
        <v>7.7571345E-2</v>
      </c>
      <c r="AS193" s="217">
        <v>7.8959946000000002E-6</v>
      </c>
      <c r="AT193">
        <v>0</v>
      </c>
      <c r="AU193">
        <v>0</v>
      </c>
      <c r="AV193">
        <v>0</v>
      </c>
      <c r="AW193">
        <v>0</v>
      </c>
      <c r="AX193">
        <v>0</v>
      </c>
    </row>
    <row r="194" spans="1:50" x14ac:dyDescent="0.35">
      <c r="A194" t="s">
        <v>989</v>
      </c>
      <c r="B194" s="249">
        <f t="shared" si="2"/>
        <v>0.29655877732880004</v>
      </c>
      <c r="C194" s="217">
        <v>1.4762675E-6</v>
      </c>
      <c r="D194">
        <v>4.4056211999999997E-2</v>
      </c>
      <c r="E194">
        <v>3.4438295000000001</v>
      </c>
      <c r="F194" s="217">
        <v>1.3519159999999999E-7</v>
      </c>
      <c r="G194">
        <v>2.7209905000000001E-3</v>
      </c>
      <c r="H194">
        <v>1.2396542999999999E-2</v>
      </c>
      <c r="I194">
        <v>1.3976072E-3</v>
      </c>
      <c r="J194">
        <v>0.49092633000000002</v>
      </c>
      <c r="K194">
        <v>1.4369256E-2</v>
      </c>
      <c r="L194">
        <v>49.417088999999997</v>
      </c>
      <c r="M194">
        <v>2.5207062999999998E-3</v>
      </c>
      <c r="N194">
        <v>3.5025851000000001</v>
      </c>
      <c r="O194">
        <v>3.5529625</v>
      </c>
      <c r="P194">
        <v>-5.2265897999999998E-2</v>
      </c>
      <c r="Q194">
        <v>1.8884379000000001E-3</v>
      </c>
      <c r="R194" s="217">
        <v>1.4213202999999999E-7</v>
      </c>
      <c r="S194">
        <v>1.5045012999999999E-2</v>
      </c>
      <c r="T194">
        <v>1.2314299E-4</v>
      </c>
      <c r="U194">
        <v>2.5695077000000002E-3</v>
      </c>
      <c r="V194">
        <v>3.0220996999999999E-2</v>
      </c>
      <c r="W194">
        <v>1.1805059999999999E-2</v>
      </c>
      <c r="X194" s="217">
        <v>1.4762740000000001E-6</v>
      </c>
      <c r="Y194">
        <v>92.572936999999996</v>
      </c>
      <c r="Z194">
        <v>1.1282373999999999</v>
      </c>
      <c r="AA194" s="217">
        <v>1.2610775E-7</v>
      </c>
      <c r="AB194">
        <v>9.4480471999999996E-2</v>
      </c>
      <c r="AC194">
        <v>25.021985999999998</v>
      </c>
      <c r="AD194" s="217">
        <v>6.2469106999999995E-10</v>
      </c>
      <c r="AE194" s="217">
        <v>2.0933836999999998E-8</v>
      </c>
      <c r="AF194">
        <v>10.055151</v>
      </c>
      <c r="AG194">
        <v>0</v>
      </c>
      <c r="AH194">
        <v>0</v>
      </c>
      <c r="AI194">
        <v>3.0669366</v>
      </c>
      <c r="AJ194">
        <v>0</v>
      </c>
      <c r="AK194">
        <v>0</v>
      </c>
      <c r="AL194">
        <v>99.021225999999999</v>
      </c>
      <c r="AM194">
        <v>0</v>
      </c>
      <c r="AN194">
        <v>0</v>
      </c>
      <c r="AO194">
        <v>0</v>
      </c>
      <c r="AP194">
        <v>3.0240244999999999E-2</v>
      </c>
      <c r="AQ194" s="217">
        <v>6.0093624999999998E-5</v>
      </c>
      <c r="AR194">
        <v>0.16886234999999999</v>
      </c>
      <c r="AS194" s="217">
        <v>8.6325745000000002E-5</v>
      </c>
      <c r="AT194">
        <v>0</v>
      </c>
      <c r="AU194">
        <v>0</v>
      </c>
      <c r="AV194">
        <v>0</v>
      </c>
      <c r="AW194">
        <v>0</v>
      </c>
      <c r="AX194">
        <v>0</v>
      </c>
    </row>
    <row r="195" spans="1:50" x14ac:dyDescent="0.35">
      <c r="A195" t="s">
        <v>990</v>
      </c>
      <c r="B195" s="249">
        <f t="shared" si="2"/>
        <v>0.22385217657919557</v>
      </c>
      <c r="C195" s="217">
        <v>9.6607966000000007E-7</v>
      </c>
      <c r="D195">
        <v>3.7126429000000002E-2</v>
      </c>
      <c r="E195">
        <v>2.6896366</v>
      </c>
      <c r="F195" s="217">
        <v>4.6306114999999998E-8</v>
      </c>
      <c r="G195">
        <v>2.3763319000000001E-3</v>
      </c>
      <c r="H195">
        <v>9.2474794999999992E-3</v>
      </c>
      <c r="I195">
        <v>9.8568538999999999E-4</v>
      </c>
      <c r="J195">
        <v>0.33350971000000001</v>
      </c>
      <c r="K195">
        <v>8.4166786999999993E-3</v>
      </c>
      <c r="L195">
        <v>24.514386999999999</v>
      </c>
      <c r="M195">
        <v>1.5835152E-3</v>
      </c>
      <c r="N195">
        <v>2.7127112000000002</v>
      </c>
      <c r="O195">
        <v>2.7859702999999998</v>
      </c>
      <c r="P195">
        <v>-7.4296728000000006E-2</v>
      </c>
      <c r="Q195">
        <v>1.037669E-3</v>
      </c>
      <c r="R195" s="217">
        <v>4.8639403999999999E-8</v>
      </c>
      <c r="S195">
        <v>1.1196302999999999E-2</v>
      </c>
      <c r="T195" s="217">
        <v>8.0356348000000006E-5</v>
      </c>
      <c r="U195">
        <v>2.0010346999999999E-3</v>
      </c>
      <c r="V195">
        <v>2.2708968E-2</v>
      </c>
      <c r="W195">
        <v>9.7421159000000007E-3</v>
      </c>
      <c r="X195" s="217">
        <v>9.6498998999999998E-7</v>
      </c>
      <c r="Y195">
        <v>78.925742</v>
      </c>
      <c r="Z195">
        <v>1.5038058000000001</v>
      </c>
      <c r="AA195" s="217">
        <v>1.046199E-7</v>
      </c>
      <c r="AB195">
        <v>4.1233323000000002E-2</v>
      </c>
      <c r="AC195">
        <v>13.068533</v>
      </c>
      <c r="AD195" s="217">
        <v>4.4384070000000001E-10</v>
      </c>
      <c r="AE195" s="217">
        <v>1.4700629E-8</v>
      </c>
      <c r="AF195">
        <v>9.7060665000000004</v>
      </c>
      <c r="AG195">
        <v>0</v>
      </c>
      <c r="AH195">
        <v>0</v>
      </c>
      <c r="AI195">
        <v>2.4401815999999998</v>
      </c>
      <c r="AJ195">
        <v>0</v>
      </c>
      <c r="AK195">
        <v>0</v>
      </c>
      <c r="AL195">
        <v>84.424114000000003</v>
      </c>
      <c r="AM195">
        <v>0</v>
      </c>
      <c r="AN195">
        <v>0</v>
      </c>
      <c r="AO195">
        <v>0</v>
      </c>
      <c r="AP195">
        <v>3.694397E-2</v>
      </c>
      <c r="AQ195" s="217">
        <v>1.1711006E-5</v>
      </c>
      <c r="AR195">
        <v>0.12453843000000001</v>
      </c>
      <c r="AS195" s="217">
        <v>3.6342413000000002E-5</v>
      </c>
      <c r="AT195">
        <v>0</v>
      </c>
      <c r="AU195">
        <v>0</v>
      </c>
      <c r="AV195">
        <v>0</v>
      </c>
      <c r="AW195">
        <v>0</v>
      </c>
      <c r="AX195">
        <v>0</v>
      </c>
    </row>
    <row r="196" spans="1:50" x14ac:dyDescent="0.35">
      <c r="A196" t="s">
        <v>991</v>
      </c>
      <c r="B196" s="249">
        <f t="shared" si="2"/>
        <v>0.29833681374355642</v>
      </c>
      <c r="C196" s="217">
        <v>5.8780628999999996E-7</v>
      </c>
      <c r="D196">
        <v>4.0030586999999999E-2</v>
      </c>
      <c r="E196">
        <v>3.7476870999999998</v>
      </c>
      <c r="F196" s="217">
        <v>1.5909284999999999E-8</v>
      </c>
      <c r="G196">
        <v>2.2411255999999998E-3</v>
      </c>
      <c r="H196">
        <v>1.1981322000000001E-2</v>
      </c>
      <c r="I196">
        <v>8.2167749000000003E-4</v>
      </c>
      <c r="J196">
        <v>0.46147553000000002</v>
      </c>
      <c r="K196">
        <v>1.5868350999999999E-2</v>
      </c>
      <c r="L196">
        <v>26.645762000000001</v>
      </c>
      <c r="M196">
        <v>1.1822076E-3</v>
      </c>
      <c r="N196">
        <v>3.9815227000000002</v>
      </c>
      <c r="O196">
        <v>3.9429405000000002</v>
      </c>
      <c r="P196">
        <v>3.8544127999999997E-2</v>
      </c>
      <c r="Q196" s="217">
        <v>3.7981203000000003E-5</v>
      </c>
      <c r="R196" s="217">
        <v>1.9137711E-8</v>
      </c>
      <c r="S196">
        <v>1.4225440000000001E-2</v>
      </c>
      <c r="T196" s="217">
        <v>5.5120631999999996E-6</v>
      </c>
      <c r="U196">
        <v>2.3060876999999999E-3</v>
      </c>
      <c r="V196">
        <v>2.5067152999999998E-2</v>
      </c>
      <c r="W196">
        <v>1.0264941E-2</v>
      </c>
      <c r="X196" s="217">
        <v>5.8780582000000005E-7</v>
      </c>
      <c r="Y196">
        <v>82.530248</v>
      </c>
      <c r="Z196">
        <v>2.2571314999999998</v>
      </c>
      <c r="AA196" s="217">
        <v>1.3091621E-7</v>
      </c>
      <c r="AB196">
        <v>5.3580887000000002E-3</v>
      </c>
      <c r="AC196">
        <v>17.688291</v>
      </c>
      <c r="AD196" s="217">
        <v>6.6550889000000003E-10</v>
      </c>
      <c r="AE196" s="217">
        <v>1.0477998999999999E-8</v>
      </c>
      <c r="AF196">
        <v>0.97301296000000004</v>
      </c>
      <c r="AG196">
        <v>0</v>
      </c>
      <c r="AH196">
        <v>0</v>
      </c>
      <c r="AI196">
        <v>0.35002114000000001</v>
      </c>
      <c r="AJ196">
        <v>0</v>
      </c>
      <c r="AK196">
        <v>0</v>
      </c>
      <c r="AL196">
        <v>88.814839000000006</v>
      </c>
      <c r="AM196">
        <v>0</v>
      </c>
      <c r="AN196">
        <v>0</v>
      </c>
      <c r="AO196">
        <v>0</v>
      </c>
      <c r="AP196">
        <v>5.2615033999999998E-2</v>
      </c>
      <c r="AQ196" s="217">
        <v>1.1109571000000001E-6</v>
      </c>
      <c r="AR196">
        <v>9.0101613999999997E-2</v>
      </c>
      <c r="AS196" s="217">
        <v>8.0658106000000003E-6</v>
      </c>
      <c r="AT196">
        <v>0</v>
      </c>
      <c r="AU196">
        <v>0</v>
      </c>
      <c r="AV196">
        <v>0</v>
      </c>
      <c r="AW196">
        <v>0</v>
      </c>
      <c r="AX196">
        <v>0</v>
      </c>
    </row>
    <row r="197" spans="1:50" x14ac:dyDescent="0.35">
      <c r="A197" t="s">
        <v>992</v>
      </c>
      <c r="B197" s="249">
        <f t="shared" si="2"/>
        <v>0.36447853533354563</v>
      </c>
      <c r="C197" s="217">
        <v>8.9468715999999999E-7</v>
      </c>
      <c r="D197">
        <v>4.2342478000000003E-2</v>
      </c>
      <c r="E197">
        <v>4.0790401999999997</v>
      </c>
      <c r="F197" s="217">
        <v>1.2098372000000001E-7</v>
      </c>
      <c r="G197">
        <v>8.2565902000000004E-3</v>
      </c>
      <c r="H197">
        <v>1.443213E-2</v>
      </c>
      <c r="I197">
        <v>1.3616666000000001E-3</v>
      </c>
      <c r="J197">
        <v>0.68068386999999997</v>
      </c>
      <c r="K197">
        <v>1.5887924000000001E-2</v>
      </c>
      <c r="L197">
        <v>53.554329000000003</v>
      </c>
      <c r="M197">
        <v>2.6272912E-3</v>
      </c>
      <c r="N197">
        <v>4.3153686999999996</v>
      </c>
      <c r="O197">
        <v>4.2720669999999998</v>
      </c>
      <c r="P197">
        <v>4.2429437E-2</v>
      </c>
      <c r="Q197">
        <v>8.7230537000000002E-4</v>
      </c>
      <c r="R197" s="217">
        <v>1.1088312E-7</v>
      </c>
      <c r="S197">
        <v>1.7244013999999998E-2</v>
      </c>
      <c r="T197">
        <v>1.0400569E-4</v>
      </c>
      <c r="U197">
        <v>2.7253031000000001E-3</v>
      </c>
      <c r="V197">
        <v>3.0936129999999999E-2</v>
      </c>
      <c r="W197">
        <v>2.1822291000000001E-2</v>
      </c>
      <c r="X197" s="217">
        <v>8.9469876000000004E-7</v>
      </c>
      <c r="Y197">
        <v>86.908140000000003</v>
      </c>
      <c r="Z197">
        <v>2.6407295999999998</v>
      </c>
      <c r="AA197" s="217">
        <v>1.6136237E-7</v>
      </c>
      <c r="AB197">
        <v>5.0967549000000001E-2</v>
      </c>
      <c r="AC197">
        <v>30.719759</v>
      </c>
      <c r="AD197" s="217">
        <v>9.4319308E-10</v>
      </c>
      <c r="AE197" s="217">
        <v>1.5632129999999999E-8</v>
      </c>
      <c r="AF197">
        <v>4.5167565999999999</v>
      </c>
      <c r="AG197">
        <v>0</v>
      </c>
      <c r="AH197">
        <v>0</v>
      </c>
      <c r="AI197">
        <v>1.50118</v>
      </c>
      <c r="AJ197">
        <v>0</v>
      </c>
      <c r="AK197">
        <v>0</v>
      </c>
      <c r="AL197">
        <v>93.359840000000005</v>
      </c>
      <c r="AM197">
        <v>0</v>
      </c>
      <c r="AN197">
        <v>0</v>
      </c>
      <c r="AO197">
        <v>0</v>
      </c>
      <c r="AP197">
        <v>6.3876101000000005E-2</v>
      </c>
      <c r="AQ197" s="217">
        <v>1.8416702000000002E-5</v>
      </c>
      <c r="AR197">
        <v>0.17800905</v>
      </c>
      <c r="AS197" s="217">
        <v>4.9516917E-5</v>
      </c>
      <c r="AT197">
        <v>0</v>
      </c>
      <c r="AU197">
        <v>0</v>
      </c>
      <c r="AV197">
        <v>0</v>
      </c>
      <c r="AW197">
        <v>0</v>
      </c>
      <c r="AX197">
        <v>0</v>
      </c>
    </row>
    <row r="198" spans="1:50" x14ac:dyDescent="0.35">
      <c r="A198" t="s">
        <v>993</v>
      </c>
      <c r="B198" s="249">
        <f t="shared" ref="B198:B261" si="3">(C198*0.16)+(D198*0.16)+(E198*0.05)+(F198*30)+(G198*2)+(H198*4)+(I198*9)+(J198*0.09)+(K198*0.03)+(L198*0.0001)+(M198*0.06)</f>
        <v>1.1857474347410961</v>
      </c>
      <c r="C198" s="217">
        <v>8.3972806E-6</v>
      </c>
      <c r="D198">
        <v>3.9499841000000001E-2</v>
      </c>
      <c r="E198">
        <v>3.9238852</v>
      </c>
      <c r="F198" s="217">
        <v>1.9624774000000001E-7</v>
      </c>
      <c r="G198">
        <v>0.29531294000000002</v>
      </c>
      <c r="H198">
        <v>1.5181131E-2</v>
      </c>
      <c r="I198">
        <v>2.7162216000000002E-3</v>
      </c>
      <c r="J198">
        <v>3.1094366</v>
      </c>
      <c r="K198">
        <v>0.70616098000000005</v>
      </c>
      <c r="L198">
        <v>61.310921</v>
      </c>
      <c r="M198">
        <v>4.4059214000000003E-3</v>
      </c>
      <c r="N198">
        <v>4.1135815999999998</v>
      </c>
      <c r="O198">
        <v>4.0731428000000003</v>
      </c>
      <c r="P198">
        <v>3.9308451000000001E-2</v>
      </c>
      <c r="Q198">
        <v>1.1303916999999999E-3</v>
      </c>
      <c r="R198" s="217">
        <v>1.9319556E-7</v>
      </c>
      <c r="S198">
        <v>1.8321944999999999E-2</v>
      </c>
      <c r="T198">
        <v>2.2383108E-4</v>
      </c>
      <c r="U198">
        <v>3.7147094000000002E-3</v>
      </c>
      <c r="V198">
        <v>3.4479148000000001E-2</v>
      </c>
      <c r="W198">
        <v>0.50558161999999995</v>
      </c>
      <c r="X198" s="217">
        <v>8.3974461999999993E-6</v>
      </c>
      <c r="Y198">
        <v>81.293471999999994</v>
      </c>
      <c r="Z198">
        <v>2.8838648</v>
      </c>
      <c r="AA198" s="217">
        <v>2.5819565000000002E-7</v>
      </c>
      <c r="AB198">
        <v>5.8829214999999997E-2</v>
      </c>
      <c r="AC198">
        <v>173.09461999999999</v>
      </c>
      <c r="AD198" s="217">
        <v>2.4205032000000001E-8</v>
      </c>
      <c r="AE198" s="217">
        <v>7.6157662999999995E-8</v>
      </c>
      <c r="AF198">
        <v>4.9779713000000001</v>
      </c>
      <c r="AG198">
        <v>0</v>
      </c>
      <c r="AH198">
        <v>0</v>
      </c>
      <c r="AI198">
        <v>2.5318588000000002</v>
      </c>
      <c r="AJ198">
        <v>0</v>
      </c>
      <c r="AK198">
        <v>0</v>
      </c>
      <c r="AL198">
        <v>87.159316000000004</v>
      </c>
      <c r="AM198">
        <v>0</v>
      </c>
      <c r="AN198">
        <v>0</v>
      </c>
      <c r="AO198">
        <v>0</v>
      </c>
      <c r="AP198">
        <v>6.9819483000000002E-2</v>
      </c>
      <c r="AQ198" s="217">
        <v>3.0267187000000002E-5</v>
      </c>
      <c r="AR198">
        <v>0.21206580999999999</v>
      </c>
      <c r="AS198" s="217">
        <v>5.3691874000000002E-5</v>
      </c>
      <c r="AT198">
        <v>0</v>
      </c>
      <c r="AU198">
        <v>0</v>
      </c>
      <c r="AV198">
        <v>0</v>
      </c>
      <c r="AW198">
        <v>0</v>
      </c>
      <c r="AX198">
        <v>0</v>
      </c>
    </row>
    <row r="199" spans="1:50" x14ac:dyDescent="0.35">
      <c r="A199" t="s">
        <v>994</v>
      </c>
      <c r="B199" s="249">
        <f t="shared" si="3"/>
        <v>0.21077810981840001</v>
      </c>
      <c r="C199" s="217">
        <v>5.7486225000000002E-6</v>
      </c>
      <c r="D199">
        <v>1.5275804E-2</v>
      </c>
      <c r="E199">
        <v>1.9671539</v>
      </c>
      <c r="F199" s="217">
        <v>1.7136576E-7</v>
      </c>
      <c r="G199">
        <v>5.7408185000000001E-4</v>
      </c>
      <c r="H199">
        <v>5.6922179000000002E-3</v>
      </c>
      <c r="I199">
        <v>8.0928950999999995E-4</v>
      </c>
      <c r="J199">
        <v>0.80259272000000004</v>
      </c>
      <c r="K199">
        <v>1.7256078000000001E-2</v>
      </c>
      <c r="L199">
        <v>58.319543000000003</v>
      </c>
      <c r="M199">
        <v>3.1100516000000002E-3</v>
      </c>
      <c r="N199">
        <v>2.0114835000000002</v>
      </c>
      <c r="O199">
        <v>1.9741234000000001</v>
      </c>
      <c r="P199">
        <v>3.5906449999999999E-2</v>
      </c>
      <c r="Q199">
        <v>1.4535971000000001E-3</v>
      </c>
      <c r="R199" s="217">
        <v>1.9116905999999999E-7</v>
      </c>
      <c r="S199">
        <v>7.0622627000000004E-3</v>
      </c>
      <c r="T199" s="217">
        <v>8.7058151999999995E-5</v>
      </c>
      <c r="U199">
        <v>1.2800057000000001E-3</v>
      </c>
      <c r="V199">
        <v>1.6001773E-2</v>
      </c>
      <c r="W199">
        <v>4.2488902E-3</v>
      </c>
      <c r="X199" s="217">
        <v>5.7487879999999996E-6</v>
      </c>
      <c r="Y199">
        <v>28.339924</v>
      </c>
      <c r="Z199">
        <v>0.37620519000000002</v>
      </c>
      <c r="AA199" s="217">
        <v>2.1326992E-6</v>
      </c>
      <c r="AB199">
        <v>5.5862964000000001E-2</v>
      </c>
      <c r="AC199">
        <v>45.615369999999999</v>
      </c>
      <c r="AD199" s="217">
        <v>6.8477307000000003E-10</v>
      </c>
      <c r="AE199" s="217">
        <v>1.6317978000000001E-8</v>
      </c>
      <c r="AF199">
        <v>7.9012555000000004</v>
      </c>
      <c r="AG199">
        <v>0</v>
      </c>
      <c r="AH199">
        <v>0</v>
      </c>
      <c r="AI199">
        <v>1.3768130999999999</v>
      </c>
      <c r="AJ199">
        <v>0</v>
      </c>
      <c r="AK199">
        <v>0</v>
      </c>
      <c r="AL199">
        <v>30.868286000000001</v>
      </c>
      <c r="AM199">
        <v>0</v>
      </c>
      <c r="AN199">
        <v>0</v>
      </c>
      <c r="AO199">
        <v>0</v>
      </c>
      <c r="AP199">
        <v>1.0960015E-2</v>
      </c>
      <c r="AQ199">
        <v>1.4929510999999999E-4</v>
      </c>
      <c r="AR199">
        <v>0.37021996000000001</v>
      </c>
      <c r="AS199" s="217">
        <v>4.8959591E-5</v>
      </c>
      <c r="AT199">
        <v>0</v>
      </c>
      <c r="AU199">
        <v>0</v>
      </c>
      <c r="AV199">
        <v>0</v>
      </c>
      <c r="AW199">
        <v>0</v>
      </c>
      <c r="AX199">
        <v>0</v>
      </c>
    </row>
    <row r="200" spans="1:50" x14ac:dyDescent="0.35">
      <c r="A200" t="s">
        <v>995</v>
      </c>
      <c r="B200" s="249">
        <f t="shared" si="3"/>
        <v>0.44646692688929207</v>
      </c>
      <c r="C200" s="217">
        <v>5.5004912000000004E-6</v>
      </c>
      <c r="D200">
        <v>4.3249939000000001E-2</v>
      </c>
      <c r="E200">
        <v>5.3309841999999996</v>
      </c>
      <c r="F200" s="217">
        <v>2.6797090000000001E-8</v>
      </c>
      <c r="G200">
        <v>3.2097826999999998E-3</v>
      </c>
      <c r="H200">
        <v>2.2435152999999999E-2</v>
      </c>
      <c r="I200">
        <v>3.6623026999999999E-3</v>
      </c>
      <c r="J200">
        <v>0.42794916999999999</v>
      </c>
      <c r="K200">
        <v>2.2180886E-2</v>
      </c>
      <c r="L200">
        <v>43.669556999999998</v>
      </c>
      <c r="M200">
        <v>5.4555563E-3</v>
      </c>
      <c r="N200">
        <v>5.6652088000000003</v>
      </c>
      <c r="O200">
        <v>5.5474950999999999</v>
      </c>
      <c r="P200">
        <v>0.11747259</v>
      </c>
      <c r="Q200">
        <v>2.4106136000000001E-4</v>
      </c>
      <c r="R200" s="217">
        <v>2.7327857999999999E-8</v>
      </c>
      <c r="S200">
        <v>2.6930071999999999E-2</v>
      </c>
      <c r="T200">
        <v>3.3197339999999997E-4</v>
      </c>
      <c r="U200">
        <v>6.5104502000000002E-3</v>
      </c>
      <c r="V200">
        <v>4.8369558999999999E-2</v>
      </c>
      <c r="W200">
        <v>1.6496624000000001E-2</v>
      </c>
      <c r="X200" s="217">
        <v>5.5005799999999998E-6</v>
      </c>
      <c r="Y200">
        <v>95.741850999999997</v>
      </c>
      <c r="Z200">
        <v>5.2056798000000004</v>
      </c>
      <c r="AA200" s="217">
        <v>5.0868104000000004E-7</v>
      </c>
      <c r="AB200">
        <v>1.8054443999999999E-2</v>
      </c>
      <c r="AC200">
        <v>273.50423999999998</v>
      </c>
      <c r="AD200" s="217">
        <v>1.7002398000000001E-9</v>
      </c>
      <c r="AE200" s="217">
        <v>1.1374142E-7</v>
      </c>
      <c r="AF200">
        <v>1.9838100000000001</v>
      </c>
      <c r="AG200">
        <v>0</v>
      </c>
      <c r="AH200">
        <v>0</v>
      </c>
      <c r="AI200">
        <v>3.6774201</v>
      </c>
      <c r="AJ200">
        <v>0</v>
      </c>
      <c r="AK200">
        <v>0</v>
      </c>
      <c r="AL200">
        <v>102.63531999999999</v>
      </c>
      <c r="AM200">
        <v>0</v>
      </c>
      <c r="AN200">
        <v>0</v>
      </c>
      <c r="AO200">
        <v>0</v>
      </c>
      <c r="AP200">
        <v>0.12204693</v>
      </c>
      <c r="AQ200" s="217">
        <v>5.7151176E-6</v>
      </c>
      <c r="AR200">
        <v>0.17806132999999999</v>
      </c>
      <c r="AS200" s="217">
        <v>1.7788301E-5</v>
      </c>
      <c r="AT200">
        <v>0</v>
      </c>
      <c r="AU200">
        <v>0</v>
      </c>
      <c r="AV200">
        <v>0</v>
      </c>
      <c r="AW200">
        <v>0</v>
      </c>
      <c r="AX200">
        <v>0</v>
      </c>
    </row>
    <row r="201" spans="1:50" x14ac:dyDescent="0.35">
      <c r="A201" t="s">
        <v>996</v>
      </c>
      <c r="B201" s="249">
        <f t="shared" si="3"/>
        <v>0.75354249107229998</v>
      </c>
      <c r="C201" s="217">
        <v>2.5380349999999998E-5</v>
      </c>
      <c r="D201">
        <v>5.6522943999999999E-2</v>
      </c>
      <c r="E201">
        <v>5.8013760000000003</v>
      </c>
      <c r="F201" s="217">
        <v>9.1673120999999997E-7</v>
      </c>
      <c r="G201">
        <v>7.8069660999999999E-3</v>
      </c>
      <c r="H201">
        <v>2.9511341E-2</v>
      </c>
      <c r="I201">
        <v>7.3076831999999998E-3</v>
      </c>
      <c r="J201">
        <v>2.6399007999999999</v>
      </c>
      <c r="K201">
        <v>7.7883964E-2</v>
      </c>
      <c r="L201">
        <v>141.62781000000001</v>
      </c>
      <c r="M201">
        <v>1.4660672E-2</v>
      </c>
      <c r="N201">
        <v>6.1506322999999998</v>
      </c>
      <c r="O201">
        <v>6.0816743999999998</v>
      </c>
      <c r="P201">
        <v>6.5589220000000004E-2</v>
      </c>
      <c r="Q201">
        <v>3.3687083999999999E-3</v>
      </c>
      <c r="R201" s="217">
        <v>9.1854909999999999E-7</v>
      </c>
      <c r="S201">
        <v>3.6806341999999999E-2</v>
      </c>
      <c r="T201">
        <v>5.4429244000000002E-4</v>
      </c>
      <c r="U201">
        <v>9.3136838E-3</v>
      </c>
      <c r="V201">
        <v>7.5088192999999998E-2</v>
      </c>
      <c r="W201">
        <v>2.6358936999999999E-2</v>
      </c>
      <c r="X201" s="217">
        <v>2.5381514999999999E-5</v>
      </c>
      <c r="Y201">
        <v>117.61181999999999</v>
      </c>
      <c r="Z201">
        <v>4.9635864999999999</v>
      </c>
      <c r="AA201" s="217">
        <v>4.0348899000000001E-7</v>
      </c>
      <c r="AB201">
        <v>0.26412018999999998</v>
      </c>
      <c r="AC201">
        <v>414.69321000000002</v>
      </c>
      <c r="AD201" s="217">
        <v>6.8443738000000003E-8</v>
      </c>
      <c r="AE201" s="217">
        <v>6.5699098999999995E-7</v>
      </c>
      <c r="AF201">
        <v>14.860704999999999</v>
      </c>
      <c r="AG201">
        <v>0</v>
      </c>
      <c r="AH201">
        <v>0</v>
      </c>
      <c r="AI201">
        <v>6.4188741</v>
      </c>
      <c r="AJ201">
        <v>0</v>
      </c>
      <c r="AK201">
        <v>0</v>
      </c>
      <c r="AL201">
        <v>125.64422999999999</v>
      </c>
      <c r="AM201">
        <v>0</v>
      </c>
      <c r="AN201">
        <v>0</v>
      </c>
      <c r="AO201">
        <v>0</v>
      </c>
      <c r="AP201">
        <v>0.12695242000000001</v>
      </c>
      <c r="AQ201" s="217">
        <v>8.0786406999999995E-5</v>
      </c>
      <c r="AR201">
        <v>0.47956857000000003</v>
      </c>
      <c r="AS201">
        <v>2.6092988999999999E-4</v>
      </c>
      <c r="AT201">
        <v>0</v>
      </c>
      <c r="AU201">
        <v>0</v>
      </c>
      <c r="AV201">
        <v>0</v>
      </c>
      <c r="AW201">
        <v>0</v>
      </c>
      <c r="AX201">
        <v>0</v>
      </c>
    </row>
    <row r="202" spans="1:50" x14ac:dyDescent="0.35">
      <c r="A202" t="s">
        <v>997</v>
      </c>
      <c r="B202" s="249">
        <f t="shared" si="3"/>
        <v>0.23351043445980116</v>
      </c>
      <c r="C202" s="217">
        <v>9.4691782000000004E-7</v>
      </c>
      <c r="D202">
        <v>2.7214235E-2</v>
      </c>
      <c r="E202">
        <v>2.5852401</v>
      </c>
      <c r="F202" s="217">
        <v>4.6329964999999997E-8</v>
      </c>
      <c r="G202">
        <v>2.8959359E-3</v>
      </c>
      <c r="H202">
        <v>8.0894937000000004E-3</v>
      </c>
      <c r="I202">
        <v>1.0190036999999999E-3</v>
      </c>
      <c r="J202">
        <v>0.53237064999999995</v>
      </c>
      <c r="K202">
        <v>1.3488099999999999E-2</v>
      </c>
      <c r="L202">
        <v>37.727905999999997</v>
      </c>
      <c r="M202">
        <v>8.0156409000000008E-3</v>
      </c>
      <c r="N202">
        <v>2.5470220000000001</v>
      </c>
      <c r="O202">
        <v>2.6180629999999998</v>
      </c>
      <c r="P202">
        <v>-7.2078897000000003E-2</v>
      </c>
      <c r="Q202">
        <v>1.0378835E-3</v>
      </c>
      <c r="R202" s="217">
        <v>4.8696587E-8</v>
      </c>
      <c r="S202">
        <v>1.0046332E-2</v>
      </c>
      <c r="T202" s="217">
        <v>4.4529432999999998E-5</v>
      </c>
      <c r="U202">
        <v>2.2455093999999998E-3</v>
      </c>
      <c r="V202">
        <v>2.4912607E-2</v>
      </c>
      <c r="W202">
        <v>1.1421973E-2</v>
      </c>
      <c r="X202" s="217">
        <v>9.4582821999999999E-7</v>
      </c>
      <c r="Y202">
        <v>64.152365000000003</v>
      </c>
      <c r="Z202">
        <v>8.4913106999999997</v>
      </c>
      <c r="AA202" s="217">
        <v>9.0418204999999999E-8</v>
      </c>
      <c r="AB202">
        <v>4.1297301000000002E-2</v>
      </c>
      <c r="AC202">
        <v>38.389555000000001</v>
      </c>
      <c r="AD202" s="217">
        <v>1.3604584E-9</v>
      </c>
      <c r="AE202" s="217">
        <v>4.1228859000000003E-8</v>
      </c>
      <c r="AF202">
        <v>9.7281276999999999</v>
      </c>
      <c r="AG202">
        <v>0</v>
      </c>
      <c r="AH202">
        <v>0</v>
      </c>
      <c r="AI202">
        <v>2.8684101000000002</v>
      </c>
      <c r="AJ202">
        <v>0</v>
      </c>
      <c r="AK202">
        <v>0</v>
      </c>
      <c r="AL202">
        <v>68.294336999999999</v>
      </c>
      <c r="AM202">
        <v>0</v>
      </c>
      <c r="AN202">
        <v>0</v>
      </c>
      <c r="AO202">
        <v>0</v>
      </c>
      <c r="AP202">
        <v>0.19963649999999999</v>
      </c>
      <c r="AQ202" s="217">
        <v>1.1713956E-5</v>
      </c>
      <c r="AR202">
        <v>0.14368399000000001</v>
      </c>
      <c r="AS202" s="217">
        <v>3.6427234000000002E-5</v>
      </c>
      <c r="AT202">
        <v>0</v>
      </c>
      <c r="AU202">
        <v>0</v>
      </c>
      <c r="AV202">
        <v>0</v>
      </c>
      <c r="AW202">
        <v>0</v>
      </c>
      <c r="AX202">
        <v>0</v>
      </c>
    </row>
    <row r="203" spans="1:50" x14ac:dyDescent="0.35">
      <c r="A203" t="s">
        <v>998</v>
      </c>
      <c r="B203" s="249">
        <f t="shared" si="3"/>
        <v>0.21845032889152041</v>
      </c>
      <c r="C203" s="217">
        <v>9.0677893999999999E-7</v>
      </c>
      <c r="D203">
        <v>2.6264656000000001E-2</v>
      </c>
      <c r="E203">
        <v>2.4590106999999999</v>
      </c>
      <c r="F203" s="217">
        <v>3.6865163000000002E-8</v>
      </c>
      <c r="G203">
        <v>2.8555903E-3</v>
      </c>
      <c r="H203">
        <v>7.7726337E-3</v>
      </c>
      <c r="I203">
        <v>9.5531681999999998E-4</v>
      </c>
      <c r="J203">
        <v>0.46360221000000001</v>
      </c>
      <c r="K203">
        <v>1.1261828E-2</v>
      </c>
      <c r="L203">
        <v>33.791373999999998</v>
      </c>
      <c r="M203">
        <v>7.5906662000000003E-3</v>
      </c>
      <c r="N203">
        <v>2.4525508</v>
      </c>
      <c r="O203">
        <v>2.4898741000000002</v>
      </c>
      <c r="P203">
        <v>-3.8011821000000001E-2</v>
      </c>
      <c r="Q203">
        <v>6.8853231000000001E-4</v>
      </c>
      <c r="R203" s="217">
        <v>3.9211956E-8</v>
      </c>
      <c r="S203">
        <v>9.6316465000000004E-3</v>
      </c>
      <c r="T203" s="217">
        <v>3.8160008000000002E-5</v>
      </c>
      <c r="U203">
        <v>2.1523063999999998E-3</v>
      </c>
      <c r="V203">
        <v>2.3707193000000001E-2</v>
      </c>
      <c r="W203">
        <v>1.1128046000000001E-2</v>
      </c>
      <c r="X203" s="217">
        <v>9.0677785999999999E-7</v>
      </c>
      <c r="Y203">
        <v>62.195399000000002</v>
      </c>
      <c r="Z203">
        <v>8.0662303000000009</v>
      </c>
      <c r="AA203" s="217">
        <v>8.7466227E-8</v>
      </c>
      <c r="AB203">
        <v>3.2772602999999997E-2</v>
      </c>
      <c r="AC203">
        <v>37.340266</v>
      </c>
      <c r="AD203" s="217">
        <v>1.3034247000000001E-9</v>
      </c>
      <c r="AE203" s="217">
        <v>4.037906E-8</v>
      </c>
      <c r="AF203">
        <v>7.1006613999999999</v>
      </c>
      <c r="AG203">
        <v>0</v>
      </c>
      <c r="AH203">
        <v>0</v>
      </c>
      <c r="AI203">
        <v>2.2623850999999999</v>
      </c>
      <c r="AJ203">
        <v>0</v>
      </c>
      <c r="AK203">
        <v>0</v>
      </c>
      <c r="AL203">
        <v>66.194410000000005</v>
      </c>
      <c r="AM203">
        <v>0</v>
      </c>
      <c r="AN203">
        <v>0</v>
      </c>
      <c r="AO203">
        <v>0</v>
      </c>
      <c r="AP203">
        <v>0.18932455000000001</v>
      </c>
      <c r="AQ203" s="217">
        <v>9.0455180999999992E-6</v>
      </c>
      <c r="AR203">
        <v>0.13324923</v>
      </c>
      <c r="AS203" s="217">
        <v>2.9723990000000001E-5</v>
      </c>
      <c r="AT203">
        <v>0</v>
      </c>
      <c r="AU203">
        <v>0</v>
      </c>
      <c r="AV203">
        <v>0</v>
      </c>
      <c r="AW203">
        <v>0</v>
      </c>
      <c r="AX203">
        <v>0</v>
      </c>
    </row>
    <row r="204" spans="1:50" x14ac:dyDescent="0.35">
      <c r="A204" t="s">
        <v>999</v>
      </c>
      <c r="B204" s="249">
        <f t="shared" si="3"/>
        <v>0.16664809676826242</v>
      </c>
      <c r="C204" s="217">
        <v>2.2119039E-7</v>
      </c>
      <c r="D204">
        <v>2.3072598E-2</v>
      </c>
      <c r="E204">
        <v>2.0078111999999999</v>
      </c>
      <c r="F204" s="217">
        <v>1.439316E-8</v>
      </c>
      <c r="G204">
        <v>2.7126364000000002E-3</v>
      </c>
      <c r="H204">
        <v>5.5300627000000003E-3</v>
      </c>
      <c r="I204">
        <v>6.9881966000000001E-4</v>
      </c>
      <c r="J204">
        <v>0.28919379000000001</v>
      </c>
      <c r="K204">
        <v>8.3936008999999992E-3</v>
      </c>
      <c r="L204">
        <v>20.50338</v>
      </c>
      <c r="M204">
        <v>6.6827706000000004E-3</v>
      </c>
      <c r="N204">
        <v>2.0459276000000002</v>
      </c>
      <c r="O204">
        <v>2.0311981000000001</v>
      </c>
      <c r="P204">
        <v>1.4693507999999999E-2</v>
      </c>
      <c r="Q204" s="217">
        <v>3.5991541999999997E-5</v>
      </c>
      <c r="R204" s="217">
        <v>1.7846182999999999E-8</v>
      </c>
      <c r="S204">
        <v>6.8959935000000002E-3</v>
      </c>
      <c r="T204" s="217">
        <v>9.1396141999999995E-6</v>
      </c>
      <c r="U204">
        <v>1.7572746000000001E-3</v>
      </c>
      <c r="V204">
        <v>1.8481527000000001E-2</v>
      </c>
      <c r="W204">
        <v>9.8808959000000005E-3</v>
      </c>
      <c r="X204" s="217">
        <v>2.2118981000000001E-7</v>
      </c>
      <c r="Y204">
        <v>56.129432999999999</v>
      </c>
      <c r="Z204">
        <v>7.6643356999999996</v>
      </c>
      <c r="AA204" s="217">
        <v>6.4183045000000004E-8</v>
      </c>
      <c r="AB204">
        <v>5.2796283000000003E-3</v>
      </c>
      <c r="AC204">
        <v>28.535696999999999</v>
      </c>
      <c r="AD204" s="217">
        <v>1.0956394E-9</v>
      </c>
      <c r="AE204" s="217">
        <v>3.5881366999999997E-8</v>
      </c>
      <c r="AF204">
        <v>0.96082546000000002</v>
      </c>
      <c r="AG204">
        <v>0</v>
      </c>
      <c r="AH204">
        <v>0</v>
      </c>
      <c r="AI204">
        <v>0.93123513000000002</v>
      </c>
      <c r="AJ204">
        <v>0</v>
      </c>
      <c r="AK204">
        <v>0</v>
      </c>
      <c r="AL204">
        <v>59.764111999999997</v>
      </c>
      <c r="AM204">
        <v>0</v>
      </c>
      <c r="AN204">
        <v>0</v>
      </c>
      <c r="AO204">
        <v>0</v>
      </c>
      <c r="AP204">
        <v>0.17851026</v>
      </c>
      <c r="AQ204" s="217">
        <v>1.004237E-6</v>
      </c>
      <c r="AR204">
        <v>9.6716910000000003E-2</v>
      </c>
      <c r="AS204" s="217">
        <v>7.9808149999999992E-6</v>
      </c>
      <c r="AT204">
        <v>0</v>
      </c>
      <c r="AU204">
        <v>0</v>
      </c>
      <c r="AV204">
        <v>0</v>
      </c>
      <c r="AW204">
        <v>0</v>
      </c>
      <c r="AX204">
        <v>0</v>
      </c>
    </row>
    <row r="205" spans="1:50" x14ac:dyDescent="0.35">
      <c r="A205" t="s">
        <v>1000</v>
      </c>
      <c r="B205" s="249">
        <f t="shared" si="3"/>
        <v>0.4804979572343</v>
      </c>
      <c r="C205">
        <v>1.7456392000000001E-4</v>
      </c>
      <c r="D205">
        <v>2.5448762E-2</v>
      </c>
      <c r="E205">
        <v>2.8140158999999998</v>
      </c>
      <c r="F205" s="217">
        <v>1.1565157E-7</v>
      </c>
      <c r="G205">
        <v>2.9565118E-3</v>
      </c>
      <c r="H205">
        <v>1.5359818000000001E-2</v>
      </c>
      <c r="I205">
        <v>2.7055815E-3</v>
      </c>
      <c r="J205">
        <v>2.6096300000000001</v>
      </c>
      <c r="K205">
        <v>2.7490135999999998E-2</v>
      </c>
      <c r="L205">
        <v>69.33005</v>
      </c>
      <c r="M205">
        <v>2.2783706000000001E-2</v>
      </c>
      <c r="N205">
        <v>2.8401969999999999</v>
      </c>
      <c r="O205">
        <v>2.8688213999999999</v>
      </c>
      <c r="P205">
        <v>-3.2244894000000003E-2</v>
      </c>
      <c r="Q205">
        <v>3.6204846E-3</v>
      </c>
      <c r="R205" s="217">
        <v>1.2394855E-7</v>
      </c>
      <c r="S205">
        <v>2.1599862000000001E-2</v>
      </c>
      <c r="T205">
        <v>2.3483187000000001E-4</v>
      </c>
      <c r="U205">
        <v>2.9986004999999999E-3</v>
      </c>
      <c r="V205">
        <v>6.6226769000000005E-2</v>
      </c>
      <c r="W205">
        <v>1.2728546E-2</v>
      </c>
      <c r="X205">
        <v>1.7456365999999999E-4</v>
      </c>
      <c r="Y205">
        <v>54.981726999999999</v>
      </c>
      <c r="Z205">
        <v>5.7120348999999999</v>
      </c>
      <c r="AA205" s="217">
        <v>2.0563452000000001E-7</v>
      </c>
      <c r="AB205">
        <v>6.7098756999999995E-2</v>
      </c>
      <c r="AC205">
        <v>73.033715999999998</v>
      </c>
      <c r="AD205" s="217">
        <v>6.9566143000000002E-9</v>
      </c>
      <c r="AE205" s="217">
        <v>1.2039192999999999E-7</v>
      </c>
      <c r="AF205">
        <v>14.437495</v>
      </c>
      <c r="AG205">
        <v>0</v>
      </c>
      <c r="AH205">
        <v>0</v>
      </c>
      <c r="AI205">
        <v>2.8754075000000001</v>
      </c>
      <c r="AJ205">
        <v>0</v>
      </c>
      <c r="AK205">
        <v>0</v>
      </c>
      <c r="AL205">
        <v>58.507430999999997</v>
      </c>
      <c r="AM205">
        <v>0</v>
      </c>
      <c r="AN205">
        <v>0</v>
      </c>
      <c r="AO205">
        <v>0</v>
      </c>
      <c r="AP205">
        <v>0.13648334000000001</v>
      </c>
      <c r="AQ205">
        <v>1.6868512E-4</v>
      </c>
      <c r="AR205">
        <v>0.48307391999999999</v>
      </c>
      <c r="AS205" s="217">
        <v>6.7901729999999996E-5</v>
      </c>
      <c r="AT205">
        <v>0</v>
      </c>
      <c r="AU205">
        <v>0</v>
      </c>
      <c r="AV205">
        <v>0</v>
      </c>
      <c r="AW205">
        <v>0</v>
      </c>
      <c r="AX205">
        <v>0</v>
      </c>
    </row>
    <row r="206" spans="1:50" x14ac:dyDescent="0.35">
      <c r="A206" t="s">
        <v>1001</v>
      </c>
      <c r="B206" s="249">
        <f t="shared" si="3"/>
        <v>1.2946412720785202E-2</v>
      </c>
      <c r="C206" s="217">
        <v>4.0388546999999998E-7</v>
      </c>
      <c r="D206">
        <v>5.3073957999999997E-4</v>
      </c>
      <c r="E206">
        <v>0.11884753000000001</v>
      </c>
      <c r="F206" s="217">
        <v>1.0549677E-8</v>
      </c>
      <c r="G206" s="217">
        <v>7.2693156000000004E-5</v>
      </c>
      <c r="H206">
        <v>4.5458454000000002E-4</v>
      </c>
      <c r="I206">
        <v>3.8188326000000001E-4</v>
      </c>
      <c r="J206">
        <v>2.7956137999999998E-2</v>
      </c>
      <c r="K206">
        <v>-9.4813399999999996E-3</v>
      </c>
      <c r="L206">
        <v>-1.2059799</v>
      </c>
      <c r="M206">
        <v>-9.8825210999999996E-3</v>
      </c>
      <c r="N206">
        <v>-1.5257050000000001</v>
      </c>
      <c r="O206">
        <v>0.12574653999999999</v>
      </c>
      <c r="P206">
        <v>-1.6515177000000001</v>
      </c>
      <c r="Q206" s="217">
        <v>6.6123332000000005E-5</v>
      </c>
      <c r="R206" s="217">
        <v>1.3018437E-8</v>
      </c>
      <c r="S206">
        <v>6.0646576000000004E-4</v>
      </c>
      <c r="T206" s="217">
        <v>8.4709159000000007E-5</v>
      </c>
      <c r="U206">
        <v>2.1380474E-4</v>
      </c>
      <c r="V206">
        <v>2.3739604000000002E-3</v>
      </c>
      <c r="W206">
        <v>6.8998569000000001E-4</v>
      </c>
      <c r="X206" s="217">
        <v>4.0388227000000002E-7</v>
      </c>
      <c r="Y206">
        <v>1.050592</v>
      </c>
      <c r="Z206">
        <v>7.1844575999999993E-2</v>
      </c>
      <c r="AA206" s="217">
        <v>3.9710240999999999E-9</v>
      </c>
      <c r="AB206">
        <v>4.0376902000000001E-3</v>
      </c>
      <c r="AC206">
        <v>0.69456461999999997</v>
      </c>
      <c r="AD206" s="217">
        <v>-6.3392574999999999E-10</v>
      </c>
      <c r="AE206" s="217">
        <v>-9.1881494000000006E-8</v>
      </c>
      <c r="AF206">
        <v>291.31925999999999</v>
      </c>
      <c r="AG206">
        <v>0</v>
      </c>
      <c r="AH206">
        <v>0</v>
      </c>
      <c r="AI206">
        <v>17.651295999999999</v>
      </c>
      <c r="AJ206">
        <v>0</v>
      </c>
      <c r="AK206">
        <v>0</v>
      </c>
      <c r="AL206">
        <v>1.1156926</v>
      </c>
      <c r="AM206">
        <v>0</v>
      </c>
      <c r="AN206">
        <v>0</v>
      </c>
      <c r="AO206">
        <v>0</v>
      </c>
      <c r="AP206">
        <v>2.4935970000000002E-3</v>
      </c>
      <c r="AQ206" s="217">
        <v>1.4191748999999999E-6</v>
      </c>
      <c r="AR206">
        <v>2.2581522999999999E-2</v>
      </c>
      <c r="AS206" s="217">
        <v>5.9438651999999999E-6</v>
      </c>
      <c r="AT206">
        <v>0</v>
      </c>
      <c r="AU206">
        <v>0</v>
      </c>
      <c r="AV206">
        <v>0</v>
      </c>
      <c r="AW206">
        <v>0</v>
      </c>
      <c r="AX206">
        <v>0</v>
      </c>
    </row>
    <row r="207" spans="1:50" x14ac:dyDescent="0.35">
      <c r="A207" t="s">
        <v>1002</v>
      </c>
      <c r="B207" s="249">
        <f t="shared" si="3"/>
        <v>7.9257993808896394</v>
      </c>
      <c r="C207" s="217">
        <v>3.2707009000000002E-5</v>
      </c>
      <c r="D207">
        <v>3.5105881999999998E-2</v>
      </c>
      <c r="E207">
        <v>46.041989999999998</v>
      </c>
      <c r="F207" s="217">
        <v>5.3043494000000005E-7</v>
      </c>
      <c r="G207">
        <v>1.2842396000000001E-2</v>
      </c>
      <c r="H207">
        <v>0.63715966000000002</v>
      </c>
      <c r="I207">
        <v>0.24262458000000001</v>
      </c>
      <c r="J207">
        <v>7.8601241000000002</v>
      </c>
      <c r="K207">
        <v>2.7678536999999999</v>
      </c>
      <c r="L207">
        <v>178.19614999999999</v>
      </c>
      <c r="M207">
        <v>0.86417911000000003</v>
      </c>
      <c r="N207">
        <v>44.046799</v>
      </c>
      <c r="O207">
        <v>15.349907999999999</v>
      </c>
      <c r="P207">
        <v>22.547689999999999</v>
      </c>
      <c r="Q207">
        <v>6.1492006999999997</v>
      </c>
      <c r="R207" s="217">
        <v>6.3120488000000001E-7</v>
      </c>
      <c r="S207">
        <v>1.1783387000000001</v>
      </c>
      <c r="T207">
        <v>1.0714036E-2</v>
      </c>
      <c r="U207">
        <v>0.19382186000000001</v>
      </c>
      <c r="V207">
        <v>5.1753821999999996</v>
      </c>
      <c r="W207">
        <v>5.3161951999999998E-2</v>
      </c>
      <c r="X207" s="217">
        <v>3.0841566E-5</v>
      </c>
      <c r="Y207">
        <v>66.271090000000001</v>
      </c>
      <c r="Z207">
        <v>32.294204000000001</v>
      </c>
      <c r="AA207" s="217">
        <v>8.2471441999999996E-6</v>
      </c>
      <c r="AB207">
        <v>0.21341360000000001</v>
      </c>
      <c r="AC207">
        <v>483.84134</v>
      </c>
      <c r="AD207" s="217">
        <v>9.5525275999999995E-9</v>
      </c>
      <c r="AE207" s="217">
        <v>2.3646286000000001E-7</v>
      </c>
      <c r="AF207">
        <v>5539.8248000000003</v>
      </c>
      <c r="AG207">
        <v>0</v>
      </c>
      <c r="AH207">
        <v>0</v>
      </c>
      <c r="AI207">
        <v>166.68908999999999</v>
      </c>
      <c r="AJ207">
        <v>0</v>
      </c>
      <c r="AK207">
        <v>0</v>
      </c>
      <c r="AL207">
        <v>92.418036999999998</v>
      </c>
      <c r="AM207">
        <v>0</v>
      </c>
      <c r="AN207">
        <v>0</v>
      </c>
      <c r="AO207">
        <v>0</v>
      </c>
      <c r="AP207">
        <v>1.017128</v>
      </c>
      <c r="AQ207" s="217">
        <v>9.7913029999999998E-5</v>
      </c>
      <c r="AR207">
        <v>2.7959546</v>
      </c>
      <c r="AS207">
        <v>2.6802382000000002E-4</v>
      </c>
      <c r="AT207">
        <v>0</v>
      </c>
      <c r="AU207">
        <v>0</v>
      </c>
      <c r="AV207">
        <v>0</v>
      </c>
      <c r="AW207">
        <v>0</v>
      </c>
      <c r="AX207">
        <v>0</v>
      </c>
    </row>
    <row r="208" spans="1:50" x14ac:dyDescent="0.35">
      <c r="A208" t="s">
        <v>1003</v>
      </c>
      <c r="B208" s="249">
        <f t="shared" si="3"/>
        <v>1.4950661619189203E-3</v>
      </c>
      <c r="C208" s="217">
        <v>4.3540537000000001E-8</v>
      </c>
      <c r="D208" s="217">
        <v>8.3608906000000001E-5</v>
      </c>
      <c r="E208">
        <v>1.1732164999999999E-2</v>
      </c>
      <c r="F208" s="217">
        <v>1.6924831000000001E-9</v>
      </c>
      <c r="G208" s="217">
        <v>8.6225229000000005E-6</v>
      </c>
      <c r="H208" s="217">
        <v>7.2149051999999999E-5</v>
      </c>
      <c r="I208" s="217">
        <v>1.1990805000000001E-5</v>
      </c>
      <c r="J208">
        <v>4.8633371999999998E-3</v>
      </c>
      <c r="K208">
        <v>1.0218860999999999E-4</v>
      </c>
      <c r="L208">
        <v>0.39217220000000003</v>
      </c>
      <c r="M208" s="217">
        <v>2.1350347999999999E-5</v>
      </c>
      <c r="N208">
        <v>1.1940889999999999E-2</v>
      </c>
      <c r="O208">
        <v>1.1915639E-2</v>
      </c>
      <c r="P208" s="217">
        <v>1.7433311000000001E-5</v>
      </c>
      <c r="Q208" s="217">
        <v>7.8175324999999998E-6</v>
      </c>
      <c r="R208" s="217">
        <v>2.083959E-9</v>
      </c>
      <c r="S208" s="217">
        <v>9.3415166999999996E-5</v>
      </c>
      <c r="T208" s="217">
        <v>4.6109197000000001E-7</v>
      </c>
      <c r="U208" s="217">
        <v>2.6811702000000002E-5</v>
      </c>
      <c r="V208">
        <v>3.0614853000000001E-4</v>
      </c>
      <c r="W208" s="217">
        <v>8.5135598999999996E-5</v>
      </c>
      <c r="X208" s="217">
        <v>4.3541511E-8</v>
      </c>
      <c r="Y208">
        <v>0.16917175000000001</v>
      </c>
      <c r="Z208">
        <v>5.9091481000000001E-2</v>
      </c>
      <c r="AA208" s="217">
        <v>1.173222E-9</v>
      </c>
      <c r="AB208">
        <v>7.2249079999999995E-4</v>
      </c>
      <c r="AC208">
        <v>0.16784776000000001</v>
      </c>
      <c r="AD208" s="217">
        <v>8.5089346000000004E-12</v>
      </c>
      <c r="AE208" s="217">
        <v>1.9271466999999999E-10</v>
      </c>
      <c r="AF208">
        <v>0.14234010999999999</v>
      </c>
      <c r="AG208">
        <v>0</v>
      </c>
      <c r="AH208">
        <v>0</v>
      </c>
      <c r="AI208">
        <v>5.6578517999999996E-3</v>
      </c>
      <c r="AJ208">
        <v>0</v>
      </c>
      <c r="AK208">
        <v>0</v>
      </c>
      <c r="AL208">
        <v>0.17960533000000001</v>
      </c>
      <c r="AM208">
        <v>0</v>
      </c>
      <c r="AN208">
        <v>0</v>
      </c>
      <c r="AO208">
        <v>0</v>
      </c>
      <c r="AP208">
        <v>1.4373534000000001E-3</v>
      </c>
      <c r="AQ208" s="217">
        <v>6.0905645000000002E-7</v>
      </c>
      <c r="AR208">
        <v>5.4750800999999998E-3</v>
      </c>
      <c r="AS208" s="217">
        <v>1.0011231E-6</v>
      </c>
      <c r="AT208">
        <v>0</v>
      </c>
      <c r="AU208">
        <v>0</v>
      </c>
      <c r="AV208">
        <v>0</v>
      </c>
      <c r="AW208">
        <v>0</v>
      </c>
      <c r="AX208">
        <v>0</v>
      </c>
    </row>
    <row r="209" spans="1:50" x14ac:dyDescent="0.35">
      <c r="A209" t="s">
        <v>1004</v>
      </c>
      <c r="B209" s="249">
        <f t="shared" si="3"/>
        <v>1.5177902136130003E-2</v>
      </c>
      <c r="C209" s="217">
        <v>1.3138186000000001E-5</v>
      </c>
      <c r="D209">
        <v>5.1933980999999997E-4</v>
      </c>
      <c r="E209">
        <v>0.23570371000000001</v>
      </c>
      <c r="F209" s="217">
        <v>3.1066590000000002E-9</v>
      </c>
      <c r="G209" s="217">
        <v>3.8067017E-5</v>
      </c>
      <c r="H209">
        <v>3.3843665000000002E-4</v>
      </c>
      <c r="I209" s="217">
        <v>7.9787912999999998E-5</v>
      </c>
      <c r="J209">
        <v>1.0544642E-2</v>
      </c>
      <c r="K209">
        <v>2.7291085999999999E-4</v>
      </c>
      <c r="L209">
        <v>1.8646318</v>
      </c>
      <c r="M209">
        <v>2.6311367000000002E-4</v>
      </c>
      <c r="N209">
        <v>9.2719191E-4</v>
      </c>
      <c r="O209">
        <v>9.2696019999999996E-4</v>
      </c>
      <c r="P209" s="217">
        <v>1.5297907E-7</v>
      </c>
      <c r="Q209" s="217">
        <v>7.8732850999999996E-8</v>
      </c>
      <c r="R209" s="217">
        <v>2.0941643000000001E-10</v>
      </c>
      <c r="S209" s="217">
        <v>9.7161428999999994E-6</v>
      </c>
      <c r="T209" s="217">
        <v>7.0800045000000001E-9</v>
      </c>
      <c r="U209" s="217">
        <v>4.2115418000000003E-6</v>
      </c>
      <c r="V209" s="217">
        <v>4.6283906000000002E-5</v>
      </c>
      <c r="W209" s="217">
        <v>1.2715183E-5</v>
      </c>
      <c r="X209" s="217">
        <v>3.0934301000000001E-10</v>
      </c>
      <c r="Y209">
        <v>1.3405731000000001E-2</v>
      </c>
      <c r="Z209">
        <v>1.2957270999999999E-2</v>
      </c>
      <c r="AA209" s="217">
        <v>2.5421518000000001E-10</v>
      </c>
      <c r="AB209" s="217">
        <v>5.7777624E-5</v>
      </c>
      <c r="AC209">
        <v>7.5784058000000001E-3</v>
      </c>
      <c r="AD209" s="217">
        <v>2.6073371999999998E-13</v>
      </c>
      <c r="AE209" s="217">
        <v>6.6030772000000002E-12</v>
      </c>
      <c r="AF209">
        <v>1.6979272E-3</v>
      </c>
      <c r="AG209">
        <v>0</v>
      </c>
      <c r="AH209">
        <v>0</v>
      </c>
      <c r="AI209">
        <v>4.9085495E-2</v>
      </c>
      <c r="AJ209">
        <v>0</v>
      </c>
      <c r="AK209">
        <v>0</v>
      </c>
      <c r="AL209">
        <v>0.91642783000000005</v>
      </c>
      <c r="AM209">
        <v>0</v>
      </c>
      <c r="AN209">
        <v>0</v>
      </c>
      <c r="AO209">
        <v>0</v>
      </c>
      <c r="AP209">
        <v>6.5642271000000002E-4</v>
      </c>
      <c r="AQ209" s="217">
        <v>5.4995954000000001E-6</v>
      </c>
      <c r="AR209">
        <v>3.7818629999999999E-3</v>
      </c>
      <c r="AS209" s="217">
        <v>9.3119081999999995E-8</v>
      </c>
      <c r="AT209">
        <v>0</v>
      </c>
      <c r="AU209">
        <v>0</v>
      </c>
      <c r="AV209">
        <v>0</v>
      </c>
      <c r="AW209">
        <v>0</v>
      </c>
      <c r="AX209">
        <v>0</v>
      </c>
    </row>
    <row r="210" spans="1:50" x14ac:dyDescent="0.35">
      <c r="A210" t="s">
        <v>1005</v>
      </c>
      <c r="B210" s="249">
        <f t="shared" si="3"/>
        <v>0.31450216041662404</v>
      </c>
      <c r="C210" s="217">
        <v>6.8939538999999996E-6</v>
      </c>
      <c r="D210">
        <v>2.5941997000000001E-2</v>
      </c>
      <c r="E210">
        <v>3.0530339999999998</v>
      </c>
      <c r="F210" s="217">
        <v>1.9709051999999999E-6</v>
      </c>
      <c r="G210">
        <v>1.8661808000000001E-3</v>
      </c>
      <c r="H210">
        <v>1.3344158E-2</v>
      </c>
      <c r="I210">
        <v>1.6437428E-3</v>
      </c>
      <c r="J210">
        <v>0.82943137</v>
      </c>
      <c r="K210">
        <v>3.4899687999999998E-2</v>
      </c>
      <c r="L210">
        <v>97.324389999999994</v>
      </c>
      <c r="M210">
        <v>5.1429828000000002E-3</v>
      </c>
      <c r="N210">
        <v>3.1940767000000001</v>
      </c>
      <c r="O210">
        <v>3.1009858000000001</v>
      </c>
      <c r="P210">
        <v>9.0852537999999997E-2</v>
      </c>
      <c r="Q210">
        <v>2.2383171000000001E-3</v>
      </c>
      <c r="R210" s="217">
        <v>1.499506E-6</v>
      </c>
      <c r="S210">
        <v>1.6409647999999999E-2</v>
      </c>
      <c r="T210">
        <v>1.6049966999999999E-4</v>
      </c>
      <c r="U210">
        <v>2.6504073000000001E-3</v>
      </c>
      <c r="V210">
        <v>3.4031357999999998E-2</v>
      </c>
      <c r="W210">
        <v>9.5537629999999998E-3</v>
      </c>
      <c r="X210" s="217">
        <v>6.8942067000000002E-6</v>
      </c>
      <c r="Y210">
        <v>52.266492</v>
      </c>
      <c r="Z210">
        <v>4.6151850000000003</v>
      </c>
      <c r="AA210" s="217">
        <v>1.3259281E-7</v>
      </c>
      <c r="AB210">
        <v>0.12445595</v>
      </c>
      <c r="AC210">
        <v>54.939084000000001</v>
      </c>
      <c r="AD210" s="217">
        <v>2.4846239000000001E-9</v>
      </c>
      <c r="AE210" s="217">
        <v>3.9510507999999998E-8</v>
      </c>
      <c r="AF210">
        <v>14.534326</v>
      </c>
      <c r="AG210">
        <v>0</v>
      </c>
      <c r="AH210">
        <v>0</v>
      </c>
      <c r="AI210">
        <v>5.0201665000000002</v>
      </c>
      <c r="AJ210">
        <v>0</v>
      </c>
      <c r="AK210">
        <v>0</v>
      </c>
      <c r="AL210">
        <v>56.258546000000003</v>
      </c>
      <c r="AM210">
        <v>0</v>
      </c>
      <c r="AN210">
        <v>0</v>
      </c>
      <c r="AO210">
        <v>0</v>
      </c>
      <c r="AP210">
        <v>0.12394928</v>
      </c>
      <c r="AQ210" s="217">
        <v>4.1713915000000002E-5</v>
      </c>
      <c r="AR210">
        <v>0.21754556</v>
      </c>
      <c r="AS210">
        <v>1.0853667E-4</v>
      </c>
      <c r="AT210">
        <v>0</v>
      </c>
      <c r="AU210">
        <v>0</v>
      </c>
      <c r="AV210">
        <v>0</v>
      </c>
      <c r="AW210">
        <v>0</v>
      </c>
      <c r="AX210">
        <v>0</v>
      </c>
    </row>
    <row r="211" spans="1:50" x14ac:dyDescent="0.35">
      <c r="A211" t="s">
        <v>1006</v>
      </c>
      <c r="B211" s="249">
        <f t="shared" si="3"/>
        <v>0.20941268194408</v>
      </c>
      <c r="C211" s="217">
        <v>1.1188968E-5</v>
      </c>
      <c r="D211">
        <v>3.0415073000000001E-2</v>
      </c>
      <c r="E211">
        <v>1.272384</v>
      </c>
      <c r="F211" s="217">
        <v>6.5712263999999999E-7</v>
      </c>
      <c r="G211">
        <v>1.1083445000000001E-2</v>
      </c>
      <c r="H211">
        <v>8.3334350999999997E-3</v>
      </c>
      <c r="I211">
        <v>1.2201048999999999E-3</v>
      </c>
      <c r="J211">
        <v>0.74146984000000005</v>
      </c>
      <c r="K211">
        <v>1.9508685000000001E-2</v>
      </c>
      <c r="L211">
        <v>69.569518000000002</v>
      </c>
      <c r="M211">
        <v>2.4915649999999998E-3</v>
      </c>
      <c r="N211">
        <v>1.3012087000000001</v>
      </c>
      <c r="O211">
        <v>1.2987379999999999</v>
      </c>
      <c r="P211">
        <v>1.5395273000000001E-3</v>
      </c>
      <c r="Q211">
        <v>9.3121032000000005E-4</v>
      </c>
      <c r="R211" s="217">
        <v>8.1102449999999998E-7</v>
      </c>
      <c r="S211">
        <v>9.9558991999999999E-3</v>
      </c>
      <c r="T211" s="217">
        <v>8.6458021999999998E-5</v>
      </c>
      <c r="U211">
        <v>1.2332606999999999E-3</v>
      </c>
      <c r="V211">
        <v>1.5882389E-2</v>
      </c>
      <c r="W211">
        <v>2.6471676E-2</v>
      </c>
      <c r="X211" s="217">
        <v>1.1189074999999999E-5</v>
      </c>
      <c r="Y211">
        <v>64.969048999999998</v>
      </c>
      <c r="Z211">
        <v>0.56951726000000003</v>
      </c>
      <c r="AA211" s="217">
        <v>6.2853840999999994E-8</v>
      </c>
      <c r="AB211">
        <v>0.25512581000000001</v>
      </c>
      <c r="AC211">
        <v>34.836373000000002</v>
      </c>
      <c r="AD211" s="217">
        <v>7.2827648999999997E-10</v>
      </c>
      <c r="AE211" s="217">
        <v>2.0470701999999999E-8</v>
      </c>
      <c r="AF211">
        <v>9.1833004999999996</v>
      </c>
      <c r="AG211">
        <v>0</v>
      </c>
      <c r="AH211">
        <v>0</v>
      </c>
      <c r="AI211">
        <v>1.295634</v>
      </c>
      <c r="AJ211">
        <v>0</v>
      </c>
      <c r="AK211">
        <v>0</v>
      </c>
      <c r="AL211">
        <v>69.114323999999996</v>
      </c>
      <c r="AM211">
        <v>0</v>
      </c>
      <c r="AN211">
        <v>0</v>
      </c>
      <c r="AO211">
        <v>0</v>
      </c>
      <c r="AP211">
        <v>1.6243919999999998E-2</v>
      </c>
      <c r="AQ211" s="217">
        <v>2.8283293000000002E-5</v>
      </c>
      <c r="AR211">
        <v>0.11534508</v>
      </c>
      <c r="AS211">
        <v>3.7762309000000002E-4</v>
      </c>
      <c r="AT211">
        <v>0</v>
      </c>
      <c r="AU211">
        <v>0</v>
      </c>
      <c r="AV211">
        <v>0</v>
      </c>
      <c r="AW211">
        <v>0</v>
      </c>
      <c r="AX211">
        <v>0</v>
      </c>
    </row>
    <row r="212" spans="1:50" x14ac:dyDescent="0.35">
      <c r="A212" t="s">
        <v>1007</v>
      </c>
      <c r="B212" s="249">
        <f t="shared" si="3"/>
        <v>0.34252905057472005</v>
      </c>
      <c r="C212" s="217">
        <v>3.1261145000000001E-6</v>
      </c>
      <c r="D212">
        <v>1.9230396E-2</v>
      </c>
      <c r="E212">
        <v>2.7296681999999999</v>
      </c>
      <c r="F212" s="217">
        <v>1.8986267999999999E-7</v>
      </c>
      <c r="G212">
        <v>3.5802397000000001E-3</v>
      </c>
      <c r="H212">
        <v>1.0995546E-2</v>
      </c>
      <c r="I212">
        <v>1.3650673999999999E-3</v>
      </c>
      <c r="J212">
        <v>1.4690510999999999</v>
      </c>
      <c r="K212">
        <v>3.0182456999999999E-2</v>
      </c>
      <c r="L212">
        <v>61.429181999999997</v>
      </c>
      <c r="M212">
        <v>4.5220041000000001E-3</v>
      </c>
      <c r="N212">
        <v>2.8364595000000001</v>
      </c>
      <c r="O212">
        <v>2.8468241000000001</v>
      </c>
      <c r="P212">
        <v>-1.2645536000000001E-2</v>
      </c>
      <c r="Q212">
        <v>2.2810027000000001E-3</v>
      </c>
      <c r="R212" s="217">
        <v>1.9081792000000001E-7</v>
      </c>
      <c r="S212">
        <v>1.3431548E-2</v>
      </c>
      <c r="T212">
        <v>1.3162969E-4</v>
      </c>
      <c r="U212">
        <v>2.4033707E-3</v>
      </c>
      <c r="V212">
        <v>2.8488241000000001E-2</v>
      </c>
      <c r="W212">
        <v>1.2814101E-2</v>
      </c>
      <c r="X212" s="217">
        <v>3.1258435E-6</v>
      </c>
      <c r="Y212">
        <v>31.620882999999999</v>
      </c>
      <c r="Z212">
        <v>0.93309346000000004</v>
      </c>
      <c r="AA212" s="217">
        <v>1.961168E-7</v>
      </c>
      <c r="AB212">
        <v>6.1506337000000001E-2</v>
      </c>
      <c r="AC212">
        <v>71.150092999999998</v>
      </c>
      <c r="AD212" s="217">
        <v>1.0914927E-8</v>
      </c>
      <c r="AE212" s="217">
        <v>8.4713615000000006E-8</v>
      </c>
      <c r="AF212">
        <v>7.3409278999999996</v>
      </c>
      <c r="AG212">
        <v>0</v>
      </c>
      <c r="AH212">
        <v>0</v>
      </c>
      <c r="AI212">
        <v>1.3956476</v>
      </c>
      <c r="AJ212">
        <v>0</v>
      </c>
      <c r="AK212">
        <v>0</v>
      </c>
      <c r="AL212">
        <v>33.644157999999997</v>
      </c>
      <c r="AM212">
        <v>0</v>
      </c>
      <c r="AN212">
        <v>0</v>
      </c>
      <c r="AO212">
        <v>0</v>
      </c>
      <c r="AP212">
        <v>2.3958976999999999E-2</v>
      </c>
      <c r="AQ212">
        <v>1.9169284000000001E-4</v>
      </c>
      <c r="AR212">
        <v>0.40417588999999998</v>
      </c>
      <c r="AS212" s="217">
        <v>6.4008969000000005E-5</v>
      </c>
      <c r="AT212">
        <v>0</v>
      </c>
      <c r="AU212">
        <v>0</v>
      </c>
      <c r="AV212">
        <v>0</v>
      </c>
      <c r="AW212">
        <v>0</v>
      </c>
      <c r="AX212">
        <v>0</v>
      </c>
    </row>
    <row r="213" spans="1:50" x14ac:dyDescent="0.35">
      <c r="A213" t="s">
        <v>1008</v>
      </c>
      <c r="B213" s="249">
        <f t="shared" si="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row>
    <row r="214" spans="1:50" x14ac:dyDescent="0.35">
      <c r="A214" t="s">
        <v>1009</v>
      </c>
      <c r="B214" s="249">
        <f t="shared" si="3"/>
        <v>7.0864431964184007</v>
      </c>
      <c r="C214">
        <v>1.2294123999999999E-4</v>
      </c>
      <c r="D214">
        <v>2.9854286000000001E-2</v>
      </c>
      <c r="E214">
        <v>4.5042198000000004</v>
      </c>
      <c r="F214" s="217">
        <v>2.2769800000000001E-7</v>
      </c>
      <c r="G214">
        <v>2.8940488E-3</v>
      </c>
      <c r="H214">
        <v>2.4892062E-2</v>
      </c>
      <c r="I214">
        <v>2.6630933000000002E-3</v>
      </c>
      <c r="J214">
        <v>74.366321999999997</v>
      </c>
      <c r="K214">
        <v>6.8405798000000004E-2</v>
      </c>
      <c r="L214">
        <v>266.44911000000002</v>
      </c>
      <c r="M214">
        <v>9.0646147999999996E-2</v>
      </c>
      <c r="N214">
        <v>4.6388901000000002</v>
      </c>
      <c r="O214">
        <v>4.6137465999999998</v>
      </c>
      <c r="P214">
        <v>2.2242089999999999E-2</v>
      </c>
      <c r="Q214">
        <v>2.9015027000000001E-3</v>
      </c>
      <c r="R214" s="217">
        <v>2.4865558999999999E-7</v>
      </c>
      <c r="S214">
        <v>3.0080742000000001E-2</v>
      </c>
      <c r="T214">
        <v>2.4831358000000002E-4</v>
      </c>
      <c r="U214">
        <v>4.9497342E-3</v>
      </c>
      <c r="V214">
        <v>5.8496683000000001E-2</v>
      </c>
      <c r="W214">
        <v>1.7922488E-2</v>
      </c>
      <c r="X214">
        <v>1.2294142E-4</v>
      </c>
      <c r="Y214">
        <v>50.277586999999997</v>
      </c>
      <c r="Z214">
        <v>0.69281433999999997</v>
      </c>
      <c r="AA214" s="217">
        <v>3.9663099000000002E-7</v>
      </c>
      <c r="AB214">
        <v>0.12191452</v>
      </c>
      <c r="AC214">
        <v>155.1052</v>
      </c>
      <c r="AD214" s="217">
        <v>7.5120417000000004E-8</v>
      </c>
      <c r="AE214" s="217">
        <v>2.0988252999999999E-7</v>
      </c>
      <c r="AF214">
        <v>24.592607999999998</v>
      </c>
      <c r="AG214">
        <v>0</v>
      </c>
      <c r="AH214">
        <v>0</v>
      </c>
      <c r="AI214">
        <v>12.572759</v>
      </c>
      <c r="AJ214">
        <v>0</v>
      </c>
      <c r="AK214">
        <v>0</v>
      </c>
      <c r="AL214">
        <v>53.549143999999998</v>
      </c>
      <c r="AM214">
        <v>0</v>
      </c>
      <c r="AN214">
        <v>0</v>
      </c>
      <c r="AO214">
        <v>0</v>
      </c>
      <c r="AP214">
        <v>2.1219176999999999E-2</v>
      </c>
      <c r="AQ214">
        <v>1.1515261E-4</v>
      </c>
      <c r="AR214">
        <v>5.4449638</v>
      </c>
      <c r="AS214">
        <v>1.1745668E-4</v>
      </c>
      <c r="AT214">
        <v>0</v>
      </c>
      <c r="AU214">
        <v>0</v>
      </c>
      <c r="AV214">
        <v>0</v>
      </c>
      <c r="AW214">
        <v>0</v>
      </c>
      <c r="AX214">
        <v>0</v>
      </c>
    </row>
    <row r="215" spans="1:50" x14ac:dyDescent="0.35">
      <c r="A215" t="s">
        <v>1010</v>
      </c>
      <c r="B215" s="249">
        <f t="shared" si="3"/>
        <v>0.69487164079558006</v>
      </c>
      <c r="C215" s="217">
        <v>2.2031926999999999E-5</v>
      </c>
      <c r="D215">
        <v>1.1338489E-2</v>
      </c>
      <c r="E215">
        <v>1.6441555000000001</v>
      </c>
      <c r="F215" s="217">
        <v>9.7212242000000002E-8</v>
      </c>
      <c r="G215">
        <v>1.9741020000000001E-3</v>
      </c>
      <c r="H215">
        <v>7.6495021000000003E-3</v>
      </c>
      <c r="I215">
        <v>2.0202432000000002E-3</v>
      </c>
      <c r="J215">
        <v>6.1052641000000003</v>
      </c>
      <c r="K215">
        <v>1.9764904E-2</v>
      </c>
      <c r="L215">
        <v>59.545623999999997</v>
      </c>
      <c r="M215">
        <v>3.4893106E-2</v>
      </c>
      <c r="N215">
        <v>1.7077431999999999</v>
      </c>
      <c r="O215">
        <v>1.7113465999999999</v>
      </c>
      <c r="P215">
        <v>-4.4813683E-3</v>
      </c>
      <c r="Q215">
        <v>8.7789186000000003E-4</v>
      </c>
      <c r="R215" s="217">
        <v>9.9656412000000001E-8</v>
      </c>
      <c r="S215">
        <v>9.4329555999999991E-3</v>
      </c>
      <c r="T215">
        <v>4.3518506999999998E-4</v>
      </c>
      <c r="U215">
        <v>1.7703631000000001E-3</v>
      </c>
      <c r="V215">
        <v>2.1316814999999999E-2</v>
      </c>
      <c r="W215">
        <v>8.1605644000000005E-3</v>
      </c>
      <c r="X215" s="217">
        <v>2.2032445999999998E-5</v>
      </c>
      <c r="Y215">
        <v>18.554538999999998</v>
      </c>
      <c r="Z215">
        <v>0.45067131999999999</v>
      </c>
      <c r="AA215" s="217">
        <v>1.5814642999999999E-7</v>
      </c>
      <c r="AB215">
        <v>4.1226685999999998E-2</v>
      </c>
      <c r="AC215">
        <v>68.116955000000004</v>
      </c>
      <c r="AD215" s="217">
        <v>1.5027068000000001E-8</v>
      </c>
      <c r="AE215" s="217">
        <v>1.8035673E-7</v>
      </c>
      <c r="AF215">
        <v>6.1865490999999997</v>
      </c>
      <c r="AG215">
        <v>0</v>
      </c>
      <c r="AH215">
        <v>0</v>
      </c>
      <c r="AI215">
        <v>1.6656451000000001</v>
      </c>
      <c r="AJ215">
        <v>0</v>
      </c>
      <c r="AK215">
        <v>0</v>
      </c>
      <c r="AL215">
        <v>19.678625</v>
      </c>
      <c r="AM215">
        <v>0</v>
      </c>
      <c r="AN215">
        <v>0</v>
      </c>
      <c r="AO215">
        <v>0</v>
      </c>
      <c r="AP215">
        <v>1.2038352E-2</v>
      </c>
      <c r="AQ215">
        <v>1.0303473E-4</v>
      </c>
      <c r="AR215">
        <v>0.64058223999999997</v>
      </c>
      <c r="AS215" s="217">
        <v>4.2776906999999999E-5</v>
      </c>
      <c r="AT215">
        <v>0</v>
      </c>
      <c r="AU215">
        <v>0</v>
      </c>
      <c r="AV215">
        <v>0</v>
      </c>
      <c r="AW215">
        <v>0</v>
      </c>
      <c r="AX215">
        <v>0</v>
      </c>
    </row>
    <row r="216" spans="1:50" x14ac:dyDescent="0.35">
      <c r="A216" t="s">
        <v>1011</v>
      </c>
      <c r="B216" s="249">
        <f t="shared" si="3"/>
        <v>1.1337003875246998</v>
      </c>
      <c r="C216" s="217">
        <v>3.6976759999999999E-5</v>
      </c>
      <c r="D216">
        <v>1.5110465E-2</v>
      </c>
      <c r="E216">
        <v>2.2580935000000002</v>
      </c>
      <c r="F216" s="217">
        <v>1.2318576999999999E-7</v>
      </c>
      <c r="G216">
        <v>3.1709517000000002E-3</v>
      </c>
      <c r="H216">
        <v>1.0411691000000001E-2</v>
      </c>
      <c r="I216">
        <v>3.0927849999999998E-3</v>
      </c>
      <c r="J216">
        <v>10.379372999999999</v>
      </c>
      <c r="K216">
        <v>2.0146529E-2</v>
      </c>
      <c r="L216">
        <v>70.755019000000004</v>
      </c>
      <c r="M216">
        <v>1.2020434999999999E-2</v>
      </c>
      <c r="N216">
        <v>2.3579267000000002</v>
      </c>
      <c r="O216">
        <v>2.3623873999999998</v>
      </c>
      <c r="P216">
        <v>-5.2709113999999998E-3</v>
      </c>
      <c r="Q216">
        <v>8.1027219000000001E-4</v>
      </c>
      <c r="R216" s="217">
        <v>1.1984131999999999E-7</v>
      </c>
      <c r="S216">
        <v>1.2832148999999999E-2</v>
      </c>
      <c r="T216">
        <v>7.1428126000000003E-4</v>
      </c>
      <c r="U216">
        <v>2.3256335999999999E-3</v>
      </c>
      <c r="V216">
        <v>2.8436815000000001E-2</v>
      </c>
      <c r="W216">
        <v>1.1832802E-2</v>
      </c>
      <c r="X216" s="217">
        <v>3.6976781999999999E-5</v>
      </c>
      <c r="Y216">
        <v>23.947192999999999</v>
      </c>
      <c r="Z216">
        <v>0.57466989000000002</v>
      </c>
      <c r="AA216" s="217">
        <v>2.0130528E-7</v>
      </c>
      <c r="AB216">
        <v>4.4929451000000002E-2</v>
      </c>
      <c r="AC216">
        <v>106.9875</v>
      </c>
      <c r="AD216" s="217">
        <v>1.9354129000000001E-8</v>
      </c>
      <c r="AE216" s="217">
        <v>8.0717539000000004E-8</v>
      </c>
      <c r="AF216">
        <v>8.1107607999999995</v>
      </c>
      <c r="AG216">
        <v>0</v>
      </c>
      <c r="AH216">
        <v>0</v>
      </c>
      <c r="AI216">
        <v>2.3828246000000002</v>
      </c>
      <c r="AJ216">
        <v>0</v>
      </c>
      <c r="AK216">
        <v>0</v>
      </c>
      <c r="AL216">
        <v>25.312781999999999</v>
      </c>
      <c r="AM216">
        <v>0</v>
      </c>
      <c r="AN216">
        <v>0</v>
      </c>
      <c r="AO216">
        <v>0</v>
      </c>
      <c r="AP216">
        <v>1.5095211000000001E-2</v>
      </c>
      <c r="AQ216">
        <v>1.7039892999999999E-4</v>
      </c>
      <c r="AR216">
        <v>0.93530917999999996</v>
      </c>
      <c r="AS216" s="217">
        <v>4.8747218999999998E-5</v>
      </c>
      <c r="AT216">
        <v>0</v>
      </c>
      <c r="AU216">
        <v>0</v>
      </c>
      <c r="AV216">
        <v>0</v>
      </c>
      <c r="AW216">
        <v>0</v>
      </c>
      <c r="AX216">
        <v>0</v>
      </c>
    </row>
    <row r="217" spans="1:50" x14ac:dyDescent="0.35">
      <c r="A217" t="s">
        <v>1012</v>
      </c>
      <c r="B217" s="249">
        <f t="shared" si="3"/>
        <v>0.83132361438190006</v>
      </c>
      <c r="C217">
        <v>3.9751480999999998E-4</v>
      </c>
      <c r="D217">
        <v>1.5513374999999999E-2</v>
      </c>
      <c r="E217">
        <v>2.2890571</v>
      </c>
      <c r="F217" s="217">
        <v>1.4294841E-7</v>
      </c>
      <c r="G217">
        <v>2.3635991000000001E-3</v>
      </c>
      <c r="H217">
        <v>2.2008112999999999E-2</v>
      </c>
      <c r="I217">
        <v>4.9432790999999997E-3</v>
      </c>
      <c r="J217">
        <v>6.2578693999999997</v>
      </c>
      <c r="K217">
        <v>5.898511E-2</v>
      </c>
      <c r="L217">
        <v>88.635458999999997</v>
      </c>
      <c r="M217">
        <v>5.3837020999999999E-2</v>
      </c>
      <c r="N217">
        <v>2.3568631999999998</v>
      </c>
      <c r="O217">
        <v>2.3614234000000001</v>
      </c>
      <c r="P217">
        <v>-1.4323771000000001E-2</v>
      </c>
      <c r="Q217">
        <v>9.7636127999999999E-3</v>
      </c>
      <c r="R217" s="217">
        <v>1.4841271E-7</v>
      </c>
      <c r="S217">
        <v>3.3906978999999997E-2</v>
      </c>
      <c r="T217">
        <v>5.3901144000000002E-4</v>
      </c>
      <c r="U217">
        <v>3.1210456E-3</v>
      </c>
      <c r="V217">
        <v>0.11832423</v>
      </c>
      <c r="W217">
        <v>1.0641016E-2</v>
      </c>
      <c r="X217">
        <v>3.9751309999999998E-4</v>
      </c>
      <c r="Y217">
        <v>25.718235</v>
      </c>
      <c r="Z217">
        <v>1.2310715999999999</v>
      </c>
      <c r="AA217" s="217">
        <v>3.3078308E-7</v>
      </c>
      <c r="AB217">
        <v>5.7964034999999997E-2</v>
      </c>
      <c r="AC217">
        <v>114.52131</v>
      </c>
      <c r="AD217" s="217">
        <v>1.6562079999999999E-8</v>
      </c>
      <c r="AE217" s="217">
        <v>2.4117497000000001E-7</v>
      </c>
      <c r="AF217">
        <v>8.1915007000000006</v>
      </c>
      <c r="AG217">
        <v>0</v>
      </c>
      <c r="AH217">
        <v>0</v>
      </c>
      <c r="AI217">
        <v>2.2925353999999998</v>
      </c>
      <c r="AJ217">
        <v>0</v>
      </c>
      <c r="AK217">
        <v>0</v>
      </c>
      <c r="AL217">
        <v>27.360198</v>
      </c>
      <c r="AM217">
        <v>0</v>
      </c>
      <c r="AN217">
        <v>0</v>
      </c>
      <c r="AO217">
        <v>0</v>
      </c>
      <c r="AP217">
        <v>3.1592301000000003E-2</v>
      </c>
      <c r="AQ217">
        <v>2.8294661000000001E-4</v>
      </c>
      <c r="AR217">
        <v>0.76466338</v>
      </c>
      <c r="AS217" s="217">
        <v>5.8602318000000002E-5</v>
      </c>
      <c r="AT217">
        <v>0</v>
      </c>
      <c r="AU217">
        <v>0</v>
      </c>
      <c r="AV217">
        <v>0</v>
      </c>
      <c r="AW217">
        <v>0</v>
      </c>
      <c r="AX217">
        <v>0</v>
      </c>
    </row>
    <row r="218" spans="1:50" x14ac:dyDescent="0.35">
      <c r="A218" t="s">
        <v>1013</v>
      </c>
      <c r="B218" s="249">
        <f t="shared" si="3"/>
        <v>0.19776576038662003</v>
      </c>
      <c r="C218" s="217">
        <v>1.6881695000000001E-6</v>
      </c>
      <c r="D218">
        <v>1.475722E-2</v>
      </c>
      <c r="E218">
        <v>1.9469287</v>
      </c>
      <c r="F218" s="217">
        <v>2.0786305000000001E-7</v>
      </c>
      <c r="G218">
        <v>6.7590236000000001E-4</v>
      </c>
      <c r="H218">
        <v>1.0275438E-2</v>
      </c>
      <c r="I218">
        <v>1.5011854000000001E-3</v>
      </c>
      <c r="J218">
        <v>0.40615818999999997</v>
      </c>
      <c r="K218">
        <v>1.7960928000000001E-2</v>
      </c>
      <c r="L218">
        <v>47.429737000000003</v>
      </c>
      <c r="M218">
        <v>4.1900037999999997E-3</v>
      </c>
      <c r="N218">
        <v>2.0076109999999998</v>
      </c>
      <c r="O218">
        <v>1.9651658000000001</v>
      </c>
      <c r="P218">
        <v>3.9317489999999997E-2</v>
      </c>
      <c r="Q218">
        <v>3.1276554000000002E-3</v>
      </c>
      <c r="R218" s="217">
        <v>1.7820099000000001E-7</v>
      </c>
      <c r="S218">
        <v>1.3300862E-2</v>
      </c>
      <c r="T218">
        <v>1.6655260999999999E-4</v>
      </c>
      <c r="U218">
        <v>1.952737E-3</v>
      </c>
      <c r="V218">
        <v>3.2530822000000001E-2</v>
      </c>
      <c r="W218">
        <v>6.0182467999999999E-3</v>
      </c>
      <c r="X218" s="217">
        <v>1.6881819999999999E-6</v>
      </c>
      <c r="Y218">
        <v>36.776308</v>
      </c>
      <c r="Z218">
        <v>0.46088570000000001</v>
      </c>
      <c r="AA218" s="217">
        <v>1.2739030000000001E-7</v>
      </c>
      <c r="AB218">
        <v>0.25505624999999998</v>
      </c>
      <c r="AC218">
        <v>29.761558000000001</v>
      </c>
      <c r="AD218" s="217">
        <v>1.4275771E-8</v>
      </c>
      <c r="AE218" s="217">
        <v>1.6358686E-8</v>
      </c>
      <c r="AF218">
        <v>8.0425204000000008</v>
      </c>
      <c r="AG218">
        <v>0</v>
      </c>
      <c r="AH218">
        <v>0</v>
      </c>
      <c r="AI218">
        <v>5.448226</v>
      </c>
      <c r="AJ218">
        <v>0</v>
      </c>
      <c r="AK218">
        <v>0</v>
      </c>
      <c r="AL218">
        <v>38.870072999999998</v>
      </c>
      <c r="AM218">
        <v>0</v>
      </c>
      <c r="AN218">
        <v>0</v>
      </c>
      <c r="AO218">
        <v>0</v>
      </c>
      <c r="AP218">
        <v>2.3974115000000001E-2</v>
      </c>
      <c r="AQ218" s="217">
        <v>4.4710350999999997E-5</v>
      </c>
      <c r="AR218">
        <v>0.40149762999999999</v>
      </c>
      <c r="AS218">
        <v>2.1848914E-4</v>
      </c>
      <c r="AT218">
        <v>0</v>
      </c>
      <c r="AU218">
        <v>0</v>
      </c>
      <c r="AV218">
        <v>0</v>
      </c>
      <c r="AW218">
        <v>0</v>
      </c>
      <c r="AX218">
        <v>0</v>
      </c>
    </row>
    <row r="219" spans="1:50" x14ac:dyDescent="0.35">
      <c r="A219" t="s">
        <v>1014</v>
      </c>
      <c r="B219" s="249">
        <f t="shared" si="3"/>
        <v>0.38911704376020001</v>
      </c>
      <c r="C219">
        <v>3.7290674999999998E-4</v>
      </c>
      <c r="D219">
        <v>1.7151982999999999E-2</v>
      </c>
      <c r="E219">
        <v>2.4897111000000001</v>
      </c>
      <c r="F219" s="217">
        <v>1.5081334E-7</v>
      </c>
      <c r="G219">
        <v>3.4962266000000001E-3</v>
      </c>
      <c r="H219">
        <v>2.1966249E-2</v>
      </c>
      <c r="I219">
        <v>3.8446213E-3</v>
      </c>
      <c r="J219">
        <v>1.3883489</v>
      </c>
      <c r="K219">
        <v>1.9690340000000001E-2</v>
      </c>
      <c r="L219">
        <v>61.809054000000003</v>
      </c>
      <c r="M219">
        <v>1.0682074999999999E-2</v>
      </c>
      <c r="N219">
        <v>2.5924585000000002</v>
      </c>
      <c r="O219">
        <v>2.6008190999999998</v>
      </c>
      <c r="P219">
        <v>-9.9127092999999993E-3</v>
      </c>
      <c r="Q219">
        <v>1.552189E-3</v>
      </c>
      <c r="R219" s="217">
        <v>1.5197226E-7</v>
      </c>
      <c r="S219">
        <v>3.3784277000000001E-2</v>
      </c>
      <c r="T219">
        <v>1.9309049E-4</v>
      </c>
      <c r="U219">
        <v>3.0499047999999998E-3</v>
      </c>
      <c r="V219">
        <v>0.11743881</v>
      </c>
      <c r="W219">
        <v>1.2812565999999999E-2</v>
      </c>
      <c r="X219">
        <v>3.7290678000000002E-4</v>
      </c>
      <c r="Y219">
        <v>27.299600000000002</v>
      </c>
      <c r="Z219">
        <v>0.95471441999999995</v>
      </c>
      <c r="AA219" s="217">
        <v>3.3835876000000002E-7</v>
      </c>
      <c r="AB219">
        <v>4.7125167000000003E-2</v>
      </c>
      <c r="AC219">
        <v>100.58259</v>
      </c>
      <c r="AD219" s="217">
        <v>1.0691336999999999E-8</v>
      </c>
      <c r="AE219" s="217">
        <v>1.2316087000000001E-7</v>
      </c>
      <c r="AF219">
        <v>6.6056704000000002</v>
      </c>
      <c r="AG219">
        <v>0</v>
      </c>
      <c r="AH219">
        <v>0</v>
      </c>
      <c r="AI219">
        <v>1.2128882000000001</v>
      </c>
      <c r="AJ219">
        <v>0</v>
      </c>
      <c r="AK219">
        <v>0</v>
      </c>
      <c r="AL219">
        <v>28.954540000000001</v>
      </c>
      <c r="AM219">
        <v>0</v>
      </c>
      <c r="AN219">
        <v>0</v>
      </c>
      <c r="AO219">
        <v>0</v>
      </c>
      <c r="AP219">
        <v>2.433604E-2</v>
      </c>
      <c r="AQ219">
        <v>3.4596619000000001E-4</v>
      </c>
      <c r="AR219">
        <v>0.36695791</v>
      </c>
      <c r="AS219" s="217">
        <v>5.2817627999999997E-5</v>
      </c>
      <c r="AT219">
        <v>0</v>
      </c>
      <c r="AU219">
        <v>0</v>
      </c>
      <c r="AV219">
        <v>0</v>
      </c>
      <c r="AW219">
        <v>0</v>
      </c>
      <c r="AX219">
        <v>0</v>
      </c>
    </row>
    <row r="220" spans="1:50" x14ac:dyDescent="0.35">
      <c r="A220" t="s">
        <v>1015</v>
      </c>
      <c r="B220" s="249">
        <f t="shared" si="3"/>
        <v>0.25008216780887998</v>
      </c>
      <c r="C220" s="217">
        <v>1.1855605E-6</v>
      </c>
      <c r="D220">
        <v>1.2700108E-2</v>
      </c>
      <c r="E220">
        <v>1.8836259</v>
      </c>
      <c r="F220" s="217">
        <v>1.0671734E-7</v>
      </c>
      <c r="G220">
        <v>2.9623738000000002E-3</v>
      </c>
      <c r="H220">
        <v>7.7369146999999999E-3</v>
      </c>
      <c r="I220">
        <v>9.4600743000000003E-4</v>
      </c>
      <c r="J220">
        <v>1.1647774</v>
      </c>
      <c r="K220">
        <v>9.3160115000000005E-3</v>
      </c>
      <c r="L220">
        <v>31.821332999999999</v>
      </c>
      <c r="M220">
        <v>3.1235234000000001E-3</v>
      </c>
      <c r="N220">
        <v>1.971795</v>
      </c>
      <c r="O220">
        <v>1.9811698</v>
      </c>
      <c r="P220">
        <v>-9.8951290000000008E-3</v>
      </c>
      <c r="Q220">
        <v>5.2030947999999997E-4</v>
      </c>
      <c r="R220" s="217">
        <v>1.0411634000000001E-7</v>
      </c>
      <c r="S220">
        <v>9.4613968000000007E-3</v>
      </c>
      <c r="T220" s="217">
        <v>8.7684649000000005E-5</v>
      </c>
      <c r="U220">
        <v>1.7538044E-3</v>
      </c>
      <c r="V220">
        <v>2.0566737000000002E-2</v>
      </c>
      <c r="W220">
        <v>1.0035201000000001E-2</v>
      </c>
      <c r="X220" s="217">
        <v>1.1855666000000001E-6</v>
      </c>
      <c r="Y220">
        <v>19.544516999999999</v>
      </c>
      <c r="Z220">
        <v>0.48519034999999999</v>
      </c>
      <c r="AA220" s="217">
        <v>1.6309826000000001E-7</v>
      </c>
      <c r="AB220">
        <v>2.9608365000000001E-2</v>
      </c>
      <c r="AC220">
        <v>55.616819</v>
      </c>
      <c r="AD220" s="217">
        <v>9.4293782999999994E-9</v>
      </c>
      <c r="AE220" s="217">
        <v>6.4306898999999999E-8</v>
      </c>
      <c r="AF220">
        <v>5.1245734000000001</v>
      </c>
      <c r="AG220">
        <v>0</v>
      </c>
      <c r="AH220">
        <v>0</v>
      </c>
      <c r="AI220">
        <v>0.65159279999999997</v>
      </c>
      <c r="AJ220">
        <v>0</v>
      </c>
      <c r="AK220">
        <v>0</v>
      </c>
      <c r="AL220">
        <v>20.632465</v>
      </c>
      <c r="AM220">
        <v>0</v>
      </c>
      <c r="AN220">
        <v>0</v>
      </c>
      <c r="AO220">
        <v>0</v>
      </c>
      <c r="AP220">
        <v>1.2158003000000001E-2</v>
      </c>
      <c r="AQ220">
        <v>1.6559108000000001E-4</v>
      </c>
      <c r="AR220">
        <v>0.28321188000000003</v>
      </c>
      <c r="AS220" s="217">
        <v>3.6042681000000001E-5</v>
      </c>
      <c r="AT220">
        <v>0</v>
      </c>
      <c r="AU220">
        <v>0</v>
      </c>
      <c r="AV220">
        <v>0</v>
      </c>
      <c r="AW220">
        <v>0</v>
      </c>
      <c r="AX220">
        <v>0</v>
      </c>
    </row>
    <row r="221" spans="1:50" x14ac:dyDescent="0.35">
      <c r="A221" t="s">
        <v>1016</v>
      </c>
      <c r="B221" s="249">
        <f t="shared" si="3"/>
        <v>0.28261995333445999</v>
      </c>
      <c r="C221" s="217">
        <v>2.1673415999999999E-5</v>
      </c>
      <c r="D221">
        <v>1.2858277E-2</v>
      </c>
      <c r="E221">
        <v>1.9068252000000001</v>
      </c>
      <c r="F221" s="217">
        <v>1.0756712999999999E-7</v>
      </c>
      <c r="G221">
        <v>3.1843842999999998E-3</v>
      </c>
      <c r="H221">
        <v>8.1655979E-3</v>
      </c>
      <c r="I221">
        <v>2.8777002E-3</v>
      </c>
      <c r="J221">
        <v>1.2863589</v>
      </c>
      <c r="K221">
        <v>1.3133298999999999E-2</v>
      </c>
      <c r="L221">
        <v>39.221217000000003</v>
      </c>
      <c r="M221">
        <v>3.2631764000000001E-3</v>
      </c>
      <c r="N221">
        <v>2.0001603999999999</v>
      </c>
      <c r="O221">
        <v>2.0092506999999999</v>
      </c>
      <c r="P221">
        <v>-9.6080214999999993E-3</v>
      </c>
      <c r="Q221">
        <v>5.1768365000000002E-4</v>
      </c>
      <c r="R221" s="217">
        <v>1.0102746E-7</v>
      </c>
      <c r="S221">
        <v>1.0150361E-2</v>
      </c>
      <c r="T221">
        <v>6.9291606E-4</v>
      </c>
      <c r="U221">
        <v>1.9369442E-3</v>
      </c>
      <c r="V221">
        <v>2.3827091000000002E-2</v>
      </c>
      <c r="W221">
        <v>1.0886046999999999E-2</v>
      </c>
      <c r="X221" s="217">
        <v>2.1673413E-5</v>
      </c>
      <c r="Y221">
        <v>19.954160000000002</v>
      </c>
      <c r="Z221">
        <v>0.52402367000000005</v>
      </c>
      <c r="AA221" s="217">
        <v>1.7068496999999999E-7</v>
      </c>
      <c r="AB221">
        <v>3.3623894000000001E-2</v>
      </c>
      <c r="AC221">
        <v>94.253348000000003</v>
      </c>
      <c r="AD221" s="217">
        <v>1.2637262E-8</v>
      </c>
      <c r="AE221" s="217">
        <v>7.1352548999999996E-8</v>
      </c>
      <c r="AF221">
        <v>5.5315703000000003</v>
      </c>
      <c r="AG221">
        <v>0</v>
      </c>
      <c r="AH221">
        <v>0</v>
      </c>
      <c r="AI221">
        <v>0.82179597999999998</v>
      </c>
      <c r="AJ221">
        <v>0</v>
      </c>
      <c r="AK221">
        <v>0</v>
      </c>
      <c r="AL221">
        <v>21.035530000000001</v>
      </c>
      <c r="AM221">
        <v>0</v>
      </c>
      <c r="AN221">
        <v>0</v>
      </c>
      <c r="AO221">
        <v>0</v>
      </c>
      <c r="AP221">
        <v>1.3404509E-2</v>
      </c>
      <c r="AQ221">
        <v>1.7701338000000001E-4</v>
      </c>
      <c r="AR221">
        <v>0.23836625</v>
      </c>
      <c r="AS221" s="217">
        <v>3.8627034999999997E-5</v>
      </c>
      <c r="AT221">
        <v>0</v>
      </c>
      <c r="AU221">
        <v>0</v>
      </c>
      <c r="AV221">
        <v>0</v>
      </c>
      <c r="AW221">
        <v>0</v>
      </c>
      <c r="AX221">
        <v>0</v>
      </c>
    </row>
    <row r="222" spans="1:50" x14ac:dyDescent="0.35">
      <c r="A222" t="s">
        <v>1017</v>
      </c>
      <c r="B222" s="249">
        <f t="shared" si="3"/>
        <v>0.39217194505220004</v>
      </c>
      <c r="C222">
        <v>2.7815798E-4</v>
      </c>
      <c r="D222">
        <v>1.7425947000000001E-2</v>
      </c>
      <c r="E222">
        <v>2.5303838999999999</v>
      </c>
      <c r="F222" s="217">
        <v>1.5433118E-7</v>
      </c>
      <c r="G222">
        <v>3.4591977E-3</v>
      </c>
      <c r="H222">
        <v>2.1948740000000001E-2</v>
      </c>
      <c r="I222">
        <v>3.8060304999999999E-3</v>
      </c>
      <c r="J222">
        <v>1.4095494</v>
      </c>
      <c r="K222">
        <v>1.9152008000000002E-2</v>
      </c>
      <c r="L222">
        <v>58.683357999999998</v>
      </c>
      <c r="M222">
        <v>9.0915230000000007E-3</v>
      </c>
      <c r="N222">
        <v>2.6336886000000002</v>
      </c>
      <c r="O222">
        <v>2.6437236</v>
      </c>
      <c r="P222">
        <v>-1.1506929000000001E-2</v>
      </c>
      <c r="Q222">
        <v>1.4719911E-3</v>
      </c>
      <c r="R222" s="217">
        <v>1.5440640000000001E-7</v>
      </c>
      <c r="S222">
        <v>3.3777952999999999E-2</v>
      </c>
      <c r="T222">
        <v>1.7742956000000001E-4</v>
      </c>
      <c r="U222">
        <v>3.0764551000000001E-3</v>
      </c>
      <c r="V222">
        <v>0.11771429999999999</v>
      </c>
      <c r="W222">
        <v>1.2786230000000001E-2</v>
      </c>
      <c r="X222">
        <v>2.7815803000000002E-4</v>
      </c>
      <c r="Y222">
        <v>27.860567</v>
      </c>
      <c r="Z222">
        <v>0.88893222999999999</v>
      </c>
      <c r="AA222" s="217">
        <v>3.3767783999999999E-7</v>
      </c>
      <c r="AB222">
        <v>5.1638773999999998E-2</v>
      </c>
      <c r="AC222">
        <v>94.241515000000007</v>
      </c>
      <c r="AD222" s="217">
        <v>1.0975311999999999E-8</v>
      </c>
      <c r="AE222" s="217">
        <v>1.1206546000000001E-7</v>
      </c>
      <c r="AF222">
        <v>6.9639138999999997</v>
      </c>
      <c r="AG222">
        <v>0</v>
      </c>
      <c r="AH222">
        <v>0</v>
      </c>
      <c r="AI222">
        <v>1.2855042000000001</v>
      </c>
      <c r="AJ222">
        <v>0</v>
      </c>
      <c r="AK222">
        <v>0</v>
      </c>
      <c r="AL222">
        <v>29.526707999999999</v>
      </c>
      <c r="AM222">
        <v>0</v>
      </c>
      <c r="AN222">
        <v>0</v>
      </c>
      <c r="AO222">
        <v>0</v>
      </c>
      <c r="AP222">
        <v>2.2899673999999998E-2</v>
      </c>
      <c r="AQ222">
        <v>3.0927966E-4</v>
      </c>
      <c r="AR222">
        <v>0.38037960999999998</v>
      </c>
      <c r="AS222" s="217">
        <v>5.6631281999999998E-5</v>
      </c>
      <c r="AT222">
        <v>0</v>
      </c>
      <c r="AU222">
        <v>0</v>
      </c>
      <c r="AV222">
        <v>0</v>
      </c>
      <c r="AW222">
        <v>0</v>
      </c>
      <c r="AX222">
        <v>0</v>
      </c>
    </row>
    <row r="223" spans="1:50" x14ac:dyDescent="0.35">
      <c r="A223" t="s">
        <v>1018</v>
      </c>
      <c r="B223" s="249">
        <f t="shared" si="3"/>
        <v>0.16202579549319202</v>
      </c>
      <c r="C223" s="217">
        <v>1.7854131999999999E-6</v>
      </c>
      <c r="D223">
        <v>9.0254966000000002E-3</v>
      </c>
      <c r="E223">
        <v>1.2256928</v>
      </c>
      <c r="F223" s="217">
        <v>8.0624036000000006E-8</v>
      </c>
      <c r="G223">
        <v>1.2628750999999999E-3</v>
      </c>
      <c r="H223">
        <v>5.1446386000000002E-3</v>
      </c>
      <c r="I223">
        <v>6.9161327999999996E-4</v>
      </c>
      <c r="J223">
        <v>0.68305426999999996</v>
      </c>
      <c r="K223">
        <v>2.1288481000000001E-2</v>
      </c>
      <c r="L223">
        <v>47.255426</v>
      </c>
      <c r="M223">
        <v>5.2107769999999998E-2</v>
      </c>
      <c r="N223">
        <v>1.2649473</v>
      </c>
      <c r="O223">
        <v>1.2675833999999999</v>
      </c>
      <c r="P223">
        <v>-3.6197054000000001E-3</v>
      </c>
      <c r="Q223">
        <v>9.8362707000000009E-4</v>
      </c>
      <c r="R223" s="217">
        <v>8.4674408999999996E-8</v>
      </c>
      <c r="S223">
        <v>6.3233928E-3</v>
      </c>
      <c r="T223" s="217">
        <v>7.4484638999999995E-5</v>
      </c>
      <c r="U223">
        <v>1.1660098E-3</v>
      </c>
      <c r="V223">
        <v>1.3997536E-2</v>
      </c>
      <c r="W223">
        <v>5.3147994000000004E-3</v>
      </c>
      <c r="X223" s="217">
        <v>1.7858789E-6</v>
      </c>
      <c r="Y223">
        <v>15.679755</v>
      </c>
      <c r="Z223">
        <v>0.67506275999999998</v>
      </c>
      <c r="AA223" s="217">
        <v>1.2349924999999999E-7</v>
      </c>
      <c r="AB223">
        <v>4.3889539999999998E-2</v>
      </c>
      <c r="AC223">
        <v>28.304848</v>
      </c>
      <c r="AD223" s="217">
        <v>1.0226317E-8</v>
      </c>
      <c r="AE223" s="217">
        <v>2.6363529999999999E-7</v>
      </c>
      <c r="AF223">
        <v>3.7919244999999999</v>
      </c>
      <c r="AG223">
        <v>0</v>
      </c>
      <c r="AH223">
        <v>0</v>
      </c>
      <c r="AI223">
        <v>0.92077505000000004</v>
      </c>
      <c r="AJ223">
        <v>0</v>
      </c>
      <c r="AK223">
        <v>0</v>
      </c>
      <c r="AL223">
        <v>16.720023999999999</v>
      </c>
      <c r="AM223">
        <v>0</v>
      </c>
      <c r="AN223">
        <v>0</v>
      </c>
      <c r="AO223">
        <v>0</v>
      </c>
      <c r="AP223">
        <v>1.7458327999999999E-2</v>
      </c>
      <c r="AQ223" s="217">
        <v>5.7725675E-5</v>
      </c>
      <c r="AR223">
        <v>0.26543125000000001</v>
      </c>
      <c r="AS223" s="217">
        <v>4.0668374999999997E-5</v>
      </c>
      <c r="AT223">
        <v>0</v>
      </c>
      <c r="AU223">
        <v>0</v>
      </c>
      <c r="AV223">
        <v>0</v>
      </c>
      <c r="AW223">
        <v>0</v>
      </c>
      <c r="AX223">
        <v>0</v>
      </c>
    </row>
    <row r="224" spans="1:50" x14ac:dyDescent="0.35">
      <c r="A224" t="s">
        <v>1019</v>
      </c>
      <c r="B224" s="249">
        <f t="shared" si="3"/>
        <v>0.29309320937379196</v>
      </c>
      <c r="C224" s="217">
        <v>5.7013711999999999E-6</v>
      </c>
      <c r="D224">
        <v>1.4831621999999999E-2</v>
      </c>
      <c r="E224">
        <v>2.2753676999999999</v>
      </c>
      <c r="F224" s="217">
        <v>1.2987748000000001E-7</v>
      </c>
      <c r="G224">
        <v>3.3053528E-3</v>
      </c>
      <c r="H224">
        <v>9.0062813999999998E-3</v>
      </c>
      <c r="I224">
        <v>1.1235856000000001E-3</v>
      </c>
      <c r="J224">
        <v>1.3070801999999999</v>
      </c>
      <c r="K224">
        <v>4.7433793000000002E-2</v>
      </c>
      <c r="L224">
        <v>41.253332</v>
      </c>
      <c r="M224">
        <v>1.6888162000000002E-2</v>
      </c>
      <c r="N224">
        <v>2.3647314000000001</v>
      </c>
      <c r="O224">
        <v>2.3757313</v>
      </c>
      <c r="P224">
        <v>-2.0514464999999999E-2</v>
      </c>
      <c r="Q224">
        <v>9.5145569000000003E-3</v>
      </c>
      <c r="R224" s="217">
        <v>1.2513382E-7</v>
      </c>
      <c r="S224">
        <v>1.1002319E-2</v>
      </c>
      <c r="T224">
        <v>1.0819992E-4</v>
      </c>
      <c r="U224">
        <v>1.9975320000000002E-3</v>
      </c>
      <c r="V224">
        <v>2.3243976999999999E-2</v>
      </c>
      <c r="W224">
        <v>1.115056E-2</v>
      </c>
      <c r="X224" s="217">
        <v>5.6988438E-6</v>
      </c>
      <c r="Y224">
        <v>23.242550999999999</v>
      </c>
      <c r="Z224">
        <v>1.2407999000000001</v>
      </c>
      <c r="AA224" s="217">
        <v>1.8238649999999999E-7</v>
      </c>
      <c r="AB224">
        <v>4.1050212000000003E-2</v>
      </c>
      <c r="AC224">
        <v>64.843253000000004</v>
      </c>
      <c r="AD224" s="217">
        <v>1.1309163E-8</v>
      </c>
      <c r="AE224" s="217">
        <v>7.7426398999999999E-8</v>
      </c>
      <c r="AF224">
        <v>6.1815578000000002</v>
      </c>
      <c r="AG224">
        <v>0</v>
      </c>
      <c r="AH224">
        <v>0</v>
      </c>
      <c r="AI224">
        <v>1.0082276999999999</v>
      </c>
      <c r="AJ224">
        <v>0</v>
      </c>
      <c r="AK224">
        <v>0</v>
      </c>
      <c r="AL224">
        <v>24.573249000000001</v>
      </c>
      <c r="AM224">
        <v>0</v>
      </c>
      <c r="AN224">
        <v>0</v>
      </c>
      <c r="AO224">
        <v>0</v>
      </c>
      <c r="AP224">
        <v>3.0510821E-2</v>
      </c>
      <c r="AQ224">
        <v>1.8467747E-4</v>
      </c>
      <c r="AR224">
        <v>0.38149853</v>
      </c>
      <c r="AS224" s="217">
        <v>4.5166598999999999E-5</v>
      </c>
      <c r="AT224">
        <v>0</v>
      </c>
      <c r="AU224">
        <v>0</v>
      </c>
      <c r="AV224">
        <v>0</v>
      </c>
      <c r="AW224">
        <v>0</v>
      </c>
      <c r="AX224">
        <v>0</v>
      </c>
    </row>
    <row r="225" spans="1:50" x14ac:dyDescent="0.35">
      <c r="A225" t="s">
        <v>1020</v>
      </c>
      <c r="B225" s="249">
        <f t="shared" si="3"/>
        <v>0.11606451386709199</v>
      </c>
      <c r="C225" s="217">
        <v>3.8097727E-6</v>
      </c>
      <c r="D225">
        <v>6.1928799E-3</v>
      </c>
      <c r="E225">
        <v>0.85202628999999996</v>
      </c>
      <c r="F225" s="217">
        <v>6.0273982000000002E-8</v>
      </c>
      <c r="G225">
        <v>4.5331343000000002E-4</v>
      </c>
      <c r="H225">
        <v>3.7101362999999998E-3</v>
      </c>
      <c r="I225">
        <v>5.4402737999999999E-4</v>
      </c>
      <c r="J225">
        <v>0.47036372999999998</v>
      </c>
      <c r="K225">
        <v>3.4854087999999998E-2</v>
      </c>
      <c r="L225">
        <v>42.178111000000001</v>
      </c>
      <c r="M225">
        <v>7.0505548000000001E-2</v>
      </c>
      <c r="N225">
        <v>0.86682258999999995</v>
      </c>
      <c r="O225">
        <v>0.86810485000000004</v>
      </c>
      <c r="P225">
        <v>-6.1757838999999997E-3</v>
      </c>
      <c r="Q225">
        <v>4.8935285E-3</v>
      </c>
      <c r="R225" s="217">
        <v>6.4066969999999998E-8</v>
      </c>
      <c r="S225">
        <v>4.5838691000000004E-3</v>
      </c>
      <c r="T225" s="217">
        <v>6.3008361999999994E-5</v>
      </c>
      <c r="U225">
        <v>8.5456262999999998E-4</v>
      </c>
      <c r="V225">
        <v>1.0267969E-2</v>
      </c>
      <c r="W225">
        <v>2.8756631000000001E-3</v>
      </c>
      <c r="X225" s="217">
        <v>3.8091891000000002E-6</v>
      </c>
      <c r="Y225">
        <v>11.46204</v>
      </c>
      <c r="Z225">
        <v>0.61207400000000001</v>
      </c>
      <c r="AA225" s="217">
        <v>9.7029031999999998E-8</v>
      </c>
      <c r="AB225">
        <v>4.1534034999999997E-2</v>
      </c>
      <c r="AC225">
        <v>17.437394999999999</v>
      </c>
      <c r="AD225" s="217">
        <v>9.8869663000000003E-9</v>
      </c>
      <c r="AE225" s="217">
        <v>3.1253912999999999E-7</v>
      </c>
      <c r="AF225">
        <v>3.2837567000000001</v>
      </c>
      <c r="AG225">
        <v>0</v>
      </c>
      <c r="AH225">
        <v>0</v>
      </c>
      <c r="AI225">
        <v>0.9019933</v>
      </c>
      <c r="AJ225">
        <v>0</v>
      </c>
      <c r="AK225">
        <v>0</v>
      </c>
      <c r="AL225">
        <v>12.249067</v>
      </c>
      <c r="AM225">
        <v>0</v>
      </c>
      <c r="AN225">
        <v>0</v>
      </c>
      <c r="AO225">
        <v>0</v>
      </c>
      <c r="AP225">
        <v>1.6101904E-2</v>
      </c>
      <c r="AQ225" s="217">
        <v>1.9708739999999999E-5</v>
      </c>
      <c r="AR225">
        <v>0.23789098</v>
      </c>
      <c r="AS225" s="217">
        <v>3.6290117E-5</v>
      </c>
      <c r="AT225">
        <v>0</v>
      </c>
      <c r="AU225">
        <v>0</v>
      </c>
      <c r="AV225">
        <v>0</v>
      </c>
      <c r="AW225">
        <v>0</v>
      </c>
      <c r="AX225">
        <v>0</v>
      </c>
    </row>
    <row r="226" spans="1:50" x14ac:dyDescent="0.35">
      <c r="A226" t="s">
        <v>1021</v>
      </c>
      <c r="B226" s="249">
        <f t="shared" si="3"/>
        <v>0.275518572149344</v>
      </c>
      <c r="C226" s="217">
        <v>1.2444409E-6</v>
      </c>
      <c r="D226">
        <v>1.4520086E-2</v>
      </c>
      <c r="E226">
        <v>2.1217505000000001</v>
      </c>
      <c r="F226" s="217">
        <v>1.1909416000000001E-7</v>
      </c>
      <c r="G226">
        <v>3.3044327000000002E-3</v>
      </c>
      <c r="H226">
        <v>8.4607155999999999E-3</v>
      </c>
      <c r="I226">
        <v>1.0248194000000001E-3</v>
      </c>
      <c r="J226">
        <v>1.2523161</v>
      </c>
      <c r="K226">
        <v>1.4314683E-2</v>
      </c>
      <c r="L226">
        <v>40.808580999999997</v>
      </c>
      <c r="M226">
        <v>3.5035244000000002E-3</v>
      </c>
      <c r="N226">
        <v>2.2176738</v>
      </c>
      <c r="O226">
        <v>2.2272381000000001</v>
      </c>
      <c r="P226">
        <v>-1.0298318000000001E-2</v>
      </c>
      <c r="Q226">
        <v>7.3403845000000005E-4</v>
      </c>
      <c r="R226" s="217">
        <v>1.1629665E-7</v>
      </c>
      <c r="S226">
        <v>1.0322291000000001E-2</v>
      </c>
      <c r="T226" s="217">
        <v>9.8842688000000002E-5</v>
      </c>
      <c r="U226">
        <v>1.8605E-3</v>
      </c>
      <c r="V226">
        <v>2.1905741999999999E-2</v>
      </c>
      <c r="W226">
        <v>1.0986091E-2</v>
      </c>
      <c r="X226" s="217">
        <v>1.2444496E-6</v>
      </c>
      <c r="Y226">
        <v>22.62771</v>
      </c>
      <c r="Z226">
        <v>0.83446286000000003</v>
      </c>
      <c r="AA226" s="217">
        <v>1.7723537E-7</v>
      </c>
      <c r="AB226">
        <v>3.5936696999999997E-2</v>
      </c>
      <c r="AC226">
        <v>60.574660999999999</v>
      </c>
      <c r="AD226" s="217">
        <v>1.0354588E-8</v>
      </c>
      <c r="AE226" s="217">
        <v>6.9868508000000004E-8</v>
      </c>
      <c r="AF226">
        <v>5.2392884000000004</v>
      </c>
      <c r="AG226">
        <v>0</v>
      </c>
      <c r="AH226">
        <v>0</v>
      </c>
      <c r="AI226">
        <v>0.82481501999999995</v>
      </c>
      <c r="AJ226">
        <v>0</v>
      </c>
      <c r="AK226">
        <v>0</v>
      </c>
      <c r="AL226">
        <v>23.947438999999999</v>
      </c>
      <c r="AM226">
        <v>0</v>
      </c>
      <c r="AN226">
        <v>0</v>
      </c>
      <c r="AO226">
        <v>0</v>
      </c>
      <c r="AP226">
        <v>2.0602835E-2</v>
      </c>
      <c r="AQ226">
        <v>1.7701469E-4</v>
      </c>
      <c r="AR226">
        <v>0.31389259000000003</v>
      </c>
      <c r="AS226" s="217">
        <v>4.0204433000000001E-5</v>
      </c>
      <c r="AT226">
        <v>0</v>
      </c>
      <c r="AU226">
        <v>0</v>
      </c>
      <c r="AV226">
        <v>0</v>
      </c>
      <c r="AW226">
        <v>0</v>
      </c>
      <c r="AX226">
        <v>0</v>
      </c>
    </row>
    <row r="227" spans="1:50" x14ac:dyDescent="0.35">
      <c r="A227" t="s">
        <v>1022</v>
      </c>
      <c r="B227" s="249">
        <f t="shared" si="3"/>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row>
    <row r="228" spans="1:50" x14ac:dyDescent="0.35">
      <c r="A228" t="s">
        <v>1023</v>
      </c>
      <c r="B228" s="249">
        <f t="shared" si="3"/>
        <v>5.0407988274586398E-3</v>
      </c>
      <c r="C228" s="217">
        <v>5.7029378999999999E-8</v>
      </c>
      <c r="D228">
        <v>2.5350752999999998E-4</v>
      </c>
      <c r="E228">
        <v>5.4966428999999997E-2</v>
      </c>
      <c r="F228" s="217">
        <v>4.3020245999999998E-9</v>
      </c>
      <c r="G228" s="217">
        <v>2.2004351000000002E-5</v>
      </c>
      <c r="H228">
        <v>2.0604601E-4</v>
      </c>
      <c r="I228" s="217">
        <v>3.9843620000000001E-5</v>
      </c>
      <c r="J228">
        <v>1.0285615E-2</v>
      </c>
      <c r="K228">
        <v>2.3285242999999999E-4</v>
      </c>
      <c r="L228">
        <v>0.87040530000000005</v>
      </c>
      <c r="M228" s="217">
        <v>8.7686871999999999E-5</v>
      </c>
      <c r="N228">
        <v>2.3679821E-2</v>
      </c>
      <c r="O228">
        <v>2.3605912E-2</v>
      </c>
      <c r="P228" s="217">
        <v>5.4344832000000003E-5</v>
      </c>
      <c r="Q228" s="217">
        <v>1.9564296000000001E-5</v>
      </c>
      <c r="R228" s="217">
        <v>4.3453452000000002E-9</v>
      </c>
      <c r="S228">
        <v>1.9145974E-4</v>
      </c>
      <c r="T228" s="217">
        <v>6.7500398000000003E-7</v>
      </c>
      <c r="U228" s="217">
        <v>6.7378366000000006E-5</v>
      </c>
      <c r="V228">
        <v>7.6042036999999997E-4</v>
      </c>
      <c r="W228">
        <v>2.0313771E-4</v>
      </c>
      <c r="X228" s="217">
        <v>5.2060329E-8</v>
      </c>
      <c r="Y228">
        <v>0.33358022999999998</v>
      </c>
      <c r="Z228">
        <v>5.5535207000000003E-2</v>
      </c>
      <c r="AA228" s="217">
        <v>2.1263510000000001E-9</v>
      </c>
      <c r="AB228">
        <v>1.4029121999999999E-3</v>
      </c>
      <c r="AC228">
        <v>0.27874121000000002</v>
      </c>
      <c r="AD228" s="217">
        <v>1.2453343999999999E-11</v>
      </c>
      <c r="AE228" s="217">
        <v>2.8567767E-10</v>
      </c>
      <c r="AF228">
        <v>0.23375276</v>
      </c>
      <c r="AG228">
        <v>0</v>
      </c>
      <c r="AH228">
        <v>0</v>
      </c>
      <c r="AI228">
        <v>2.0589237E-2</v>
      </c>
      <c r="AJ228">
        <v>0</v>
      </c>
      <c r="AK228">
        <v>0</v>
      </c>
      <c r="AL228">
        <v>0.53930372999999998</v>
      </c>
      <c r="AM228">
        <v>0</v>
      </c>
      <c r="AN228">
        <v>0</v>
      </c>
      <c r="AO228">
        <v>0</v>
      </c>
      <c r="AP228">
        <v>1.3930863999999999E-3</v>
      </c>
      <c r="AQ228" s="217">
        <v>1.5879423E-6</v>
      </c>
      <c r="AR228">
        <v>9.1443558999999997E-3</v>
      </c>
      <c r="AS228" s="217">
        <v>2.0438450999999999E-6</v>
      </c>
      <c r="AT228">
        <v>0</v>
      </c>
      <c r="AU228">
        <v>0</v>
      </c>
      <c r="AV228">
        <v>0</v>
      </c>
      <c r="AW228">
        <v>0</v>
      </c>
      <c r="AX228">
        <v>0</v>
      </c>
    </row>
    <row r="229" spans="1:50" x14ac:dyDescent="0.35">
      <c r="A229" t="s">
        <v>1024</v>
      </c>
      <c r="B229" s="249">
        <f t="shared" si="3"/>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row>
    <row r="230" spans="1:50" x14ac:dyDescent="0.35">
      <c r="A230" t="s">
        <v>1025</v>
      </c>
      <c r="B230" s="249">
        <f t="shared" si="3"/>
        <v>2.161776691672192E-3</v>
      </c>
      <c r="C230" s="217">
        <v>5.4753012000000003E-9</v>
      </c>
      <c r="D230">
        <v>1.1239351E-4</v>
      </c>
      <c r="E230">
        <v>1.6235515999999998E-2</v>
      </c>
      <c r="F230" s="217">
        <v>2.9432746000000001E-9</v>
      </c>
      <c r="G230" s="217">
        <v>1.6450294000000001E-5</v>
      </c>
      <c r="H230">
        <v>1.2317267000000001E-4</v>
      </c>
      <c r="I230" s="217">
        <v>2.7715661E-5</v>
      </c>
      <c r="J230">
        <v>5.8486600999999999E-3</v>
      </c>
      <c r="K230" s="217">
        <v>8.1515636000000001E-5</v>
      </c>
      <c r="L230">
        <v>0.27491026000000002</v>
      </c>
      <c r="M230" s="217">
        <v>9.6772451000000008E-6</v>
      </c>
      <c r="N230">
        <v>1.6411296999999998E-2</v>
      </c>
      <c r="O230">
        <v>1.6407195999999999E-2</v>
      </c>
      <c r="P230" s="217">
        <v>2.7077296000000002E-6</v>
      </c>
      <c r="Q230" s="217">
        <v>1.3935715E-6</v>
      </c>
      <c r="R230" s="217">
        <v>3.7066707999999998E-9</v>
      </c>
      <c r="S230">
        <v>1.7197573E-4</v>
      </c>
      <c r="T230" s="217">
        <v>1.2531608000000001E-7</v>
      </c>
      <c r="U230" s="217">
        <v>7.4544290000000003E-5</v>
      </c>
      <c r="V230">
        <v>8.1922514000000001E-4</v>
      </c>
      <c r="W230">
        <v>2.2505873E-4</v>
      </c>
      <c r="X230" s="217">
        <v>5.4753713000000003E-9</v>
      </c>
      <c r="Y230">
        <v>0.23728142999999999</v>
      </c>
      <c r="Z230">
        <v>1.2791879999999999E-3</v>
      </c>
      <c r="AA230" s="217">
        <v>4.4996086999999999E-9</v>
      </c>
      <c r="AB230">
        <v>1.022664E-3</v>
      </c>
      <c r="AC230">
        <v>0.13413778000000001</v>
      </c>
      <c r="AD230" s="217">
        <v>4.6149868999999997E-12</v>
      </c>
      <c r="AE230" s="217">
        <v>1.1687446999999999E-10</v>
      </c>
      <c r="AF230">
        <v>3.0053310999999999E-2</v>
      </c>
      <c r="AG230">
        <v>0</v>
      </c>
      <c r="AH230">
        <v>0</v>
      </c>
      <c r="AI230">
        <v>1.3746035E-3</v>
      </c>
      <c r="AJ230">
        <v>0</v>
      </c>
      <c r="AK230">
        <v>0</v>
      </c>
      <c r="AL230">
        <v>0.25196769000000002</v>
      </c>
      <c r="AM230">
        <v>0</v>
      </c>
      <c r="AN230">
        <v>0</v>
      </c>
      <c r="AO230">
        <v>0</v>
      </c>
      <c r="AP230" s="217">
        <v>3.2566003999999997E-5</v>
      </c>
      <c r="AQ230" s="217">
        <v>1.0581075E-7</v>
      </c>
      <c r="AR230">
        <v>2.5287870999999998E-4</v>
      </c>
      <c r="AS230" s="217">
        <v>1.6482076999999999E-6</v>
      </c>
      <c r="AT230">
        <v>0</v>
      </c>
      <c r="AU230">
        <v>0</v>
      </c>
      <c r="AV230">
        <v>0</v>
      </c>
      <c r="AW230">
        <v>0</v>
      </c>
      <c r="AX230">
        <v>0</v>
      </c>
    </row>
    <row r="231" spans="1:50" x14ac:dyDescent="0.35">
      <c r="A231" t="s">
        <v>1026</v>
      </c>
      <c r="B231" s="249">
        <f t="shared" si="3"/>
        <v>0.200172361031486</v>
      </c>
      <c r="C231" s="217">
        <v>2.6292596E-6</v>
      </c>
      <c r="D231">
        <v>9.1005578000000007E-3</v>
      </c>
      <c r="E231">
        <v>1.2931729000000001</v>
      </c>
      <c r="F231" s="217">
        <v>7.9731865000000002E-8</v>
      </c>
      <c r="G231">
        <v>1.6652607E-3</v>
      </c>
      <c r="H231">
        <v>9.6918772000000007E-3</v>
      </c>
      <c r="I231">
        <v>9.0687595000000002E-4</v>
      </c>
      <c r="J231">
        <v>0.89269712000000001</v>
      </c>
      <c r="K231">
        <v>1.0490227E-2</v>
      </c>
      <c r="L231">
        <v>30.504249999999999</v>
      </c>
      <c r="M231">
        <v>1.4504631E-3</v>
      </c>
      <c r="N231">
        <v>1.3136517999999999</v>
      </c>
      <c r="O231">
        <v>1.3224047999999999</v>
      </c>
      <c r="P231">
        <v>-9.4191401000000008E-3</v>
      </c>
      <c r="Q231">
        <v>6.6612401999999995E-4</v>
      </c>
      <c r="R231" s="217">
        <v>7.9815393E-8</v>
      </c>
      <c r="S231">
        <v>1.1978020000000001E-2</v>
      </c>
      <c r="T231" s="217">
        <v>8.0488568999999996E-5</v>
      </c>
      <c r="U231">
        <v>1.162019E-3</v>
      </c>
      <c r="V231">
        <v>2.0847419999999998E-2</v>
      </c>
      <c r="W231">
        <v>6.0377746999999999E-3</v>
      </c>
      <c r="X231" s="217">
        <v>2.6294800999999998E-6</v>
      </c>
      <c r="Y231">
        <v>15.30463</v>
      </c>
      <c r="Z231">
        <v>0.3367734</v>
      </c>
      <c r="AA231" s="217">
        <v>6.7659247999999997E-8</v>
      </c>
      <c r="AB231">
        <v>2.5091379E-2</v>
      </c>
      <c r="AC231">
        <v>27.225335000000001</v>
      </c>
      <c r="AD231" s="217">
        <v>4.9152472999999999E-9</v>
      </c>
      <c r="AE231" s="217">
        <v>1.3385378E-8</v>
      </c>
      <c r="AF231">
        <v>6.4111753</v>
      </c>
      <c r="AG231">
        <v>0</v>
      </c>
      <c r="AH231">
        <v>0</v>
      </c>
      <c r="AI231">
        <v>0.77352124</v>
      </c>
      <c r="AJ231">
        <v>0</v>
      </c>
      <c r="AK231">
        <v>0</v>
      </c>
      <c r="AL231">
        <v>16.370667999999998</v>
      </c>
      <c r="AM231">
        <v>0</v>
      </c>
      <c r="AN231">
        <v>0</v>
      </c>
      <c r="AO231">
        <v>0</v>
      </c>
      <c r="AP231">
        <v>8.8905892E-3</v>
      </c>
      <c r="AQ231" s="217">
        <v>1.7617434000000001E-5</v>
      </c>
      <c r="AR231">
        <v>8.3109653000000006E-2</v>
      </c>
      <c r="AS231" s="217">
        <v>2.4510980000000002E-5</v>
      </c>
      <c r="AT231">
        <v>0</v>
      </c>
      <c r="AU231">
        <v>0</v>
      </c>
      <c r="AV231">
        <v>0</v>
      </c>
      <c r="AW231">
        <v>0</v>
      </c>
      <c r="AX231">
        <v>0</v>
      </c>
    </row>
    <row r="232" spans="1:50" x14ac:dyDescent="0.35">
      <c r="A232" t="s">
        <v>1027</v>
      </c>
      <c r="B232" s="249">
        <f t="shared" si="3"/>
        <v>0.47470263268642404</v>
      </c>
      <c r="C232" s="217">
        <v>8.4574414E-6</v>
      </c>
      <c r="D232">
        <v>1.8723739E-2</v>
      </c>
      <c r="E232">
        <v>2.4389314999999998</v>
      </c>
      <c r="F232" s="217">
        <v>2.4046426000000002E-7</v>
      </c>
      <c r="G232">
        <v>2.5091419999999998E-3</v>
      </c>
      <c r="H232">
        <v>2.4923141999999999E-2</v>
      </c>
      <c r="I232">
        <v>1.7847389E-3</v>
      </c>
      <c r="J232">
        <v>2.1339743000000002</v>
      </c>
      <c r="K232">
        <v>0.46994519000000001</v>
      </c>
      <c r="L232">
        <v>226.05034000000001</v>
      </c>
      <c r="M232">
        <v>3.6185587999999999E-3</v>
      </c>
      <c r="N232">
        <v>2.5073582000000001</v>
      </c>
      <c r="O232">
        <v>2.4959174000000002</v>
      </c>
      <c r="P232">
        <v>9.9813808999999996E-3</v>
      </c>
      <c r="Q232">
        <v>1.4593811000000001E-3</v>
      </c>
      <c r="R232" s="217">
        <v>2.4934336999999998E-7</v>
      </c>
      <c r="S232">
        <v>2.8762497000000001E-2</v>
      </c>
      <c r="T232">
        <v>1.4819726E-4</v>
      </c>
      <c r="U232">
        <v>2.5339400000000002E-3</v>
      </c>
      <c r="V232">
        <v>2.9219393999999999E-2</v>
      </c>
      <c r="W232">
        <v>1.0291720000000001E-2</v>
      </c>
      <c r="X232" s="217">
        <v>8.4567240000000005E-6</v>
      </c>
      <c r="Y232">
        <v>37.191946999999999</v>
      </c>
      <c r="Z232">
        <v>1.8702021</v>
      </c>
      <c r="AA232" s="217">
        <v>1.3346351000000001E-7</v>
      </c>
      <c r="AB232">
        <v>0.10643544000000001</v>
      </c>
      <c r="AC232">
        <v>69.528673999999995</v>
      </c>
      <c r="AD232" s="217">
        <v>5.7924205999999999E-9</v>
      </c>
      <c r="AE232" s="217">
        <v>6.7019830000000006E-8</v>
      </c>
      <c r="AF232">
        <v>10.646735</v>
      </c>
      <c r="AG232">
        <v>0</v>
      </c>
      <c r="AH232">
        <v>0</v>
      </c>
      <c r="AI232">
        <v>2.604565</v>
      </c>
      <c r="AJ232">
        <v>0</v>
      </c>
      <c r="AK232">
        <v>0</v>
      </c>
      <c r="AL232">
        <v>39.807980999999998</v>
      </c>
      <c r="AM232">
        <v>0</v>
      </c>
      <c r="AN232">
        <v>0</v>
      </c>
      <c r="AO232">
        <v>0</v>
      </c>
      <c r="AP232">
        <v>4.8203509999999998E-2</v>
      </c>
      <c r="AQ232" s="217">
        <v>3.5535706000000002E-5</v>
      </c>
      <c r="AR232">
        <v>0.97595122000000001</v>
      </c>
      <c r="AS232">
        <v>1.0556926E-4</v>
      </c>
      <c r="AT232">
        <v>0</v>
      </c>
      <c r="AU232">
        <v>0</v>
      </c>
      <c r="AV232">
        <v>0</v>
      </c>
      <c r="AW232">
        <v>0</v>
      </c>
      <c r="AX232">
        <v>0</v>
      </c>
    </row>
    <row r="233" spans="1:50" x14ac:dyDescent="0.35">
      <c r="A233" t="s">
        <v>1028</v>
      </c>
      <c r="B233" s="249">
        <f t="shared" si="3"/>
        <v>1.0744171570008803</v>
      </c>
      <c r="C233" s="217">
        <v>1.4084918000000001E-5</v>
      </c>
      <c r="D233">
        <v>3.5870489999999998E-2</v>
      </c>
      <c r="E233">
        <v>5.3600361000000003</v>
      </c>
      <c r="F233" s="217">
        <v>5.6850280000000003E-7</v>
      </c>
      <c r="G233">
        <v>5.8590481E-3</v>
      </c>
      <c r="H233">
        <v>9.5584111999999999E-2</v>
      </c>
      <c r="I233">
        <v>3.8750004000000001E-3</v>
      </c>
      <c r="J233">
        <v>2.6448195000000001</v>
      </c>
      <c r="K233">
        <v>1.1727882999999999</v>
      </c>
      <c r="L233">
        <v>979.91015000000004</v>
      </c>
      <c r="M233">
        <v>8.6466354999999995E-3</v>
      </c>
      <c r="N233">
        <v>5.5292364999999997</v>
      </c>
      <c r="O233">
        <v>5.4877254999999998</v>
      </c>
      <c r="P233">
        <v>3.8330367999999997E-2</v>
      </c>
      <c r="Q233">
        <v>3.1805990000000001E-3</v>
      </c>
      <c r="R233" s="217">
        <v>6.1163594000000003E-7</v>
      </c>
      <c r="S233">
        <v>0.10798639</v>
      </c>
      <c r="T233">
        <v>3.5423612999999998E-4</v>
      </c>
      <c r="U233">
        <v>6.3645663E-3</v>
      </c>
      <c r="V233">
        <v>6.8067467000000006E-2</v>
      </c>
      <c r="W233">
        <v>2.351901E-2</v>
      </c>
      <c r="X233" s="217">
        <v>1.4079830000000001E-5</v>
      </c>
      <c r="Y233">
        <v>70.659560999999997</v>
      </c>
      <c r="Z233">
        <v>6.8171530000000002</v>
      </c>
      <c r="AA233" s="217">
        <v>4.0244899999999998E-7</v>
      </c>
      <c r="AB233">
        <v>0.26518058999999999</v>
      </c>
      <c r="AC233">
        <v>153.22958</v>
      </c>
      <c r="AD233" s="217">
        <v>1.6812848000000001E-8</v>
      </c>
      <c r="AE233" s="217">
        <v>1.8059980999999999E-7</v>
      </c>
      <c r="AF233">
        <v>37.681668999999999</v>
      </c>
      <c r="AG233">
        <v>0</v>
      </c>
      <c r="AH233">
        <v>0</v>
      </c>
      <c r="AI233">
        <v>7.6492668000000004</v>
      </c>
      <c r="AJ233">
        <v>0</v>
      </c>
      <c r="AK233">
        <v>0</v>
      </c>
      <c r="AL233">
        <v>75.511956999999995</v>
      </c>
      <c r="AM233">
        <v>0</v>
      </c>
      <c r="AN233">
        <v>0</v>
      </c>
      <c r="AO233">
        <v>0</v>
      </c>
      <c r="AP233">
        <v>0.16917876000000001</v>
      </c>
      <c r="AQ233" s="217">
        <v>8.9357832000000001E-5</v>
      </c>
      <c r="AR233">
        <v>4.3037704000000003</v>
      </c>
      <c r="AS233">
        <v>2.8286108999999999E-4</v>
      </c>
      <c r="AT233">
        <v>0</v>
      </c>
      <c r="AU233">
        <v>0</v>
      </c>
      <c r="AV233">
        <v>0</v>
      </c>
      <c r="AW233">
        <v>0</v>
      </c>
      <c r="AX233">
        <v>0</v>
      </c>
    </row>
    <row r="234" spans="1:50" x14ac:dyDescent="0.35">
      <c r="A234" t="s">
        <v>1029</v>
      </c>
      <c r="B234" s="249">
        <f t="shared" si="3"/>
        <v>6.8774727753614609E-2</v>
      </c>
      <c r="C234" s="217">
        <v>1.2335451E-7</v>
      </c>
      <c r="D234">
        <v>4.5924391999999998E-4</v>
      </c>
      <c r="E234">
        <v>1.3002104999999999</v>
      </c>
      <c r="F234" s="217">
        <v>5.2136030999999996E-9</v>
      </c>
      <c r="G234" s="217">
        <v>3.8740222999999997E-6</v>
      </c>
      <c r="H234">
        <v>3.2095718000000001E-4</v>
      </c>
      <c r="I234" s="217">
        <v>5.5785222999999999E-5</v>
      </c>
      <c r="J234">
        <v>1.8483910999999999E-2</v>
      </c>
      <c r="K234">
        <v>4.4911355999999999E-4</v>
      </c>
      <c r="L234">
        <v>2.0560266</v>
      </c>
      <c r="M234">
        <v>2.3792921999999999E-4</v>
      </c>
      <c r="N234">
        <v>1.2774945</v>
      </c>
      <c r="O234">
        <v>1.2772034000000001</v>
      </c>
      <c r="P234">
        <v>1.9889996000000001E-4</v>
      </c>
      <c r="Q234" s="217">
        <v>9.2153453000000003E-5</v>
      </c>
      <c r="R234" s="217">
        <v>5.9145941E-9</v>
      </c>
      <c r="S234">
        <v>4.0882959000000001E-4</v>
      </c>
      <c r="T234" s="217">
        <v>3.5709501E-6</v>
      </c>
      <c r="U234">
        <v>1.0034164E-4</v>
      </c>
      <c r="V234">
        <v>1.1814777E-3</v>
      </c>
      <c r="W234">
        <v>2.6737076000000001E-4</v>
      </c>
      <c r="X234" s="217">
        <v>1.2335430999999999E-7</v>
      </c>
      <c r="Y234">
        <v>15.657076</v>
      </c>
      <c r="Z234">
        <v>1.9476005000000001E-2</v>
      </c>
      <c r="AA234" s="217">
        <v>4.6363784E-9</v>
      </c>
      <c r="AB234">
        <v>3.8647281E-3</v>
      </c>
      <c r="AC234">
        <v>1.1496796</v>
      </c>
      <c r="AD234" s="217">
        <v>2.2819585999999999E-11</v>
      </c>
      <c r="AE234" s="217">
        <v>6.9533439999999997E-10</v>
      </c>
      <c r="AF234">
        <v>51.448630000000001</v>
      </c>
      <c r="AG234">
        <v>0</v>
      </c>
      <c r="AH234">
        <v>0</v>
      </c>
      <c r="AI234">
        <v>7.1138246000000002E-2</v>
      </c>
      <c r="AJ234">
        <v>0</v>
      </c>
      <c r="AK234">
        <v>0</v>
      </c>
      <c r="AL234">
        <v>14.367557</v>
      </c>
      <c r="AM234">
        <v>0</v>
      </c>
      <c r="AN234">
        <v>0</v>
      </c>
      <c r="AO234">
        <v>0</v>
      </c>
      <c r="AP234">
        <v>6.2136370999999998E-4</v>
      </c>
      <c r="AQ234" s="217">
        <v>1.1905108000000001E-6</v>
      </c>
      <c r="AR234">
        <v>1.1210573999999999E-2</v>
      </c>
      <c r="AS234" s="217">
        <v>3.7579015E-6</v>
      </c>
      <c r="AT234">
        <v>0</v>
      </c>
      <c r="AU234">
        <v>0</v>
      </c>
      <c r="AV234">
        <v>0</v>
      </c>
      <c r="AW234">
        <v>0</v>
      </c>
      <c r="AX234">
        <v>0</v>
      </c>
    </row>
    <row r="235" spans="1:50" x14ac:dyDescent="0.35">
      <c r="A235" t="s">
        <v>1030</v>
      </c>
      <c r="B235" s="249">
        <f t="shared" si="3"/>
        <v>0.19546057204915199</v>
      </c>
      <c r="C235" s="217">
        <v>4.6306296999999999E-6</v>
      </c>
      <c r="D235">
        <v>1.1066604000000001E-2</v>
      </c>
      <c r="E235">
        <v>1.32498</v>
      </c>
      <c r="F235" s="217">
        <v>1.3441468000000001E-7</v>
      </c>
      <c r="G235">
        <v>8.3803692000000002E-4</v>
      </c>
      <c r="H235">
        <v>4.8220913000000002E-3</v>
      </c>
      <c r="I235">
        <v>1.2596516999999999E-3</v>
      </c>
      <c r="J235">
        <v>1.0172650000000001</v>
      </c>
      <c r="K235">
        <v>9.9995077999999998E-3</v>
      </c>
      <c r="L235">
        <v>31.552679999999999</v>
      </c>
      <c r="M235">
        <v>2.0955749000000001E-3</v>
      </c>
      <c r="N235">
        <v>1.3792629999999999</v>
      </c>
      <c r="O235">
        <v>1.3757386</v>
      </c>
      <c r="P235">
        <v>2.8462701000000002E-3</v>
      </c>
      <c r="Q235">
        <v>6.7810935999999995E-4</v>
      </c>
      <c r="R235" s="217">
        <v>1.3694362999999999E-7</v>
      </c>
      <c r="S235">
        <v>6.0128035000000003E-3</v>
      </c>
      <c r="T235" s="217">
        <v>9.0779666000000001E-5</v>
      </c>
      <c r="U235">
        <v>9.4447849E-4</v>
      </c>
      <c r="V235">
        <v>1.2933831999999999E-2</v>
      </c>
      <c r="W235">
        <v>3.8551826000000002E-3</v>
      </c>
      <c r="X235" s="217">
        <v>4.6308008000000001E-6</v>
      </c>
      <c r="Y235">
        <v>21.800059000000001</v>
      </c>
      <c r="Z235">
        <v>0.60465747000000003</v>
      </c>
      <c r="AA235" s="217">
        <v>5.5555412999999999E-8</v>
      </c>
      <c r="AB235">
        <v>4.2144858E-2</v>
      </c>
      <c r="AC235">
        <v>33.263230999999998</v>
      </c>
      <c r="AD235" s="217">
        <v>8.6925417000000004E-10</v>
      </c>
      <c r="AE235" s="217">
        <v>2.930035E-8</v>
      </c>
      <c r="AF235">
        <v>4.8376253</v>
      </c>
      <c r="AG235">
        <v>0</v>
      </c>
      <c r="AH235">
        <v>0</v>
      </c>
      <c r="AI235">
        <v>1.2483770999999999</v>
      </c>
      <c r="AJ235">
        <v>0</v>
      </c>
      <c r="AK235">
        <v>0</v>
      </c>
      <c r="AL235">
        <v>23.390908</v>
      </c>
      <c r="AM235">
        <v>0</v>
      </c>
      <c r="AN235">
        <v>0</v>
      </c>
      <c r="AO235">
        <v>0</v>
      </c>
      <c r="AP235">
        <v>1.7875096E-2</v>
      </c>
      <c r="AQ235" s="217">
        <v>2.5112591999999999E-5</v>
      </c>
      <c r="AR235">
        <v>0.25424075000000002</v>
      </c>
      <c r="AS235" s="217">
        <v>4.1441923999999999E-5</v>
      </c>
      <c r="AT235">
        <v>0</v>
      </c>
      <c r="AU235">
        <v>0</v>
      </c>
      <c r="AV235">
        <v>0</v>
      </c>
      <c r="AW235">
        <v>0</v>
      </c>
      <c r="AX235">
        <v>0</v>
      </c>
    </row>
    <row r="236" spans="1:50" x14ac:dyDescent="0.35">
      <c r="A236" t="s">
        <v>1031</v>
      </c>
      <c r="B236" s="249">
        <f t="shared" si="3"/>
        <v>2.0196950942340641E-2</v>
      </c>
      <c r="C236" s="217">
        <v>7.2812004000000005E-8</v>
      </c>
      <c r="D236">
        <v>7.8606803E-4</v>
      </c>
      <c r="E236">
        <v>0.29766426000000001</v>
      </c>
      <c r="F236" s="217">
        <v>1.1379304E-8</v>
      </c>
      <c r="G236" s="217">
        <v>4.3395629000000001E-5</v>
      </c>
      <c r="H236">
        <v>5.6334509E-4</v>
      </c>
      <c r="I236" s="217">
        <v>9.8011371999999998E-5</v>
      </c>
      <c r="J236">
        <v>1.9136874000000002E-2</v>
      </c>
      <c r="K236">
        <v>4.9084594999999995E-4</v>
      </c>
      <c r="L236">
        <v>2.0613226999999998</v>
      </c>
      <c r="M236">
        <v>3.6939589999999999E-4</v>
      </c>
      <c r="N236">
        <v>0.29951100000000003</v>
      </c>
      <c r="O236">
        <v>0.29904444000000002</v>
      </c>
      <c r="P236">
        <v>4.3876281E-4</v>
      </c>
      <c r="Q236" s="217">
        <v>2.7798035E-5</v>
      </c>
      <c r="R236" s="217">
        <v>1.3293244E-8</v>
      </c>
      <c r="S236">
        <v>7.4900632E-4</v>
      </c>
      <c r="T236" s="217">
        <v>4.7946794999999998E-6</v>
      </c>
      <c r="U236">
        <v>1.9905484999999999E-4</v>
      </c>
      <c r="V236">
        <v>2.5292269000000002E-3</v>
      </c>
      <c r="W236">
        <v>5.8703203000000002E-4</v>
      </c>
      <c r="X236" s="217">
        <v>7.2813525999999994E-8</v>
      </c>
      <c r="Y236">
        <v>1.5401897</v>
      </c>
      <c r="Z236">
        <v>2.8013527E-2</v>
      </c>
      <c r="AA236" s="217">
        <v>4.2986642999999998E-9</v>
      </c>
      <c r="AB236">
        <v>7.3402935000000001E-3</v>
      </c>
      <c r="AC236">
        <v>3.9653749999999999</v>
      </c>
      <c r="AD236" s="217">
        <v>4.1258465000000001E-11</v>
      </c>
      <c r="AE236" s="217">
        <v>2.1263473999999998E-9</v>
      </c>
      <c r="AF236">
        <v>0.30711691000000002</v>
      </c>
      <c r="AG236">
        <v>0</v>
      </c>
      <c r="AH236">
        <v>0</v>
      </c>
      <c r="AI236">
        <v>8.8246292000000004E-2</v>
      </c>
      <c r="AJ236">
        <v>0</v>
      </c>
      <c r="AK236">
        <v>0</v>
      </c>
      <c r="AL236">
        <v>1.6220374</v>
      </c>
      <c r="AM236">
        <v>0</v>
      </c>
      <c r="AN236">
        <v>0</v>
      </c>
      <c r="AO236">
        <v>0</v>
      </c>
      <c r="AP236">
        <v>1.0374449999999999E-3</v>
      </c>
      <c r="AQ236" s="217">
        <v>6.4143562000000005E-7</v>
      </c>
      <c r="AR236">
        <v>5.1531459999999999E-3</v>
      </c>
      <c r="AS236" s="217">
        <v>8.1652582999999995E-6</v>
      </c>
      <c r="AT236">
        <v>0</v>
      </c>
      <c r="AU236">
        <v>0</v>
      </c>
      <c r="AV236">
        <v>0</v>
      </c>
      <c r="AW236">
        <v>0</v>
      </c>
      <c r="AX236">
        <v>0</v>
      </c>
    </row>
    <row r="237" spans="1:50" x14ac:dyDescent="0.35">
      <c r="A237" t="s">
        <v>1032</v>
      </c>
      <c r="B237" s="249">
        <f t="shared" si="3"/>
        <v>0.66900165759206398</v>
      </c>
      <c r="C237" s="217">
        <v>4.8678504000000001E-6</v>
      </c>
      <c r="D237">
        <v>4.5618447999999999E-2</v>
      </c>
      <c r="E237">
        <v>9.6504917999999993</v>
      </c>
      <c r="F237" s="217">
        <v>1.7154072999999998E-5</v>
      </c>
      <c r="G237">
        <v>3.9135856E-3</v>
      </c>
      <c r="H237">
        <v>1.6221768000000001E-2</v>
      </c>
      <c r="I237">
        <v>1.6546783E-3</v>
      </c>
      <c r="J237">
        <v>0.92319362999999999</v>
      </c>
      <c r="K237">
        <v>2.0011986999999998E-2</v>
      </c>
      <c r="L237">
        <v>71.376671999999999</v>
      </c>
      <c r="M237">
        <v>3.8485576000000001E-3</v>
      </c>
      <c r="N237">
        <v>10.896807000000001</v>
      </c>
      <c r="O237">
        <v>10.860772000000001</v>
      </c>
      <c r="P237">
        <v>3.4429933000000003E-2</v>
      </c>
      <c r="Q237">
        <v>1.6046032999999999E-3</v>
      </c>
      <c r="R237" s="217">
        <v>1.3838536E-5</v>
      </c>
      <c r="S237">
        <v>1.9413643000000001E-2</v>
      </c>
      <c r="T237">
        <v>1.5166369E-4</v>
      </c>
      <c r="U237">
        <v>3.0896043999999998E-3</v>
      </c>
      <c r="V237">
        <v>3.5214769999999999E-2</v>
      </c>
      <c r="W237">
        <v>1.5415317E-2</v>
      </c>
      <c r="X237" s="217">
        <v>4.8681633999999996E-6</v>
      </c>
      <c r="Y237">
        <v>93.207127999999997</v>
      </c>
      <c r="Z237">
        <v>3.2616447000000002</v>
      </c>
      <c r="AA237" s="217">
        <v>1.7103715000000001E-7</v>
      </c>
      <c r="AB237">
        <v>6.8749570999999995E-2</v>
      </c>
      <c r="AC237">
        <v>38.121375999999998</v>
      </c>
      <c r="AD237" s="217">
        <v>1.5415363000000001E-9</v>
      </c>
      <c r="AE237" s="217">
        <v>2.5911639000000001E-8</v>
      </c>
      <c r="AF237">
        <v>4.6920640000000002</v>
      </c>
      <c r="AG237">
        <v>0</v>
      </c>
      <c r="AH237">
        <v>0</v>
      </c>
      <c r="AI237">
        <v>1.7966267</v>
      </c>
      <c r="AJ237">
        <v>0</v>
      </c>
      <c r="AK237">
        <v>0</v>
      </c>
      <c r="AL237">
        <v>100.10323</v>
      </c>
      <c r="AM237">
        <v>0</v>
      </c>
      <c r="AN237">
        <v>0</v>
      </c>
      <c r="AO237">
        <v>0</v>
      </c>
      <c r="AP237">
        <v>7.8936843000000007E-2</v>
      </c>
      <c r="AQ237" s="217">
        <v>2.2773497E-5</v>
      </c>
      <c r="AR237">
        <v>0.24214415</v>
      </c>
      <c r="AS237" s="217">
        <v>6.0459489999999999E-5</v>
      </c>
      <c r="AT237">
        <v>0</v>
      </c>
      <c r="AU237">
        <v>0</v>
      </c>
      <c r="AV237">
        <v>0</v>
      </c>
      <c r="AW237">
        <v>0</v>
      </c>
      <c r="AX237">
        <v>0</v>
      </c>
    </row>
    <row r="238" spans="1:50" x14ac:dyDescent="0.35">
      <c r="A238" t="s">
        <v>1033</v>
      </c>
      <c r="B238" s="249">
        <f t="shared" si="3"/>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row>
    <row r="239" spans="1:50" x14ac:dyDescent="0.35">
      <c r="A239" t="s">
        <v>1034</v>
      </c>
      <c r="B239" s="249">
        <f t="shared" si="3"/>
        <v>3.1173422460917602E-3</v>
      </c>
      <c r="C239" s="217">
        <v>5.1034360999999998E-8</v>
      </c>
      <c r="D239">
        <v>1.6993282E-4</v>
      </c>
      <c r="E239">
        <v>2.5226917000000001E-2</v>
      </c>
      <c r="F239" s="217">
        <v>3.8159298E-9</v>
      </c>
      <c r="G239" s="217">
        <v>1.6777757E-5</v>
      </c>
      <c r="H239">
        <v>1.7348039000000001E-4</v>
      </c>
      <c r="I239" s="217">
        <v>3.4821628000000002E-5</v>
      </c>
      <c r="J239">
        <v>7.9759007E-3</v>
      </c>
      <c r="K239">
        <v>1.8253900000000001E-4</v>
      </c>
      <c r="L239">
        <v>0.62290263000000001</v>
      </c>
      <c r="M239" s="217">
        <v>3.6921324999999997E-5</v>
      </c>
      <c r="N239">
        <v>2.5635201999999999E-2</v>
      </c>
      <c r="O239">
        <v>2.5519733999999999E-2</v>
      </c>
      <c r="P239" s="217">
        <v>8.2704270000000005E-5</v>
      </c>
      <c r="Q239" s="217">
        <v>3.2763954000000001E-5</v>
      </c>
      <c r="R239" s="217">
        <v>4.6982815999999997E-9</v>
      </c>
      <c r="S239">
        <v>2.3496591999999999E-4</v>
      </c>
      <c r="T239" s="217">
        <v>7.2569043000000001E-7</v>
      </c>
      <c r="U239" s="217">
        <v>8.6354107999999996E-5</v>
      </c>
      <c r="V239">
        <v>9.6986933999999999E-4</v>
      </c>
      <c r="W239">
        <v>2.5390805999999999E-4</v>
      </c>
      <c r="X239" s="217">
        <v>5.1031392999999998E-8</v>
      </c>
      <c r="Y239">
        <v>0.35447589000000002</v>
      </c>
      <c r="Z239">
        <v>6.0635474000000002E-2</v>
      </c>
      <c r="AA239" s="217">
        <v>1.4621043999999999E-9</v>
      </c>
      <c r="AB239">
        <v>1.6008732999999999E-3</v>
      </c>
      <c r="AC239">
        <v>0.29545527999999999</v>
      </c>
      <c r="AD239" s="217">
        <v>1.4631911E-11</v>
      </c>
      <c r="AE239" s="217">
        <v>2.8963921999999998E-10</v>
      </c>
      <c r="AF239">
        <v>0.27382395999999998</v>
      </c>
      <c r="AG239">
        <v>0</v>
      </c>
      <c r="AH239">
        <v>0</v>
      </c>
      <c r="AI239">
        <v>1.0403671999999999E-2</v>
      </c>
      <c r="AJ239">
        <v>0</v>
      </c>
      <c r="AK239">
        <v>0</v>
      </c>
      <c r="AL239">
        <v>0.37604625000000003</v>
      </c>
      <c r="AM239">
        <v>0</v>
      </c>
      <c r="AN239">
        <v>0</v>
      </c>
      <c r="AO239">
        <v>0</v>
      </c>
      <c r="AP239">
        <v>1.4939926E-3</v>
      </c>
      <c r="AQ239" s="217">
        <v>7.4177388999999998E-7</v>
      </c>
      <c r="AR239">
        <v>5.9508655000000002E-3</v>
      </c>
      <c r="AS239" s="217">
        <v>2.2746568999999999E-6</v>
      </c>
      <c r="AT239">
        <v>0</v>
      </c>
      <c r="AU239">
        <v>0</v>
      </c>
      <c r="AV239">
        <v>0</v>
      </c>
      <c r="AW239">
        <v>0</v>
      </c>
      <c r="AX239">
        <v>0</v>
      </c>
    </row>
    <row r="240" spans="1:50" x14ac:dyDescent="0.35">
      <c r="A240" t="s">
        <v>1035</v>
      </c>
      <c r="B240" s="249">
        <f t="shared" si="3"/>
        <v>1.4950661619189203E-3</v>
      </c>
      <c r="C240" s="217">
        <v>4.3540537000000001E-8</v>
      </c>
      <c r="D240" s="217">
        <v>8.3608906000000001E-5</v>
      </c>
      <c r="E240">
        <v>1.1732164999999999E-2</v>
      </c>
      <c r="F240" s="217">
        <v>1.6924831000000001E-9</v>
      </c>
      <c r="G240" s="217">
        <v>8.6225229000000005E-6</v>
      </c>
      <c r="H240" s="217">
        <v>7.2149051999999999E-5</v>
      </c>
      <c r="I240" s="217">
        <v>1.1990805000000001E-5</v>
      </c>
      <c r="J240">
        <v>4.8633371999999998E-3</v>
      </c>
      <c r="K240">
        <v>1.0218860999999999E-4</v>
      </c>
      <c r="L240">
        <v>0.39217220000000003</v>
      </c>
      <c r="M240" s="217">
        <v>2.1350347999999999E-5</v>
      </c>
      <c r="N240">
        <v>1.1940889999999999E-2</v>
      </c>
      <c r="O240">
        <v>1.1915639E-2</v>
      </c>
      <c r="P240" s="217">
        <v>1.7433311000000001E-5</v>
      </c>
      <c r="Q240" s="217">
        <v>7.8175324999999998E-6</v>
      </c>
      <c r="R240" s="217">
        <v>2.083959E-9</v>
      </c>
      <c r="S240" s="217">
        <v>9.3415166999999996E-5</v>
      </c>
      <c r="T240" s="217">
        <v>4.6109197000000001E-7</v>
      </c>
      <c r="U240" s="217">
        <v>2.6811702000000002E-5</v>
      </c>
      <c r="V240">
        <v>3.0614853000000001E-4</v>
      </c>
      <c r="W240" s="217">
        <v>8.5135598999999996E-5</v>
      </c>
      <c r="X240" s="217">
        <v>4.3541511E-8</v>
      </c>
      <c r="Y240">
        <v>0.16917175000000001</v>
      </c>
      <c r="Z240">
        <v>5.9091481000000001E-2</v>
      </c>
      <c r="AA240" s="217">
        <v>1.173222E-9</v>
      </c>
      <c r="AB240">
        <v>7.2249079999999995E-4</v>
      </c>
      <c r="AC240">
        <v>0.16784776000000001</v>
      </c>
      <c r="AD240" s="217">
        <v>8.5089346000000004E-12</v>
      </c>
      <c r="AE240" s="217">
        <v>1.9271466999999999E-10</v>
      </c>
      <c r="AF240">
        <v>0.14234010999999999</v>
      </c>
      <c r="AG240">
        <v>0</v>
      </c>
      <c r="AH240">
        <v>0</v>
      </c>
      <c r="AI240">
        <v>5.6578517999999996E-3</v>
      </c>
      <c r="AJ240">
        <v>0</v>
      </c>
      <c r="AK240">
        <v>0</v>
      </c>
      <c r="AL240">
        <v>0.17960533000000001</v>
      </c>
      <c r="AM240">
        <v>0</v>
      </c>
      <c r="AN240">
        <v>0</v>
      </c>
      <c r="AO240">
        <v>0</v>
      </c>
      <c r="AP240">
        <v>1.4373534000000001E-3</v>
      </c>
      <c r="AQ240" s="217">
        <v>6.0905645000000002E-7</v>
      </c>
      <c r="AR240">
        <v>5.4750800999999998E-3</v>
      </c>
      <c r="AS240" s="217">
        <v>1.0011231E-6</v>
      </c>
      <c r="AT240">
        <v>0</v>
      </c>
      <c r="AU240">
        <v>0</v>
      </c>
      <c r="AV240">
        <v>0</v>
      </c>
      <c r="AW240">
        <v>0</v>
      </c>
      <c r="AX240">
        <v>0</v>
      </c>
    </row>
    <row r="241" spans="1:50" x14ac:dyDescent="0.35">
      <c r="A241" t="s">
        <v>1036</v>
      </c>
      <c r="B241" s="249">
        <f t="shared" si="3"/>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row>
    <row r="242" spans="1:50" x14ac:dyDescent="0.35">
      <c r="A242" t="s">
        <v>1037</v>
      </c>
      <c r="B242" s="249">
        <f t="shared" si="3"/>
        <v>2.4719778649903205E-3</v>
      </c>
      <c r="C242" s="217">
        <v>8.2618427000000006E-8</v>
      </c>
      <c r="D242">
        <v>1.5575760000000001E-4</v>
      </c>
      <c r="E242">
        <v>1.9991485999999999E-2</v>
      </c>
      <c r="F242" s="217">
        <v>2.3591193999999998E-9</v>
      </c>
      <c r="G242" s="217">
        <v>1.3759228E-5</v>
      </c>
      <c r="H242">
        <v>1.0959604E-4</v>
      </c>
      <c r="I242" s="217">
        <v>1.8537037E-5</v>
      </c>
      <c r="J242">
        <v>8.3877237000000004E-3</v>
      </c>
      <c r="K242">
        <v>1.517255E-4</v>
      </c>
      <c r="L242">
        <v>0.53425149000000005</v>
      </c>
      <c r="M242" s="217">
        <v>2.9839341E-5</v>
      </c>
      <c r="N242">
        <v>2.0393999999999999E-2</v>
      </c>
      <c r="O242">
        <v>2.0285759E-2</v>
      </c>
      <c r="P242" s="217">
        <v>9.8389226999999997E-5</v>
      </c>
      <c r="Q242" s="217">
        <v>9.8514823999999993E-6</v>
      </c>
      <c r="R242" s="217">
        <v>2.8913442000000002E-9</v>
      </c>
      <c r="S242">
        <v>1.4301881000000001E-4</v>
      </c>
      <c r="T242" s="217">
        <v>8.3912887999999998E-7</v>
      </c>
      <c r="U242" s="217">
        <v>3.9141974000000001E-5</v>
      </c>
      <c r="V242">
        <v>4.6682108999999999E-4</v>
      </c>
      <c r="W242">
        <v>1.2624606E-4</v>
      </c>
      <c r="X242" s="217">
        <v>8.2619879000000006E-8</v>
      </c>
      <c r="Y242">
        <v>0.31845709</v>
      </c>
      <c r="Z242">
        <v>5.5082443000000002E-2</v>
      </c>
      <c r="AA242" s="217">
        <v>1.9529501E-9</v>
      </c>
      <c r="AB242">
        <v>1.0197657E-3</v>
      </c>
      <c r="AC242">
        <v>0.37122369999999999</v>
      </c>
      <c r="AD242" s="217">
        <v>1.1832507000000001E-11</v>
      </c>
      <c r="AE242" s="217">
        <v>2.7236097000000001E-10</v>
      </c>
      <c r="AF242">
        <v>0.29133376</v>
      </c>
      <c r="AG242">
        <v>0</v>
      </c>
      <c r="AH242">
        <v>0</v>
      </c>
      <c r="AI242">
        <v>9.6843086000000002E-3</v>
      </c>
      <c r="AJ242">
        <v>0</v>
      </c>
      <c r="AK242">
        <v>0</v>
      </c>
      <c r="AL242">
        <v>0.33899790000000002</v>
      </c>
      <c r="AM242">
        <v>0</v>
      </c>
      <c r="AN242">
        <v>0</v>
      </c>
      <c r="AO242">
        <v>0</v>
      </c>
      <c r="AP242">
        <v>1.3445027E-3</v>
      </c>
      <c r="AQ242" s="217">
        <v>6.8840513999999995E-7</v>
      </c>
      <c r="AR242">
        <v>6.4958009999999998E-3</v>
      </c>
      <c r="AS242" s="217">
        <v>1.4082883E-6</v>
      </c>
      <c r="AT242">
        <v>0</v>
      </c>
      <c r="AU242">
        <v>0</v>
      </c>
      <c r="AV242">
        <v>0</v>
      </c>
      <c r="AW242">
        <v>0</v>
      </c>
      <c r="AX242">
        <v>0</v>
      </c>
    </row>
    <row r="243" spans="1:50" x14ac:dyDescent="0.35">
      <c r="A243" t="s">
        <v>1038</v>
      </c>
      <c r="B243" s="249">
        <f t="shared" si="3"/>
        <v>1.9587602700777001E-2</v>
      </c>
      <c r="C243" s="217">
        <v>2.8174145E-7</v>
      </c>
      <c r="D243">
        <v>5.9607409000000001E-4</v>
      </c>
      <c r="E243">
        <v>0.20403278999999999</v>
      </c>
      <c r="F243" s="217">
        <v>8.7478915000000001E-9</v>
      </c>
      <c r="G243" s="217">
        <v>4.7715997E-5</v>
      </c>
      <c r="H243">
        <v>4.9049556000000001E-4</v>
      </c>
      <c r="I243" s="217">
        <v>8.0077963999999996E-5</v>
      </c>
      <c r="J243">
        <v>6.8711314999999995E-2</v>
      </c>
      <c r="K243">
        <v>7.7356593999999997E-4</v>
      </c>
      <c r="L243">
        <v>2.8561561000000002</v>
      </c>
      <c r="M243">
        <v>3.2211638E-4</v>
      </c>
      <c r="N243">
        <v>0.20500072</v>
      </c>
      <c r="O243">
        <v>0.20013047</v>
      </c>
      <c r="P243">
        <v>4.8017592999999997E-3</v>
      </c>
      <c r="Q243" s="217">
        <v>6.8492900999999999E-5</v>
      </c>
      <c r="R243" s="217">
        <v>1.0692917E-8</v>
      </c>
      <c r="S243">
        <v>6.3095690999999995E-4</v>
      </c>
      <c r="T243" s="217">
        <v>4.3240154000000004E-6</v>
      </c>
      <c r="U243">
        <v>1.6582835000000001E-4</v>
      </c>
      <c r="V243">
        <v>1.9299171E-3</v>
      </c>
      <c r="W243">
        <v>5.0599146999999998E-4</v>
      </c>
      <c r="X243" s="217">
        <v>2.8172908000000002E-7</v>
      </c>
      <c r="Y243">
        <v>1.1150183</v>
      </c>
      <c r="Z243">
        <v>6.2251833999999999E-2</v>
      </c>
      <c r="AA243" s="217">
        <v>5.9645209000000003E-9</v>
      </c>
      <c r="AB243">
        <v>3.9048189999999999E-3</v>
      </c>
      <c r="AC243">
        <v>3.3682639000000001</v>
      </c>
      <c r="AD243" s="217">
        <v>6.5768437999999999E-11</v>
      </c>
      <c r="AE243" s="217">
        <v>1.9081931E-9</v>
      </c>
      <c r="AF243">
        <v>1.2984325999999999</v>
      </c>
      <c r="AG243">
        <v>0</v>
      </c>
      <c r="AH243">
        <v>0</v>
      </c>
      <c r="AI243">
        <v>0.17195028000000001</v>
      </c>
      <c r="AJ243">
        <v>0</v>
      </c>
      <c r="AK243">
        <v>0</v>
      </c>
      <c r="AL243">
        <v>1.1836758999999999</v>
      </c>
      <c r="AM243">
        <v>0</v>
      </c>
      <c r="AN243">
        <v>0</v>
      </c>
      <c r="AO243">
        <v>0</v>
      </c>
      <c r="AP243">
        <v>1.6072416999999999E-3</v>
      </c>
      <c r="AQ243" s="217">
        <v>2.3840299999999999E-6</v>
      </c>
      <c r="AR243">
        <v>2.1574657000000001E-2</v>
      </c>
      <c r="AS243" s="217">
        <v>5.1670377999999997E-6</v>
      </c>
      <c r="AT243">
        <v>0</v>
      </c>
      <c r="AU243">
        <v>0</v>
      </c>
      <c r="AV243">
        <v>0</v>
      </c>
      <c r="AW243">
        <v>0</v>
      </c>
      <c r="AX243">
        <v>0</v>
      </c>
    </row>
    <row r="244" spans="1:50" x14ac:dyDescent="0.35">
      <c r="A244" t="s">
        <v>1039</v>
      </c>
      <c r="B244" s="249">
        <f t="shared" si="3"/>
        <v>0.73172296879529997</v>
      </c>
      <c r="C244">
        <v>6.7832678999999998E-3</v>
      </c>
      <c r="D244">
        <v>3.0789337999999999E-2</v>
      </c>
      <c r="E244">
        <v>4.7125544000000001</v>
      </c>
      <c r="F244" s="217">
        <v>1.7317871E-7</v>
      </c>
      <c r="G244">
        <v>2.7189217999999999E-3</v>
      </c>
      <c r="H244">
        <v>4.6473843000000001E-2</v>
      </c>
      <c r="I244">
        <v>8.3288810999999994E-3</v>
      </c>
      <c r="J244">
        <v>2.0271176</v>
      </c>
      <c r="K244">
        <v>8.0915313000000003E-2</v>
      </c>
      <c r="L244">
        <v>312.19871000000001</v>
      </c>
      <c r="M244">
        <v>0.12828961</v>
      </c>
      <c r="N244">
        <v>4.8148619000000004</v>
      </c>
      <c r="O244">
        <v>4.8018707999999997</v>
      </c>
      <c r="P244">
        <v>-3.0904055999999999E-4</v>
      </c>
      <c r="Q244">
        <v>1.3300213999999999E-2</v>
      </c>
      <c r="R244" s="217">
        <v>1.9860309999999999E-7</v>
      </c>
      <c r="S244">
        <v>5.6305674E-2</v>
      </c>
      <c r="T244">
        <v>1.6448712000000001E-3</v>
      </c>
      <c r="U244">
        <v>8.0037033999999993E-3</v>
      </c>
      <c r="V244">
        <v>0.10404352</v>
      </c>
      <c r="W244">
        <v>2.4807025E-2</v>
      </c>
      <c r="X244">
        <v>6.7832680000000003E-3</v>
      </c>
      <c r="Y244">
        <v>49.845436999999997</v>
      </c>
      <c r="Z244">
        <v>1.4577385</v>
      </c>
      <c r="AA244" s="217">
        <v>3.7168680999999998E-7</v>
      </c>
      <c r="AB244">
        <v>8.5851713999999996E-2</v>
      </c>
      <c r="AC244">
        <v>696.07713000000001</v>
      </c>
      <c r="AD244" s="217">
        <v>7.6690277999999996E-9</v>
      </c>
      <c r="AE244" s="217">
        <v>9.0031855000000004E-7</v>
      </c>
      <c r="AF244">
        <v>14.533987</v>
      </c>
      <c r="AG244">
        <v>0</v>
      </c>
      <c r="AH244">
        <v>0</v>
      </c>
      <c r="AI244">
        <v>5.6067219000000001</v>
      </c>
      <c r="AJ244">
        <v>0</v>
      </c>
      <c r="AK244">
        <v>0</v>
      </c>
      <c r="AL244">
        <v>53.119587000000003</v>
      </c>
      <c r="AM244">
        <v>0</v>
      </c>
      <c r="AN244">
        <v>0</v>
      </c>
      <c r="AO244">
        <v>0</v>
      </c>
      <c r="AP244">
        <v>4.7641060999999998E-2</v>
      </c>
      <c r="AQ244">
        <v>3.0826879000000001E-3</v>
      </c>
      <c r="AR244">
        <v>0.43775233000000002</v>
      </c>
      <c r="AS244" s="217">
        <v>9.2611630999999998E-5</v>
      </c>
      <c r="AT244">
        <v>0</v>
      </c>
      <c r="AU244">
        <v>0</v>
      </c>
      <c r="AV244">
        <v>0</v>
      </c>
      <c r="AW244">
        <v>0</v>
      </c>
      <c r="AX244">
        <v>0</v>
      </c>
    </row>
    <row r="245" spans="1:50" x14ac:dyDescent="0.35">
      <c r="A245" t="s">
        <v>1040</v>
      </c>
      <c r="B245" s="249">
        <f t="shared" si="3"/>
        <v>1.3737476618511997</v>
      </c>
      <c r="C245">
        <v>2.0739072E-4</v>
      </c>
      <c r="D245">
        <v>6.6632003999999995E-2</v>
      </c>
      <c r="E245">
        <v>9.2551752999999994</v>
      </c>
      <c r="F245" s="217">
        <v>4.2264020000000002E-7</v>
      </c>
      <c r="G245">
        <v>4.4731362999999996E-3</v>
      </c>
      <c r="H245">
        <v>4.5912329000000002E-2</v>
      </c>
      <c r="I245">
        <v>6.3888948000000003E-3</v>
      </c>
      <c r="J245">
        <v>6.7552743</v>
      </c>
      <c r="K245">
        <v>8.0252776999999997E-2</v>
      </c>
      <c r="L245">
        <v>378.59323000000001</v>
      </c>
      <c r="M245">
        <v>3.2411322999999999E-2</v>
      </c>
      <c r="N245">
        <v>9.4799214999999997</v>
      </c>
      <c r="O245">
        <v>9.4745358999999993</v>
      </c>
      <c r="P245">
        <v>-1.1355519999999999E-2</v>
      </c>
      <c r="Q245">
        <v>1.6741104E-2</v>
      </c>
      <c r="R245" s="217">
        <v>4.2191758000000002E-7</v>
      </c>
      <c r="S245">
        <v>5.5660038000000002E-2</v>
      </c>
      <c r="T245">
        <v>9.778032900000001E-4</v>
      </c>
      <c r="U245">
        <v>8.4686178999999993E-3</v>
      </c>
      <c r="V245">
        <v>0.10521171999999999</v>
      </c>
      <c r="W245">
        <v>2.9137792999999999E-2</v>
      </c>
      <c r="X245">
        <v>2.0739205E-4</v>
      </c>
      <c r="Y245">
        <v>120.81151</v>
      </c>
      <c r="Z245">
        <v>3.638207</v>
      </c>
      <c r="AA245" s="217">
        <v>7.2259944999999999E-7</v>
      </c>
      <c r="AB245">
        <v>0.40961672999999998</v>
      </c>
      <c r="AC245">
        <v>228.40835000000001</v>
      </c>
      <c r="AD245" s="217">
        <v>1.3387917999999999E-8</v>
      </c>
      <c r="AE245" s="217">
        <v>2.3953278E-7</v>
      </c>
      <c r="AF245">
        <v>29.046986</v>
      </c>
      <c r="AG245">
        <v>0</v>
      </c>
      <c r="AH245">
        <v>0</v>
      </c>
      <c r="AI245">
        <v>11.860651000000001</v>
      </c>
      <c r="AJ245">
        <v>0</v>
      </c>
      <c r="AK245">
        <v>0</v>
      </c>
      <c r="AL245">
        <v>128.60335000000001</v>
      </c>
      <c r="AM245">
        <v>0</v>
      </c>
      <c r="AN245">
        <v>0</v>
      </c>
      <c r="AO245">
        <v>0</v>
      </c>
      <c r="AP245">
        <v>0.10893886999999999</v>
      </c>
      <c r="AQ245">
        <v>1.3285541000000001E-3</v>
      </c>
      <c r="AR245">
        <v>1.2678552999999999</v>
      </c>
      <c r="AS245">
        <v>3.1617625999999998E-4</v>
      </c>
      <c r="AT245">
        <v>0</v>
      </c>
      <c r="AU245">
        <v>0</v>
      </c>
      <c r="AV245">
        <v>0</v>
      </c>
      <c r="AW245">
        <v>0</v>
      </c>
      <c r="AX245">
        <v>0</v>
      </c>
    </row>
    <row r="246" spans="1:50" x14ac:dyDescent="0.35">
      <c r="A246" t="s">
        <v>1041</v>
      </c>
      <c r="B246" s="249">
        <f t="shared" si="3"/>
        <v>0.8779705564696999</v>
      </c>
      <c r="C246">
        <v>1.8999347E-4</v>
      </c>
      <c r="D246">
        <v>5.1498323999999998E-2</v>
      </c>
      <c r="E246">
        <v>7.3749780999999999</v>
      </c>
      <c r="F246" s="217">
        <v>4.0378415E-7</v>
      </c>
      <c r="G246">
        <v>2.2905193000000001E-3</v>
      </c>
      <c r="H246">
        <v>3.9234179000000001E-2</v>
      </c>
      <c r="I246">
        <v>9.3961637999999993E-3</v>
      </c>
      <c r="J246">
        <v>2.5148486999999999</v>
      </c>
      <c r="K246">
        <v>6.3700409E-2</v>
      </c>
      <c r="L246">
        <v>256.30482000000001</v>
      </c>
      <c r="M246">
        <v>1.6305018000000001E-2</v>
      </c>
      <c r="N246">
        <v>7.5920911000000002</v>
      </c>
      <c r="O246">
        <v>7.4658389999999999</v>
      </c>
      <c r="P246">
        <v>0.11556651</v>
      </c>
      <c r="Q246">
        <v>1.0685653999999999E-2</v>
      </c>
      <c r="R246" s="217">
        <v>4.0701792000000003E-7</v>
      </c>
      <c r="S246">
        <v>5.0664092000000001E-2</v>
      </c>
      <c r="T246">
        <v>1.8242186000000001E-3</v>
      </c>
      <c r="U246">
        <v>7.37187E-3</v>
      </c>
      <c r="V246">
        <v>0.1212968</v>
      </c>
      <c r="W246">
        <v>2.14617E-2</v>
      </c>
      <c r="X246">
        <v>1.8999353999999999E-4</v>
      </c>
      <c r="Y246">
        <v>96.384255999999993</v>
      </c>
      <c r="Z246">
        <v>1.6510562</v>
      </c>
      <c r="AA246" s="217">
        <v>4.5049585999999998E-7</v>
      </c>
      <c r="AB246">
        <v>0.34984443999999998</v>
      </c>
      <c r="AC246">
        <v>215.68117000000001</v>
      </c>
      <c r="AD246" s="217">
        <v>3.4884763E-9</v>
      </c>
      <c r="AE246" s="217">
        <v>1.0509588E-7</v>
      </c>
      <c r="AF246">
        <v>23.021069000000001</v>
      </c>
      <c r="AG246">
        <v>0</v>
      </c>
      <c r="AH246">
        <v>0</v>
      </c>
      <c r="AI246">
        <v>9.1829950999999994</v>
      </c>
      <c r="AJ246">
        <v>0</v>
      </c>
      <c r="AK246">
        <v>0</v>
      </c>
      <c r="AL246">
        <v>102.84757</v>
      </c>
      <c r="AM246">
        <v>0</v>
      </c>
      <c r="AN246">
        <v>0</v>
      </c>
      <c r="AO246">
        <v>0</v>
      </c>
      <c r="AP246">
        <v>5.6984979999999998E-2</v>
      </c>
      <c r="AQ246">
        <v>4.3376078999999998E-4</v>
      </c>
      <c r="AR246">
        <v>0.64089770000000001</v>
      </c>
      <c r="AS246">
        <v>3.2667725999999998E-4</v>
      </c>
      <c r="AT246">
        <v>0</v>
      </c>
      <c r="AU246">
        <v>0</v>
      </c>
      <c r="AV246">
        <v>0</v>
      </c>
      <c r="AW246">
        <v>0</v>
      </c>
      <c r="AX246">
        <v>0</v>
      </c>
    </row>
    <row r="247" spans="1:50" x14ac:dyDescent="0.35">
      <c r="A247" t="s">
        <v>1042</v>
      </c>
      <c r="B247" s="249">
        <f t="shared" si="3"/>
        <v>1.2852443775496001</v>
      </c>
      <c r="C247">
        <v>2.3498061000000001E-4</v>
      </c>
      <c r="D247">
        <v>7.6841590000000001E-2</v>
      </c>
      <c r="E247">
        <v>10.868895</v>
      </c>
      <c r="F247" s="217">
        <v>1.0932913999999999E-6</v>
      </c>
      <c r="G247">
        <v>7.1301862999999998E-3</v>
      </c>
      <c r="H247">
        <v>5.0501378999999999E-2</v>
      </c>
      <c r="I247">
        <v>8.3607665999999997E-3</v>
      </c>
      <c r="J247">
        <v>4.3312876999999999</v>
      </c>
      <c r="K247">
        <v>9.0252047000000002E-2</v>
      </c>
      <c r="L247">
        <v>440.95213999999999</v>
      </c>
      <c r="M247">
        <v>2.1718685000000001E-2</v>
      </c>
      <c r="N247">
        <v>11.114277</v>
      </c>
      <c r="O247">
        <v>11.064624</v>
      </c>
      <c r="P247">
        <v>3.2859528999999998E-2</v>
      </c>
      <c r="Q247">
        <v>1.6793483000000001E-2</v>
      </c>
      <c r="R247" s="217">
        <v>1.0366773999999999E-6</v>
      </c>
      <c r="S247">
        <v>6.1840550000000001E-2</v>
      </c>
      <c r="T247">
        <v>1.1200253000000001E-3</v>
      </c>
      <c r="U247">
        <v>1.0912366999999999E-2</v>
      </c>
      <c r="V247">
        <v>0.12504773999999999</v>
      </c>
      <c r="W247">
        <v>3.8463962999999997E-2</v>
      </c>
      <c r="X247">
        <v>2.3497962E-4</v>
      </c>
      <c r="Y247">
        <v>139.81836000000001</v>
      </c>
      <c r="Z247">
        <v>9.0571067999999997</v>
      </c>
      <c r="AA247" s="217">
        <v>5.9438898999999995E-7</v>
      </c>
      <c r="AB247">
        <v>0.48069603999999999</v>
      </c>
      <c r="AC247">
        <v>271.05520000000001</v>
      </c>
      <c r="AD247" s="217">
        <v>6.3880797999999997E-9</v>
      </c>
      <c r="AE247" s="217">
        <v>3.0608244000000001E-7</v>
      </c>
      <c r="AF247">
        <v>33.036309000000003</v>
      </c>
      <c r="AG247">
        <v>0</v>
      </c>
      <c r="AH247">
        <v>0</v>
      </c>
      <c r="AI247">
        <v>22.908179000000001</v>
      </c>
      <c r="AJ247">
        <v>0</v>
      </c>
      <c r="AK247">
        <v>0</v>
      </c>
      <c r="AL247">
        <v>149.23676</v>
      </c>
      <c r="AM247">
        <v>0</v>
      </c>
      <c r="AN247">
        <v>0</v>
      </c>
      <c r="AO247">
        <v>0</v>
      </c>
      <c r="AP247">
        <v>0.31042181000000002</v>
      </c>
      <c r="AQ247">
        <v>5.0380030000000001E-3</v>
      </c>
      <c r="AR247">
        <v>1.3085941999999999</v>
      </c>
      <c r="AS247">
        <v>3.7790327000000002E-4</v>
      </c>
      <c r="AT247">
        <v>0</v>
      </c>
      <c r="AU247">
        <v>0</v>
      </c>
      <c r="AV247">
        <v>0</v>
      </c>
      <c r="AW247">
        <v>0</v>
      </c>
      <c r="AX247">
        <v>0</v>
      </c>
    </row>
    <row r="248" spans="1:50" x14ac:dyDescent="0.35">
      <c r="A248" t="s">
        <v>1043</v>
      </c>
      <c r="B248" s="249">
        <f t="shared" si="3"/>
        <v>1.0237433677376999</v>
      </c>
      <c r="C248">
        <v>2.3413823E-4</v>
      </c>
      <c r="D248">
        <v>5.7839488000000001E-2</v>
      </c>
      <c r="E248">
        <v>8.2162562000000001</v>
      </c>
      <c r="F248" s="217">
        <v>9.8658803E-7</v>
      </c>
      <c r="G248">
        <v>6.5336591999999999E-3</v>
      </c>
      <c r="H248">
        <v>3.9421997E-2</v>
      </c>
      <c r="I248">
        <v>6.7869287E-3</v>
      </c>
      <c r="J248">
        <v>3.6988853000000002</v>
      </c>
      <c r="K248">
        <v>7.4129751999999993E-2</v>
      </c>
      <c r="L248">
        <v>356.26170000000002</v>
      </c>
      <c r="M248">
        <v>1.7029593999999999E-2</v>
      </c>
      <c r="N248">
        <v>8.4155023</v>
      </c>
      <c r="O248">
        <v>8.3639174000000001</v>
      </c>
      <c r="P248">
        <v>3.9209949000000001E-2</v>
      </c>
      <c r="Q248">
        <v>1.2375016000000001E-2</v>
      </c>
      <c r="R248" s="217">
        <v>9.2711146000000005E-7</v>
      </c>
      <c r="S248">
        <v>4.8454865E-2</v>
      </c>
      <c r="T248">
        <v>9.6985663000000004E-4</v>
      </c>
      <c r="U248">
        <v>8.6726458999999995E-3</v>
      </c>
      <c r="V248">
        <v>9.8846853999999998E-2</v>
      </c>
      <c r="W248">
        <v>3.170659E-2</v>
      </c>
      <c r="X248">
        <v>2.3413719000000001E-4</v>
      </c>
      <c r="Y248">
        <v>106.20799</v>
      </c>
      <c r="Z248">
        <v>10.031394000000001</v>
      </c>
      <c r="AA248" s="217">
        <v>4.9769169000000005E-7</v>
      </c>
      <c r="AB248">
        <v>0.34996047000000002</v>
      </c>
      <c r="AC248">
        <v>220.57140000000001</v>
      </c>
      <c r="AD248" s="217">
        <v>5.9008483999999998E-9</v>
      </c>
      <c r="AE248" s="217">
        <v>2.8286701E-7</v>
      </c>
      <c r="AF248">
        <v>29.083029</v>
      </c>
      <c r="AG248">
        <v>0</v>
      </c>
      <c r="AH248">
        <v>0</v>
      </c>
      <c r="AI248">
        <v>21.149336999999999</v>
      </c>
      <c r="AJ248">
        <v>0</v>
      </c>
      <c r="AK248">
        <v>0</v>
      </c>
      <c r="AL248">
        <v>113.41958</v>
      </c>
      <c r="AM248">
        <v>0</v>
      </c>
      <c r="AN248">
        <v>0</v>
      </c>
      <c r="AO248">
        <v>0</v>
      </c>
      <c r="AP248">
        <v>0.33686134000000001</v>
      </c>
      <c r="AQ248">
        <v>7.3727947E-3</v>
      </c>
      <c r="AR248">
        <v>0.84102056000000003</v>
      </c>
      <c r="AS248">
        <v>2.8641217999999998E-4</v>
      </c>
      <c r="AT248">
        <v>0</v>
      </c>
      <c r="AU248">
        <v>0</v>
      </c>
      <c r="AV248">
        <v>0</v>
      </c>
      <c r="AW248">
        <v>0</v>
      </c>
      <c r="AX248">
        <v>0</v>
      </c>
    </row>
    <row r="249" spans="1:50" x14ac:dyDescent="0.35">
      <c r="A249" s="197" t="s">
        <v>1170</v>
      </c>
      <c r="B249" s="249">
        <f t="shared" si="3"/>
        <v>0</v>
      </c>
      <c r="F249" s="217"/>
      <c r="R249" s="217"/>
      <c r="AA249" s="217"/>
      <c r="AD249" s="217"/>
      <c r="AE249" s="217"/>
    </row>
    <row r="250" spans="1:50" x14ac:dyDescent="0.35">
      <c r="A250" t="s">
        <v>724</v>
      </c>
      <c r="B250" s="249">
        <f t="shared" si="3"/>
        <v>7.8068538017455197E-2</v>
      </c>
      <c r="C250" s="217">
        <v>2.2824147E-7</v>
      </c>
      <c r="D250">
        <v>4.6255764999999999E-3</v>
      </c>
      <c r="E250">
        <v>0.87111806999999997</v>
      </c>
      <c r="F250" s="217">
        <v>7.0516994E-8</v>
      </c>
      <c r="G250">
        <v>2.3853184E-4</v>
      </c>
      <c r="H250">
        <v>4.2165609999999997E-3</v>
      </c>
      <c r="I250">
        <v>3.7932150999999998E-4</v>
      </c>
      <c r="J250">
        <v>0.12746097000000001</v>
      </c>
      <c r="K250">
        <v>2.1140492999999999E-3</v>
      </c>
      <c r="L250">
        <v>14.11439</v>
      </c>
      <c r="M250">
        <v>1.1140200000000001E-3</v>
      </c>
      <c r="N250">
        <v>0.88620399000000005</v>
      </c>
      <c r="O250">
        <v>0.87754679999999996</v>
      </c>
      <c r="P250">
        <v>8.0631112000000005E-3</v>
      </c>
      <c r="Q250">
        <v>5.9408218000000005E-4</v>
      </c>
      <c r="R250" s="217">
        <v>6.927995E-8</v>
      </c>
      <c r="S250">
        <v>5.1348566999999999E-3</v>
      </c>
      <c r="T250" s="217">
        <v>3.183729E-5</v>
      </c>
      <c r="U250">
        <v>6.2914104999999996E-4</v>
      </c>
      <c r="V250">
        <v>9.0789492999999999E-3</v>
      </c>
      <c r="W250">
        <v>1.9883253000000001E-3</v>
      </c>
      <c r="X250" s="217">
        <v>2.2824344E-7</v>
      </c>
      <c r="Y250">
        <v>10.542835</v>
      </c>
      <c r="Z250">
        <v>0.10314853</v>
      </c>
      <c r="AA250" s="217">
        <v>4.0128509999999998E-8</v>
      </c>
      <c r="AB250">
        <v>5.2341049000000001E-2</v>
      </c>
      <c r="AC250">
        <v>10.372004</v>
      </c>
      <c r="AD250" s="217">
        <v>1.4411146999999999E-10</v>
      </c>
      <c r="AE250" s="217">
        <v>5.5876681000000002E-9</v>
      </c>
      <c r="AF250">
        <v>1.6556702999999999</v>
      </c>
      <c r="AG250">
        <v>0</v>
      </c>
      <c r="AH250">
        <v>0</v>
      </c>
      <c r="AI250">
        <v>0.89281412000000004</v>
      </c>
      <c r="AJ250">
        <v>0</v>
      </c>
      <c r="AK250">
        <v>0</v>
      </c>
      <c r="AL250">
        <v>11.317434</v>
      </c>
      <c r="AM250">
        <v>0</v>
      </c>
      <c r="AN250">
        <v>0</v>
      </c>
      <c r="AO250">
        <v>0</v>
      </c>
      <c r="AP250">
        <v>4.9867117000000002E-3</v>
      </c>
      <c r="AQ250" s="217">
        <v>1.2274674999999999E-5</v>
      </c>
      <c r="AR250">
        <v>4.6797212999999997E-2</v>
      </c>
      <c r="AS250" s="217">
        <v>4.6745366999999998E-5</v>
      </c>
      <c r="AT250">
        <v>0</v>
      </c>
      <c r="AU250">
        <v>0</v>
      </c>
      <c r="AV250">
        <v>0</v>
      </c>
      <c r="AW250">
        <v>0</v>
      </c>
      <c r="AX250">
        <v>0</v>
      </c>
    </row>
    <row r="251" spans="1:50" x14ac:dyDescent="0.35">
      <c r="A251" t="s">
        <v>725</v>
      </c>
      <c r="B251" s="249">
        <f t="shared" si="3"/>
        <v>5.3274503739617285E-2</v>
      </c>
      <c r="C251" s="217">
        <v>4.0308008000000002E-8</v>
      </c>
      <c r="D251">
        <v>1.7998105999999999E-4</v>
      </c>
      <c r="E251">
        <v>0.51951643000000003</v>
      </c>
      <c r="F251" s="217">
        <v>3.9228512000000003E-9</v>
      </c>
      <c r="G251" s="217">
        <v>1.3911892E-5</v>
      </c>
      <c r="H251">
        <v>2.2703373999999999E-4</v>
      </c>
      <c r="I251" s="217">
        <v>8.3061196999999995E-5</v>
      </c>
      <c r="J251">
        <v>9.0777567000000003E-2</v>
      </c>
      <c r="K251">
        <v>2.8358435000000001E-2</v>
      </c>
      <c r="L251">
        <v>165.30876000000001</v>
      </c>
      <c r="M251">
        <v>5.7735896999999996E-4</v>
      </c>
      <c r="N251">
        <v>1.2732517999999999</v>
      </c>
      <c r="O251">
        <v>0.52150492999999998</v>
      </c>
      <c r="P251">
        <v>0.75173966999999997</v>
      </c>
      <c r="Q251" s="217">
        <v>7.2550691000000004E-6</v>
      </c>
      <c r="R251" s="217">
        <v>4.4646824000000003E-9</v>
      </c>
      <c r="S251">
        <v>3.1246270000000003E-4</v>
      </c>
      <c r="T251" s="217">
        <v>8.3505534999999998E-7</v>
      </c>
      <c r="U251">
        <v>1.32986E-4</v>
      </c>
      <c r="V251">
        <v>1.3828617E-3</v>
      </c>
      <c r="W251">
        <v>3.4152124999999999E-4</v>
      </c>
      <c r="X251" s="217">
        <v>4.0314052000000003E-8</v>
      </c>
      <c r="Y251">
        <v>0.34883491999999999</v>
      </c>
      <c r="Z251">
        <v>6.7377694000000002E-2</v>
      </c>
      <c r="AA251" s="217">
        <v>2.6179433E-9</v>
      </c>
      <c r="AB251">
        <v>9.1530441999999998E-4</v>
      </c>
      <c r="AC251">
        <v>2.5958272</v>
      </c>
      <c r="AD251" s="217">
        <v>1.4356592999999999E-10</v>
      </c>
      <c r="AE251" s="217">
        <v>5.4580999999999996E-9</v>
      </c>
      <c r="AF251">
        <v>0.19145039</v>
      </c>
      <c r="AG251">
        <v>0</v>
      </c>
      <c r="AH251">
        <v>0</v>
      </c>
      <c r="AI251">
        <v>1.0170054E-2</v>
      </c>
      <c r="AJ251">
        <v>0</v>
      </c>
      <c r="AK251">
        <v>0</v>
      </c>
      <c r="AL251">
        <v>0.37658829999999999</v>
      </c>
      <c r="AM251">
        <v>0</v>
      </c>
      <c r="AN251">
        <v>0</v>
      </c>
      <c r="AO251">
        <v>0</v>
      </c>
      <c r="AP251">
        <v>1.1359390999999999E-3</v>
      </c>
      <c r="AQ251" s="217">
        <v>9.9854684999999996E-7</v>
      </c>
      <c r="AR251">
        <v>5.3305915000000002E-2</v>
      </c>
      <c r="AS251" s="217">
        <v>1.2409822000000001E-6</v>
      </c>
      <c r="AT251">
        <v>0</v>
      </c>
      <c r="AU251">
        <v>0</v>
      </c>
      <c r="AV251">
        <v>0</v>
      </c>
      <c r="AW251">
        <v>0</v>
      </c>
      <c r="AX251">
        <v>0</v>
      </c>
    </row>
    <row r="252" spans="1:50" x14ac:dyDescent="0.35">
      <c r="A252" t="s">
        <v>726</v>
      </c>
      <c r="B252" s="249">
        <f t="shared" si="3"/>
        <v>4.6607399986545997E-3</v>
      </c>
      <c r="C252" s="217">
        <v>2.4554110000000001E-8</v>
      </c>
      <c r="D252">
        <v>3.1873900000000001E-4</v>
      </c>
      <c r="E252">
        <v>3.960491E-2</v>
      </c>
      <c r="F252" s="217">
        <v>4.1191698999999999E-9</v>
      </c>
      <c r="G252" s="217">
        <v>2.6445491000000002E-5</v>
      </c>
      <c r="H252">
        <v>2.2146764999999999E-4</v>
      </c>
      <c r="I252" s="217">
        <v>2.9788123999999999E-5</v>
      </c>
      <c r="J252">
        <v>1.4309422E-2</v>
      </c>
      <c r="K252">
        <v>4.7214653E-4</v>
      </c>
      <c r="L252">
        <v>1.1604266999999999</v>
      </c>
      <c r="M252" s="217">
        <v>7.4316850000000003E-5</v>
      </c>
      <c r="N252">
        <v>4.1054424999999999E-2</v>
      </c>
      <c r="O252">
        <v>4.0593270000000001E-2</v>
      </c>
      <c r="P252">
        <v>4.2825032E-4</v>
      </c>
      <c r="Q252" s="217">
        <v>3.2904397000000001E-5</v>
      </c>
      <c r="R252" s="217">
        <v>4.9311920999999996E-9</v>
      </c>
      <c r="S252">
        <v>2.7635229999999999E-4</v>
      </c>
      <c r="T252" s="217">
        <v>1.7078631999999999E-6</v>
      </c>
      <c r="U252" s="217">
        <v>6.1899511000000003E-5</v>
      </c>
      <c r="V252">
        <v>7.1412606999999998E-4</v>
      </c>
      <c r="W252">
        <v>2.0693312999999999E-4</v>
      </c>
      <c r="X252" s="217">
        <v>2.4554761E-8</v>
      </c>
      <c r="Y252">
        <v>0.59804807000000004</v>
      </c>
      <c r="Z252">
        <v>1.6519842999999999E-2</v>
      </c>
      <c r="AA252" s="217">
        <v>3.6132752999999999E-9</v>
      </c>
      <c r="AB252">
        <v>2.125264E-3</v>
      </c>
      <c r="AC252">
        <v>619.73595999999998</v>
      </c>
      <c r="AD252" s="217">
        <v>3.4690142000000003E-11</v>
      </c>
      <c r="AE252" s="217">
        <v>9.7700827999999991E-10</v>
      </c>
      <c r="AF252">
        <v>0.69451489</v>
      </c>
      <c r="AG252">
        <v>0</v>
      </c>
      <c r="AH252">
        <v>0</v>
      </c>
      <c r="AI252">
        <v>3.2741373999999997E-2</v>
      </c>
      <c r="AJ252">
        <v>0</v>
      </c>
      <c r="AK252">
        <v>0</v>
      </c>
      <c r="AL252">
        <v>0.63587092000000001</v>
      </c>
      <c r="AM252">
        <v>0</v>
      </c>
      <c r="AN252">
        <v>0</v>
      </c>
      <c r="AO252">
        <v>0</v>
      </c>
      <c r="AP252">
        <v>4.4209598999999999E-4</v>
      </c>
      <c r="AQ252" s="217">
        <v>5.8382499000000004E-7</v>
      </c>
      <c r="AR252">
        <v>1.0167373</v>
      </c>
      <c r="AS252" s="217">
        <v>2.5240083999999999E-6</v>
      </c>
      <c r="AT252">
        <v>0</v>
      </c>
      <c r="AU252">
        <v>0</v>
      </c>
      <c r="AV252">
        <v>0</v>
      </c>
      <c r="AW252">
        <v>0</v>
      </c>
      <c r="AX252">
        <v>0</v>
      </c>
    </row>
    <row r="253" spans="1:50" x14ac:dyDescent="0.35">
      <c r="A253" t="s">
        <v>727</v>
      </c>
      <c r="B253" s="249">
        <f t="shared" si="3"/>
        <v>7.4328693640993582E-4</v>
      </c>
      <c r="C253" s="217">
        <v>5.9457370999999997E-9</v>
      </c>
      <c r="D253" s="217">
        <v>7.7202086000000006E-5</v>
      </c>
      <c r="E253">
        <v>5.2819605999999998E-3</v>
      </c>
      <c r="F253" s="217">
        <v>1.9045989999999999E-9</v>
      </c>
      <c r="G253" s="217">
        <v>5.7502302999999998E-6</v>
      </c>
      <c r="H253" s="217">
        <v>3.9821228000000001E-5</v>
      </c>
      <c r="I253" s="217">
        <v>7.5311986E-6</v>
      </c>
      <c r="J253">
        <v>2.2967348999999998E-3</v>
      </c>
      <c r="K253" s="217">
        <v>5.5625991000000001E-5</v>
      </c>
      <c r="L253">
        <v>0.19493342999999999</v>
      </c>
      <c r="M253" s="217">
        <v>5.7343271999999999E-6</v>
      </c>
      <c r="N253">
        <v>5.3969352999999999E-3</v>
      </c>
      <c r="O253">
        <v>5.3862720999999997E-3</v>
      </c>
      <c r="P253" s="217">
        <v>9.2073338000000006E-6</v>
      </c>
      <c r="Q253" s="217">
        <v>1.4559072999999999E-6</v>
      </c>
      <c r="R253" s="217">
        <v>2.3989378000000001E-9</v>
      </c>
      <c r="S253" s="217">
        <v>5.2256492999999998E-5</v>
      </c>
      <c r="T253" s="217">
        <v>9.4861178000000002E-8</v>
      </c>
      <c r="U253" s="217">
        <v>1.7140547000000002E-5</v>
      </c>
      <c r="V253">
        <v>1.8990607000000001E-4</v>
      </c>
      <c r="W253" s="217">
        <v>5.5303984000000001E-5</v>
      </c>
      <c r="X253" s="217">
        <v>5.9458232999999999E-9</v>
      </c>
      <c r="Y253">
        <v>0.16233148999999999</v>
      </c>
      <c r="Z253">
        <v>7.1710382999999999E-3</v>
      </c>
      <c r="AA253" s="217">
        <v>9.7683501000000001E-10</v>
      </c>
      <c r="AB253">
        <v>6.7183716000000001E-4</v>
      </c>
      <c r="AC253">
        <v>9.6042305999999994E-2</v>
      </c>
      <c r="AD253" s="217">
        <v>2.1108464E-12</v>
      </c>
      <c r="AE253" s="217">
        <v>6.8110913999999996E-11</v>
      </c>
      <c r="AF253">
        <v>0.31003019999999998</v>
      </c>
      <c r="AG253">
        <v>0</v>
      </c>
      <c r="AH253">
        <v>0</v>
      </c>
      <c r="AI253">
        <v>1.3278553000000001E-3</v>
      </c>
      <c r="AJ253">
        <v>0</v>
      </c>
      <c r="AK253">
        <v>0</v>
      </c>
      <c r="AL253">
        <v>0.17242046</v>
      </c>
      <c r="AM253">
        <v>0</v>
      </c>
      <c r="AN253">
        <v>0</v>
      </c>
      <c r="AO253">
        <v>0</v>
      </c>
      <c r="AP253">
        <v>1.693589E-4</v>
      </c>
      <c r="AQ253" s="217">
        <v>1.0858188E-7</v>
      </c>
      <c r="AR253">
        <v>0.99966131999999996</v>
      </c>
      <c r="AS253" s="217">
        <v>1.0735633E-6</v>
      </c>
      <c r="AT253">
        <v>0</v>
      </c>
      <c r="AU253">
        <v>0</v>
      </c>
      <c r="AV253">
        <v>0</v>
      </c>
      <c r="AW253">
        <v>0</v>
      </c>
      <c r="AX253">
        <v>0</v>
      </c>
    </row>
    <row r="254" spans="1:50" x14ac:dyDescent="0.35">
      <c r="A254" t="s">
        <v>728</v>
      </c>
      <c r="B254" s="249">
        <f t="shared" si="3"/>
        <v>8.3378195821044807E-3</v>
      </c>
      <c r="C254" s="217">
        <v>1.4294302999999999E-8</v>
      </c>
      <c r="D254">
        <v>1.3177353000000001E-4</v>
      </c>
      <c r="E254">
        <v>0.12820218</v>
      </c>
      <c r="F254" s="217">
        <v>2.8996091999999998E-9</v>
      </c>
      <c r="G254" s="217">
        <v>3.1866014999999997E-5</v>
      </c>
      <c r="H254">
        <v>1.3669473000000001E-4</v>
      </c>
      <c r="I254" s="217">
        <v>6.0323104000000003E-5</v>
      </c>
      <c r="J254">
        <v>6.1196871999999996E-3</v>
      </c>
      <c r="K254">
        <v>1.4166700000000001E-3</v>
      </c>
      <c r="L254">
        <v>1.5879749999999999</v>
      </c>
      <c r="M254" s="217">
        <v>1.7486799000000001E-5</v>
      </c>
      <c r="N254">
        <v>0.15003474999999999</v>
      </c>
      <c r="O254">
        <v>0.14993645999999999</v>
      </c>
      <c r="P254" s="217">
        <v>9.3186077999999999E-5</v>
      </c>
      <c r="Q254" s="217">
        <v>5.1095266999999998E-6</v>
      </c>
      <c r="R254" s="217">
        <v>3.6118016E-9</v>
      </c>
      <c r="S254">
        <v>1.6565281000000001E-4</v>
      </c>
      <c r="T254" s="217">
        <v>3.0472899999999998E-7</v>
      </c>
      <c r="U254">
        <v>1.2814626000000001E-4</v>
      </c>
      <c r="V254">
        <v>3.4854063999999998E-4</v>
      </c>
      <c r="W254">
        <v>1.3581737999999999E-4</v>
      </c>
      <c r="X254" s="217">
        <v>1.429448E-8</v>
      </c>
      <c r="Y254">
        <v>0.27616696000000002</v>
      </c>
      <c r="Z254">
        <v>1.1704641E-2</v>
      </c>
      <c r="AA254" s="217">
        <v>1.8075151000000001E-9</v>
      </c>
      <c r="AB254">
        <v>1.1235583000000001E-3</v>
      </c>
      <c r="AC254">
        <v>0.33253781999999998</v>
      </c>
      <c r="AD254" s="217">
        <v>7.0960705E-12</v>
      </c>
      <c r="AE254" s="217">
        <v>1.4315245E-10</v>
      </c>
      <c r="AF254">
        <v>0.59450387999999998</v>
      </c>
      <c r="AG254">
        <v>0</v>
      </c>
      <c r="AH254">
        <v>0</v>
      </c>
      <c r="AI254">
        <v>5.3879987000000004E-3</v>
      </c>
      <c r="AJ254">
        <v>0</v>
      </c>
      <c r="AK254">
        <v>0</v>
      </c>
      <c r="AL254">
        <v>0.29335673000000001</v>
      </c>
      <c r="AM254">
        <v>0</v>
      </c>
      <c r="AN254">
        <v>0</v>
      </c>
      <c r="AO254">
        <v>0</v>
      </c>
      <c r="AP254">
        <v>2.8343379000000002E-4</v>
      </c>
      <c r="AQ254" s="217">
        <v>2.164052E-7</v>
      </c>
      <c r="AR254">
        <v>1.0022709999999999</v>
      </c>
      <c r="AS254" s="217">
        <v>1.68477E-6</v>
      </c>
      <c r="AT254">
        <v>0</v>
      </c>
      <c r="AU254">
        <v>0</v>
      </c>
      <c r="AV254">
        <v>0</v>
      </c>
      <c r="AW254">
        <v>0</v>
      </c>
      <c r="AX254">
        <v>0</v>
      </c>
    </row>
    <row r="255" spans="1:50" x14ac:dyDescent="0.35">
      <c r="A255" t="s">
        <v>729</v>
      </c>
      <c r="B255" s="249">
        <f t="shared" si="3"/>
        <v>8.2584808004598411E-3</v>
      </c>
      <c r="C255" s="217">
        <v>1.4030348999999999E-8</v>
      </c>
      <c r="D255">
        <v>1.3172031999999999E-4</v>
      </c>
      <c r="E255">
        <v>0.133295</v>
      </c>
      <c r="F255" s="217">
        <v>2.8762808000000002E-9</v>
      </c>
      <c r="G255" s="217">
        <v>3.0256806000000001E-5</v>
      </c>
      <c r="H255" s="217">
        <v>7.4137250000000002E-5</v>
      </c>
      <c r="I255" s="217">
        <v>3.4506530000000001E-5</v>
      </c>
      <c r="J255">
        <v>7.0863183999999996E-3</v>
      </c>
      <c r="K255">
        <v>1.7312905000000001E-3</v>
      </c>
      <c r="L255">
        <v>2.1383988</v>
      </c>
      <c r="M255" s="217">
        <v>2.3306383000000001E-5</v>
      </c>
      <c r="N255">
        <v>0.15605466000000001</v>
      </c>
      <c r="O255">
        <v>0.15593853999999999</v>
      </c>
      <c r="P255">
        <v>1.1116333E-4</v>
      </c>
      <c r="Q255" s="217">
        <v>4.9568202000000001E-6</v>
      </c>
      <c r="R255" s="217">
        <v>3.5982519999999999E-9</v>
      </c>
      <c r="S255" s="217">
        <v>9.6901488000000001E-5</v>
      </c>
      <c r="T255" s="217">
        <v>2.8253351E-7</v>
      </c>
      <c r="U255" s="217">
        <v>6.8499090999999998E-5</v>
      </c>
      <c r="V255">
        <v>3.4244058999999998E-4</v>
      </c>
      <c r="W255">
        <v>1.3252570999999999E-4</v>
      </c>
      <c r="X255" s="217">
        <v>1.4030516E-8</v>
      </c>
      <c r="Y255">
        <v>0.27337302000000002</v>
      </c>
      <c r="Z255">
        <v>1.1655476999999999E-2</v>
      </c>
      <c r="AA255" s="217">
        <v>1.7663087999999999E-9</v>
      </c>
      <c r="AB255">
        <v>1.0795999E-3</v>
      </c>
      <c r="AC255">
        <v>0.33127275</v>
      </c>
      <c r="AD255" s="217">
        <v>7.4451648999999998E-12</v>
      </c>
      <c r="AE255" s="217">
        <v>1.9628894000000001E-10</v>
      </c>
      <c r="AF255">
        <v>0.59341739999999998</v>
      </c>
      <c r="AG255">
        <v>0</v>
      </c>
      <c r="AH255">
        <v>0</v>
      </c>
      <c r="AI255">
        <v>4.5945839999999996E-3</v>
      </c>
      <c r="AJ255">
        <v>0</v>
      </c>
      <c r="AK255">
        <v>0</v>
      </c>
      <c r="AL255">
        <v>0.29051076999999997</v>
      </c>
      <c r="AM255">
        <v>0</v>
      </c>
      <c r="AN255">
        <v>0</v>
      </c>
      <c r="AO255">
        <v>0</v>
      </c>
      <c r="AP255">
        <v>2.7987500000000001E-4</v>
      </c>
      <c r="AQ255" s="217">
        <v>2.1352927999999999E-7</v>
      </c>
      <c r="AR255">
        <v>1.0022495</v>
      </c>
      <c r="AS255" s="217">
        <v>1.6447065E-6</v>
      </c>
      <c r="AT255">
        <v>0</v>
      </c>
      <c r="AU255">
        <v>0</v>
      </c>
      <c r="AV255">
        <v>0</v>
      </c>
      <c r="AW255">
        <v>0</v>
      </c>
      <c r="AX255">
        <v>0</v>
      </c>
    </row>
    <row r="256" spans="1:50" x14ac:dyDescent="0.35">
      <c r="A256" t="s">
        <v>730</v>
      </c>
      <c r="B256" s="249">
        <f t="shared" si="3"/>
        <v>7.4328693640993582E-4</v>
      </c>
      <c r="C256" s="217">
        <v>5.9457370999999997E-9</v>
      </c>
      <c r="D256" s="217">
        <v>7.7202086000000006E-5</v>
      </c>
      <c r="E256">
        <v>5.2819605999999998E-3</v>
      </c>
      <c r="F256" s="217">
        <v>1.9045989999999999E-9</v>
      </c>
      <c r="G256" s="217">
        <v>5.7502302999999998E-6</v>
      </c>
      <c r="H256" s="217">
        <v>3.9821228000000001E-5</v>
      </c>
      <c r="I256" s="217">
        <v>7.5311986E-6</v>
      </c>
      <c r="J256">
        <v>2.2967348999999998E-3</v>
      </c>
      <c r="K256" s="217">
        <v>5.5625991000000001E-5</v>
      </c>
      <c r="L256">
        <v>0.19493342999999999</v>
      </c>
      <c r="M256" s="217">
        <v>5.7343271999999999E-6</v>
      </c>
      <c r="N256">
        <v>5.3969352999999999E-3</v>
      </c>
      <c r="O256">
        <v>5.3862720999999997E-3</v>
      </c>
      <c r="P256" s="217">
        <v>9.2073338000000006E-6</v>
      </c>
      <c r="Q256" s="217">
        <v>1.4559072999999999E-6</v>
      </c>
      <c r="R256" s="217">
        <v>2.3989378000000001E-9</v>
      </c>
      <c r="S256" s="217">
        <v>5.2256492999999998E-5</v>
      </c>
      <c r="T256" s="217">
        <v>9.4861178000000002E-8</v>
      </c>
      <c r="U256" s="217">
        <v>1.7140547000000002E-5</v>
      </c>
      <c r="V256">
        <v>1.8990607000000001E-4</v>
      </c>
      <c r="W256" s="217">
        <v>5.5303984000000001E-5</v>
      </c>
      <c r="X256" s="217">
        <v>5.9458232999999999E-9</v>
      </c>
      <c r="Y256">
        <v>0.16233148999999999</v>
      </c>
      <c r="Z256">
        <v>7.1710382999999999E-3</v>
      </c>
      <c r="AA256" s="217">
        <v>9.7683501000000001E-10</v>
      </c>
      <c r="AB256">
        <v>6.7183716000000001E-4</v>
      </c>
      <c r="AC256">
        <v>9.6042305999999994E-2</v>
      </c>
      <c r="AD256" s="217">
        <v>2.1108464E-12</v>
      </c>
      <c r="AE256" s="217">
        <v>6.8110913999999996E-11</v>
      </c>
      <c r="AF256">
        <v>0.31003019999999998</v>
      </c>
      <c r="AG256">
        <v>0</v>
      </c>
      <c r="AH256">
        <v>0</v>
      </c>
      <c r="AI256">
        <v>1.3278553000000001E-3</v>
      </c>
      <c r="AJ256">
        <v>0</v>
      </c>
      <c r="AK256">
        <v>0</v>
      </c>
      <c r="AL256">
        <v>0.17242046</v>
      </c>
      <c r="AM256">
        <v>0</v>
      </c>
      <c r="AN256">
        <v>0</v>
      </c>
      <c r="AO256">
        <v>0</v>
      </c>
      <c r="AP256">
        <v>1.693589E-4</v>
      </c>
      <c r="AQ256" s="217">
        <v>1.0858188E-7</v>
      </c>
      <c r="AR256">
        <v>0.99966131999999996</v>
      </c>
      <c r="AS256" s="217">
        <v>1.0735633E-6</v>
      </c>
      <c r="AT256">
        <v>0</v>
      </c>
      <c r="AU256">
        <v>0</v>
      </c>
      <c r="AV256">
        <v>0</v>
      </c>
      <c r="AW256">
        <v>0</v>
      </c>
      <c r="AX256">
        <v>0</v>
      </c>
    </row>
    <row r="257" spans="1:50" x14ac:dyDescent="0.35">
      <c r="A257" t="s">
        <v>731</v>
      </c>
      <c r="B257" s="249">
        <f t="shared" si="3"/>
        <v>6.090781351946159E-4</v>
      </c>
      <c r="C257" s="217">
        <v>4.6081726000000002E-9</v>
      </c>
      <c r="D257" s="217">
        <v>6.630311E-5</v>
      </c>
      <c r="E257">
        <v>4.2489334E-3</v>
      </c>
      <c r="F257" s="217">
        <v>1.7041044999999999E-9</v>
      </c>
      <c r="G257" s="217">
        <v>4.6556040000000001E-6</v>
      </c>
      <c r="H257" s="217">
        <v>3.1559641000000001E-5</v>
      </c>
      <c r="I257" s="217">
        <v>6.6989251000000003E-6</v>
      </c>
      <c r="J257">
        <v>1.9230670000000001E-3</v>
      </c>
      <c r="K257" s="217">
        <v>4.6449684E-5</v>
      </c>
      <c r="L257">
        <v>0.15399500999999999</v>
      </c>
      <c r="M257" s="217">
        <v>4.3664621999999997E-6</v>
      </c>
      <c r="N257">
        <v>4.3292916999999997E-3</v>
      </c>
      <c r="O257">
        <v>4.3111080000000001E-3</v>
      </c>
      <c r="P257" s="217">
        <v>1.7484945999999998E-5</v>
      </c>
      <c r="Q257" s="217">
        <v>6.9872313000000002E-7</v>
      </c>
      <c r="R257" s="217">
        <v>2.1395100000000002E-9</v>
      </c>
      <c r="S257" s="217">
        <v>4.2471510999999998E-5</v>
      </c>
      <c r="T257" s="217">
        <v>5.5920878000000002E-8</v>
      </c>
      <c r="U257" s="217">
        <v>1.5413779000000001E-5</v>
      </c>
      <c r="V257">
        <v>1.7199968000000001E-4</v>
      </c>
      <c r="W257" s="217">
        <v>4.8864783E-5</v>
      </c>
      <c r="X257" s="217">
        <v>4.6081679000000004E-9</v>
      </c>
      <c r="Y257">
        <v>0.14260996000000001</v>
      </c>
      <c r="Z257">
        <v>6.0156143000000004E-4</v>
      </c>
      <c r="AA257" s="217">
        <v>8.9651615999999998E-10</v>
      </c>
      <c r="AB257">
        <v>6.2896698E-4</v>
      </c>
      <c r="AC257">
        <v>7.3307683999999998E-2</v>
      </c>
      <c r="AD257" s="217">
        <v>1.5170128E-12</v>
      </c>
      <c r="AE257" s="217">
        <v>4.1060398000000002E-11</v>
      </c>
      <c r="AF257">
        <v>0.30428454999999999</v>
      </c>
      <c r="AG257">
        <v>0</v>
      </c>
      <c r="AH257">
        <v>0</v>
      </c>
      <c r="AI257">
        <v>1.8689557000000001E-3</v>
      </c>
      <c r="AJ257">
        <v>0</v>
      </c>
      <c r="AK257">
        <v>0</v>
      </c>
      <c r="AL257">
        <v>0.15137587999999999</v>
      </c>
      <c r="AM257">
        <v>0</v>
      </c>
      <c r="AN257">
        <v>0</v>
      </c>
      <c r="AO257">
        <v>0</v>
      </c>
      <c r="AP257">
        <v>1.6776382999999999E-4</v>
      </c>
      <c r="AQ257" s="217">
        <v>4.8725540000000001E-8</v>
      </c>
      <c r="AR257">
        <v>0.99937589000000004</v>
      </c>
      <c r="AS257" s="217">
        <v>9.7585599999999989E-7</v>
      </c>
      <c r="AT257">
        <v>0</v>
      </c>
      <c r="AU257">
        <v>0</v>
      </c>
      <c r="AV257">
        <v>0</v>
      </c>
      <c r="AW257">
        <v>0</v>
      </c>
      <c r="AX257">
        <v>0</v>
      </c>
    </row>
    <row r="258" spans="1:50" x14ac:dyDescent="0.35">
      <c r="A258" t="s">
        <v>732</v>
      </c>
      <c r="B258" s="249">
        <f t="shared" si="3"/>
        <v>5.0230384238808008E-3</v>
      </c>
      <c r="C258" s="217">
        <v>1.3980355000000001E-8</v>
      </c>
      <c r="D258">
        <v>1.3107457000000001E-4</v>
      </c>
      <c r="E258">
        <v>7.5535904000000001E-2</v>
      </c>
      <c r="F258" s="217">
        <v>2.8725008E-9</v>
      </c>
      <c r="G258" s="217">
        <v>2.4060901000000001E-5</v>
      </c>
      <c r="H258" s="217">
        <v>7.2875555999999997E-5</v>
      </c>
      <c r="I258" s="217">
        <v>2.9222579E-5</v>
      </c>
      <c r="J258">
        <v>6.3993708999999996E-3</v>
      </c>
      <c r="K258">
        <v>1.0294168E-4</v>
      </c>
      <c r="L258">
        <v>0.42316359999999997</v>
      </c>
      <c r="M258" s="217">
        <v>2.0127539999999999E-5</v>
      </c>
      <c r="N258">
        <v>0.11162893</v>
      </c>
      <c r="O258">
        <v>1.097966E-2</v>
      </c>
      <c r="P258">
        <v>0.10064446000000001</v>
      </c>
      <c r="Q258" s="217">
        <v>4.8063719000000004E-6</v>
      </c>
      <c r="R258" s="217">
        <v>3.5946019000000002E-9</v>
      </c>
      <c r="S258" s="217">
        <v>9.5437231999999996E-5</v>
      </c>
      <c r="T258" s="217">
        <v>3.0901047999999998E-7</v>
      </c>
      <c r="U258" s="217">
        <v>5.9393759000000002E-5</v>
      </c>
      <c r="V258">
        <v>3.4082684999999998E-4</v>
      </c>
      <c r="W258">
        <v>1.2172258E-4</v>
      </c>
      <c r="X258" s="217">
        <v>1.3980521000000001E-8</v>
      </c>
      <c r="Y258">
        <v>0.27220006000000002</v>
      </c>
      <c r="Z258">
        <v>1.1640147999999999E-2</v>
      </c>
      <c r="AA258" s="217">
        <v>1.7610383E-9</v>
      </c>
      <c r="AB258">
        <v>1.0745592E-3</v>
      </c>
      <c r="AC258">
        <v>0.24359697</v>
      </c>
      <c r="AD258" s="217">
        <v>6.8831428999999997E-12</v>
      </c>
      <c r="AE258" s="217">
        <v>2.6702834000000001E-10</v>
      </c>
      <c r="AF258">
        <v>0.59323042000000004</v>
      </c>
      <c r="AG258">
        <v>0</v>
      </c>
      <c r="AH258">
        <v>0</v>
      </c>
      <c r="AI258">
        <v>4.4704232000000003E-3</v>
      </c>
      <c r="AJ258">
        <v>0</v>
      </c>
      <c r="AK258">
        <v>0</v>
      </c>
      <c r="AL258">
        <v>0.28926481999999998</v>
      </c>
      <c r="AM258">
        <v>0</v>
      </c>
      <c r="AN258">
        <v>0</v>
      </c>
      <c r="AO258">
        <v>0</v>
      </c>
      <c r="AP258">
        <v>2.7925927999999998E-4</v>
      </c>
      <c r="AQ258" s="217">
        <v>2.1628934E-7</v>
      </c>
      <c r="AR258">
        <v>1.0022428000000001</v>
      </c>
      <c r="AS258" s="217">
        <v>1.640998E-6</v>
      </c>
      <c r="AT258">
        <v>0</v>
      </c>
      <c r="AU258">
        <v>0</v>
      </c>
      <c r="AV258">
        <v>0</v>
      </c>
      <c r="AW258">
        <v>0</v>
      </c>
      <c r="AX258">
        <v>0</v>
      </c>
    </row>
    <row r="259" spans="1:50" x14ac:dyDescent="0.35">
      <c r="A259" t="s">
        <v>733</v>
      </c>
      <c r="B259" s="249">
        <f t="shared" si="3"/>
        <v>5.0382812687684003E-3</v>
      </c>
      <c r="C259" s="217">
        <v>1.397944E-8</v>
      </c>
      <c r="D259">
        <v>1.3106068999999999E-4</v>
      </c>
      <c r="E259">
        <v>7.5805328000000005E-2</v>
      </c>
      <c r="F259" s="217">
        <v>2.8724726000000001E-9</v>
      </c>
      <c r="G259" s="217">
        <v>2.4071569E-5</v>
      </c>
      <c r="H259" s="217">
        <v>7.2862829999999998E-5</v>
      </c>
      <c r="I259" s="217">
        <v>2.9097886E-5</v>
      </c>
      <c r="J259">
        <v>6.3936948000000004E-3</v>
      </c>
      <c r="K259">
        <v>1.2529205000000001E-4</v>
      </c>
      <c r="L259">
        <v>0.45082439000000002</v>
      </c>
      <c r="M259" s="217">
        <v>2.0126383000000001E-5</v>
      </c>
      <c r="N259">
        <v>0.11170894000000001</v>
      </c>
      <c r="O259">
        <v>1.2065269999999999E-2</v>
      </c>
      <c r="P259">
        <v>9.9638867000000006E-2</v>
      </c>
      <c r="Q259" s="217">
        <v>4.8033158E-6</v>
      </c>
      <c r="R259" s="217">
        <v>3.5945543999999999E-9</v>
      </c>
      <c r="S259" s="217">
        <v>9.5421791000000004E-5</v>
      </c>
      <c r="T259" s="217">
        <v>3.0859878000000002E-7</v>
      </c>
      <c r="U259" s="217">
        <v>5.9102703000000001E-5</v>
      </c>
      <c r="V259">
        <v>3.4079284999999999E-4</v>
      </c>
      <c r="W259">
        <v>1.2173311E-4</v>
      </c>
      <c r="X259" s="217">
        <v>1.3979605E-8</v>
      </c>
      <c r="Y259">
        <v>0.27218131000000001</v>
      </c>
      <c r="Z259">
        <v>1.1639958000000001E-2</v>
      </c>
      <c r="AA259" s="217">
        <v>1.7608724000000001E-9</v>
      </c>
      <c r="AB259">
        <v>1.0745532000000001E-3</v>
      </c>
      <c r="AC259">
        <v>0.24314353999999999</v>
      </c>
      <c r="AD259" s="217">
        <v>6.9451937000000003E-12</v>
      </c>
      <c r="AE259" s="217">
        <v>2.6609963999999999E-10</v>
      </c>
      <c r="AF259">
        <v>0.59322969999999997</v>
      </c>
      <c r="AG259">
        <v>0</v>
      </c>
      <c r="AH259">
        <v>0</v>
      </c>
      <c r="AI259">
        <v>4.4696522000000002E-3</v>
      </c>
      <c r="AJ259">
        <v>0</v>
      </c>
      <c r="AK259">
        <v>0</v>
      </c>
      <c r="AL259">
        <v>0.28924460000000002</v>
      </c>
      <c r="AM259">
        <v>0</v>
      </c>
      <c r="AN259">
        <v>0</v>
      </c>
      <c r="AO259">
        <v>0</v>
      </c>
      <c r="AP259">
        <v>2.7925505000000003E-4</v>
      </c>
      <c r="AQ259" s="217">
        <v>2.1622468E-7</v>
      </c>
      <c r="AR259">
        <v>1.002243</v>
      </c>
      <c r="AS259" s="217">
        <v>1.641014E-6</v>
      </c>
      <c r="AT259">
        <v>0</v>
      </c>
      <c r="AU259">
        <v>0</v>
      </c>
      <c r="AV259">
        <v>0</v>
      </c>
      <c r="AW259">
        <v>0</v>
      </c>
      <c r="AX259">
        <v>0</v>
      </c>
    </row>
    <row r="260" spans="1:50" x14ac:dyDescent="0.35">
      <c r="A260" t="s">
        <v>609</v>
      </c>
      <c r="B260" s="249">
        <f t="shared" si="3"/>
        <v>7.4328693680993595E-4</v>
      </c>
      <c r="C260" s="217">
        <v>5.9457370999999997E-9</v>
      </c>
      <c r="D260" s="217">
        <v>7.7202086000000006E-5</v>
      </c>
      <c r="E260">
        <v>5.2819605999999998E-3</v>
      </c>
      <c r="F260" s="217">
        <v>1.9045989999999999E-9</v>
      </c>
      <c r="G260" s="217">
        <v>5.7502304999999997E-6</v>
      </c>
      <c r="H260" s="217">
        <v>3.9821228000000001E-5</v>
      </c>
      <c r="I260" s="217">
        <v>7.5311986E-6</v>
      </c>
      <c r="J260">
        <v>2.2967348999999998E-3</v>
      </c>
      <c r="K260" s="217">
        <v>5.5625991000000001E-5</v>
      </c>
      <c r="L260">
        <v>0.19493342999999999</v>
      </c>
      <c r="M260" s="217">
        <v>5.7343271999999999E-6</v>
      </c>
      <c r="N260">
        <v>5.3969352999999999E-3</v>
      </c>
      <c r="O260">
        <v>5.3862720999999997E-3</v>
      </c>
      <c r="P260" s="217">
        <v>9.2073338000000006E-6</v>
      </c>
      <c r="Q260" s="217">
        <v>1.4559075E-6</v>
      </c>
      <c r="R260" s="217">
        <v>2.3989378000000001E-9</v>
      </c>
      <c r="S260" s="217">
        <v>5.2256492999999998E-5</v>
      </c>
      <c r="T260" s="217">
        <v>9.4861178000000002E-8</v>
      </c>
      <c r="U260" s="217">
        <v>1.7140547000000002E-5</v>
      </c>
      <c r="V260">
        <v>1.8990607000000001E-4</v>
      </c>
      <c r="W260" s="217">
        <v>5.5303984999999997E-5</v>
      </c>
      <c r="X260" s="217">
        <v>5.9458232999999999E-9</v>
      </c>
      <c r="Y260">
        <v>0.16233148999999999</v>
      </c>
      <c r="Z260">
        <v>7.1710430000000002E-3</v>
      </c>
      <c r="AA260" s="217">
        <v>9.7683501000000001E-10</v>
      </c>
      <c r="AB260">
        <v>6.7183716000000001E-4</v>
      </c>
      <c r="AC260">
        <v>9.6042305999999994E-2</v>
      </c>
      <c r="AD260" s="217">
        <v>2.1108464E-12</v>
      </c>
      <c r="AE260" s="217">
        <v>6.8110913999999996E-11</v>
      </c>
      <c r="AF260">
        <v>0.31003019999999998</v>
      </c>
      <c r="AG260">
        <v>0</v>
      </c>
      <c r="AH260">
        <v>0</v>
      </c>
      <c r="AI260">
        <v>1.3278553000000001E-3</v>
      </c>
      <c r="AJ260">
        <v>0</v>
      </c>
      <c r="AK260">
        <v>0</v>
      </c>
      <c r="AL260">
        <v>0.17242046</v>
      </c>
      <c r="AM260">
        <v>0</v>
      </c>
      <c r="AN260">
        <v>0</v>
      </c>
      <c r="AO260">
        <v>0</v>
      </c>
      <c r="AP260">
        <v>1.6935902E-4</v>
      </c>
      <c r="AQ260" s="217">
        <v>1.0858188E-7</v>
      </c>
      <c r="AR260">
        <v>0.99966131999999996</v>
      </c>
      <c r="AS260" s="217">
        <v>1.0735633E-6</v>
      </c>
      <c r="AT260">
        <v>0</v>
      </c>
      <c r="AU260">
        <v>0</v>
      </c>
      <c r="AV260">
        <v>0</v>
      </c>
      <c r="AW260">
        <v>0</v>
      </c>
      <c r="AX260">
        <v>0</v>
      </c>
    </row>
    <row r="261" spans="1:50" x14ac:dyDescent="0.35">
      <c r="A261" t="s">
        <v>734</v>
      </c>
      <c r="B261" s="249">
        <f t="shared" si="3"/>
        <v>1.6686968878042799E-3</v>
      </c>
      <c r="C261" s="217">
        <v>1.3007083E-8</v>
      </c>
      <c r="D261">
        <v>1.1215431000000001E-4</v>
      </c>
      <c r="E261">
        <v>8.9886937999999993E-3</v>
      </c>
      <c r="F261" s="217">
        <v>2.7915196999999998E-9</v>
      </c>
      <c r="G261" s="217">
        <v>8.9783207999999993E-6</v>
      </c>
      <c r="H261" s="217">
        <v>6.1189322999999997E-5</v>
      </c>
      <c r="I261" s="217">
        <v>1.2915888E-5</v>
      </c>
      <c r="J261">
        <v>7.5966171000000004E-3</v>
      </c>
      <c r="K261">
        <v>2.4557284E-3</v>
      </c>
      <c r="L261">
        <v>0.6378163</v>
      </c>
      <c r="M261" s="217">
        <v>1.8762247999999999E-5</v>
      </c>
      <c r="N261">
        <v>9.3929747000000008E-3</v>
      </c>
      <c r="O261">
        <v>9.1217395999999996E-3</v>
      </c>
      <c r="P261">
        <v>2.6936460000000001E-4</v>
      </c>
      <c r="Q261" s="217">
        <v>1.8704450000000001E-6</v>
      </c>
      <c r="R261" s="217">
        <v>3.3635708E-9</v>
      </c>
      <c r="S261" s="217">
        <v>8.3830108000000004E-5</v>
      </c>
      <c r="T261" s="217">
        <v>2.1045683000000001E-7</v>
      </c>
      <c r="U261" s="217">
        <v>2.8583413E-5</v>
      </c>
      <c r="V261">
        <v>3.4076301000000002E-4</v>
      </c>
      <c r="W261" s="217">
        <v>9.0742702000000007E-5</v>
      </c>
      <c r="X261" s="217">
        <v>1.300717E-8</v>
      </c>
      <c r="Y261">
        <v>0.26129277000000001</v>
      </c>
      <c r="Z261">
        <v>2.0633828000000002E-3</v>
      </c>
      <c r="AA261" s="217">
        <v>1.6515567E-9</v>
      </c>
      <c r="AB261">
        <v>1.5303657999999999E-3</v>
      </c>
      <c r="AC261">
        <v>1.1503937</v>
      </c>
      <c r="AD261" s="217">
        <v>1.0898191E-11</v>
      </c>
      <c r="AE261" s="217">
        <v>9.0450195999999997E-10</v>
      </c>
      <c r="AF261">
        <v>0.58729472000000005</v>
      </c>
      <c r="AG261">
        <v>0</v>
      </c>
      <c r="AH261">
        <v>0</v>
      </c>
      <c r="AI261">
        <v>1.4191466999999999E-2</v>
      </c>
      <c r="AJ261">
        <v>0</v>
      </c>
      <c r="AK261">
        <v>0</v>
      </c>
      <c r="AL261">
        <v>0.27627418999999998</v>
      </c>
      <c r="AM261">
        <v>0</v>
      </c>
      <c r="AN261">
        <v>0</v>
      </c>
      <c r="AO261">
        <v>0</v>
      </c>
      <c r="AP261">
        <v>3.1203441999999999E-4</v>
      </c>
      <c r="AQ261" s="217">
        <v>1.2599682E-7</v>
      </c>
      <c r="AR261">
        <v>1.0020693000000001</v>
      </c>
      <c r="AS261" s="217">
        <v>1.8311318000000001E-6</v>
      </c>
      <c r="AT261">
        <v>0</v>
      </c>
      <c r="AU261">
        <v>0</v>
      </c>
      <c r="AV261">
        <v>0</v>
      </c>
      <c r="AW261">
        <v>0</v>
      </c>
      <c r="AX261">
        <v>0</v>
      </c>
    </row>
    <row r="262" spans="1:50" x14ac:dyDescent="0.35">
      <c r="A262" t="s">
        <v>735</v>
      </c>
      <c r="B262" s="249">
        <f t="shared" ref="B262:B325" si="4">(C262*0.16)+(D262*0.16)+(E262*0.05)+(F262*30)+(G262*2)+(H262*4)+(I262*9)+(J262*0.09)+(K262*0.03)+(L262*0.0001)+(M262*0.06)</f>
        <v>7.644576561591919E-3</v>
      </c>
      <c r="C262" s="217">
        <v>1.4038361999999999E-8</v>
      </c>
      <c r="D262">
        <v>1.3177238E-4</v>
      </c>
      <c r="E262">
        <v>0.10999346</v>
      </c>
      <c r="F262" s="217">
        <v>2.8766618E-9</v>
      </c>
      <c r="G262" s="217">
        <v>2.6433641999999999E-5</v>
      </c>
      <c r="H262" s="217">
        <v>7.4349902999999999E-5</v>
      </c>
      <c r="I262" s="217">
        <v>3.6738089000000003E-5</v>
      </c>
      <c r="J262">
        <v>8.2310652999999998E-3</v>
      </c>
      <c r="K262">
        <v>5.2104593000000003E-3</v>
      </c>
      <c r="L262">
        <v>5.4447055999999998</v>
      </c>
      <c r="M262" s="217">
        <v>2.069203E-5</v>
      </c>
      <c r="N262">
        <v>0.12846774999999999</v>
      </c>
      <c r="O262">
        <v>0.12835952</v>
      </c>
      <c r="P262">
        <v>1.0325993000000001E-4</v>
      </c>
      <c r="Q262" s="217">
        <v>4.9719662000000002E-6</v>
      </c>
      <c r="R262" s="217">
        <v>3.5986091E-9</v>
      </c>
      <c r="S262" s="217">
        <v>9.7161569000000004E-5</v>
      </c>
      <c r="T262" s="217">
        <v>2.8307026999999998E-7</v>
      </c>
      <c r="U262" s="217">
        <v>7.5699639999999999E-5</v>
      </c>
      <c r="V262">
        <v>3.4292292000000002E-4</v>
      </c>
      <c r="W262">
        <v>1.2617488000000001E-4</v>
      </c>
      <c r="X262" s="217">
        <v>1.403853E-8</v>
      </c>
      <c r="Y262">
        <v>0.27347325</v>
      </c>
      <c r="Z262">
        <v>1.1657537000000001E-2</v>
      </c>
      <c r="AA262" s="217">
        <v>1.7648738000000001E-9</v>
      </c>
      <c r="AB262">
        <v>1.0800912000000001E-3</v>
      </c>
      <c r="AC262">
        <v>0.93821524000000001</v>
      </c>
      <c r="AD262" s="217">
        <v>7.2267886999999998E-12</v>
      </c>
      <c r="AE262" s="217">
        <v>2.9036834E-10</v>
      </c>
      <c r="AF262">
        <v>0.59341946999999995</v>
      </c>
      <c r="AG262">
        <v>0</v>
      </c>
      <c r="AH262">
        <v>0</v>
      </c>
      <c r="AI262">
        <v>4.6052018999999996E-3</v>
      </c>
      <c r="AJ262">
        <v>0</v>
      </c>
      <c r="AK262">
        <v>0</v>
      </c>
      <c r="AL262">
        <v>0.29061763000000002</v>
      </c>
      <c r="AM262">
        <v>0</v>
      </c>
      <c r="AN262">
        <v>0</v>
      </c>
      <c r="AO262">
        <v>0</v>
      </c>
      <c r="AP262">
        <v>2.7994842000000003E-4</v>
      </c>
      <c r="AQ262" s="217">
        <v>2.1362681000000001E-7</v>
      </c>
      <c r="AR262">
        <v>1.0022496999999999</v>
      </c>
      <c r="AS262" s="217">
        <v>1.6450517000000001E-6</v>
      </c>
      <c r="AT262">
        <v>0</v>
      </c>
      <c r="AU262">
        <v>0</v>
      </c>
      <c r="AV262">
        <v>0</v>
      </c>
      <c r="AW262">
        <v>0</v>
      </c>
      <c r="AX262">
        <v>0</v>
      </c>
    </row>
    <row r="263" spans="1:50" x14ac:dyDescent="0.35">
      <c r="A263" t="s">
        <v>736</v>
      </c>
      <c r="B263" s="249">
        <f t="shared" si="4"/>
        <v>7.4328693640991978E-4</v>
      </c>
      <c r="C263" s="217">
        <v>5.9457369999999996E-9</v>
      </c>
      <c r="D263" s="217">
        <v>7.7202086000000006E-5</v>
      </c>
      <c r="E263">
        <v>5.2819605999999998E-3</v>
      </c>
      <c r="F263" s="217">
        <v>1.9045989999999999E-9</v>
      </c>
      <c r="G263" s="217">
        <v>5.7502302999999998E-6</v>
      </c>
      <c r="H263" s="217">
        <v>3.9821228000000001E-5</v>
      </c>
      <c r="I263" s="217">
        <v>7.5311986E-6</v>
      </c>
      <c r="J263">
        <v>2.2967348999999998E-3</v>
      </c>
      <c r="K263" s="217">
        <v>5.5625991000000001E-5</v>
      </c>
      <c r="L263">
        <v>0.19493342999999999</v>
      </c>
      <c r="M263" s="217">
        <v>5.7343271999999999E-6</v>
      </c>
      <c r="N263">
        <v>5.3969352999999999E-3</v>
      </c>
      <c r="O263">
        <v>5.3862720999999997E-3</v>
      </c>
      <c r="P263" s="217">
        <v>9.2073337000000006E-6</v>
      </c>
      <c r="Q263" s="217">
        <v>1.4559072999999999E-6</v>
      </c>
      <c r="R263" s="217">
        <v>2.3989378000000001E-9</v>
      </c>
      <c r="S263" s="217">
        <v>5.2256492999999998E-5</v>
      </c>
      <c r="T263" s="217">
        <v>9.4861178000000002E-8</v>
      </c>
      <c r="U263" s="217">
        <v>1.7140547000000002E-5</v>
      </c>
      <c r="V263">
        <v>1.8990607000000001E-4</v>
      </c>
      <c r="W263" s="217">
        <v>5.5303984000000001E-5</v>
      </c>
      <c r="X263" s="217">
        <v>5.9458230999999998E-9</v>
      </c>
      <c r="Y263">
        <v>0.16233148999999999</v>
      </c>
      <c r="Z263">
        <v>7.1710432999999999E-3</v>
      </c>
      <c r="AA263" s="217">
        <v>9.7683501000000001E-10</v>
      </c>
      <c r="AB263">
        <v>6.7183716000000001E-4</v>
      </c>
      <c r="AC263">
        <v>9.6042304999999994E-2</v>
      </c>
      <c r="AD263" s="217">
        <v>2.1108464E-12</v>
      </c>
      <c r="AE263" s="217">
        <v>6.8110913999999996E-11</v>
      </c>
      <c r="AF263">
        <v>0.31003019999999998</v>
      </c>
      <c r="AG263">
        <v>0</v>
      </c>
      <c r="AH263">
        <v>0</v>
      </c>
      <c r="AI263">
        <v>1.3278553000000001E-3</v>
      </c>
      <c r="AJ263">
        <v>0</v>
      </c>
      <c r="AK263">
        <v>0</v>
      </c>
      <c r="AL263">
        <v>0.17242046</v>
      </c>
      <c r="AM263">
        <v>0</v>
      </c>
      <c r="AN263">
        <v>0</v>
      </c>
      <c r="AO263">
        <v>0</v>
      </c>
      <c r="AP263">
        <v>1.6935902999999999E-4</v>
      </c>
      <c r="AQ263" s="217">
        <v>1.0858188E-7</v>
      </c>
      <c r="AR263">
        <v>0.99966131999999996</v>
      </c>
      <c r="AS263" s="217">
        <v>1.0735633E-6</v>
      </c>
      <c r="AT263">
        <v>0</v>
      </c>
      <c r="AU263">
        <v>0</v>
      </c>
      <c r="AV263">
        <v>0</v>
      </c>
      <c r="AW263">
        <v>0</v>
      </c>
      <c r="AX263">
        <v>0</v>
      </c>
    </row>
    <row r="264" spans="1:50" x14ac:dyDescent="0.35">
      <c r="A264" t="s">
        <v>737</v>
      </c>
      <c r="B264" s="249">
        <f t="shared" si="4"/>
        <v>9.3061859483664407E-3</v>
      </c>
      <c r="C264" s="217">
        <v>1.3981133999999999E-8</v>
      </c>
      <c r="D264">
        <v>1.3124588E-4</v>
      </c>
      <c r="E264">
        <v>0.12697733</v>
      </c>
      <c r="F264" s="217">
        <v>2.8733214999999998E-9</v>
      </c>
      <c r="G264" s="217">
        <v>2.9201994999999999E-5</v>
      </c>
      <c r="H264" s="217">
        <v>7.3349062999999998E-5</v>
      </c>
      <c r="I264" s="217">
        <v>2.8747384000000002E-5</v>
      </c>
      <c r="J264">
        <v>1.0244993000000001E-2</v>
      </c>
      <c r="K264">
        <v>1.0802388E-2</v>
      </c>
      <c r="L264">
        <v>10.785741</v>
      </c>
      <c r="M264" s="217">
        <v>1.6831048999999999E-5</v>
      </c>
      <c r="N264">
        <v>0.14858627999999999</v>
      </c>
      <c r="O264">
        <v>0.14847039000000001</v>
      </c>
      <c r="P264">
        <v>1.1105388E-4</v>
      </c>
      <c r="Q264" s="217">
        <v>4.8408642000000003E-6</v>
      </c>
      <c r="R264" s="217">
        <v>3.5954168000000002E-9</v>
      </c>
      <c r="S264" s="217">
        <v>9.5957326999999997E-5</v>
      </c>
      <c r="T264" s="217">
        <v>2.7791033999999999E-7</v>
      </c>
      <c r="U264" s="217">
        <v>5.5847690000000003E-5</v>
      </c>
      <c r="V264">
        <v>3.4091804000000001E-4</v>
      </c>
      <c r="W264">
        <v>1.3045944000000001E-4</v>
      </c>
      <c r="X264" s="217">
        <v>1.3981299000000001E-8</v>
      </c>
      <c r="Y264">
        <v>0.27250467</v>
      </c>
      <c r="Z264">
        <v>1.1644313E-2</v>
      </c>
      <c r="AA264" s="217">
        <v>1.7629432999999999E-9</v>
      </c>
      <c r="AB264">
        <v>1.0757418999999999E-3</v>
      </c>
      <c r="AC264">
        <v>0.25887253999999998</v>
      </c>
      <c r="AD264" s="217">
        <v>6.9684189999999997E-12</v>
      </c>
      <c r="AE264" s="217">
        <v>1.7146801E-10</v>
      </c>
      <c r="AF264">
        <v>0.59329124</v>
      </c>
      <c r="AG264">
        <v>0</v>
      </c>
      <c r="AH264">
        <v>0</v>
      </c>
      <c r="AI264">
        <v>4.5012022999999998E-3</v>
      </c>
      <c r="AJ264">
        <v>0</v>
      </c>
      <c r="AK264">
        <v>0</v>
      </c>
      <c r="AL264">
        <v>0.28958825999999999</v>
      </c>
      <c r="AM264">
        <v>0</v>
      </c>
      <c r="AN264">
        <v>0</v>
      </c>
      <c r="AO264">
        <v>0</v>
      </c>
      <c r="AP264">
        <v>2.7941605999999997E-4</v>
      </c>
      <c r="AQ264" s="217">
        <v>2.1215778000000001E-7</v>
      </c>
      <c r="AR264">
        <v>1.0022454999999999</v>
      </c>
      <c r="AS264" s="217">
        <v>1.6418929999999999E-6</v>
      </c>
      <c r="AT264">
        <v>0</v>
      </c>
      <c r="AU264">
        <v>0</v>
      </c>
      <c r="AV264">
        <v>0</v>
      </c>
      <c r="AW264">
        <v>0</v>
      </c>
      <c r="AX264">
        <v>0</v>
      </c>
    </row>
    <row r="265" spans="1:50" x14ac:dyDescent="0.35">
      <c r="A265" t="s">
        <v>738</v>
      </c>
      <c r="B265" s="249">
        <f t="shared" si="4"/>
        <v>5.1522935422821207E-3</v>
      </c>
      <c r="C265" s="217">
        <v>1.3921832E-8</v>
      </c>
      <c r="D265">
        <v>1.3061542E-4</v>
      </c>
      <c r="E265">
        <v>7.2846798000000004E-2</v>
      </c>
      <c r="F265" s="217">
        <v>2.8694623E-9</v>
      </c>
      <c r="G265" s="217">
        <v>2.0366955E-5</v>
      </c>
      <c r="H265" s="217">
        <v>7.3875465000000005E-5</v>
      </c>
      <c r="I265" s="217">
        <v>2.4633768E-5</v>
      </c>
      <c r="J265">
        <v>7.1839208999999998E-3</v>
      </c>
      <c r="K265">
        <v>1.8289065000000001E-3</v>
      </c>
      <c r="L265">
        <v>2.2821677</v>
      </c>
      <c r="M265" s="217">
        <v>2.3172262000000001E-5</v>
      </c>
      <c r="N265">
        <v>8.4525452000000001E-2</v>
      </c>
      <c r="O265">
        <v>8.4409988000000005E-2</v>
      </c>
      <c r="P265">
        <v>1.1076855000000001E-4</v>
      </c>
      <c r="Q265" s="217">
        <v>4.6961108E-6</v>
      </c>
      <c r="R265" s="217">
        <v>3.5916750999999998E-9</v>
      </c>
      <c r="S265" s="217">
        <v>9.6460718999999995E-5</v>
      </c>
      <c r="T265" s="217">
        <v>2.7196477999999998E-7</v>
      </c>
      <c r="U265" s="217">
        <v>5.1071022E-5</v>
      </c>
      <c r="V265">
        <v>3.3957222E-4</v>
      </c>
      <c r="W265">
        <v>1.1531329000000001E-4</v>
      </c>
      <c r="X265" s="217">
        <v>1.3921995000000001E-8</v>
      </c>
      <c r="Y265">
        <v>0.27136268000000002</v>
      </c>
      <c r="Z265">
        <v>1.1628807999999999E-2</v>
      </c>
      <c r="AA265" s="217">
        <v>1.7590001000000001E-9</v>
      </c>
      <c r="AB265">
        <v>1.0708829999999999E-3</v>
      </c>
      <c r="AC265">
        <v>3.8562474</v>
      </c>
      <c r="AD265" s="217">
        <v>7.4040366000000005E-12</v>
      </c>
      <c r="AE265" s="217">
        <v>7.6472815999999998E-10</v>
      </c>
      <c r="AF265">
        <v>0.59310149000000001</v>
      </c>
      <c r="AG265">
        <v>0</v>
      </c>
      <c r="AH265">
        <v>0</v>
      </c>
      <c r="AI265">
        <v>4.3804943999999997E-3</v>
      </c>
      <c r="AJ265">
        <v>0</v>
      </c>
      <c r="AK265">
        <v>0</v>
      </c>
      <c r="AL265">
        <v>0.28837534999999997</v>
      </c>
      <c r="AM265">
        <v>0</v>
      </c>
      <c r="AN265">
        <v>0</v>
      </c>
      <c r="AO265">
        <v>0</v>
      </c>
      <c r="AP265">
        <v>2.7880597E-4</v>
      </c>
      <c r="AQ265" s="217">
        <v>2.1037600999999999E-7</v>
      </c>
      <c r="AR265">
        <v>1.0022389</v>
      </c>
      <c r="AS265" s="217">
        <v>1.6383059000000001E-6</v>
      </c>
      <c r="AT265">
        <v>0</v>
      </c>
      <c r="AU265">
        <v>0</v>
      </c>
      <c r="AV265">
        <v>0</v>
      </c>
      <c r="AW265">
        <v>0</v>
      </c>
      <c r="AX265">
        <v>0</v>
      </c>
    </row>
    <row r="266" spans="1:50" x14ac:dyDescent="0.35">
      <c r="A266" t="s">
        <v>739</v>
      </c>
      <c r="B266" s="249">
        <f t="shared" si="4"/>
        <v>7.4328693576991979E-4</v>
      </c>
      <c r="C266" s="217">
        <v>5.9457369999999996E-9</v>
      </c>
      <c r="D266" s="217">
        <v>7.7202081999999995E-5</v>
      </c>
      <c r="E266">
        <v>5.2819605999999998E-3</v>
      </c>
      <c r="F266" s="217">
        <v>1.9045989999999999E-9</v>
      </c>
      <c r="G266" s="217">
        <v>5.7502302999999998E-6</v>
      </c>
      <c r="H266" s="217">
        <v>3.9821228000000001E-5</v>
      </c>
      <c r="I266" s="217">
        <v>7.5311986E-6</v>
      </c>
      <c r="J266">
        <v>2.2967348999999998E-3</v>
      </c>
      <c r="K266" s="217">
        <v>5.5625991000000001E-5</v>
      </c>
      <c r="L266">
        <v>0.19493342999999999</v>
      </c>
      <c r="M266" s="217">
        <v>5.7343271999999999E-6</v>
      </c>
      <c r="N266">
        <v>5.3969352999999999E-3</v>
      </c>
      <c r="O266">
        <v>5.3862720999999997E-3</v>
      </c>
      <c r="P266" s="217">
        <v>9.2073337000000006E-6</v>
      </c>
      <c r="Q266" s="217">
        <v>1.4559072999999999E-6</v>
      </c>
      <c r="R266" s="217">
        <v>2.3989378000000001E-9</v>
      </c>
      <c r="S266" s="217">
        <v>5.2256492999999998E-5</v>
      </c>
      <c r="T266" s="217">
        <v>9.4861178000000002E-8</v>
      </c>
      <c r="U266" s="217">
        <v>1.7140547000000002E-5</v>
      </c>
      <c r="V266">
        <v>1.8990607000000001E-4</v>
      </c>
      <c r="W266" s="217">
        <v>5.5303984000000001E-5</v>
      </c>
      <c r="X266" s="217">
        <v>5.9458230999999998E-9</v>
      </c>
      <c r="Y266">
        <v>0.16233148</v>
      </c>
      <c r="Z266">
        <v>7.1710430999999998E-3</v>
      </c>
      <c r="AA266" s="217">
        <v>9.7683501000000001E-10</v>
      </c>
      <c r="AB266">
        <v>6.7183716000000001E-4</v>
      </c>
      <c r="AC266">
        <v>9.6042304999999994E-2</v>
      </c>
      <c r="AD266" s="217">
        <v>2.1108464E-12</v>
      </c>
      <c r="AE266" s="217">
        <v>6.8110913999999996E-11</v>
      </c>
      <c r="AF266">
        <v>0.31003019999999998</v>
      </c>
      <c r="AG266">
        <v>0</v>
      </c>
      <c r="AH266">
        <v>0</v>
      </c>
      <c r="AI266">
        <v>1.3278553000000001E-3</v>
      </c>
      <c r="AJ266">
        <v>0</v>
      </c>
      <c r="AK266">
        <v>0</v>
      </c>
      <c r="AL266">
        <v>0.17242045</v>
      </c>
      <c r="AM266">
        <v>0</v>
      </c>
      <c r="AN266">
        <v>0</v>
      </c>
      <c r="AO266">
        <v>0</v>
      </c>
      <c r="AP266">
        <v>1.6935902E-4</v>
      </c>
      <c r="AQ266" s="217">
        <v>1.0858188E-7</v>
      </c>
      <c r="AR266">
        <v>0.99966131999999996</v>
      </c>
      <c r="AS266" s="217">
        <v>1.0735633E-6</v>
      </c>
      <c r="AT266">
        <v>0</v>
      </c>
      <c r="AU266">
        <v>0</v>
      </c>
      <c r="AV266">
        <v>0</v>
      </c>
      <c r="AW266">
        <v>0</v>
      </c>
      <c r="AX266">
        <v>0</v>
      </c>
    </row>
    <row r="267" spans="1:50" x14ac:dyDescent="0.35">
      <c r="A267" t="s">
        <v>740</v>
      </c>
      <c r="B267" s="249">
        <f t="shared" si="4"/>
        <v>4.0849705722465109E-2</v>
      </c>
      <c r="C267" s="217">
        <v>2.0985631999999999E-8</v>
      </c>
      <c r="D267">
        <v>1.8307788999999999E-4</v>
      </c>
      <c r="E267">
        <v>0.63084161999999999</v>
      </c>
      <c r="F267" s="217">
        <v>3.2293328000000001E-9</v>
      </c>
      <c r="G267">
        <v>1.4311076999999999E-4</v>
      </c>
      <c r="H267">
        <v>1.4834616E-4</v>
      </c>
      <c r="I267">
        <v>5.9672971999999999E-4</v>
      </c>
      <c r="J267">
        <v>2.6144046000000001E-2</v>
      </c>
      <c r="K267">
        <v>2.4100107E-3</v>
      </c>
      <c r="L267">
        <v>5.9784147000000001</v>
      </c>
      <c r="M267" s="217">
        <v>8.2540523000000003E-5</v>
      </c>
      <c r="N267">
        <v>0.95761125000000002</v>
      </c>
      <c r="O267">
        <v>6.0587087999999997E-2</v>
      </c>
      <c r="P267">
        <v>0.89700833999999996</v>
      </c>
      <c r="Q267" s="217">
        <v>1.5819277999999999E-5</v>
      </c>
      <c r="R267" s="217">
        <v>3.9415190000000004E-9</v>
      </c>
      <c r="S267">
        <v>1.8657444000000001E-4</v>
      </c>
      <c r="T267" s="217">
        <v>5.6006600000000002E-6</v>
      </c>
      <c r="U267">
        <v>1.2693823E-3</v>
      </c>
      <c r="V267">
        <v>5.0010492999999999E-4</v>
      </c>
      <c r="W267">
        <v>3.5218324000000002E-4</v>
      </c>
      <c r="X267" s="217">
        <v>2.0986106000000001E-8</v>
      </c>
      <c r="Y267">
        <v>0.36695016000000003</v>
      </c>
      <c r="Z267">
        <v>1.2919081000000001E-2</v>
      </c>
      <c r="AA267" s="217">
        <v>2.1332089E-9</v>
      </c>
      <c r="AB267">
        <v>1.4841425000000001E-3</v>
      </c>
      <c r="AC267">
        <v>5.1170033999999998</v>
      </c>
      <c r="AD267" s="217">
        <v>3.1895107E-11</v>
      </c>
      <c r="AE267" s="217">
        <v>1.5452364E-9</v>
      </c>
      <c r="AF267">
        <v>0.6088481</v>
      </c>
      <c r="AG267">
        <v>0</v>
      </c>
      <c r="AH267">
        <v>0</v>
      </c>
      <c r="AI267">
        <v>1.4068028E-2</v>
      </c>
      <c r="AJ267">
        <v>0</v>
      </c>
      <c r="AK267">
        <v>0</v>
      </c>
      <c r="AL267">
        <v>0.38994102000000003</v>
      </c>
      <c r="AM267">
        <v>0</v>
      </c>
      <c r="AN267">
        <v>0</v>
      </c>
      <c r="AO267">
        <v>0</v>
      </c>
      <c r="AP267">
        <v>3.2829065000000002E-4</v>
      </c>
      <c r="AQ267" s="217">
        <v>1.0535691000000001E-6</v>
      </c>
      <c r="AR267">
        <v>1.0029116</v>
      </c>
      <c r="AS267" s="217">
        <v>1.9433134E-6</v>
      </c>
      <c r="AT267">
        <v>0</v>
      </c>
      <c r="AU267">
        <v>0</v>
      </c>
      <c r="AV267">
        <v>0</v>
      </c>
      <c r="AW267">
        <v>0</v>
      </c>
      <c r="AX267">
        <v>0</v>
      </c>
    </row>
    <row r="268" spans="1:50" x14ac:dyDescent="0.35">
      <c r="A268" t="s">
        <v>741</v>
      </c>
      <c r="B268" s="249">
        <f t="shared" si="4"/>
        <v>2.0640132905847203E-3</v>
      </c>
      <c r="C268" s="217">
        <v>3.1618942000000001E-8</v>
      </c>
      <c r="D268">
        <v>1.3618330999999999E-4</v>
      </c>
      <c r="E268">
        <v>1.3919753E-2</v>
      </c>
      <c r="F268" s="217">
        <v>2.8661857999999999E-9</v>
      </c>
      <c r="G268" s="217">
        <v>1.5382406999999999E-5</v>
      </c>
      <c r="H268" s="217">
        <v>7.1744949999999995E-5</v>
      </c>
      <c r="I268" s="217">
        <v>1.3194048000000001E-5</v>
      </c>
      <c r="J268">
        <v>9.5325771999999996E-3</v>
      </c>
      <c r="K268">
        <v>1.3642616E-4</v>
      </c>
      <c r="L268">
        <v>0.45769145999999999</v>
      </c>
      <c r="M268" s="217">
        <v>3.1005693000000001E-5</v>
      </c>
      <c r="N268">
        <v>1.4331908000000001E-2</v>
      </c>
      <c r="O268">
        <v>1.4224934E-2</v>
      </c>
      <c r="P268">
        <v>1.0269327999999999E-4</v>
      </c>
      <c r="Q268" s="217">
        <v>4.2814458000000003E-6</v>
      </c>
      <c r="R268" s="217">
        <v>3.5689800999999998E-9</v>
      </c>
      <c r="S268" s="217">
        <v>9.3377755000000003E-5</v>
      </c>
      <c r="T268" s="217">
        <v>4.2103089999999999E-7</v>
      </c>
      <c r="U268" s="217">
        <v>2.852187E-5</v>
      </c>
      <c r="V268">
        <v>3.2031710000000001E-4</v>
      </c>
      <c r="W268">
        <v>1.0034296E-4</v>
      </c>
      <c r="X268" s="217">
        <v>3.1618984999999999E-8</v>
      </c>
      <c r="Y268">
        <v>0.27838547000000002</v>
      </c>
      <c r="Z268">
        <v>-8.4662655000000003E-3</v>
      </c>
      <c r="AA268" s="217">
        <v>3.0135565999999998E-9</v>
      </c>
      <c r="AB268">
        <v>1.0284242000000001E-3</v>
      </c>
      <c r="AC268">
        <v>5.1683861000000002</v>
      </c>
      <c r="AD268" s="217">
        <v>2.1873308999999998E-11</v>
      </c>
      <c r="AE268" s="217">
        <v>5.4411748000000002E-10</v>
      </c>
      <c r="AF268">
        <v>0.37221899000000003</v>
      </c>
      <c r="AG268">
        <v>0</v>
      </c>
      <c r="AH268">
        <v>0</v>
      </c>
      <c r="AI268">
        <v>4.5244255999999997E-3</v>
      </c>
      <c r="AJ268">
        <v>0</v>
      </c>
      <c r="AK268">
        <v>0</v>
      </c>
      <c r="AL268">
        <v>0.29583868000000002</v>
      </c>
      <c r="AM268">
        <v>0</v>
      </c>
      <c r="AN268">
        <v>0</v>
      </c>
      <c r="AO268">
        <v>0</v>
      </c>
      <c r="AP268">
        <v>-1.8994112000000001E-4</v>
      </c>
      <c r="AQ268" s="217">
        <v>3.2607130000000001E-7</v>
      </c>
      <c r="AR268">
        <v>1.1109163999999999E-2</v>
      </c>
      <c r="AS268" s="217">
        <v>1.5980537E-6</v>
      </c>
      <c r="AT268">
        <v>0</v>
      </c>
      <c r="AU268">
        <v>0</v>
      </c>
      <c r="AV268">
        <v>0</v>
      </c>
      <c r="AW268">
        <v>0</v>
      </c>
      <c r="AX268">
        <v>0</v>
      </c>
    </row>
    <row r="269" spans="1:50" x14ac:dyDescent="0.35">
      <c r="A269" t="s">
        <v>742</v>
      </c>
      <c r="B269" s="249">
        <f t="shared" si="4"/>
        <v>2.5615186617395595E-3</v>
      </c>
      <c r="C269" s="217">
        <v>3.8889041000000002E-8</v>
      </c>
      <c r="D269">
        <v>1.7901144E-4</v>
      </c>
      <c r="E269">
        <v>1.7759021999999999E-2</v>
      </c>
      <c r="F269" s="217">
        <v>3.8250010999999999E-9</v>
      </c>
      <c r="G269" s="217">
        <v>1.8659096000000001E-5</v>
      </c>
      <c r="H269" s="217">
        <v>9.3732803000000006E-5</v>
      </c>
      <c r="I269" s="217">
        <v>1.7385989999999999E-5</v>
      </c>
      <c r="J269">
        <v>1.1177650000000001E-2</v>
      </c>
      <c r="K269">
        <v>1.781858E-4</v>
      </c>
      <c r="L269">
        <v>0.62584203000000005</v>
      </c>
      <c r="M269" s="217">
        <v>3.6052800999999997E-5</v>
      </c>
      <c r="N269">
        <v>2.0504418999999999E-2</v>
      </c>
      <c r="O269">
        <v>1.8131413999999998E-2</v>
      </c>
      <c r="P269">
        <v>2.3675704E-3</v>
      </c>
      <c r="Q269" s="217">
        <v>5.4350491000000003E-6</v>
      </c>
      <c r="R269" s="217">
        <v>4.7746409000000003E-9</v>
      </c>
      <c r="S269">
        <v>1.2214052E-4</v>
      </c>
      <c r="T269" s="217">
        <v>4.8633882000000001E-7</v>
      </c>
      <c r="U269" s="217">
        <v>3.8021944000000003E-5</v>
      </c>
      <c r="V269">
        <v>4.2433217E-4</v>
      </c>
      <c r="W269">
        <v>1.3114552E-4</v>
      </c>
      <c r="X269" s="217">
        <v>3.8889015999999997E-8</v>
      </c>
      <c r="Y269">
        <v>0.36802635</v>
      </c>
      <c r="Z269">
        <v>-4.5304025E-3</v>
      </c>
      <c r="AA269" s="217">
        <v>3.5102126E-9</v>
      </c>
      <c r="AB269">
        <v>1.3685915999999999E-3</v>
      </c>
      <c r="AC269">
        <v>0.39825869000000003</v>
      </c>
      <c r="AD269" s="217">
        <v>2.4512011999999999E-11</v>
      </c>
      <c r="AE269" s="217">
        <v>4.1320451000000001E-10</v>
      </c>
      <c r="AF269">
        <v>0.50646323000000004</v>
      </c>
      <c r="AG269">
        <v>0</v>
      </c>
      <c r="AH269">
        <v>0</v>
      </c>
      <c r="AI269">
        <v>5.5378106E-3</v>
      </c>
      <c r="AJ269">
        <v>0</v>
      </c>
      <c r="AK269">
        <v>0</v>
      </c>
      <c r="AL269">
        <v>0.39113943000000001</v>
      </c>
      <c r="AM269">
        <v>0</v>
      </c>
      <c r="AN269">
        <v>0</v>
      </c>
      <c r="AO269">
        <v>0</v>
      </c>
      <c r="AP269" s="217">
        <v>-9.6797044000000002E-5</v>
      </c>
      <c r="AQ269" s="217">
        <v>3.8530898000000001E-7</v>
      </c>
      <c r="AR269">
        <v>1.3052084E-2</v>
      </c>
      <c r="AS269" s="217">
        <v>2.1370809E-6</v>
      </c>
      <c r="AT269">
        <v>0</v>
      </c>
      <c r="AU269">
        <v>0</v>
      </c>
      <c r="AV269">
        <v>0</v>
      </c>
      <c r="AW269">
        <v>0</v>
      </c>
      <c r="AX269">
        <v>0</v>
      </c>
    </row>
    <row r="270" spans="1:50" x14ac:dyDescent="0.35">
      <c r="A270" t="s">
        <v>743</v>
      </c>
      <c r="B270" s="249">
        <f t="shared" si="4"/>
        <v>2.1196015883853999E-3</v>
      </c>
      <c r="C270" s="217">
        <v>2.5202365E-8</v>
      </c>
      <c r="D270" s="217">
        <v>9.8367798999999994E-5</v>
      </c>
      <c r="E270">
        <v>1.0583999E-2</v>
      </c>
      <c r="F270" s="217">
        <v>2.0141989E-9</v>
      </c>
      <c r="G270" s="217">
        <v>1.2537132E-5</v>
      </c>
      <c r="H270" s="217">
        <v>5.2235614999999999E-5</v>
      </c>
      <c r="I270" s="217">
        <v>9.5607910000000004E-6</v>
      </c>
      <c r="J270">
        <v>9.4515148999999993E-3</v>
      </c>
      <c r="K270">
        <v>3.7886707999999999E-3</v>
      </c>
      <c r="L270">
        <v>2.8862516</v>
      </c>
      <c r="M270" s="217">
        <v>2.688107E-5</v>
      </c>
      <c r="N270">
        <v>1.0943361E-2</v>
      </c>
      <c r="O270">
        <v>1.0836548999999999E-2</v>
      </c>
      <c r="P270">
        <v>1.0353062E-4</v>
      </c>
      <c r="Q270" s="217">
        <v>3.2810879E-6</v>
      </c>
      <c r="R270" s="217">
        <v>2.4983273E-9</v>
      </c>
      <c r="S270" s="217">
        <v>6.7688263999999995E-5</v>
      </c>
      <c r="T270" s="217">
        <v>3.8282341000000002E-7</v>
      </c>
      <c r="U270" s="217">
        <v>2.0090173999999998E-5</v>
      </c>
      <c r="V270">
        <v>2.2620151999999999E-4</v>
      </c>
      <c r="W270" s="217">
        <v>7.3093512E-5</v>
      </c>
      <c r="X270" s="217">
        <v>2.5202469E-8</v>
      </c>
      <c r="Y270">
        <v>0.19890288</v>
      </c>
      <c r="Z270">
        <v>-1.1963898000000001E-2</v>
      </c>
      <c r="AA270" s="217">
        <v>2.5788881000000002E-9</v>
      </c>
      <c r="AB270">
        <v>7.2406973000000005E-4</v>
      </c>
      <c r="AC270">
        <v>0.49340463000000001</v>
      </c>
      <c r="AD270" s="217">
        <v>3.1731847999999997E-11</v>
      </c>
      <c r="AE270" s="217">
        <v>3.4213898000000003E-10</v>
      </c>
      <c r="AF270">
        <v>0.25289728</v>
      </c>
      <c r="AG270">
        <v>0</v>
      </c>
      <c r="AH270">
        <v>0</v>
      </c>
      <c r="AI270">
        <v>3.6165228999999999E-3</v>
      </c>
      <c r="AJ270">
        <v>0</v>
      </c>
      <c r="AK270">
        <v>0</v>
      </c>
      <c r="AL270">
        <v>0.21134120000000001</v>
      </c>
      <c r="AM270">
        <v>0</v>
      </c>
      <c r="AN270">
        <v>0</v>
      </c>
      <c r="AO270">
        <v>0</v>
      </c>
      <c r="AP270">
        <v>-2.7289588E-4</v>
      </c>
      <c r="AQ270" s="217">
        <v>2.7402798E-7</v>
      </c>
      <c r="AR270">
        <v>9.4550639999999991E-3</v>
      </c>
      <c r="AS270" s="217">
        <v>1.1170157000000001E-6</v>
      </c>
      <c r="AT270">
        <v>0</v>
      </c>
      <c r="AU270">
        <v>0</v>
      </c>
      <c r="AV270">
        <v>0</v>
      </c>
      <c r="AW270">
        <v>0</v>
      </c>
      <c r="AX270">
        <v>0</v>
      </c>
    </row>
    <row r="271" spans="1:50" x14ac:dyDescent="0.35">
      <c r="A271" t="s">
        <v>744</v>
      </c>
      <c r="B271" s="249">
        <f t="shared" si="4"/>
        <v>4.1597527802336798E-3</v>
      </c>
      <c r="C271" s="217">
        <v>1.8290248E-8</v>
      </c>
      <c r="D271" s="217">
        <v>6.9631037999999995E-5</v>
      </c>
      <c r="E271">
        <v>8.7908980000000001E-3</v>
      </c>
      <c r="F271" s="217">
        <v>1.3427878E-9</v>
      </c>
      <c r="G271" s="217">
        <v>4.2152769999999999E-5</v>
      </c>
      <c r="H271">
        <v>2.0902415999999999E-4</v>
      </c>
      <c r="I271" s="217">
        <v>5.2174542999999998E-5</v>
      </c>
      <c r="J271">
        <v>2.5253121999999999E-2</v>
      </c>
      <c r="K271">
        <v>2.1107775000000001E-4</v>
      </c>
      <c r="L271">
        <v>0.38518639999999998</v>
      </c>
      <c r="M271" s="217">
        <v>2.3644742999999998E-5</v>
      </c>
      <c r="N271">
        <v>0.53349946000000004</v>
      </c>
      <c r="O271">
        <v>8.8620647E-3</v>
      </c>
      <c r="P271">
        <v>0.52463546999999999</v>
      </c>
      <c r="Q271" s="217">
        <v>1.9269226999999999E-6</v>
      </c>
      <c r="R271" s="217">
        <v>1.5826872E-9</v>
      </c>
      <c r="S271">
        <v>3.0791153000000001E-4</v>
      </c>
      <c r="T271" s="217">
        <v>3.3399193999999998E-7</v>
      </c>
      <c r="U271">
        <v>1.3979671000000001E-4</v>
      </c>
      <c r="V271">
        <v>1.6255783E-3</v>
      </c>
      <c r="W271">
        <v>4.3002867999999999E-4</v>
      </c>
      <c r="X271" s="217">
        <v>1.8293917999999999E-8</v>
      </c>
      <c r="Y271">
        <v>0.13666333</v>
      </c>
      <c r="Z271">
        <v>4.4331731999999999E-2</v>
      </c>
      <c r="AA271" s="217">
        <v>2.7361016000000002E-9</v>
      </c>
      <c r="AB271">
        <v>4.0679917999999999E-4</v>
      </c>
      <c r="AC271">
        <v>0.32014947999999999</v>
      </c>
      <c r="AD271" s="217">
        <v>2.8957306999999999E-10</v>
      </c>
      <c r="AE271" s="217">
        <v>6.0460463000000001E-10</v>
      </c>
      <c r="AF271">
        <v>0.1265037</v>
      </c>
      <c r="AG271">
        <v>0</v>
      </c>
      <c r="AH271">
        <v>0</v>
      </c>
      <c r="AI271">
        <v>3.6692068000000002E-3</v>
      </c>
      <c r="AJ271">
        <v>0</v>
      </c>
      <c r="AK271">
        <v>0</v>
      </c>
      <c r="AL271">
        <v>0.14648990000000001</v>
      </c>
      <c r="AM271">
        <v>0</v>
      </c>
      <c r="AN271">
        <v>0</v>
      </c>
      <c r="AO271">
        <v>0</v>
      </c>
      <c r="AP271">
        <v>5.1486355999999999E-4</v>
      </c>
      <c r="AQ271" s="217">
        <v>2.4403667999999998E-7</v>
      </c>
      <c r="AR271">
        <v>3.5216518E-3</v>
      </c>
      <c r="AS271" s="217">
        <v>5.6753397999999999E-7</v>
      </c>
      <c r="AT271">
        <v>0</v>
      </c>
      <c r="AU271">
        <v>0</v>
      </c>
      <c r="AV271">
        <v>0</v>
      </c>
      <c r="AW271">
        <v>0</v>
      </c>
      <c r="AX271">
        <v>0</v>
      </c>
    </row>
    <row r="272" spans="1:50" x14ac:dyDescent="0.35">
      <c r="A272" t="s">
        <v>745</v>
      </c>
      <c r="B272" s="249">
        <f t="shared" si="4"/>
        <v>0.12421076911571466</v>
      </c>
      <c r="C272" s="217">
        <v>8.2114573000000004E-8</v>
      </c>
      <c r="D272">
        <v>1.8157017000000001E-4</v>
      </c>
      <c r="E272">
        <v>2.3328750999999999</v>
      </c>
      <c r="F272" s="217">
        <v>9.2818661000000003E-9</v>
      </c>
      <c r="G272" s="217">
        <v>5.2700732000000003E-5</v>
      </c>
      <c r="H272">
        <v>4.6862991999999998E-4</v>
      </c>
      <c r="I272" s="217">
        <v>8.5304689000000007E-5</v>
      </c>
      <c r="J272">
        <v>4.5485564999999999E-2</v>
      </c>
      <c r="K272">
        <v>2.7394163999999999E-3</v>
      </c>
      <c r="L272">
        <v>6.1008633000000003</v>
      </c>
      <c r="M272" s="217">
        <v>6.7304619999999994E-5</v>
      </c>
      <c r="N272">
        <v>2.3346385999999999</v>
      </c>
      <c r="O272">
        <v>2.3341965</v>
      </c>
      <c r="P272">
        <v>4.2030529999999999E-4</v>
      </c>
      <c r="Q272" s="217">
        <v>2.1712748000000001E-5</v>
      </c>
      <c r="R272" s="217">
        <v>9.4902417000000002E-9</v>
      </c>
      <c r="S272">
        <v>6.2486441999999999E-4</v>
      </c>
      <c r="T272" s="217">
        <v>1.6227057000000001E-6</v>
      </c>
      <c r="U272">
        <v>2.0446483999999999E-4</v>
      </c>
      <c r="V272">
        <v>2.2913727000000001E-3</v>
      </c>
      <c r="W272">
        <v>5.9971305999999996E-4</v>
      </c>
      <c r="X272" s="217">
        <v>8.2120878999999996E-8</v>
      </c>
      <c r="Y272">
        <v>0.34990173000000002</v>
      </c>
      <c r="Z272">
        <v>5.7546188999999998E-2</v>
      </c>
      <c r="AA272" s="217">
        <v>4.5078641000000003E-9</v>
      </c>
      <c r="AB272">
        <v>1.3932526E-3</v>
      </c>
      <c r="AC272">
        <v>0.75039493000000002</v>
      </c>
      <c r="AD272" s="217">
        <v>3.2381736E-10</v>
      </c>
      <c r="AE272" s="217">
        <v>1.7528619999999999E-9</v>
      </c>
      <c r="AF272">
        <v>0.21829989999999999</v>
      </c>
      <c r="AG272">
        <v>0</v>
      </c>
      <c r="AH272">
        <v>0</v>
      </c>
      <c r="AI272">
        <v>2.3664840999999999E-2</v>
      </c>
      <c r="AJ272">
        <v>0</v>
      </c>
      <c r="AK272">
        <v>0</v>
      </c>
      <c r="AL272">
        <v>0.37301396999999997</v>
      </c>
      <c r="AM272">
        <v>0</v>
      </c>
      <c r="AN272">
        <v>0</v>
      </c>
      <c r="AO272">
        <v>0</v>
      </c>
      <c r="AP272">
        <v>8.7964650000000005E-4</v>
      </c>
      <c r="AQ272" s="217">
        <v>7.6784268000000001E-7</v>
      </c>
      <c r="AR272">
        <v>5.6922344E-2</v>
      </c>
      <c r="AS272" s="217">
        <v>1.3956226000000001E-6</v>
      </c>
      <c r="AT272">
        <v>0</v>
      </c>
      <c r="AU272">
        <v>0</v>
      </c>
      <c r="AV272">
        <v>0</v>
      </c>
      <c r="AW272">
        <v>0</v>
      </c>
      <c r="AX272">
        <v>0</v>
      </c>
    </row>
    <row r="273" spans="1:50" x14ac:dyDescent="0.35">
      <c r="A273" t="s">
        <v>746</v>
      </c>
      <c r="B273" s="249">
        <f t="shared" si="4"/>
        <v>0.16165133551716226</v>
      </c>
      <c r="C273" s="217">
        <v>6.5927989000000006E-8</v>
      </c>
      <c r="D273">
        <v>2.4342934999999999E-4</v>
      </c>
      <c r="E273">
        <v>3.1572756000000002</v>
      </c>
      <c r="F273" s="217">
        <v>6.5227427999999998E-9</v>
      </c>
      <c r="G273" s="217">
        <v>1.5801327000000001E-5</v>
      </c>
      <c r="H273">
        <v>3.4614484E-4</v>
      </c>
      <c r="I273">
        <v>1.0862712E-4</v>
      </c>
      <c r="J273">
        <v>1.3106972E-2</v>
      </c>
      <c r="K273">
        <v>6.1804891999999996E-4</v>
      </c>
      <c r="L273">
        <v>1.4517100000000001</v>
      </c>
      <c r="M273">
        <v>1.8724247999999999E-4</v>
      </c>
      <c r="N273">
        <v>3.1581001999999998</v>
      </c>
      <c r="O273">
        <v>3.1578556999999998</v>
      </c>
      <c r="P273">
        <v>2.3095405E-4</v>
      </c>
      <c r="Q273" s="217">
        <v>1.3534891E-5</v>
      </c>
      <c r="R273" s="217">
        <v>7.1203228999999998E-9</v>
      </c>
      <c r="S273">
        <v>4.694298E-4</v>
      </c>
      <c r="T273" s="217">
        <v>1.1288936999999999E-6</v>
      </c>
      <c r="U273">
        <v>1.7418064000000001E-4</v>
      </c>
      <c r="V273">
        <v>1.9515877000000001E-3</v>
      </c>
      <c r="W273">
        <v>4.7480147999999999E-4</v>
      </c>
      <c r="X273" s="217">
        <v>6.5938439999999999E-8</v>
      </c>
      <c r="Y273">
        <v>0.46939788999999998</v>
      </c>
      <c r="Z273">
        <v>0.16885998999999999</v>
      </c>
      <c r="AA273" s="217">
        <v>2.2940342999999999E-9</v>
      </c>
      <c r="AB273">
        <v>1.2705151000000001E-3</v>
      </c>
      <c r="AC273">
        <v>5.1451813</v>
      </c>
      <c r="AD273" s="217">
        <v>3.1802744999999997E-11</v>
      </c>
      <c r="AE273" s="217">
        <v>2.1191608999999998E-9</v>
      </c>
      <c r="AF273">
        <v>0.16500348000000001</v>
      </c>
      <c r="AG273">
        <v>0</v>
      </c>
      <c r="AH273">
        <v>0</v>
      </c>
      <c r="AI273">
        <v>2.0466393999999999E-2</v>
      </c>
      <c r="AJ273">
        <v>0</v>
      </c>
      <c r="AK273">
        <v>0</v>
      </c>
      <c r="AL273">
        <v>0.50734111000000004</v>
      </c>
      <c r="AM273">
        <v>0</v>
      </c>
      <c r="AN273">
        <v>0</v>
      </c>
      <c r="AO273">
        <v>0</v>
      </c>
      <c r="AP273">
        <v>3.9684743000000001E-3</v>
      </c>
      <c r="AQ273" s="217">
        <v>2.6478380000000001E-6</v>
      </c>
      <c r="AR273">
        <v>7.0211899999999994E-2</v>
      </c>
      <c r="AS273" s="217">
        <v>1.5578002E-6</v>
      </c>
      <c r="AT273">
        <v>0</v>
      </c>
      <c r="AU273">
        <v>0</v>
      </c>
      <c r="AV273">
        <v>0</v>
      </c>
      <c r="AW273">
        <v>0</v>
      </c>
      <c r="AX273">
        <v>0</v>
      </c>
    </row>
    <row r="274" spans="1:50" x14ac:dyDescent="0.35">
      <c r="A274" t="s">
        <v>747</v>
      </c>
      <c r="B274" s="249">
        <f t="shared" si="4"/>
        <v>0.17348134754607858</v>
      </c>
      <c r="C274" s="217">
        <v>2.8162646999999999E-8</v>
      </c>
      <c r="D274" s="217">
        <v>7.3274526999999998E-5</v>
      </c>
      <c r="E274">
        <v>3.1449232</v>
      </c>
      <c r="F274" s="217">
        <v>2.0830464999999999E-9</v>
      </c>
      <c r="G274" s="217">
        <v>4.2264210000000002E-5</v>
      </c>
      <c r="H274">
        <v>2.4641037000000001E-4</v>
      </c>
      <c r="I274" s="217">
        <v>6.5046057999999999E-5</v>
      </c>
      <c r="J274">
        <v>0.13854680999999999</v>
      </c>
      <c r="K274">
        <v>4.3633952E-3</v>
      </c>
      <c r="L274">
        <v>19.653203999999999</v>
      </c>
      <c r="M274" s="217">
        <v>3.9617438999999998E-5</v>
      </c>
      <c r="N274">
        <v>3.1460458999999998</v>
      </c>
      <c r="O274">
        <v>3.1458213000000002</v>
      </c>
      <c r="P274">
        <v>2.1990474000000001E-4</v>
      </c>
      <c r="Q274" s="217">
        <v>4.6608231999999998E-6</v>
      </c>
      <c r="R274" s="217">
        <v>2.2150050999999999E-9</v>
      </c>
      <c r="S274">
        <v>3.6056876999999998E-4</v>
      </c>
      <c r="T274" s="217">
        <v>5.4573251E-7</v>
      </c>
      <c r="U274">
        <v>1.6381577999999999E-4</v>
      </c>
      <c r="V274">
        <v>1.8597481999999999E-3</v>
      </c>
      <c r="W274">
        <v>4.8950052000000001E-4</v>
      </c>
      <c r="X274" s="217">
        <v>2.8167276999999999E-8</v>
      </c>
      <c r="Y274">
        <v>0.1398191</v>
      </c>
      <c r="Z274">
        <v>4.6247642999999998E-2</v>
      </c>
      <c r="AA274" s="217">
        <v>2.7538628999999999E-9</v>
      </c>
      <c r="AB274">
        <v>4.4536574E-4</v>
      </c>
      <c r="AC274">
        <v>15.008779000000001</v>
      </c>
      <c r="AD274" s="217">
        <v>4.5781388000000001E-10</v>
      </c>
      <c r="AE274" s="217">
        <v>4.0307482999999998E-9</v>
      </c>
      <c r="AF274">
        <v>6.0979397999999997E-2</v>
      </c>
      <c r="AG274">
        <v>0</v>
      </c>
      <c r="AH274">
        <v>0</v>
      </c>
      <c r="AI274">
        <v>6.8781246000000004E-3</v>
      </c>
      <c r="AJ274">
        <v>0</v>
      </c>
      <c r="AK274">
        <v>0</v>
      </c>
      <c r="AL274">
        <v>0.14991736999999999</v>
      </c>
      <c r="AM274">
        <v>0</v>
      </c>
      <c r="AN274">
        <v>0</v>
      </c>
      <c r="AO274">
        <v>0</v>
      </c>
      <c r="AP274">
        <v>5.2229166E-4</v>
      </c>
      <c r="AQ274" s="217">
        <v>1.1298289999999999E-6</v>
      </c>
      <c r="AR274">
        <v>2.6983975E-2</v>
      </c>
      <c r="AS274" s="217">
        <v>4.8605337999999997E-7</v>
      </c>
      <c r="AT274">
        <v>0</v>
      </c>
      <c r="AU274">
        <v>0</v>
      </c>
      <c r="AV274">
        <v>0</v>
      </c>
      <c r="AW274">
        <v>0</v>
      </c>
      <c r="AX274">
        <v>0</v>
      </c>
    </row>
    <row r="275" spans="1:50" x14ac:dyDescent="0.35">
      <c r="A275" t="s">
        <v>748</v>
      </c>
      <c r="B275" s="249">
        <f t="shared" si="4"/>
        <v>4.2191878600450006E-3</v>
      </c>
      <c r="C275" s="217">
        <v>1.8422874999999999E-8</v>
      </c>
      <c r="D275" s="217">
        <v>4.999929E-5</v>
      </c>
      <c r="E275">
        <v>8.7707166000000007E-3</v>
      </c>
      <c r="F275" s="217">
        <v>1.0462575000000001E-9</v>
      </c>
      <c r="G275" s="217">
        <v>4.0666318000000003E-5</v>
      </c>
      <c r="H275">
        <v>2.1234611E-4</v>
      </c>
      <c r="I275" s="217">
        <v>5.5537631E-5</v>
      </c>
      <c r="J275">
        <v>2.5397038E-2</v>
      </c>
      <c r="K275">
        <v>1.9245039E-4</v>
      </c>
      <c r="L275">
        <v>0.49047109999999999</v>
      </c>
      <c r="M275" s="217">
        <v>2.5133526E-5</v>
      </c>
      <c r="N275">
        <v>1.4695623</v>
      </c>
      <c r="O275">
        <v>8.9102737000000005E-3</v>
      </c>
      <c r="P275">
        <v>1.4606498000000001</v>
      </c>
      <c r="Q275" s="217">
        <v>2.1705239000000001E-6</v>
      </c>
      <c r="R275" s="217">
        <v>1.1565513999999999E-9</v>
      </c>
      <c r="S275">
        <v>3.1390713000000001E-4</v>
      </c>
      <c r="T275" s="217">
        <v>3.5101168000000002E-7</v>
      </c>
      <c r="U275">
        <v>1.4521637E-4</v>
      </c>
      <c r="V275">
        <v>1.6707244999999999E-3</v>
      </c>
      <c r="W275">
        <v>4.3611205999999998E-4</v>
      </c>
      <c r="X275" s="217">
        <v>1.8426893999999999E-8</v>
      </c>
      <c r="Y275">
        <v>9.3371250000000003E-2</v>
      </c>
      <c r="Z275">
        <v>4.4434205999999997E-2</v>
      </c>
      <c r="AA275" s="217">
        <v>2.5197436000000001E-9</v>
      </c>
      <c r="AB275">
        <v>2.3963076000000001E-4</v>
      </c>
      <c r="AC275">
        <v>0.21721381000000001</v>
      </c>
      <c r="AD275" s="217">
        <v>2.9492991999999999E-10</v>
      </c>
      <c r="AE275" s="217">
        <v>9.2169399999999998E-10</v>
      </c>
      <c r="AF275">
        <v>2.8014366999999998E-2</v>
      </c>
      <c r="AG275">
        <v>0</v>
      </c>
      <c r="AH275">
        <v>0</v>
      </c>
      <c r="AI275">
        <v>3.4116898000000001E-3</v>
      </c>
      <c r="AJ275">
        <v>0</v>
      </c>
      <c r="AK275">
        <v>0</v>
      </c>
      <c r="AL275">
        <v>0.10053834</v>
      </c>
      <c r="AM275">
        <v>0</v>
      </c>
      <c r="AN275">
        <v>0</v>
      </c>
      <c r="AO275">
        <v>0</v>
      </c>
      <c r="AP275">
        <v>4.6256393000000001E-4</v>
      </c>
      <c r="AQ275" s="217">
        <v>2.6105236000000001E-7</v>
      </c>
      <c r="AR275">
        <v>5.6188966999999998E-3</v>
      </c>
      <c r="AS275" s="217">
        <v>2.9239294999999999E-7</v>
      </c>
      <c r="AT275">
        <v>0</v>
      </c>
      <c r="AU275">
        <v>0</v>
      </c>
      <c r="AV275">
        <v>0</v>
      </c>
      <c r="AW275">
        <v>0</v>
      </c>
      <c r="AX275">
        <v>0</v>
      </c>
    </row>
    <row r="276" spans="1:50" x14ac:dyDescent="0.35">
      <c r="A276" t="s">
        <v>749</v>
      </c>
      <c r="B276" s="249">
        <f t="shared" si="4"/>
        <v>4.3040722289463601E-3</v>
      </c>
      <c r="C276" s="217">
        <v>1.9333520999999999E-8</v>
      </c>
      <c r="D276" s="217">
        <v>5.1332307999999998E-5</v>
      </c>
      <c r="E276">
        <v>9.1516458999999998E-3</v>
      </c>
      <c r="F276" s="217">
        <v>1.0983080999999999E-9</v>
      </c>
      <c r="G276" s="217">
        <v>4.0773582999999999E-5</v>
      </c>
      <c r="H276">
        <v>2.1375978E-4</v>
      </c>
      <c r="I276" s="217">
        <v>5.5711328E-5</v>
      </c>
      <c r="J276">
        <v>2.5593299E-2</v>
      </c>
      <c r="K276">
        <v>1.1254507999999999E-3</v>
      </c>
      <c r="L276">
        <v>0.61555996000000002</v>
      </c>
      <c r="M276" s="217">
        <v>2.5600901E-5</v>
      </c>
      <c r="N276">
        <v>1.4599607999999999</v>
      </c>
      <c r="O276">
        <v>9.2938906000000002E-3</v>
      </c>
      <c r="P276">
        <v>1.4506646000000001</v>
      </c>
      <c r="Q276" s="217">
        <v>2.3017738E-6</v>
      </c>
      <c r="R276" s="217">
        <v>1.2104185E-9</v>
      </c>
      <c r="S276">
        <v>3.1565671000000002E-4</v>
      </c>
      <c r="T276" s="217">
        <v>3.6596176000000001E-7</v>
      </c>
      <c r="U276">
        <v>1.4553063E-4</v>
      </c>
      <c r="V276">
        <v>1.6746431E-3</v>
      </c>
      <c r="W276">
        <v>4.3709819000000002E-4</v>
      </c>
      <c r="X276" s="217">
        <v>1.9337563000000001E-8</v>
      </c>
      <c r="Y276">
        <v>9.6102607000000007E-2</v>
      </c>
      <c r="Z276">
        <v>4.4512393999999997E-2</v>
      </c>
      <c r="AA276" s="217">
        <v>2.5333183E-9</v>
      </c>
      <c r="AB276">
        <v>2.5466996000000002E-4</v>
      </c>
      <c r="AC276">
        <v>0.26378093000000002</v>
      </c>
      <c r="AD276" s="217">
        <v>3.8809876000000003E-9</v>
      </c>
      <c r="AE276" s="217">
        <v>9.4238698999999992E-10</v>
      </c>
      <c r="AF276">
        <v>3.1053503999999999E-2</v>
      </c>
      <c r="AG276">
        <v>0</v>
      </c>
      <c r="AH276">
        <v>0</v>
      </c>
      <c r="AI276">
        <v>3.6490361000000001E-3</v>
      </c>
      <c r="AJ276">
        <v>0</v>
      </c>
      <c r="AK276">
        <v>0</v>
      </c>
      <c r="AL276">
        <v>0.10342467</v>
      </c>
      <c r="AM276">
        <v>0</v>
      </c>
      <c r="AN276">
        <v>0</v>
      </c>
      <c r="AO276">
        <v>0</v>
      </c>
      <c r="AP276">
        <v>4.6590078999999998E-4</v>
      </c>
      <c r="AQ276" s="217">
        <v>6.0224522999999999E-7</v>
      </c>
      <c r="AR276">
        <v>7.7447399000000004E-3</v>
      </c>
      <c r="AS276" s="217">
        <v>3.0671887000000001E-7</v>
      </c>
      <c r="AT276">
        <v>0</v>
      </c>
      <c r="AU276">
        <v>0</v>
      </c>
      <c r="AV276">
        <v>0</v>
      </c>
      <c r="AW276">
        <v>0</v>
      </c>
      <c r="AX276">
        <v>0</v>
      </c>
    </row>
    <row r="277" spans="1:50" x14ac:dyDescent="0.35">
      <c r="A277" t="s">
        <v>750</v>
      </c>
      <c r="B277" s="249">
        <f t="shared" si="4"/>
        <v>0.1566420665276376</v>
      </c>
      <c r="C277" s="217">
        <v>6.5326111000000002E-7</v>
      </c>
      <c r="D277">
        <v>1.0307186999999999E-3</v>
      </c>
      <c r="E277">
        <v>2.6575202999999998</v>
      </c>
      <c r="F277" s="217">
        <v>8.1255561999999996E-8</v>
      </c>
      <c r="G277" s="217">
        <v>8.4823426999999999E-5</v>
      </c>
      <c r="H277">
        <v>9.1495624999999995E-4</v>
      </c>
      <c r="I277">
        <v>1.6179207999999999E-4</v>
      </c>
      <c r="J277">
        <v>0.16862326</v>
      </c>
      <c r="K277">
        <v>9.6547812000000004E-3</v>
      </c>
      <c r="L277">
        <v>28.220587999999999</v>
      </c>
      <c r="M277">
        <v>4.1996895E-4</v>
      </c>
      <c r="N277">
        <v>2.6610377999999999</v>
      </c>
      <c r="O277">
        <v>2.6606964999999998</v>
      </c>
      <c r="P277">
        <v>1.3775914999999999E-4</v>
      </c>
      <c r="Q277">
        <v>2.0362388999999999E-4</v>
      </c>
      <c r="R277" s="217">
        <v>8.0801863000000004E-8</v>
      </c>
      <c r="S277">
        <v>1.1811852E-3</v>
      </c>
      <c r="T277" s="217">
        <v>1.2496627E-5</v>
      </c>
      <c r="U277">
        <v>3.1014342999999999E-4</v>
      </c>
      <c r="V277">
        <v>3.5935365000000002E-3</v>
      </c>
      <c r="W277">
        <v>9.1706451000000001E-4</v>
      </c>
      <c r="X277" s="217">
        <v>6.5328082999999998E-7</v>
      </c>
      <c r="Y277">
        <v>1.9279866000000001</v>
      </c>
      <c r="Z277">
        <v>0.17582189000000001</v>
      </c>
      <c r="AA277" s="217">
        <v>8.6347540000000002E-9</v>
      </c>
      <c r="AB277">
        <v>8.4414357999999991E-3</v>
      </c>
      <c r="AC277">
        <v>33.126131000000001</v>
      </c>
      <c r="AD277" s="217">
        <v>4.8202447000000001E-10</v>
      </c>
      <c r="AE277" s="217">
        <v>1.0044643E-8</v>
      </c>
      <c r="AF277">
        <v>0.52394529000000001</v>
      </c>
      <c r="AG277">
        <v>0</v>
      </c>
      <c r="AH277">
        <v>0</v>
      </c>
      <c r="AI277">
        <v>0.18899643999999999</v>
      </c>
      <c r="AJ277">
        <v>0</v>
      </c>
      <c r="AK277">
        <v>0</v>
      </c>
      <c r="AL277">
        <v>2.0489335</v>
      </c>
      <c r="AM277">
        <v>0</v>
      </c>
      <c r="AN277">
        <v>0</v>
      </c>
      <c r="AO277">
        <v>0</v>
      </c>
      <c r="AP277">
        <v>3.9000489E-3</v>
      </c>
      <c r="AQ277" s="217">
        <v>4.9661878999999997E-6</v>
      </c>
      <c r="AR277">
        <v>3.7825722999999999E-2</v>
      </c>
      <c r="AS277" s="217">
        <v>7.1077899000000002E-6</v>
      </c>
      <c r="AT277">
        <v>0</v>
      </c>
      <c r="AU277">
        <v>0</v>
      </c>
      <c r="AV277">
        <v>0</v>
      </c>
      <c r="AW277">
        <v>0</v>
      </c>
      <c r="AX277">
        <v>0</v>
      </c>
    </row>
    <row r="278" spans="1:50" x14ac:dyDescent="0.35">
      <c r="A278" t="s">
        <v>751</v>
      </c>
      <c r="B278" s="249">
        <f t="shared" si="4"/>
        <v>0.177290522878364</v>
      </c>
      <c r="C278" s="217">
        <v>3.0384954E-6</v>
      </c>
      <c r="D278">
        <v>4.6849904000000001E-3</v>
      </c>
      <c r="E278">
        <v>2.3352531000000001</v>
      </c>
      <c r="F278" s="217">
        <v>3.8331957E-7</v>
      </c>
      <c r="G278">
        <v>2.4746396000000003E-4</v>
      </c>
      <c r="H278">
        <v>3.4265259E-3</v>
      </c>
      <c r="I278">
        <v>5.1477271000000002E-4</v>
      </c>
      <c r="J278">
        <v>0.40106552000000001</v>
      </c>
      <c r="K278">
        <v>9.4068725999999995E-3</v>
      </c>
      <c r="L278">
        <v>44.407114999999997</v>
      </c>
      <c r="M278">
        <v>1.8913879999999999E-3</v>
      </c>
      <c r="N278">
        <v>2.3478707000000001</v>
      </c>
      <c r="O278">
        <v>2.3467311</v>
      </c>
      <c r="P278">
        <v>1.7689088999999999E-4</v>
      </c>
      <c r="Q278">
        <v>9.6269661000000003E-4</v>
      </c>
      <c r="R278" s="217">
        <v>3.8064759E-7</v>
      </c>
      <c r="S278">
        <v>4.252207E-3</v>
      </c>
      <c r="T278" s="217">
        <v>5.8169669000000002E-5</v>
      </c>
      <c r="U278">
        <v>8.2982572000000001E-4</v>
      </c>
      <c r="V278">
        <v>9.8545631999999994E-3</v>
      </c>
      <c r="W278">
        <v>2.4707294999999998E-3</v>
      </c>
      <c r="X278" s="217">
        <v>3.0385716999999998E-6</v>
      </c>
      <c r="Y278">
        <v>8.7569096999999996</v>
      </c>
      <c r="Z278">
        <v>0.66944004000000001</v>
      </c>
      <c r="AA278" s="217">
        <v>3.0985118999999997E-8</v>
      </c>
      <c r="AB278">
        <v>3.9145262E-2</v>
      </c>
      <c r="AC278">
        <v>155.51165</v>
      </c>
      <c r="AD278" s="217">
        <v>7.8879434999999996E-10</v>
      </c>
      <c r="AE278" s="217">
        <v>3.7326437000000003E-8</v>
      </c>
      <c r="AF278">
        <v>2.3399795999999999</v>
      </c>
      <c r="AG278">
        <v>0</v>
      </c>
      <c r="AH278">
        <v>0</v>
      </c>
      <c r="AI278">
        <v>0.88630615999999995</v>
      </c>
      <c r="AJ278">
        <v>0</v>
      </c>
      <c r="AK278">
        <v>0</v>
      </c>
      <c r="AL278">
        <v>9.3002497000000002</v>
      </c>
      <c r="AM278">
        <v>0</v>
      </c>
      <c r="AN278">
        <v>0</v>
      </c>
      <c r="AO278">
        <v>0</v>
      </c>
      <c r="AP278">
        <v>1.6793658E-2</v>
      </c>
      <c r="AQ278" s="217">
        <v>2.0238339999999998E-5</v>
      </c>
      <c r="AR278">
        <v>0.12713361000000001</v>
      </c>
      <c r="AS278" s="217">
        <v>3.2553365000000003E-5</v>
      </c>
      <c r="AT278">
        <v>0</v>
      </c>
      <c r="AU278">
        <v>0</v>
      </c>
      <c r="AV278">
        <v>0</v>
      </c>
      <c r="AW278">
        <v>0</v>
      </c>
      <c r="AX278">
        <v>0</v>
      </c>
    </row>
    <row r="279" spans="1:50" x14ac:dyDescent="0.35">
      <c r="A279" t="s">
        <v>752</v>
      </c>
      <c r="B279" s="249">
        <f t="shared" si="4"/>
        <v>0.13127433628047105</v>
      </c>
      <c r="C279" s="217">
        <v>2.8875268999999999E-8</v>
      </c>
      <c r="D279">
        <v>1.1671035E-4</v>
      </c>
      <c r="E279">
        <v>2.3933426999999998</v>
      </c>
      <c r="F279" s="217">
        <v>2.1012476E-9</v>
      </c>
      <c r="G279" s="217">
        <v>8.7621113000000003E-6</v>
      </c>
      <c r="H279">
        <v>1.5230465999999999E-4</v>
      </c>
      <c r="I279" s="217">
        <v>6.7599478999999998E-5</v>
      </c>
      <c r="J279">
        <v>8.2019412999999999E-2</v>
      </c>
      <c r="K279">
        <v>7.1585855E-3</v>
      </c>
      <c r="L279">
        <v>27.184346000000001</v>
      </c>
      <c r="M279">
        <v>6.3970764000000004E-4</v>
      </c>
      <c r="N279">
        <v>2.3937751999999999</v>
      </c>
      <c r="O279">
        <v>2.3936774000000001</v>
      </c>
      <c r="P279" s="217">
        <v>9.3836608999999993E-5</v>
      </c>
      <c r="Q279" s="217">
        <v>3.9723404000000001E-6</v>
      </c>
      <c r="R279" s="217">
        <v>2.4010180999999999E-9</v>
      </c>
      <c r="S279">
        <v>2.1517861000000001E-4</v>
      </c>
      <c r="T279" s="217">
        <v>5.0247732999999999E-7</v>
      </c>
      <c r="U279" s="217">
        <v>9.4114696999999994E-5</v>
      </c>
      <c r="V279">
        <v>1.0496551000000001E-3</v>
      </c>
      <c r="W279">
        <v>2.5774674999999998E-4</v>
      </c>
      <c r="X279" s="217">
        <v>2.8879834000000001E-8</v>
      </c>
      <c r="Y279">
        <v>0.22090024</v>
      </c>
      <c r="Z279">
        <v>7.2285459999999998E-3</v>
      </c>
      <c r="AA279" s="217">
        <v>1.7130538E-9</v>
      </c>
      <c r="AB279">
        <v>4.7277810000000001E-4</v>
      </c>
      <c r="AC279">
        <v>0.63258846000000002</v>
      </c>
      <c r="AD279" s="217">
        <v>3.0695383E-9</v>
      </c>
      <c r="AE279" s="217">
        <v>9.3569428000000006E-9</v>
      </c>
      <c r="AF279">
        <v>8.0770312999999996E-2</v>
      </c>
      <c r="AG279">
        <v>0</v>
      </c>
      <c r="AH279">
        <v>0</v>
      </c>
      <c r="AI279">
        <v>5.6013675999999997E-3</v>
      </c>
      <c r="AJ279">
        <v>0</v>
      </c>
      <c r="AK279">
        <v>0</v>
      </c>
      <c r="AL279">
        <v>0.23952498999999999</v>
      </c>
      <c r="AM279">
        <v>0</v>
      </c>
      <c r="AN279">
        <v>0</v>
      </c>
      <c r="AO279">
        <v>0</v>
      </c>
      <c r="AP279">
        <v>1.7808491999999999E-4</v>
      </c>
      <c r="AQ279" s="217">
        <v>3.3017929999999999E-6</v>
      </c>
      <c r="AR279">
        <v>3.9423169000000001E-2</v>
      </c>
      <c r="AS279" s="217">
        <v>6.3427271000000001E-7</v>
      </c>
      <c r="AT279">
        <v>0</v>
      </c>
      <c r="AU279">
        <v>0</v>
      </c>
      <c r="AV279">
        <v>0</v>
      </c>
      <c r="AW279">
        <v>0</v>
      </c>
      <c r="AX279">
        <v>0</v>
      </c>
    </row>
    <row r="280" spans="1:50" x14ac:dyDescent="0.35">
      <c r="A280" t="s">
        <v>753</v>
      </c>
      <c r="B280" s="249">
        <f t="shared" si="4"/>
        <v>-2.4810773961103684E-3</v>
      </c>
      <c r="C280" s="217">
        <v>-2.6737898000000001E-9</v>
      </c>
      <c r="D280">
        <v>-3.7736760999999998E-4</v>
      </c>
      <c r="E280">
        <v>-4.1225985999999999E-2</v>
      </c>
      <c r="F280" s="217">
        <v>-4.7839707999999998E-9</v>
      </c>
      <c r="G280" s="217">
        <v>-5.8247101000000001E-6</v>
      </c>
      <c r="H280" s="217">
        <v>-2.6899715E-5</v>
      </c>
      <c r="I280" s="217">
        <v>-3.9720056000000002E-6</v>
      </c>
      <c r="J280">
        <v>-2.1495753E-3</v>
      </c>
      <c r="K280" s="217">
        <v>-2.1676575E-5</v>
      </c>
      <c r="L280">
        <v>-9.7456193999999996E-2</v>
      </c>
      <c r="M280" s="217">
        <v>-6.6884555000000004E-6</v>
      </c>
      <c r="N280">
        <v>-4.1738669999999999E-2</v>
      </c>
      <c r="O280">
        <v>-4.1727440999999997E-2</v>
      </c>
      <c r="P280" s="217">
        <v>-1.0072656000000001E-5</v>
      </c>
      <c r="Q280" s="217">
        <v>-1.1560419E-6</v>
      </c>
      <c r="R280" s="217">
        <v>-5.4298960999999996E-9</v>
      </c>
      <c r="S280" s="217">
        <v>-3.4704201999999998E-5</v>
      </c>
      <c r="T280" s="217">
        <v>-7.5197367000000003E-8</v>
      </c>
      <c r="U280" s="217">
        <v>-1.0239191000000001E-5</v>
      </c>
      <c r="V280">
        <v>-1.1436555E-4</v>
      </c>
      <c r="W280" s="217">
        <v>-3.7192786999999998E-5</v>
      </c>
      <c r="X280" s="217">
        <v>-2.6738797000000002E-9</v>
      </c>
      <c r="Y280">
        <v>-0.69760993000000004</v>
      </c>
      <c r="Z280">
        <v>-2.8926167E-3</v>
      </c>
      <c r="AA280" s="217">
        <v>-1.0053295E-10</v>
      </c>
      <c r="AB280">
        <v>-2.2736250999999999E-4</v>
      </c>
      <c r="AC280">
        <v>-3.8988018999999999E-2</v>
      </c>
      <c r="AD280" s="217">
        <v>-2.6268449999999998E-12</v>
      </c>
      <c r="AE280" s="217">
        <v>-3.5671188999999999E-11</v>
      </c>
      <c r="AF280">
        <v>-9.4894691999999996E-3</v>
      </c>
      <c r="AG280">
        <v>0</v>
      </c>
      <c r="AH280">
        <v>0</v>
      </c>
      <c r="AI280">
        <v>-1.4315452000000001E-3</v>
      </c>
      <c r="AJ280">
        <v>0</v>
      </c>
      <c r="AK280">
        <v>0</v>
      </c>
      <c r="AL280">
        <v>-0.77380296000000004</v>
      </c>
      <c r="AM280">
        <v>0</v>
      </c>
      <c r="AN280">
        <v>0</v>
      </c>
      <c r="AO280">
        <v>0</v>
      </c>
      <c r="AP280" s="217">
        <v>-3.6645045000000002E-5</v>
      </c>
      <c r="AQ280" s="217">
        <v>-8.8295983999999996E-7</v>
      </c>
      <c r="AR280">
        <v>-2.1955596999999999E-4</v>
      </c>
      <c r="AS280" s="217">
        <v>-3.3791370000000001E-7</v>
      </c>
      <c r="AT280">
        <v>0</v>
      </c>
      <c r="AU280">
        <v>0</v>
      </c>
      <c r="AV280">
        <v>0</v>
      </c>
      <c r="AW280">
        <v>0</v>
      </c>
      <c r="AX280">
        <v>0</v>
      </c>
    </row>
    <row r="281" spans="1:50" x14ac:dyDescent="0.35">
      <c r="A281" t="s">
        <v>754</v>
      </c>
      <c r="B281" s="249">
        <f t="shared" si="4"/>
        <v>-1.4052302433894479E-3</v>
      </c>
      <c r="C281" s="217">
        <v>-6.6067278000000001E-9</v>
      </c>
      <c r="D281" s="217">
        <v>-1.6799468E-5</v>
      </c>
      <c r="E281">
        <v>-3.056146E-3</v>
      </c>
      <c r="F281" s="217">
        <v>-1.0107291E-9</v>
      </c>
      <c r="G281" s="217">
        <v>-1.2828060000000001E-5</v>
      </c>
      <c r="H281" s="217">
        <v>-8.2009761999999998E-5</v>
      </c>
      <c r="I281" s="217">
        <v>-2.6751254999999999E-5</v>
      </c>
      <c r="J281">
        <v>-7.0212432E-3</v>
      </c>
      <c r="K281">
        <v>-1.5572361E-4</v>
      </c>
      <c r="L281">
        <v>-0.15793786000000001</v>
      </c>
      <c r="M281" s="217">
        <v>-4.7830071000000002E-5</v>
      </c>
      <c r="N281">
        <v>-3.5122885999999999E-3</v>
      </c>
      <c r="O281">
        <v>-3.1216163999999999E-3</v>
      </c>
      <c r="P281">
        <v>-3.4405950999999999E-4</v>
      </c>
      <c r="Q281" s="217">
        <v>-4.6612678000000002E-5</v>
      </c>
      <c r="R281" s="217">
        <v>-9.8342286000000002E-10</v>
      </c>
      <c r="S281">
        <v>-1.3003415000000001E-4</v>
      </c>
      <c r="T281" s="217">
        <v>-1.7885447999999999E-7</v>
      </c>
      <c r="U281" s="217">
        <v>-3.747012E-5</v>
      </c>
      <c r="V281">
        <v>-6.3052585999999998E-4</v>
      </c>
      <c r="W281">
        <v>-1.0753287999999999E-4</v>
      </c>
      <c r="X281" s="217">
        <v>-6.5972661999999999E-9</v>
      </c>
      <c r="Y281">
        <v>-3.4582114999999997E-2</v>
      </c>
      <c r="Z281">
        <v>-4.7558570999999998E-4</v>
      </c>
      <c r="AA281" s="217">
        <v>-1.7445984000000001E-9</v>
      </c>
      <c r="AB281">
        <v>-1.4100931E-4</v>
      </c>
      <c r="AC281">
        <v>-1.3037578000000001</v>
      </c>
      <c r="AD281" s="217">
        <v>-1.4624530000000001E-11</v>
      </c>
      <c r="AE281" s="217">
        <v>-5.3366121999999995E-10</v>
      </c>
      <c r="AF281">
        <v>-5.1755361000000004</v>
      </c>
      <c r="AG281">
        <v>0</v>
      </c>
      <c r="AH281">
        <v>0</v>
      </c>
      <c r="AI281">
        <v>-1.0857794000000001</v>
      </c>
      <c r="AJ281">
        <v>0</v>
      </c>
      <c r="AK281">
        <v>0</v>
      </c>
      <c r="AL281">
        <v>-3.6884716999999997E-2</v>
      </c>
      <c r="AM281">
        <v>0</v>
      </c>
      <c r="AN281">
        <v>0</v>
      </c>
      <c r="AO281">
        <v>0</v>
      </c>
      <c r="AP281" s="217">
        <v>-1.2434574E-5</v>
      </c>
      <c r="AQ281" s="217">
        <v>-2.0874177999999999E-6</v>
      </c>
      <c r="AR281">
        <v>-9.1359918999999996E-4</v>
      </c>
      <c r="AS281" s="217">
        <v>-2.1570548000000001E-7</v>
      </c>
      <c r="AT281">
        <v>0</v>
      </c>
      <c r="AU281">
        <v>0</v>
      </c>
      <c r="AV281">
        <v>0</v>
      </c>
      <c r="AW281">
        <v>0</v>
      </c>
      <c r="AX281">
        <v>0</v>
      </c>
    </row>
    <row r="282" spans="1:50" x14ac:dyDescent="0.35">
      <c r="A282" t="s">
        <v>755</v>
      </c>
      <c r="B282" s="249">
        <f t="shared" si="4"/>
        <v>-2.8104983866940998</v>
      </c>
      <c r="C282">
        <v>3.0800627E-4</v>
      </c>
      <c r="D282">
        <v>-9.7824540000000001E-2</v>
      </c>
      <c r="E282">
        <v>-16.050146999999999</v>
      </c>
      <c r="F282" s="217">
        <v>-4.1520090999999998E-7</v>
      </c>
      <c r="G282">
        <v>-6.6780933999999997E-3</v>
      </c>
      <c r="H282">
        <v>-9.0248383000000001E-2</v>
      </c>
      <c r="I282">
        <v>-7.1885734999999999E-3</v>
      </c>
      <c r="J282">
        <v>-16.359062999999999</v>
      </c>
      <c r="K282">
        <v>-9.0113894999999999E-2</v>
      </c>
      <c r="L282">
        <v>-769.08578</v>
      </c>
      <c r="M282">
        <v>-2.3356502000000001E-2</v>
      </c>
      <c r="N282">
        <v>-16.545843999999999</v>
      </c>
      <c r="O282">
        <v>-16.549544000000001</v>
      </c>
      <c r="P282">
        <v>7.2143457999999994E-2</v>
      </c>
      <c r="Q282">
        <v>-6.8443058000000001E-2</v>
      </c>
      <c r="R282" s="217">
        <v>-4.5782998999999998E-7</v>
      </c>
      <c r="S282">
        <v>-0.10672764</v>
      </c>
      <c r="T282">
        <v>-5.0002493000000003E-4</v>
      </c>
      <c r="U282">
        <v>-1.5913492000000001E-2</v>
      </c>
      <c r="V282">
        <v>-0.17627338000000001</v>
      </c>
      <c r="W282">
        <v>-5.2135741999999999E-2</v>
      </c>
      <c r="X282">
        <v>3.0800643000000001E-4</v>
      </c>
      <c r="Y282">
        <v>-149.89318</v>
      </c>
      <c r="Z282">
        <v>-1.6441895</v>
      </c>
      <c r="AA282" s="217">
        <v>-1.2545032999999999E-6</v>
      </c>
      <c r="AB282">
        <v>-0.20025838000000001</v>
      </c>
      <c r="AC282">
        <v>-373.62691000000001</v>
      </c>
      <c r="AD282" s="217">
        <v>-2.1418933E-8</v>
      </c>
      <c r="AE282" s="217">
        <v>-3.3837973000000002E-7</v>
      </c>
      <c r="AF282">
        <v>-22.781822999999999</v>
      </c>
      <c r="AG282">
        <v>0</v>
      </c>
      <c r="AH282">
        <v>0</v>
      </c>
      <c r="AI282">
        <v>-21.402054</v>
      </c>
      <c r="AJ282">
        <v>0</v>
      </c>
      <c r="AK282">
        <v>0</v>
      </c>
      <c r="AL282">
        <v>-159.08193</v>
      </c>
      <c r="AM282">
        <v>0</v>
      </c>
      <c r="AN282">
        <v>0</v>
      </c>
      <c r="AO282">
        <v>0</v>
      </c>
      <c r="AP282">
        <v>-0.10195029</v>
      </c>
      <c r="AQ282">
        <v>7.1807381000000003E-3</v>
      </c>
      <c r="AR282">
        <v>-2.6896876999999999</v>
      </c>
      <c r="AS282">
        <v>-2.0614984000000001E-4</v>
      </c>
      <c r="AT282">
        <v>0</v>
      </c>
      <c r="AU282">
        <v>0</v>
      </c>
      <c r="AV282">
        <v>0</v>
      </c>
      <c r="AW282">
        <v>0</v>
      </c>
      <c r="AX282">
        <v>0</v>
      </c>
    </row>
    <row r="283" spans="1:50" x14ac:dyDescent="0.35">
      <c r="A283" t="s">
        <v>756</v>
      </c>
      <c r="B283" s="249">
        <f t="shared" si="4"/>
        <v>1.6935144139286801E-4</v>
      </c>
      <c r="C283" s="217">
        <v>1.0317498E-9</v>
      </c>
      <c r="D283" s="217">
        <v>1.1594588E-5</v>
      </c>
      <c r="E283">
        <v>1.6169176E-3</v>
      </c>
      <c r="F283" s="217">
        <v>1.8783623E-10</v>
      </c>
      <c r="G283" s="217">
        <v>9.2615999999999998E-7</v>
      </c>
      <c r="H283" s="217">
        <v>8.0580630000000004E-6</v>
      </c>
      <c r="I283" s="217">
        <v>1.8208868E-6</v>
      </c>
      <c r="J283">
        <v>3.7062785000000002E-4</v>
      </c>
      <c r="K283" s="217">
        <v>6.3440466000000002E-6</v>
      </c>
      <c r="L283">
        <v>2.3439153000000001E-2</v>
      </c>
      <c r="M283" s="217">
        <v>4.6888458E-6</v>
      </c>
      <c r="N283">
        <v>1.6492389E-3</v>
      </c>
      <c r="O283">
        <v>1.6342799000000001E-3</v>
      </c>
      <c r="P283" s="217">
        <v>1.457057E-5</v>
      </c>
      <c r="Q283" s="217">
        <v>3.8835483999999999E-7</v>
      </c>
      <c r="R283" s="217">
        <v>2.2352567E-10</v>
      </c>
      <c r="S283" s="217">
        <v>1.1281105999999999E-5</v>
      </c>
      <c r="T283" s="217">
        <v>6.8439462000000003E-8</v>
      </c>
      <c r="U283" s="217">
        <v>4.0743126000000001E-6</v>
      </c>
      <c r="V283" s="217">
        <v>4.9145108E-5</v>
      </c>
      <c r="W283" s="217">
        <v>1.2224816000000001E-5</v>
      </c>
      <c r="X283" s="217">
        <v>1.0317814E-9</v>
      </c>
      <c r="Y283">
        <v>2.2802543000000002E-2</v>
      </c>
      <c r="Z283">
        <v>1.6621852E-4</v>
      </c>
      <c r="AA283" s="217">
        <v>2.3195970999999999E-10</v>
      </c>
      <c r="AB283" s="217">
        <v>7.7716009000000004E-5</v>
      </c>
      <c r="AC283">
        <v>1.6361791000000001E-2</v>
      </c>
      <c r="AD283" s="217">
        <v>4.1215229999999998E-13</v>
      </c>
      <c r="AE283" s="217">
        <v>1.1064954999999999E-11</v>
      </c>
      <c r="AF283">
        <v>4.3297333000000002E-3</v>
      </c>
      <c r="AG283">
        <v>0</v>
      </c>
      <c r="AH283">
        <v>0</v>
      </c>
      <c r="AI283">
        <v>1.3025544E-3</v>
      </c>
      <c r="AJ283">
        <v>0</v>
      </c>
      <c r="AK283">
        <v>0</v>
      </c>
      <c r="AL283">
        <v>2.4306133000000001E-2</v>
      </c>
      <c r="AM283">
        <v>0</v>
      </c>
      <c r="AN283">
        <v>0</v>
      </c>
      <c r="AO283">
        <v>0</v>
      </c>
      <c r="AP283" s="217">
        <v>1.0688452999999999E-5</v>
      </c>
      <c r="AQ283" s="217">
        <v>3.7163920000000002E-8</v>
      </c>
      <c r="AR283">
        <v>3.0435968999999998E-3</v>
      </c>
      <c r="AS283" s="217">
        <v>1.0962164E-7</v>
      </c>
      <c r="AT283">
        <v>0</v>
      </c>
      <c r="AU283">
        <v>0</v>
      </c>
      <c r="AV283">
        <v>0</v>
      </c>
      <c r="AW283">
        <v>0</v>
      </c>
      <c r="AX283">
        <v>0</v>
      </c>
    </row>
    <row r="284" spans="1:50" x14ac:dyDescent="0.35">
      <c r="A284" t="s">
        <v>608</v>
      </c>
      <c r="B284" s="249">
        <f t="shared" si="4"/>
        <v>-5.3644986978642012E-4</v>
      </c>
      <c r="C284" s="217">
        <v>-2.3272482E-8</v>
      </c>
      <c r="D284" s="217">
        <v>-2.8817663999999998E-5</v>
      </c>
      <c r="E284">
        <v>-4.1978388E-3</v>
      </c>
      <c r="F284" s="217">
        <v>-3.7635331000000001E-10</v>
      </c>
      <c r="G284" s="217">
        <v>-3.0395676999999998E-6</v>
      </c>
      <c r="H284" s="217">
        <v>-2.4055836999999999E-5</v>
      </c>
      <c r="I284" s="217">
        <v>-4.1870121000000002E-6</v>
      </c>
      <c r="J284">
        <v>-1.875828E-3</v>
      </c>
      <c r="K284" s="217">
        <v>-2.6843439000000001E-5</v>
      </c>
      <c r="L284">
        <v>-0.11729301</v>
      </c>
      <c r="M284" s="217">
        <v>-9.7895479999999997E-6</v>
      </c>
      <c r="N284">
        <v>-4.3144426999999997E-3</v>
      </c>
      <c r="O284">
        <v>-4.2975651000000002E-3</v>
      </c>
      <c r="P284" s="217">
        <v>-1.2450724E-5</v>
      </c>
      <c r="Q284" s="217">
        <v>-4.4268716000000002E-6</v>
      </c>
      <c r="R284" s="217">
        <v>-4.4155995000000001E-10</v>
      </c>
      <c r="S284" s="217">
        <v>-3.1422910999999997E-5</v>
      </c>
      <c r="T284" s="217">
        <v>-2.6223148000000001E-7</v>
      </c>
      <c r="U284" s="217">
        <v>-8.6794488999999994E-6</v>
      </c>
      <c r="V284">
        <v>-1.0331497999999999E-4</v>
      </c>
      <c r="W284" s="217">
        <v>-2.7835762000000001E-5</v>
      </c>
      <c r="X284" s="217">
        <v>-2.327265E-8</v>
      </c>
      <c r="Y284">
        <v>-5.4601802999999997E-2</v>
      </c>
      <c r="Z284">
        <v>-6.0355916000000003E-2</v>
      </c>
      <c r="AA284" s="217">
        <v>-5.2532237000000001E-10</v>
      </c>
      <c r="AB284">
        <v>-2.2124252999999999E-4</v>
      </c>
      <c r="AC284">
        <v>-7.911406E-2</v>
      </c>
      <c r="AD284" s="217">
        <v>-3.0315786999999999E-12</v>
      </c>
      <c r="AE284" s="217">
        <v>-8.4870342999999998E-11</v>
      </c>
      <c r="AF284">
        <v>-6.6847770000000001E-2</v>
      </c>
      <c r="AG284">
        <v>0</v>
      </c>
      <c r="AH284">
        <v>0</v>
      </c>
      <c r="AI284">
        <v>-3.5432950000000001E-3</v>
      </c>
      <c r="AJ284">
        <v>0</v>
      </c>
      <c r="AK284">
        <v>0</v>
      </c>
      <c r="AL284">
        <v>-5.7993410000000002E-2</v>
      </c>
      <c r="AM284">
        <v>0</v>
      </c>
      <c r="AN284">
        <v>0</v>
      </c>
      <c r="AO284">
        <v>0</v>
      </c>
      <c r="AP284">
        <v>-1.4122779000000001E-3</v>
      </c>
      <c r="AQ284" s="217">
        <v>-7.7342431999999997E-8</v>
      </c>
      <c r="AR284">
        <v>-5.4803877999999996E-4</v>
      </c>
      <c r="AS284" s="217">
        <v>-2.4443691999999998E-7</v>
      </c>
      <c r="AT284">
        <v>0</v>
      </c>
      <c r="AU284">
        <v>0</v>
      </c>
      <c r="AV284">
        <v>0</v>
      </c>
      <c r="AW284">
        <v>0</v>
      </c>
      <c r="AX284">
        <v>0</v>
      </c>
    </row>
    <row r="285" spans="1:50" x14ac:dyDescent="0.35">
      <c r="A285" t="s">
        <v>757</v>
      </c>
      <c r="B285" s="249">
        <f t="shared" si="4"/>
        <v>6.3756764647130999E-3</v>
      </c>
      <c r="C285" s="217">
        <v>3.6158605000000003E-8</v>
      </c>
      <c r="D285" s="217">
        <v>3.0927526999999999E-5</v>
      </c>
      <c r="E285">
        <v>1.2460125000000001E-2</v>
      </c>
      <c r="F285" s="217">
        <v>5.5228321000000001E-10</v>
      </c>
      <c r="G285" s="217">
        <v>4.7668316000000001E-6</v>
      </c>
      <c r="H285" s="217">
        <v>2.3764316999999999E-5</v>
      </c>
      <c r="I285" s="217">
        <v>5.9774579000000001E-6</v>
      </c>
      <c r="J285">
        <v>6.1564685000000001E-2</v>
      </c>
      <c r="K285">
        <v>1.4994009000000001E-4</v>
      </c>
      <c r="L285">
        <v>0.42542189000000002</v>
      </c>
      <c r="M285" s="217">
        <v>2.4156041999999999E-5</v>
      </c>
      <c r="N285">
        <v>1.7872081000000001E-2</v>
      </c>
      <c r="O285">
        <v>9.7891321000000003E-3</v>
      </c>
      <c r="P285">
        <v>8.0783560999999997E-3</v>
      </c>
      <c r="Q285" s="217">
        <v>4.5931795000000001E-6</v>
      </c>
      <c r="R285" s="217">
        <v>5.9177933999999995E-10</v>
      </c>
      <c r="S285" s="217">
        <v>3.1544617000000003E-5</v>
      </c>
      <c r="T285" s="217">
        <v>2.9595269000000002E-7</v>
      </c>
      <c r="U285" s="217">
        <v>1.0252677E-5</v>
      </c>
      <c r="V285" s="217">
        <v>9.7646533000000005E-5</v>
      </c>
      <c r="W285" s="217">
        <v>2.4999462999999999E-5</v>
      </c>
      <c r="X285" s="217">
        <v>3.6158714999999998E-8</v>
      </c>
      <c r="Y285">
        <v>7.1972362999999998E-2</v>
      </c>
      <c r="Z285">
        <v>5.4325789999999999E-3</v>
      </c>
      <c r="AA285" s="217">
        <v>4.9003177999999998E-10</v>
      </c>
      <c r="AB285">
        <v>4.3608128999999998E-4</v>
      </c>
      <c r="AC285">
        <v>3.5290371</v>
      </c>
      <c r="AD285" s="217">
        <v>2.8011464000000001E-11</v>
      </c>
      <c r="AE285" s="217">
        <v>1.4684146E-10</v>
      </c>
      <c r="AF285">
        <v>6.5051545000000002E-2</v>
      </c>
      <c r="AG285">
        <v>0</v>
      </c>
      <c r="AH285">
        <v>0</v>
      </c>
      <c r="AI285">
        <v>6.6047021000000001E-3</v>
      </c>
      <c r="AJ285">
        <v>0</v>
      </c>
      <c r="AK285">
        <v>0</v>
      </c>
      <c r="AL285">
        <v>7.5950920000000005E-2</v>
      </c>
      <c r="AM285">
        <v>0</v>
      </c>
      <c r="AN285">
        <v>0</v>
      </c>
      <c r="AO285">
        <v>0</v>
      </c>
      <c r="AP285">
        <v>1.4465189999999999E-4</v>
      </c>
      <c r="AQ285" s="217">
        <v>9.7982721999999995E-8</v>
      </c>
      <c r="AR285">
        <v>3.0020562000000001E-2</v>
      </c>
      <c r="AS285" s="217">
        <v>4.5552022999999998E-7</v>
      </c>
      <c r="AT285">
        <v>0</v>
      </c>
      <c r="AU285">
        <v>0</v>
      </c>
      <c r="AV285">
        <v>0</v>
      </c>
      <c r="AW285">
        <v>0</v>
      </c>
      <c r="AX285">
        <v>0</v>
      </c>
    </row>
    <row r="286" spans="1:50" x14ac:dyDescent="0.35">
      <c r="A286" t="s">
        <v>758</v>
      </c>
      <c r="B286" s="249">
        <f t="shared" si="4"/>
        <v>-3.8666231274829203E-2</v>
      </c>
      <c r="C286" s="217">
        <v>-9.7674737E-7</v>
      </c>
      <c r="D286">
        <v>-1.8886904000000001E-3</v>
      </c>
      <c r="E286">
        <v>-0.38086943000000001</v>
      </c>
      <c r="F286" s="217">
        <v>-1.3884555E-8</v>
      </c>
      <c r="G286" s="217">
        <v>-8.6773109000000002E-5</v>
      </c>
      <c r="H286">
        <v>-1.5634944E-3</v>
      </c>
      <c r="I286">
        <v>-2.1164929000000001E-4</v>
      </c>
      <c r="J286">
        <v>-0.11041242</v>
      </c>
      <c r="K286">
        <v>-2.1958475000000001E-3</v>
      </c>
      <c r="L286">
        <v>-9.5451671999999999</v>
      </c>
      <c r="M286">
        <v>-5.0198536000000001E-4</v>
      </c>
      <c r="N286">
        <v>-0.38580108000000002</v>
      </c>
      <c r="O286">
        <v>-0.38289510999999998</v>
      </c>
      <c r="P286">
        <v>-2.5635851000000002E-3</v>
      </c>
      <c r="Q286">
        <v>-3.4238668000000002E-4</v>
      </c>
      <c r="R286" s="217">
        <v>-1.4705230000000001E-8</v>
      </c>
      <c r="S286">
        <v>-2.0066305999999999E-3</v>
      </c>
      <c r="T286" s="217">
        <v>-2.3220759000000001E-5</v>
      </c>
      <c r="U286">
        <v>-2.6537225000000002E-4</v>
      </c>
      <c r="V286">
        <v>-4.5881593000000002E-3</v>
      </c>
      <c r="W286">
        <v>-7.9687549000000005E-4</v>
      </c>
      <c r="X286" s="217">
        <v>-9.7675599999999996E-7</v>
      </c>
      <c r="Y286">
        <v>-3.3952312999999998</v>
      </c>
      <c r="Z286">
        <v>-0.15878706000000001</v>
      </c>
      <c r="AA286" s="217">
        <v>-1.6841682000000001E-8</v>
      </c>
      <c r="AB286">
        <v>-1.2434324E-2</v>
      </c>
      <c r="AC286">
        <v>-12.331025</v>
      </c>
      <c r="AD286" s="217">
        <v>-1.0815668999999999E-10</v>
      </c>
      <c r="AE286" s="217">
        <v>-3.7625817000000002E-9</v>
      </c>
      <c r="AF286">
        <v>-1.3031451999999999</v>
      </c>
      <c r="AG286">
        <v>0</v>
      </c>
      <c r="AH286">
        <v>0</v>
      </c>
      <c r="AI286">
        <v>-0.39250445</v>
      </c>
      <c r="AJ286">
        <v>0</v>
      </c>
      <c r="AK286">
        <v>0</v>
      </c>
      <c r="AL286">
        <v>-3.6153189000000001</v>
      </c>
      <c r="AM286">
        <v>0</v>
      </c>
      <c r="AN286">
        <v>0</v>
      </c>
      <c r="AO286">
        <v>0</v>
      </c>
      <c r="AP286">
        <v>-4.3411741999999998E-3</v>
      </c>
      <c r="AQ286" s="217">
        <v>-4.8085805999999999E-6</v>
      </c>
      <c r="AR286">
        <v>-3.9230401999999998E-2</v>
      </c>
      <c r="AS286" s="217">
        <v>-1.0218935E-5</v>
      </c>
      <c r="AT286">
        <v>0</v>
      </c>
      <c r="AU286">
        <v>0</v>
      </c>
      <c r="AV286">
        <v>0</v>
      </c>
      <c r="AW286">
        <v>0</v>
      </c>
      <c r="AX286">
        <v>0</v>
      </c>
    </row>
    <row r="287" spans="1:50" x14ac:dyDescent="0.35">
      <c r="A287" t="s">
        <v>759</v>
      </c>
      <c r="B287" s="249">
        <f t="shared" si="4"/>
        <v>-5.6744294258620001E-2</v>
      </c>
      <c r="C287" s="217">
        <v>-1.1402825E-6</v>
      </c>
      <c r="D287">
        <v>-2.9963074999999999E-3</v>
      </c>
      <c r="E287">
        <v>-0.56661258999999997</v>
      </c>
      <c r="F287" s="217">
        <v>-1.9978014E-8</v>
      </c>
      <c r="G287">
        <v>-1.2368646999999999E-4</v>
      </c>
      <c r="H287">
        <v>-2.3595656999999999E-3</v>
      </c>
      <c r="I287">
        <v>-3.1293686000000002E-4</v>
      </c>
      <c r="J287">
        <v>-0.15388088</v>
      </c>
      <c r="K287">
        <v>-3.0517556E-3</v>
      </c>
      <c r="L287">
        <v>-14.412965</v>
      </c>
      <c r="M287">
        <v>-8.2129874999999997E-4</v>
      </c>
      <c r="N287">
        <v>-0.57460462000000001</v>
      </c>
      <c r="O287">
        <v>-0.57110236000000003</v>
      </c>
      <c r="P287">
        <v>-2.8564751999999999E-3</v>
      </c>
      <c r="Q287">
        <v>-6.4578317999999997E-4</v>
      </c>
      <c r="R287" s="217">
        <v>-2.0090848999999999E-8</v>
      </c>
      <c r="S287">
        <v>-2.9922822999999999E-3</v>
      </c>
      <c r="T287" s="217">
        <v>-3.5493127999999997E-5</v>
      </c>
      <c r="U287">
        <v>-4.1245448000000001E-4</v>
      </c>
      <c r="V287">
        <v>-6.6310689999999999E-3</v>
      </c>
      <c r="W287">
        <v>-1.228568E-3</v>
      </c>
      <c r="X287" s="217">
        <v>-1.1402942E-6</v>
      </c>
      <c r="Y287">
        <v>-5.4220512000000003</v>
      </c>
      <c r="Z287">
        <v>-0.19335587000000001</v>
      </c>
      <c r="AA287" s="217">
        <v>-2.3717703999999999E-8</v>
      </c>
      <c r="AB287">
        <v>-2.2623616999999999E-2</v>
      </c>
      <c r="AC287">
        <v>-16.239163999999999</v>
      </c>
      <c r="AD287" s="217">
        <v>-1.4860088999999999E-10</v>
      </c>
      <c r="AE287" s="217">
        <v>-5.4453519999999998E-9</v>
      </c>
      <c r="AF287">
        <v>-1.6449551</v>
      </c>
      <c r="AG287">
        <v>0</v>
      </c>
      <c r="AH287">
        <v>0</v>
      </c>
      <c r="AI287">
        <v>-0.63570939000000004</v>
      </c>
      <c r="AJ287">
        <v>0</v>
      </c>
      <c r="AK287">
        <v>0</v>
      </c>
      <c r="AL287">
        <v>-5.7561048000000001</v>
      </c>
      <c r="AM287">
        <v>0</v>
      </c>
      <c r="AN287">
        <v>0</v>
      </c>
      <c r="AO287">
        <v>0</v>
      </c>
      <c r="AP287">
        <v>-5.6716505E-3</v>
      </c>
      <c r="AQ287" s="217">
        <v>-7.7240588000000008E-6</v>
      </c>
      <c r="AR287">
        <v>-5.1659690000000001E-2</v>
      </c>
      <c r="AS287" s="217">
        <v>-1.7555568000000001E-5</v>
      </c>
      <c r="AT287">
        <v>0</v>
      </c>
      <c r="AU287">
        <v>0</v>
      </c>
      <c r="AV287">
        <v>0</v>
      </c>
      <c r="AW287">
        <v>0</v>
      </c>
      <c r="AX287">
        <v>0</v>
      </c>
    </row>
    <row r="288" spans="1:50" x14ac:dyDescent="0.35">
      <c r="A288" t="s">
        <v>760</v>
      </c>
      <c r="B288" s="249">
        <f t="shared" si="4"/>
        <v>-2.3052460860552397E-2</v>
      </c>
      <c r="C288" s="217">
        <v>-7.8364738999999996E-7</v>
      </c>
      <c r="D288">
        <v>-1.2319029999999999E-3</v>
      </c>
      <c r="E288">
        <v>-0.17601824999999999</v>
      </c>
      <c r="F288" s="217">
        <v>-1.6134019E-8</v>
      </c>
      <c r="G288">
        <v>-1.8239533E-4</v>
      </c>
      <c r="H288">
        <v>-9.6288711000000005E-4</v>
      </c>
      <c r="I288">
        <v>-1.7550886000000001E-4</v>
      </c>
      <c r="J288">
        <v>-8.4916432999999999E-2</v>
      </c>
      <c r="K288">
        <v>-2.2026096000000001E-3</v>
      </c>
      <c r="L288">
        <v>-5.0646694999999999</v>
      </c>
      <c r="M288">
        <v>-7.1485714000000004E-4</v>
      </c>
      <c r="N288">
        <v>2.6900723000000002</v>
      </c>
      <c r="O288">
        <v>-0.17847393</v>
      </c>
      <c r="P288">
        <v>2.8697292000000001</v>
      </c>
      <c r="Q288">
        <v>-1.1829617E-3</v>
      </c>
      <c r="R288" s="217">
        <v>-1.8791557999999999E-8</v>
      </c>
      <c r="S288">
        <v>-1.2605839999999999E-3</v>
      </c>
      <c r="T288" s="217">
        <v>-9.2866562999999998E-6</v>
      </c>
      <c r="U288">
        <v>-3.5179717000000002E-4</v>
      </c>
      <c r="V288">
        <v>-4.1679107999999998E-3</v>
      </c>
      <c r="W288">
        <v>-1.2175452000000001E-3</v>
      </c>
      <c r="X288" s="217">
        <v>-7.8341855000000004E-7</v>
      </c>
      <c r="Y288">
        <v>-2.3615542999999999</v>
      </c>
      <c r="Z288">
        <v>-2.9633998000000002E-2</v>
      </c>
      <c r="AA288" s="217">
        <v>-6.7041724999999994E-8</v>
      </c>
      <c r="AB288">
        <v>-9.9984961000000004E-3</v>
      </c>
      <c r="AC288">
        <v>-4.1309807999999997</v>
      </c>
      <c r="AD288" s="217">
        <v>-1.5197084000000001E-10</v>
      </c>
      <c r="AE288" s="217">
        <v>-3.5426344E-9</v>
      </c>
      <c r="AF288">
        <v>-215.19193000000001</v>
      </c>
      <c r="AG288">
        <v>0</v>
      </c>
      <c r="AH288">
        <v>0</v>
      </c>
      <c r="AI288">
        <v>-35.329321999999998</v>
      </c>
      <c r="AJ288">
        <v>0</v>
      </c>
      <c r="AK288">
        <v>0</v>
      </c>
      <c r="AL288">
        <v>-2.5116220999999999</v>
      </c>
      <c r="AM288">
        <v>0</v>
      </c>
      <c r="AN288">
        <v>0</v>
      </c>
      <c r="AO288">
        <v>0</v>
      </c>
      <c r="AP288">
        <v>-1.016018E-3</v>
      </c>
      <c r="AQ288" s="217">
        <v>-6.6819239000000002E-6</v>
      </c>
      <c r="AR288">
        <v>-3.4854455999999999E-2</v>
      </c>
      <c r="AS288" s="217">
        <v>-1.0713807E-5</v>
      </c>
      <c r="AT288">
        <v>0</v>
      </c>
      <c r="AU288">
        <v>0</v>
      </c>
      <c r="AV288">
        <v>0</v>
      </c>
      <c r="AW288">
        <v>0</v>
      </c>
      <c r="AX288">
        <v>0</v>
      </c>
    </row>
    <row r="289" spans="1:50" x14ac:dyDescent="0.35">
      <c r="A289" t="s">
        <v>761</v>
      </c>
      <c r="B289" s="249">
        <f t="shared" si="4"/>
        <v>-7.1338589962994005E-3</v>
      </c>
      <c r="C289" s="217">
        <v>-1.4067138999999999E-7</v>
      </c>
      <c r="D289">
        <v>-4.2686987000000002E-4</v>
      </c>
      <c r="E289">
        <v>-5.6613758E-2</v>
      </c>
      <c r="F289" s="217">
        <v>-7.3407258999999997E-9</v>
      </c>
      <c r="G289" s="217">
        <v>-6.1891473000000001E-5</v>
      </c>
      <c r="H289">
        <v>-3.2856748999999998E-4</v>
      </c>
      <c r="I289" s="217">
        <v>-6.2465117999999995E-5</v>
      </c>
      <c r="J289">
        <v>-2.2626166E-2</v>
      </c>
      <c r="K289">
        <v>-6.9738432999999999E-4</v>
      </c>
      <c r="L289">
        <v>-1.6476605</v>
      </c>
      <c r="M289">
        <v>-2.0579499999999999E-4</v>
      </c>
      <c r="N289">
        <v>0.58750479</v>
      </c>
      <c r="O289">
        <v>-5.7199139000000003E-2</v>
      </c>
      <c r="P289">
        <v>0.64500552</v>
      </c>
      <c r="Q289">
        <v>-3.0158963999999999E-4</v>
      </c>
      <c r="R289" s="217">
        <v>-8.0215790000000004E-9</v>
      </c>
      <c r="S289">
        <v>-4.3370923000000001E-4</v>
      </c>
      <c r="T289" s="217">
        <v>-3.6169627000000001E-6</v>
      </c>
      <c r="U289">
        <v>-1.1207045999999999E-4</v>
      </c>
      <c r="V289">
        <v>-1.4132675999999999E-3</v>
      </c>
      <c r="W289">
        <v>-3.8656070000000001E-4</v>
      </c>
      <c r="X289" s="217">
        <v>-1.4061515999999999E-7</v>
      </c>
      <c r="Y289">
        <v>-0.97188288</v>
      </c>
      <c r="Z289">
        <v>-1.3796589999999999E-2</v>
      </c>
      <c r="AA289" s="217">
        <v>-1.2376912999999999E-8</v>
      </c>
      <c r="AB289">
        <v>-5.7092150999999997E-3</v>
      </c>
      <c r="AC289">
        <v>-1.3598322</v>
      </c>
      <c r="AD289" s="217">
        <v>-4.2369337000000003E-11</v>
      </c>
      <c r="AE289" s="217">
        <v>-1.2540194E-9</v>
      </c>
      <c r="AF289">
        <v>-54.626389000000003</v>
      </c>
      <c r="AG289">
        <v>0</v>
      </c>
      <c r="AH289">
        <v>0</v>
      </c>
      <c r="AI289">
        <v>-7.8346720999999997</v>
      </c>
      <c r="AJ289">
        <v>0</v>
      </c>
      <c r="AK289">
        <v>0</v>
      </c>
      <c r="AL289">
        <v>-1.0276407000000001</v>
      </c>
      <c r="AM289">
        <v>0</v>
      </c>
      <c r="AN289">
        <v>0</v>
      </c>
      <c r="AO289">
        <v>0</v>
      </c>
      <c r="AP289">
        <v>-5.5471831000000001E-4</v>
      </c>
      <c r="AQ289" s="217">
        <v>-2.2978224000000002E-6</v>
      </c>
      <c r="AR289">
        <v>-1.4669974000000001E-2</v>
      </c>
      <c r="AS289" s="217">
        <v>-5.9418424000000001E-6</v>
      </c>
      <c r="AT289">
        <v>0</v>
      </c>
      <c r="AU289">
        <v>0</v>
      </c>
      <c r="AV289">
        <v>0</v>
      </c>
      <c r="AW289">
        <v>0</v>
      </c>
      <c r="AX289">
        <v>0</v>
      </c>
    </row>
    <row r="290" spans="1:50" x14ac:dyDescent="0.35">
      <c r="A290" t="s">
        <v>762</v>
      </c>
      <c r="B290" s="249">
        <f t="shared" si="4"/>
        <v>-1.5696736254009003</v>
      </c>
      <c r="C290">
        <v>-1.6465857999999999E-3</v>
      </c>
      <c r="D290">
        <v>-1.1999907000000001E-2</v>
      </c>
      <c r="E290">
        <v>-1.7719800999999999</v>
      </c>
      <c r="F290" s="217">
        <v>-1.6808643000000001E-7</v>
      </c>
      <c r="G290">
        <v>-3.6340297999999998E-3</v>
      </c>
      <c r="H290">
        <v>-6.2352801999999999E-2</v>
      </c>
      <c r="I290">
        <v>-4.7418316000000002E-2</v>
      </c>
      <c r="J290">
        <v>-7.8780231000000001</v>
      </c>
      <c r="K290">
        <v>-0.16302306999999999</v>
      </c>
      <c r="L290">
        <v>-801.85866999999996</v>
      </c>
      <c r="M290">
        <v>-2.2389821000000001E-2</v>
      </c>
      <c r="N290">
        <v>-1.8120604</v>
      </c>
      <c r="O290">
        <v>-1.8067325000000001</v>
      </c>
      <c r="P290">
        <v>-3.7196932000000001E-3</v>
      </c>
      <c r="Q290">
        <v>-1.6082271000000001E-3</v>
      </c>
      <c r="R290" s="217">
        <v>-1.7694026000000001E-7</v>
      </c>
      <c r="S290">
        <v>-7.4996918999999995E-2</v>
      </c>
      <c r="T290">
        <v>-8.8434777999999992E-3</v>
      </c>
      <c r="U290">
        <v>-4.5798012999999999E-2</v>
      </c>
      <c r="V290">
        <v>-0.11104072</v>
      </c>
      <c r="W290">
        <v>-2.3842089E-2</v>
      </c>
      <c r="X290">
        <v>-1.6465856999999999E-3</v>
      </c>
      <c r="Y290">
        <v>-25.328865</v>
      </c>
      <c r="Z290">
        <v>-1.4747705</v>
      </c>
      <c r="AA290" s="217">
        <v>-2.7767814999999999E-7</v>
      </c>
      <c r="AB290">
        <v>-0.12022202999999999</v>
      </c>
      <c r="AC290">
        <v>-2579.1381000000001</v>
      </c>
      <c r="AD290" s="217">
        <v>-7.1583856E-9</v>
      </c>
      <c r="AE290" s="217">
        <v>-6.0611329999999997E-7</v>
      </c>
      <c r="AF290">
        <v>-31.346439</v>
      </c>
      <c r="AG290">
        <v>0</v>
      </c>
      <c r="AH290">
        <v>0</v>
      </c>
      <c r="AI290">
        <v>-6.9353539</v>
      </c>
      <c r="AJ290">
        <v>0</v>
      </c>
      <c r="AK290">
        <v>0</v>
      </c>
      <c r="AL290">
        <v>-26.920596</v>
      </c>
      <c r="AM290">
        <v>0</v>
      </c>
      <c r="AN290">
        <v>0</v>
      </c>
      <c r="AO290">
        <v>0</v>
      </c>
      <c r="AP290">
        <v>-4.1092002000000002E-2</v>
      </c>
      <c r="AQ290" s="217">
        <v>-3.7786739000000002E-5</v>
      </c>
      <c r="AR290">
        <v>-11.313411</v>
      </c>
      <c r="AS290">
        <v>-1.2059032E-4</v>
      </c>
      <c r="AT290">
        <v>0</v>
      </c>
      <c r="AU290">
        <v>0</v>
      </c>
      <c r="AV290">
        <v>0</v>
      </c>
      <c r="AW290">
        <v>0</v>
      </c>
      <c r="AX290">
        <v>0</v>
      </c>
    </row>
    <row r="291" spans="1:50" x14ac:dyDescent="0.35">
      <c r="A291" t="s">
        <v>763</v>
      </c>
      <c r="B291" s="249">
        <f t="shared" si="4"/>
        <v>-9.7201531894668528E-2</v>
      </c>
      <c r="C291" s="217">
        <v>-2.0728027000000001E-8</v>
      </c>
      <c r="D291">
        <v>-2.2313738E-2</v>
      </c>
      <c r="E291">
        <v>-1.3400837999999999</v>
      </c>
      <c r="F291" s="217">
        <v>-7.6887413999999999E-10</v>
      </c>
      <c r="G291">
        <v>-1.7934775000000001E-3</v>
      </c>
      <c r="H291">
        <v>-4.3869154999999996E-3</v>
      </c>
      <c r="I291">
        <v>-2.9137321000000002E-4</v>
      </c>
      <c r="J291">
        <v>-2.7255109E-2</v>
      </c>
      <c r="K291">
        <v>-1.9829779999999998E-3</v>
      </c>
      <c r="L291">
        <v>-3.5423990999999999</v>
      </c>
      <c r="M291" s="217">
        <v>-5.7541365999999998E-5</v>
      </c>
      <c r="N291">
        <v>-1.4262672999999999</v>
      </c>
      <c r="O291">
        <v>-1.4145813</v>
      </c>
      <c r="P291">
        <v>-1.1684069E-2</v>
      </c>
      <c r="Q291" s="217">
        <v>-1.8876710999999999E-6</v>
      </c>
      <c r="R291" s="217">
        <v>-8.0230379000000004E-10</v>
      </c>
      <c r="S291">
        <v>-5.2158808000000003E-3</v>
      </c>
      <c r="T291" s="217">
        <v>-8.2608211000000003E-7</v>
      </c>
      <c r="U291">
        <v>-8.4966201000000001E-4</v>
      </c>
      <c r="V291">
        <v>-9.3152332999999997E-3</v>
      </c>
      <c r="W291">
        <v>-5.7636466999999997E-3</v>
      </c>
      <c r="X291" s="217">
        <v>-2.0728195000000001E-8</v>
      </c>
      <c r="Y291">
        <v>-47.677106000000002</v>
      </c>
      <c r="Z291">
        <v>-0.38995560000000001</v>
      </c>
      <c r="AA291" s="217">
        <v>-5.1337360999999998E-8</v>
      </c>
      <c r="AB291">
        <v>-1.7205568E-4</v>
      </c>
      <c r="AC291">
        <v>-0.75796145999999998</v>
      </c>
      <c r="AD291" s="217">
        <v>-1.0418563E-10</v>
      </c>
      <c r="AE291" s="217">
        <v>-1.0259318E-8</v>
      </c>
      <c r="AF291">
        <v>-2.7159136E-2</v>
      </c>
      <c r="AG291">
        <v>0</v>
      </c>
      <c r="AH291">
        <v>0</v>
      </c>
      <c r="AI291">
        <v>-0.60312379999999999</v>
      </c>
      <c r="AJ291">
        <v>0</v>
      </c>
      <c r="AK291">
        <v>0</v>
      </c>
      <c r="AL291">
        <v>-51.180725000000002</v>
      </c>
      <c r="AM291">
        <v>0</v>
      </c>
      <c r="AN291">
        <v>0</v>
      </c>
      <c r="AO291">
        <v>0</v>
      </c>
      <c r="AP291">
        <v>-9.0894014000000006E-3</v>
      </c>
      <c r="AQ291" s="217">
        <v>-9.7249333999999993E-8</v>
      </c>
      <c r="AR291">
        <v>-1.5911656E-2</v>
      </c>
      <c r="AS291" s="217">
        <v>-1.8051533999999999E-7</v>
      </c>
      <c r="AT291">
        <v>0</v>
      </c>
      <c r="AU291">
        <v>0</v>
      </c>
      <c r="AV291">
        <v>0</v>
      </c>
      <c r="AW291">
        <v>0</v>
      </c>
      <c r="AX291">
        <v>0</v>
      </c>
    </row>
    <row r="292" spans="1:50" x14ac:dyDescent="0.35">
      <c r="A292" t="s">
        <v>764</v>
      </c>
      <c r="B292" s="249">
        <f t="shared" si="4"/>
        <v>-9.7122055578991687E-2</v>
      </c>
      <c r="C292" s="217">
        <v>-3.2535955000000003E-8</v>
      </c>
      <c r="D292">
        <v>-2.1713257999999999E-2</v>
      </c>
      <c r="E292">
        <v>-1.3616729999999999</v>
      </c>
      <c r="F292" s="217">
        <v>-5.7105063000000002E-10</v>
      </c>
      <c r="G292">
        <v>-1.4334503000000001E-3</v>
      </c>
      <c r="H292">
        <v>-4.1641463000000002E-3</v>
      </c>
      <c r="I292">
        <v>-3.9066600999999998E-4</v>
      </c>
      <c r="J292">
        <v>-2.4364506000000001E-2</v>
      </c>
      <c r="K292">
        <v>-1.5149967E-3</v>
      </c>
      <c r="L292">
        <v>-2.8380364999999999</v>
      </c>
      <c r="M292" s="217">
        <v>-4.5383012000000002E-5</v>
      </c>
      <c r="N292">
        <v>-1.4278751999999999</v>
      </c>
      <c r="O292">
        <v>-1.4199185999999999</v>
      </c>
      <c r="P292">
        <v>-7.9552098999999994E-3</v>
      </c>
      <c r="Q292" s="217">
        <v>-1.3975329000000001E-6</v>
      </c>
      <c r="R292" s="217">
        <v>-5.9722028000000004E-10</v>
      </c>
      <c r="S292">
        <v>-4.9784145000000002E-3</v>
      </c>
      <c r="T292" s="217">
        <v>-2.8999510999999999E-5</v>
      </c>
      <c r="U292">
        <v>-8.814103E-4</v>
      </c>
      <c r="V292">
        <v>-9.4539653000000005E-3</v>
      </c>
      <c r="W292">
        <v>-5.0851851999999999E-3</v>
      </c>
      <c r="X292" s="217">
        <v>-3.2536062000000001E-8</v>
      </c>
      <c r="Y292">
        <v>-46.707703000000002</v>
      </c>
      <c r="Z292">
        <v>-0.44738228000000002</v>
      </c>
      <c r="AA292" s="217">
        <v>-4.7781888000000001E-8</v>
      </c>
      <c r="AB292">
        <v>-1.3347139000000001E-4</v>
      </c>
      <c r="AC292">
        <v>-0.64345476999999995</v>
      </c>
      <c r="AD292" s="217">
        <v>-8.6394405000000002E-11</v>
      </c>
      <c r="AE292" s="217">
        <v>-5.4690077E-9</v>
      </c>
      <c r="AF292">
        <v>-2.1662885E-2</v>
      </c>
      <c r="AG292">
        <v>0</v>
      </c>
      <c r="AH292">
        <v>0</v>
      </c>
      <c r="AI292">
        <v>-0.32299401</v>
      </c>
      <c r="AJ292">
        <v>0</v>
      </c>
      <c r="AK292">
        <v>0</v>
      </c>
      <c r="AL292">
        <v>-50.002460999999997</v>
      </c>
      <c r="AM292">
        <v>0</v>
      </c>
      <c r="AN292">
        <v>0</v>
      </c>
      <c r="AO292">
        <v>0</v>
      </c>
      <c r="AP292">
        <v>-1.0424327000000001E-2</v>
      </c>
      <c r="AQ292" s="217">
        <v>-7.2019397000000002E-8</v>
      </c>
      <c r="AR292">
        <v>-1.3254511E-2</v>
      </c>
      <c r="AS292" s="217">
        <v>-1.3992214999999999E-7</v>
      </c>
      <c r="AT292">
        <v>0</v>
      </c>
      <c r="AU292">
        <v>0</v>
      </c>
      <c r="AV292">
        <v>0</v>
      </c>
      <c r="AW292">
        <v>0</v>
      </c>
      <c r="AX292">
        <v>0</v>
      </c>
    </row>
    <row r="293" spans="1:50" x14ac:dyDescent="0.35">
      <c r="A293" t="s">
        <v>765</v>
      </c>
      <c r="B293" s="249">
        <f t="shared" si="4"/>
        <v>-9.9834844923531063E-2</v>
      </c>
      <c r="C293" s="217">
        <v>-1.9519796E-8</v>
      </c>
      <c r="D293">
        <v>-1.507125E-2</v>
      </c>
      <c r="E293">
        <v>-1.2907002999999999</v>
      </c>
      <c r="F293" s="217">
        <v>-5.7647879000000005E-10</v>
      </c>
      <c r="G293">
        <v>-1.7799414000000001E-3</v>
      </c>
      <c r="H293">
        <v>-3.3858229E-3</v>
      </c>
      <c r="I293">
        <v>-4.1107718000000002E-4</v>
      </c>
      <c r="J293">
        <v>-0.11691013</v>
      </c>
      <c r="K293">
        <v>-4.4713278E-3</v>
      </c>
      <c r="L293">
        <v>-11.751244</v>
      </c>
      <c r="M293">
        <v>-4.2394091999999996E-3</v>
      </c>
      <c r="N293">
        <v>-1.3162376</v>
      </c>
      <c r="O293">
        <v>-1.3081453999999999</v>
      </c>
      <c r="P293">
        <v>-8.0907468999999992E-3</v>
      </c>
      <c r="Q293" s="217">
        <v>-1.3635313E-6</v>
      </c>
      <c r="R293" s="217">
        <v>-6.1621869999999997E-10</v>
      </c>
      <c r="S293">
        <v>-4.2044242999999997E-3</v>
      </c>
      <c r="T293" s="217">
        <v>-4.9474954999999998E-6</v>
      </c>
      <c r="U293">
        <v>-1.0444709999999999E-3</v>
      </c>
      <c r="V293">
        <v>-1.091552E-2</v>
      </c>
      <c r="W293">
        <v>-6.2058104000000001E-3</v>
      </c>
      <c r="X293" s="217">
        <v>-1.9519963E-8</v>
      </c>
      <c r="Y293">
        <v>-36.808715999999997</v>
      </c>
      <c r="Z293">
        <v>-5.1290388</v>
      </c>
      <c r="AA293" s="217">
        <v>-3.7769924000000002E-8</v>
      </c>
      <c r="AB293">
        <v>-1.9037380999999999E-4</v>
      </c>
      <c r="AC293">
        <v>-15.064902</v>
      </c>
      <c r="AD293" s="217">
        <v>-6.8055778999999995E-10</v>
      </c>
      <c r="AE293" s="217">
        <v>-2.3164845E-8</v>
      </c>
      <c r="AF293">
        <v>-3.6460484000000001E-2</v>
      </c>
      <c r="AG293">
        <v>0</v>
      </c>
      <c r="AH293">
        <v>0</v>
      </c>
      <c r="AI293">
        <v>-0.61020856000000001</v>
      </c>
      <c r="AJ293">
        <v>0</v>
      </c>
      <c r="AK293">
        <v>0</v>
      </c>
      <c r="AL293">
        <v>-39.194592</v>
      </c>
      <c r="AM293">
        <v>0</v>
      </c>
      <c r="AN293">
        <v>0</v>
      </c>
      <c r="AO293">
        <v>0</v>
      </c>
      <c r="AP293">
        <v>-0.1194317</v>
      </c>
      <c r="AQ293" s="217">
        <v>-7.0506623000000006E-8</v>
      </c>
      <c r="AR293">
        <v>-2.7493989E-2</v>
      </c>
      <c r="AS293" s="217">
        <v>-1.9862307999999999E-7</v>
      </c>
      <c r="AT293">
        <v>0</v>
      </c>
      <c r="AU293">
        <v>0</v>
      </c>
      <c r="AV293">
        <v>0</v>
      </c>
      <c r="AW293">
        <v>0</v>
      </c>
      <c r="AX293">
        <v>0</v>
      </c>
    </row>
    <row r="294" spans="1:50" x14ac:dyDescent="0.35">
      <c r="A294" t="s">
        <v>766</v>
      </c>
      <c r="B294" s="249">
        <f t="shared" si="4"/>
        <v>-5.3644986978642012E-4</v>
      </c>
      <c r="C294" s="217">
        <v>-2.3272482E-8</v>
      </c>
      <c r="D294" s="217">
        <v>-2.8817663999999998E-5</v>
      </c>
      <c r="E294">
        <v>-4.1978388E-3</v>
      </c>
      <c r="F294" s="217">
        <v>-3.7635331000000001E-10</v>
      </c>
      <c r="G294" s="217">
        <v>-3.0395676999999998E-6</v>
      </c>
      <c r="H294" s="217">
        <v>-2.4055836999999999E-5</v>
      </c>
      <c r="I294" s="217">
        <v>-4.1870121000000002E-6</v>
      </c>
      <c r="J294">
        <v>-1.875828E-3</v>
      </c>
      <c r="K294" s="217">
        <v>-2.6843439000000001E-5</v>
      </c>
      <c r="L294">
        <v>-0.11729301</v>
      </c>
      <c r="M294" s="217">
        <v>-9.7895479999999997E-6</v>
      </c>
      <c r="N294">
        <v>-4.3144426999999997E-3</v>
      </c>
      <c r="O294">
        <v>-4.2975651000000002E-3</v>
      </c>
      <c r="P294" s="217">
        <v>-1.2450724E-5</v>
      </c>
      <c r="Q294" s="217">
        <v>-4.4268716000000002E-6</v>
      </c>
      <c r="R294" s="217">
        <v>-4.4155995000000001E-10</v>
      </c>
      <c r="S294" s="217">
        <v>-3.1422910999999997E-5</v>
      </c>
      <c r="T294" s="217">
        <v>-2.6223148000000001E-7</v>
      </c>
      <c r="U294" s="217">
        <v>-8.6794488999999994E-6</v>
      </c>
      <c r="V294">
        <v>-1.0331497999999999E-4</v>
      </c>
      <c r="W294" s="217">
        <v>-2.7835762000000001E-5</v>
      </c>
      <c r="X294" s="217">
        <v>-2.327265E-8</v>
      </c>
      <c r="Y294">
        <v>-5.4601802999999997E-2</v>
      </c>
      <c r="Z294">
        <v>-6.0355916000000003E-2</v>
      </c>
      <c r="AA294" s="217">
        <v>-5.2532237000000001E-10</v>
      </c>
      <c r="AB294">
        <v>-2.2124252999999999E-4</v>
      </c>
      <c r="AC294">
        <v>-7.911406E-2</v>
      </c>
      <c r="AD294" s="217">
        <v>-3.0315786999999999E-12</v>
      </c>
      <c r="AE294" s="217">
        <v>-8.4870342999999998E-11</v>
      </c>
      <c r="AF294">
        <v>-6.6847748999999998E-2</v>
      </c>
      <c r="AG294">
        <v>0</v>
      </c>
      <c r="AH294">
        <v>0</v>
      </c>
      <c r="AI294">
        <v>-3.5432950000000001E-3</v>
      </c>
      <c r="AJ294">
        <v>0</v>
      </c>
      <c r="AK294">
        <v>0</v>
      </c>
      <c r="AL294">
        <v>-5.7993410000000002E-2</v>
      </c>
      <c r="AM294">
        <v>0</v>
      </c>
      <c r="AN294">
        <v>0</v>
      </c>
      <c r="AO294">
        <v>0</v>
      </c>
      <c r="AP294">
        <v>-1.4122779000000001E-3</v>
      </c>
      <c r="AQ294" s="217">
        <v>-7.7342431999999997E-8</v>
      </c>
      <c r="AR294">
        <v>-5.4803877999999996E-4</v>
      </c>
      <c r="AS294" s="217">
        <v>-2.4443691999999998E-7</v>
      </c>
      <c r="AT294">
        <v>0</v>
      </c>
      <c r="AU294">
        <v>0</v>
      </c>
      <c r="AV294">
        <v>0</v>
      </c>
      <c r="AW294">
        <v>0</v>
      </c>
      <c r="AX294">
        <v>0</v>
      </c>
    </row>
    <row r="295" spans="1:50" x14ac:dyDescent="0.35">
      <c r="A295" t="s">
        <v>767</v>
      </c>
      <c r="B295" s="249">
        <f t="shared" si="4"/>
        <v>-0.58166574272714999</v>
      </c>
      <c r="C295">
        <v>-6.9220156999999999E-3</v>
      </c>
      <c r="D295">
        <v>-1.0790418E-2</v>
      </c>
      <c r="E295">
        <v>-2.0421284000000002</v>
      </c>
      <c r="F295" s="217">
        <v>-8.1162505000000001E-8</v>
      </c>
      <c r="G295">
        <v>-2.7366700000000001E-3</v>
      </c>
      <c r="H295">
        <v>-5.2171791000000002E-2</v>
      </c>
      <c r="I295">
        <v>-6.7644831000000004E-3</v>
      </c>
      <c r="J295">
        <v>-1.9943394999999999</v>
      </c>
      <c r="K295">
        <v>-0.12367264</v>
      </c>
      <c r="L295">
        <v>-178.28085999999999</v>
      </c>
      <c r="M295">
        <v>-1.0887106000000001E-2</v>
      </c>
      <c r="N295">
        <v>-2.0858647000000001</v>
      </c>
      <c r="O295">
        <v>-2.0686255</v>
      </c>
      <c r="P295">
        <v>-1.6278330000000001E-2</v>
      </c>
      <c r="Q295">
        <v>-9.608873E-4</v>
      </c>
      <c r="R295" s="217">
        <v>-9.4070618E-8</v>
      </c>
      <c r="S295">
        <v>-6.0835096999999998E-2</v>
      </c>
      <c r="T295">
        <v>-1.5421469E-3</v>
      </c>
      <c r="U295">
        <v>-4.5935626E-3</v>
      </c>
      <c r="V295">
        <v>-6.6186689000000007E-2</v>
      </c>
      <c r="W295">
        <v>-1.633341E-2</v>
      </c>
      <c r="X295">
        <v>-6.9220156999999999E-3</v>
      </c>
      <c r="Y295">
        <v>-18.464502</v>
      </c>
      <c r="Z295">
        <v>-0.79827625000000002</v>
      </c>
      <c r="AA295" s="217">
        <v>-2.3331979000000001E-7</v>
      </c>
      <c r="AB295">
        <v>-4.3232755999999997E-2</v>
      </c>
      <c r="AC295">
        <v>-611.9864</v>
      </c>
      <c r="AD295" s="217">
        <v>-1.8136009000000001E-8</v>
      </c>
      <c r="AE295" s="217">
        <v>-1.6950851E-6</v>
      </c>
      <c r="AF295">
        <v>-9.7584700000000009</v>
      </c>
      <c r="AG295">
        <v>0</v>
      </c>
      <c r="AH295">
        <v>0</v>
      </c>
      <c r="AI295">
        <v>-1.5386536</v>
      </c>
      <c r="AJ295">
        <v>0</v>
      </c>
      <c r="AK295">
        <v>0</v>
      </c>
      <c r="AL295">
        <v>-19.695640000000001</v>
      </c>
      <c r="AM295">
        <v>0</v>
      </c>
      <c r="AN295">
        <v>0</v>
      </c>
      <c r="AO295">
        <v>0</v>
      </c>
      <c r="AP295">
        <v>-2.0545270000000001E-2</v>
      </c>
      <c r="AQ295" s="217">
        <v>-2.3516857000000001E-5</v>
      </c>
      <c r="AR295">
        <v>-0.51316382999999999</v>
      </c>
      <c r="AS295" s="217">
        <v>-4.6550641E-5</v>
      </c>
      <c r="AT295">
        <v>0</v>
      </c>
      <c r="AU295">
        <v>0</v>
      </c>
      <c r="AV295">
        <v>0</v>
      </c>
      <c r="AW295">
        <v>0</v>
      </c>
      <c r="AX295">
        <v>0</v>
      </c>
    </row>
    <row r="296" spans="1:50" x14ac:dyDescent="0.35">
      <c r="A296" t="s">
        <v>768</v>
      </c>
      <c r="B296" s="249">
        <f t="shared" si="4"/>
        <v>-0.15810458736731722</v>
      </c>
      <c r="C296" s="217">
        <v>8.2994132999999999E-7</v>
      </c>
      <c r="D296">
        <v>-7.5644025999999998E-3</v>
      </c>
      <c r="E296">
        <v>-1.2404563</v>
      </c>
      <c r="F296" s="217">
        <v>-5.6879731000000001E-8</v>
      </c>
      <c r="G296">
        <v>-2.9089707000000001E-3</v>
      </c>
      <c r="H296">
        <v>-4.6538763E-3</v>
      </c>
      <c r="I296">
        <v>-4.7095234000000001E-4</v>
      </c>
      <c r="J296">
        <v>-0.79759789000000003</v>
      </c>
      <c r="K296">
        <v>1.0291315000000001E-2</v>
      </c>
      <c r="L296">
        <v>11.099818000000001</v>
      </c>
      <c r="M296">
        <v>6.9453535999999996E-2</v>
      </c>
      <c r="N296">
        <v>-1.3210416</v>
      </c>
      <c r="O296">
        <v>-1.329976</v>
      </c>
      <c r="P296">
        <v>8.5355889000000001E-3</v>
      </c>
      <c r="Q296">
        <v>3.9881105000000002E-4</v>
      </c>
      <c r="R296" s="217">
        <v>-4.6631826999999998E-8</v>
      </c>
      <c r="S296">
        <v>-5.6366806E-3</v>
      </c>
      <c r="T296" s="217">
        <v>-3.2133623000000003E-5</v>
      </c>
      <c r="U296">
        <v>-9.8411618000000009E-4</v>
      </c>
      <c r="V296">
        <v>-1.1402747E-2</v>
      </c>
      <c r="W296">
        <v>-8.0645317000000005E-3</v>
      </c>
      <c r="X296" s="217">
        <v>8.3068815999999998E-7</v>
      </c>
      <c r="Y296">
        <v>-9.6981941999999997</v>
      </c>
      <c r="Z296">
        <v>-0.22445156999999999</v>
      </c>
      <c r="AA296" s="217">
        <v>-7.2057773000000006E-8</v>
      </c>
      <c r="AB296">
        <v>8.6500871999999999E-3</v>
      </c>
      <c r="AC296">
        <v>-44.992452999999998</v>
      </c>
      <c r="AD296" s="217">
        <v>-1.6497550999999999E-10</v>
      </c>
      <c r="AE296" s="217">
        <v>2.7691095000000001E-7</v>
      </c>
      <c r="AF296">
        <v>-2.1986319000000001</v>
      </c>
      <c r="AG296">
        <v>0</v>
      </c>
      <c r="AH296">
        <v>0</v>
      </c>
      <c r="AI296">
        <v>0.11996252</v>
      </c>
      <c r="AJ296">
        <v>0</v>
      </c>
      <c r="AK296">
        <v>0</v>
      </c>
      <c r="AL296">
        <v>-10.066674000000001</v>
      </c>
      <c r="AM296">
        <v>0</v>
      </c>
      <c r="AN296">
        <v>0</v>
      </c>
      <c r="AO296">
        <v>0</v>
      </c>
      <c r="AP296">
        <v>-4.5609296999999998E-3</v>
      </c>
      <c r="AQ296">
        <v>-1.6967208E-4</v>
      </c>
      <c r="AR296">
        <v>-7.4404296999999994E-2</v>
      </c>
      <c r="AS296" s="217">
        <v>-2.6674072999999999E-6</v>
      </c>
      <c r="AT296">
        <v>0</v>
      </c>
      <c r="AU296">
        <v>0</v>
      </c>
      <c r="AV296">
        <v>0</v>
      </c>
      <c r="AW296">
        <v>0</v>
      </c>
      <c r="AX296">
        <v>0</v>
      </c>
    </row>
    <row r="297" spans="1:50" x14ac:dyDescent="0.35">
      <c r="A297" t="s">
        <v>769</v>
      </c>
      <c r="B297" s="249">
        <f t="shared" si="4"/>
        <v>-0.77122651334940007</v>
      </c>
      <c r="C297">
        <v>-7.1688994000000004E-3</v>
      </c>
      <c r="D297">
        <v>-3.2512531999999997E-2</v>
      </c>
      <c r="E297">
        <v>-4.9767950000000001</v>
      </c>
      <c r="F297" s="217">
        <v>-1.6875518E-7</v>
      </c>
      <c r="G297">
        <v>-2.7773334E-3</v>
      </c>
      <c r="H297">
        <v>-4.8758969999999999E-2</v>
      </c>
      <c r="I297">
        <v>-8.6643655999999996E-3</v>
      </c>
      <c r="J297">
        <v>-2.1454787999999998</v>
      </c>
      <c r="K297">
        <v>-8.6662349E-2</v>
      </c>
      <c r="L297">
        <v>-333.73075999999998</v>
      </c>
      <c r="M297">
        <v>-0.1399466</v>
      </c>
      <c r="N297">
        <v>-5.0886034000000002</v>
      </c>
      <c r="O297">
        <v>-5.0763039000000001</v>
      </c>
      <c r="P297">
        <v>6.2343241000000003E-4</v>
      </c>
      <c r="Q297">
        <v>-1.2922863E-2</v>
      </c>
      <c r="R297" s="217">
        <v>-1.9306139E-7</v>
      </c>
      <c r="S297">
        <v>-5.8848493000000002E-2</v>
      </c>
      <c r="T297">
        <v>-1.7405273000000001E-3</v>
      </c>
      <c r="U297">
        <v>-8.1504226999999999E-3</v>
      </c>
      <c r="V297">
        <v>-0.10542517</v>
      </c>
      <c r="W297">
        <v>-2.5277550999999999E-2</v>
      </c>
      <c r="X297">
        <v>-7.1688995999999996E-3</v>
      </c>
      <c r="Y297">
        <v>-52.145437000000001</v>
      </c>
      <c r="Z297">
        <v>-1.5393838</v>
      </c>
      <c r="AA297" s="217">
        <v>-3.8778983000000003E-7</v>
      </c>
      <c r="AB297">
        <v>-8.1016137000000002E-2</v>
      </c>
      <c r="AC297">
        <v>-696.15664000000004</v>
      </c>
      <c r="AD297" s="217">
        <v>-8.2988113999999998E-9</v>
      </c>
      <c r="AE297" s="217">
        <v>-9.762820299999999E-7</v>
      </c>
      <c r="AF297">
        <v>-13.973407999999999</v>
      </c>
      <c r="AG297">
        <v>0</v>
      </c>
      <c r="AH297">
        <v>0</v>
      </c>
      <c r="AI297">
        <v>-5.3677273000000003</v>
      </c>
      <c r="AJ297">
        <v>0</v>
      </c>
      <c r="AK297">
        <v>0</v>
      </c>
      <c r="AL297">
        <v>-55.579979000000002</v>
      </c>
      <c r="AM297">
        <v>0</v>
      </c>
      <c r="AN297">
        <v>0</v>
      </c>
      <c r="AO297">
        <v>0</v>
      </c>
      <c r="AP297">
        <v>-4.8470430000000002E-2</v>
      </c>
      <c r="AQ297">
        <v>-3.2676042E-3</v>
      </c>
      <c r="AR297">
        <v>-0.41750762000000002</v>
      </c>
      <c r="AS297" s="217">
        <v>-8.8465462999999994E-5</v>
      </c>
      <c r="AT297">
        <v>0</v>
      </c>
      <c r="AU297">
        <v>0</v>
      </c>
      <c r="AV297">
        <v>0</v>
      </c>
      <c r="AW297">
        <v>0</v>
      </c>
      <c r="AX297">
        <v>0</v>
      </c>
    </row>
    <row r="298" spans="1:50" x14ac:dyDescent="0.35">
      <c r="A298" t="s">
        <v>770</v>
      </c>
      <c r="B298" s="249">
        <f t="shared" si="4"/>
        <v>-3.8850199775599999E-3</v>
      </c>
      <c r="C298">
        <v>-2.7254773000000001E-3</v>
      </c>
      <c r="D298">
        <v>3.1233962000000001E-3</v>
      </c>
      <c r="E298">
        <v>0.29786012000000001</v>
      </c>
      <c r="F298" s="217">
        <v>5.0030648E-8</v>
      </c>
      <c r="G298">
        <v>-2.1596051999999999E-4</v>
      </c>
      <c r="H298">
        <v>-1.8683974000000001E-3</v>
      </c>
      <c r="I298">
        <v>-2.1854945999999998E-3</v>
      </c>
      <c r="J298">
        <v>7.6032954999999999E-2</v>
      </c>
      <c r="K298">
        <v>3.0654588999999999E-3</v>
      </c>
      <c r="L298">
        <v>15.43332</v>
      </c>
      <c r="M298">
        <v>4.2251067E-3</v>
      </c>
      <c r="N298">
        <v>0.30239111000000002</v>
      </c>
      <c r="O298">
        <v>0.29908813000000001</v>
      </c>
      <c r="P298">
        <v>3.0767434E-3</v>
      </c>
      <c r="Q298">
        <v>2.2623448E-4</v>
      </c>
      <c r="R298" s="217">
        <v>4.807978E-8</v>
      </c>
      <c r="S298">
        <v>-3.0920049000000001E-3</v>
      </c>
      <c r="T298">
        <v>-5.3995536000000003E-4</v>
      </c>
      <c r="U298">
        <v>-1.2114636000000001E-3</v>
      </c>
      <c r="V298">
        <v>-1.7754854E-2</v>
      </c>
      <c r="W298">
        <v>-3.4662259000000002E-3</v>
      </c>
      <c r="X298">
        <v>-2.7254772000000001E-3</v>
      </c>
      <c r="Y298">
        <v>6.9742443999999999</v>
      </c>
      <c r="Z298">
        <v>-0.1148551</v>
      </c>
      <c r="AA298" s="217">
        <v>-3.0915565000000001E-8</v>
      </c>
      <c r="AB298">
        <v>2.7138967E-2</v>
      </c>
      <c r="AC298">
        <v>-220.58960999999999</v>
      </c>
      <c r="AD298" s="217">
        <v>4.3149331000000002E-11</v>
      </c>
      <c r="AE298" s="217">
        <v>-1.9980814999999999E-8</v>
      </c>
      <c r="AF298">
        <v>0.19898362999999999</v>
      </c>
      <c r="AG298">
        <v>0</v>
      </c>
      <c r="AH298">
        <v>0</v>
      </c>
      <c r="AI298">
        <v>0.5354198</v>
      </c>
      <c r="AJ298">
        <v>0</v>
      </c>
      <c r="AK298">
        <v>0</v>
      </c>
      <c r="AL298">
        <v>7.5961873999999998</v>
      </c>
      <c r="AM298">
        <v>0</v>
      </c>
      <c r="AN298">
        <v>0</v>
      </c>
      <c r="AO298">
        <v>0</v>
      </c>
      <c r="AP298">
        <v>-1.3422118999999999E-3</v>
      </c>
      <c r="AQ298" s="217">
        <v>8.4640184999999995E-6</v>
      </c>
      <c r="AR298">
        <v>1.7179677000000001E-2</v>
      </c>
      <c r="AS298" s="217">
        <v>2.0893030999999999E-5</v>
      </c>
      <c r="AT298">
        <v>0</v>
      </c>
      <c r="AU298">
        <v>0</v>
      </c>
      <c r="AV298">
        <v>0</v>
      </c>
      <c r="AW298">
        <v>0</v>
      </c>
      <c r="AX298">
        <v>0</v>
      </c>
    </row>
    <row r="299" spans="1:50" x14ac:dyDescent="0.35">
      <c r="A299" t="s">
        <v>771</v>
      </c>
      <c r="B299" s="249">
        <f t="shared" si="4"/>
        <v>1.4122162942419361E-3</v>
      </c>
      <c r="C299" s="217">
        <v>5.2659771E-9</v>
      </c>
      <c r="D299">
        <v>1.0046722E-4</v>
      </c>
      <c r="E299">
        <v>1.4006012E-2</v>
      </c>
      <c r="F299" s="217">
        <v>7.4071752000000002E-10</v>
      </c>
      <c r="G299" s="217">
        <v>3.6640558E-6</v>
      </c>
      <c r="H299" s="217">
        <v>6.3979767000000003E-5</v>
      </c>
      <c r="I299" s="217">
        <v>8.0989687000000003E-6</v>
      </c>
      <c r="J299">
        <v>3.4747622999999998E-3</v>
      </c>
      <c r="K299" s="217">
        <v>8.0768836000000003E-5</v>
      </c>
      <c r="L299">
        <v>0.42834340999999998</v>
      </c>
      <c r="M299" s="217">
        <v>2.8232732999999998E-5</v>
      </c>
      <c r="N299">
        <v>1.4319439E-2</v>
      </c>
      <c r="O299">
        <v>1.4224193E-2</v>
      </c>
      <c r="P299" s="217">
        <v>7.0411372000000005E-5</v>
      </c>
      <c r="Q299" s="217">
        <v>2.4835054999999999E-5</v>
      </c>
      <c r="R299" s="217">
        <v>6.6863490000000001E-10</v>
      </c>
      <c r="S299" s="217">
        <v>7.8818262999999996E-5</v>
      </c>
      <c r="T299" s="217">
        <v>9.8567330000000007E-7</v>
      </c>
      <c r="U299" s="217">
        <v>1.1968932000000001E-5</v>
      </c>
      <c r="V299">
        <v>1.6096651000000001E-4</v>
      </c>
      <c r="W299" s="217">
        <v>3.6503930999999999E-5</v>
      </c>
      <c r="X299" s="217">
        <v>5.2661088999999998E-9</v>
      </c>
      <c r="Y299">
        <v>0.19652109000000001</v>
      </c>
      <c r="Z299">
        <v>2.6716566999999999E-3</v>
      </c>
      <c r="AA299" s="217">
        <v>5.2452349E-10</v>
      </c>
      <c r="AB299">
        <v>1.0273070999999999E-3</v>
      </c>
      <c r="AC299">
        <v>0.24118123999999999</v>
      </c>
      <c r="AD299" s="217">
        <v>4.9138848E-12</v>
      </c>
      <c r="AE299" s="217">
        <v>1.38065E-10</v>
      </c>
      <c r="AF299">
        <v>3.0138979999999999E-2</v>
      </c>
      <c r="AG299">
        <v>0</v>
      </c>
      <c r="AH299">
        <v>0</v>
      </c>
      <c r="AI299">
        <v>2.2022125E-2</v>
      </c>
      <c r="AJ299">
        <v>0</v>
      </c>
      <c r="AK299">
        <v>0</v>
      </c>
      <c r="AL299">
        <v>0.20816190000000001</v>
      </c>
      <c r="AM299">
        <v>0</v>
      </c>
      <c r="AN299">
        <v>0</v>
      </c>
      <c r="AO299">
        <v>0</v>
      </c>
      <c r="AP299">
        <v>1.1557295E-4</v>
      </c>
      <c r="AQ299" s="217">
        <v>2.8724929E-7</v>
      </c>
      <c r="AR299">
        <v>1.230126E-3</v>
      </c>
      <c r="AS299" s="217">
        <v>7.8487205000000004E-7</v>
      </c>
      <c r="AT299">
        <v>0</v>
      </c>
      <c r="AU299">
        <v>0</v>
      </c>
      <c r="AV299">
        <v>0</v>
      </c>
      <c r="AW299">
        <v>0</v>
      </c>
      <c r="AX299">
        <v>0</v>
      </c>
    </row>
    <row r="300" spans="1:50" x14ac:dyDescent="0.35">
      <c r="A300" t="s">
        <v>772</v>
      </c>
      <c r="B300" s="249">
        <f t="shared" si="4"/>
        <v>3.7449408190738001E-3</v>
      </c>
      <c r="C300" s="217">
        <v>4.9358912999999998E-7</v>
      </c>
      <c r="D300">
        <v>1.6144638000000001E-4</v>
      </c>
      <c r="E300">
        <v>2.4545661999999999E-2</v>
      </c>
      <c r="F300" s="217">
        <v>1.2786991000000001E-9</v>
      </c>
      <c r="G300" s="217">
        <v>1.1714806E-5</v>
      </c>
      <c r="H300">
        <v>1.2304150000000001E-4</v>
      </c>
      <c r="I300" s="217">
        <v>1.8904223000000001E-5</v>
      </c>
      <c r="J300">
        <v>1.9128900000000001E-2</v>
      </c>
      <c r="K300">
        <v>1.6910843E-4</v>
      </c>
      <c r="L300">
        <v>0.73688765000000001</v>
      </c>
      <c r="M300" s="217">
        <v>9.3538769000000002E-5</v>
      </c>
      <c r="N300">
        <v>2.4100259999999998E-2</v>
      </c>
      <c r="O300">
        <v>2.4947036999999998E-2</v>
      </c>
      <c r="P300">
        <v>-8.7709805999999996E-4</v>
      </c>
      <c r="Q300" s="217">
        <v>3.0320476999999999E-5</v>
      </c>
      <c r="R300" s="217">
        <v>1.3372104999999999E-9</v>
      </c>
      <c r="S300">
        <v>1.6277503E-4</v>
      </c>
      <c r="T300" s="217">
        <v>1.8396169E-6</v>
      </c>
      <c r="U300" s="217">
        <v>2.5042377E-5</v>
      </c>
      <c r="V300">
        <v>4.3527662999999999E-4</v>
      </c>
      <c r="W300" s="217">
        <v>8.2448364999999999E-5</v>
      </c>
      <c r="X300" s="217">
        <v>4.9359013000000001E-7</v>
      </c>
      <c r="Y300">
        <v>0.29202107999999999</v>
      </c>
      <c r="Z300">
        <v>6.0322735000000001E-3</v>
      </c>
      <c r="AA300" s="217">
        <v>1.6070744000000001E-9</v>
      </c>
      <c r="AB300">
        <v>1.0930889E-3</v>
      </c>
      <c r="AC300">
        <v>0.50948906000000005</v>
      </c>
      <c r="AD300" s="217">
        <v>3.5287966999999998E-11</v>
      </c>
      <c r="AE300" s="217">
        <v>5.4390333E-10</v>
      </c>
      <c r="AF300">
        <v>0.34979940999999998</v>
      </c>
      <c r="AG300">
        <v>0</v>
      </c>
      <c r="AH300">
        <v>0</v>
      </c>
      <c r="AI300">
        <v>4.3204749000000001E-2</v>
      </c>
      <c r="AJ300">
        <v>0</v>
      </c>
      <c r="AK300">
        <v>0</v>
      </c>
      <c r="AL300">
        <v>0.31052305000000002</v>
      </c>
      <c r="AM300">
        <v>0</v>
      </c>
      <c r="AN300">
        <v>0</v>
      </c>
      <c r="AO300">
        <v>0</v>
      </c>
      <c r="AP300">
        <v>1.9157551999999999E-4</v>
      </c>
      <c r="AQ300" s="217">
        <v>8.6442384000000001E-7</v>
      </c>
      <c r="AR300">
        <v>1.0928644E-2</v>
      </c>
      <c r="AS300" s="217">
        <v>9.2039397999999998E-7</v>
      </c>
      <c r="AT300">
        <v>0</v>
      </c>
      <c r="AU300">
        <v>0</v>
      </c>
      <c r="AV300">
        <v>0</v>
      </c>
      <c r="AW300">
        <v>0</v>
      </c>
      <c r="AX300">
        <v>0</v>
      </c>
    </row>
    <row r="301" spans="1:50" x14ac:dyDescent="0.35">
      <c r="A301" t="s">
        <v>773</v>
      </c>
      <c r="B301" s="249">
        <f t="shared" si="4"/>
        <v>5.4407648637174406E-2</v>
      </c>
      <c r="C301" s="217">
        <v>8.4855684000000005E-7</v>
      </c>
      <c r="D301">
        <v>1.7080133999999999E-3</v>
      </c>
      <c r="E301">
        <v>0.36152851000000003</v>
      </c>
      <c r="F301" s="217">
        <v>2.2164236000000002E-8</v>
      </c>
      <c r="G301">
        <v>1.5652464E-4</v>
      </c>
      <c r="H301">
        <v>8.4527921999999998E-4</v>
      </c>
      <c r="I301">
        <v>1.5337810999999999E-4</v>
      </c>
      <c r="J301">
        <v>0.33222709</v>
      </c>
      <c r="K301">
        <v>3.7428918999999998E-3</v>
      </c>
      <c r="L301">
        <v>9.0609011000000006</v>
      </c>
      <c r="M301">
        <v>1.0626030000000001E-3</v>
      </c>
      <c r="N301">
        <v>0.36574446999999999</v>
      </c>
      <c r="O301">
        <v>0.36710648000000001</v>
      </c>
      <c r="P301">
        <v>-1.5364354E-3</v>
      </c>
      <c r="Q301">
        <v>1.7442719E-4</v>
      </c>
      <c r="R301" s="217">
        <v>2.6466356000000001E-8</v>
      </c>
      <c r="S301">
        <v>1.0836136E-3</v>
      </c>
      <c r="T301" s="217">
        <v>1.0641461E-5</v>
      </c>
      <c r="U301">
        <v>2.8261775999999998E-4</v>
      </c>
      <c r="V301">
        <v>3.2497248000000001E-3</v>
      </c>
      <c r="W301">
        <v>1.0111232999999999E-3</v>
      </c>
      <c r="X301" s="217">
        <v>8.4850602000000003E-7</v>
      </c>
      <c r="Y301">
        <v>3.6463041999999999</v>
      </c>
      <c r="Z301">
        <v>6.8528238000000005E-2</v>
      </c>
      <c r="AA301" s="217">
        <v>1.8521526E-8</v>
      </c>
      <c r="AB301">
        <v>1.0252598E-2</v>
      </c>
      <c r="AC301">
        <v>3.0710014999999999</v>
      </c>
      <c r="AD301" s="217">
        <v>3.7944202999999998E-10</v>
      </c>
      <c r="AE301" s="217">
        <v>4.9762551999999996E-9</v>
      </c>
      <c r="AF301">
        <v>2.8262651999999999</v>
      </c>
      <c r="AG301">
        <v>0</v>
      </c>
      <c r="AH301">
        <v>0</v>
      </c>
      <c r="AI301">
        <v>0.17080329</v>
      </c>
      <c r="AJ301">
        <v>0</v>
      </c>
      <c r="AK301">
        <v>0</v>
      </c>
      <c r="AL301">
        <v>3.8823818000000001</v>
      </c>
      <c r="AM301">
        <v>0</v>
      </c>
      <c r="AN301">
        <v>0</v>
      </c>
      <c r="AO301">
        <v>0</v>
      </c>
      <c r="AP301">
        <v>1.8278293999999999E-3</v>
      </c>
      <c r="AQ301" s="217">
        <v>3.0812479999999999E-6</v>
      </c>
      <c r="AR301">
        <v>0.1719494</v>
      </c>
      <c r="AS301" s="217">
        <v>1.3594202999999999E-5</v>
      </c>
      <c r="AT301">
        <v>0</v>
      </c>
      <c r="AU301">
        <v>0</v>
      </c>
      <c r="AV301">
        <v>0</v>
      </c>
      <c r="AW301">
        <v>0</v>
      </c>
      <c r="AX301">
        <v>0</v>
      </c>
    </row>
    <row r="302" spans="1:50" x14ac:dyDescent="0.35">
      <c r="A302" t="s">
        <v>774</v>
      </c>
      <c r="B302" s="249">
        <f t="shared" si="4"/>
        <v>1.141807263734804E-2</v>
      </c>
      <c r="C302" s="217">
        <v>4.6574118999999999E-8</v>
      </c>
      <c r="D302">
        <v>2.0203878000000001E-4</v>
      </c>
      <c r="E302">
        <v>6.0162857E-2</v>
      </c>
      <c r="F302" s="217">
        <v>3.4667162999999999E-9</v>
      </c>
      <c r="G302" s="217">
        <v>1.9177975E-5</v>
      </c>
      <c r="H302">
        <v>1.2309154999999999E-3</v>
      </c>
      <c r="I302">
        <v>2.7222169999999998E-4</v>
      </c>
      <c r="J302">
        <v>9.7613778000000002E-3</v>
      </c>
      <c r="K302">
        <v>2.0494892E-4</v>
      </c>
      <c r="L302">
        <v>0.74751016999999997</v>
      </c>
      <c r="M302">
        <v>1.0092321E-4</v>
      </c>
      <c r="N302">
        <v>0.28824319999999998</v>
      </c>
      <c r="O302">
        <v>3.3352532999999997E-2</v>
      </c>
      <c r="P302">
        <v>0.25486713999999999</v>
      </c>
      <c r="Q302" s="217">
        <v>2.3530254000000002E-5</v>
      </c>
      <c r="R302" s="217">
        <v>4.1895494000000001E-9</v>
      </c>
      <c r="S302">
        <v>2.2537702000000001E-3</v>
      </c>
      <c r="T302" s="217">
        <v>1.4438318E-6</v>
      </c>
      <c r="U302">
        <v>1.0051332E-4</v>
      </c>
      <c r="V302">
        <v>9.8042376999999993E-3</v>
      </c>
      <c r="W302">
        <v>1.154981E-4</v>
      </c>
      <c r="X302" s="217">
        <v>4.6575059000000001E-8</v>
      </c>
      <c r="Y302">
        <v>0.39863170999999997</v>
      </c>
      <c r="Z302">
        <v>-8.0143950999999995E-4</v>
      </c>
      <c r="AA302" s="217">
        <v>1.1630015E-8</v>
      </c>
      <c r="AB302">
        <v>1.6888930999999999E-3</v>
      </c>
      <c r="AC302">
        <v>8.7416645000000006</v>
      </c>
      <c r="AD302" s="217">
        <v>2.9678534000000001E-11</v>
      </c>
      <c r="AE302" s="217">
        <v>5.4043009999999999E-10</v>
      </c>
      <c r="AF302">
        <v>0.47569172999999998</v>
      </c>
      <c r="AG302">
        <v>0</v>
      </c>
      <c r="AH302">
        <v>0</v>
      </c>
      <c r="AI302">
        <v>6.3320734000000004E-2</v>
      </c>
      <c r="AJ302">
        <v>0</v>
      </c>
      <c r="AK302">
        <v>0</v>
      </c>
      <c r="AL302">
        <v>0.42336304000000002</v>
      </c>
      <c r="AM302">
        <v>0</v>
      </c>
      <c r="AN302">
        <v>0</v>
      </c>
      <c r="AO302">
        <v>0</v>
      </c>
      <c r="AP302" s="217">
        <v>2.0393549000000001E-5</v>
      </c>
      <c r="AQ302" s="217">
        <v>5.7123306E-7</v>
      </c>
      <c r="AR302">
        <v>0.16567154000000001</v>
      </c>
      <c r="AS302" s="217">
        <v>2.1238462000000002E-6</v>
      </c>
      <c r="AT302">
        <v>0</v>
      </c>
      <c r="AU302">
        <v>0</v>
      </c>
      <c r="AV302">
        <v>0</v>
      </c>
      <c r="AW302">
        <v>0</v>
      </c>
      <c r="AX302">
        <v>0</v>
      </c>
    </row>
    <row r="303" spans="1:50" x14ac:dyDescent="0.35">
      <c r="A303" t="s">
        <v>775</v>
      </c>
      <c r="B303" s="249">
        <f t="shared" si="4"/>
        <v>5.9466422455099598E-3</v>
      </c>
      <c r="C303" s="217">
        <v>3.4238681000000001E-8</v>
      </c>
      <c r="D303">
        <v>1.3750285E-4</v>
      </c>
      <c r="E303">
        <v>3.8021096999999997E-2</v>
      </c>
      <c r="F303" s="217">
        <v>2.7652726999999999E-9</v>
      </c>
      <c r="G303" s="217">
        <v>1.3079776000000001E-5</v>
      </c>
      <c r="H303">
        <v>1.8399757000000001E-4</v>
      </c>
      <c r="I303" s="217">
        <v>6.5596688999999998E-5</v>
      </c>
      <c r="J303">
        <v>2.3204425000000001E-2</v>
      </c>
      <c r="K303">
        <v>1.0047876E-3</v>
      </c>
      <c r="L303">
        <v>5.4698551000000002</v>
      </c>
      <c r="M303" s="217">
        <v>9.0851369000000004E-5</v>
      </c>
      <c r="N303">
        <v>0.55647502000000004</v>
      </c>
      <c r="O303">
        <v>4.0054351000000002E-2</v>
      </c>
      <c r="P303">
        <v>0.51641409000000005</v>
      </c>
      <c r="Q303" s="217">
        <v>6.5783997999999997E-6</v>
      </c>
      <c r="R303" s="217">
        <v>3.1866473999999999E-9</v>
      </c>
      <c r="S303">
        <v>2.5142901999999998E-4</v>
      </c>
      <c r="T303" s="217">
        <v>7.9602856999999996E-7</v>
      </c>
      <c r="U303">
        <v>1.0746699000000001E-4</v>
      </c>
      <c r="V303">
        <v>1.0855268999999999E-3</v>
      </c>
      <c r="W303">
        <v>2.7089497000000001E-4</v>
      </c>
      <c r="X303" s="217">
        <v>3.4243432000000003E-8</v>
      </c>
      <c r="Y303">
        <v>0.26079007999999998</v>
      </c>
      <c r="Z303">
        <v>2.3567926999999999E-2</v>
      </c>
      <c r="AA303" s="217">
        <v>2.6039452E-9</v>
      </c>
      <c r="AB303">
        <v>6.6442064999999999E-4</v>
      </c>
      <c r="AC303">
        <v>1.6170362</v>
      </c>
      <c r="AD303" s="217">
        <v>9.1862621000000001E-11</v>
      </c>
      <c r="AE303" s="217">
        <v>4.0362769000000003E-9</v>
      </c>
      <c r="AF303">
        <v>0.15442096999999999</v>
      </c>
      <c r="AG303">
        <v>0</v>
      </c>
      <c r="AH303">
        <v>0</v>
      </c>
      <c r="AI303">
        <v>7.6387158000000002E-3</v>
      </c>
      <c r="AJ303">
        <v>0</v>
      </c>
      <c r="AK303">
        <v>0</v>
      </c>
      <c r="AL303">
        <v>0.28078799999999998</v>
      </c>
      <c r="AM303">
        <v>0</v>
      </c>
      <c r="AN303">
        <v>0</v>
      </c>
      <c r="AO303">
        <v>0</v>
      </c>
      <c r="AP303">
        <v>5.6044920000000004E-4</v>
      </c>
      <c r="AQ303" s="217">
        <v>4.4665644999999999E-7</v>
      </c>
      <c r="AR303">
        <v>5.7306976000000003E-2</v>
      </c>
      <c r="AS303" s="217">
        <v>9.2102518999999995E-7</v>
      </c>
      <c r="AT303">
        <v>0</v>
      </c>
      <c r="AU303">
        <v>0</v>
      </c>
      <c r="AV303">
        <v>0</v>
      </c>
      <c r="AW303">
        <v>0</v>
      </c>
      <c r="AX303">
        <v>0</v>
      </c>
    </row>
    <row r="304" spans="1:50" x14ac:dyDescent="0.35">
      <c r="A304" t="s">
        <v>776</v>
      </c>
      <c r="B304" s="249">
        <f t="shared" si="4"/>
        <v>6.5473256906728797E-3</v>
      </c>
      <c r="C304" s="217">
        <v>1.3888793E-8</v>
      </c>
      <c r="D304">
        <v>1.2968674E-4</v>
      </c>
      <c r="E304">
        <v>0.10247833000000001</v>
      </c>
      <c r="F304" s="217">
        <v>2.8696842000000001E-9</v>
      </c>
      <c r="G304" s="217">
        <v>2.5127746999999999E-5</v>
      </c>
      <c r="H304" s="217">
        <v>7.1603010999999995E-5</v>
      </c>
      <c r="I304" s="217">
        <v>1.6753362000000001E-5</v>
      </c>
      <c r="J304">
        <v>5.8317650999999996E-3</v>
      </c>
      <c r="K304">
        <v>2.337979E-3</v>
      </c>
      <c r="L304">
        <v>3.1892426</v>
      </c>
      <c r="M304" s="217">
        <v>2.0011908999999999E-5</v>
      </c>
      <c r="N304">
        <v>0.11963020000000001</v>
      </c>
      <c r="O304">
        <v>0.11954069</v>
      </c>
      <c r="P304" s="217">
        <v>8.5005049999999993E-5</v>
      </c>
      <c r="Q304" s="217">
        <v>4.5007683E-6</v>
      </c>
      <c r="R304" s="217">
        <v>3.5898520999999998E-9</v>
      </c>
      <c r="S304" s="217">
        <v>9.3893171999999994E-5</v>
      </c>
      <c r="T304" s="217">
        <v>2.6784088000000001E-7</v>
      </c>
      <c r="U304" s="217">
        <v>3.0288102000000001E-5</v>
      </c>
      <c r="V304">
        <v>3.374265E-4</v>
      </c>
      <c r="W304">
        <v>1.2277594999999999E-4</v>
      </c>
      <c r="X304" s="217">
        <v>1.3888954E-8</v>
      </c>
      <c r="Y304">
        <v>0.27032484000000001</v>
      </c>
      <c r="Z304">
        <v>1.1621116000000001E-2</v>
      </c>
      <c r="AA304" s="217">
        <v>1.7444456E-9</v>
      </c>
      <c r="AB304">
        <v>1.0739559E-3</v>
      </c>
      <c r="AC304">
        <v>0.19825402</v>
      </c>
      <c r="AD304" s="217">
        <v>1.3088226999999999E-11</v>
      </c>
      <c r="AE304" s="217">
        <v>1.741584E-10</v>
      </c>
      <c r="AF304">
        <v>0.59315792000000001</v>
      </c>
      <c r="AG304">
        <v>0</v>
      </c>
      <c r="AH304">
        <v>0</v>
      </c>
      <c r="AI304">
        <v>4.3933176999999997E-3</v>
      </c>
      <c r="AJ304">
        <v>0</v>
      </c>
      <c r="AK304">
        <v>0</v>
      </c>
      <c r="AL304">
        <v>0.28724335000000001</v>
      </c>
      <c r="AM304">
        <v>0</v>
      </c>
      <c r="AN304">
        <v>0</v>
      </c>
      <c r="AO304">
        <v>0</v>
      </c>
      <c r="AP304">
        <v>2.7883587E-4</v>
      </c>
      <c r="AQ304" s="217">
        <v>2.0982308999999999E-7</v>
      </c>
      <c r="AR304">
        <v>1.0022564</v>
      </c>
      <c r="AS304" s="217">
        <v>1.6426013999999999E-6</v>
      </c>
      <c r="AT304">
        <v>0</v>
      </c>
      <c r="AU304">
        <v>0</v>
      </c>
      <c r="AV304">
        <v>0</v>
      </c>
      <c r="AW304">
        <v>0</v>
      </c>
      <c r="AX304">
        <v>0</v>
      </c>
    </row>
    <row r="305" spans="1:50" x14ac:dyDescent="0.35">
      <c r="A305" t="s">
        <v>777</v>
      </c>
      <c r="B305" s="249">
        <f t="shared" si="4"/>
        <v>1.1794492745238121E-2</v>
      </c>
      <c r="C305" s="217">
        <v>1.8095157000000001E-8</v>
      </c>
      <c r="D305">
        <v>1.7081088999999999E-4</v>
      </c>
      <c r="E305">
        <v>0.10769073</v>
      </c>
      <c r="F305" s="217">
        <v>3.1206591E-9</v>
      </c>
      <c r="G305" s="217">
        <v>2.6298951999999999E-5</v>
      </c>
      <c r="H305">
        <v>1.0649763E-4</v>
      </c>
      <c r="I305">
        <v>5.3687340000000002E-4</v>
      </c>
      <c r="J305">
        <v>8.5723768999999995E-3</v>
      </c>
      <c r="K305">
        <v>1.9094595E-3</v>
      </c>
      <c r="L305">
        <v>2.4035294999999999</v>
      </c>
      <c r="M305" s="217">
        <v>4.8838463999999998E-5</v>
      </c>
      <c r="N305">
        <v>0.12480291</v>
      </c>
      <c r="O305">
        <v>0.12466832</v>
      </c>
      <c r="P305">
        <v>1.2009308E-4</v>
      </c>
      <c r="Q305" s="217">
        <v>1.4493635E-5</v>
      </c>
      <c r="R305" s="217">
        <v>3.8326313000000002E-9</v>
      </c>
      <c r="S305">
        <v>1.3952598E-4</v>
      </c>
      <c r="T305" s="217">
        <v>6.6269647999999996E-7</v>
      </c>
      <c r="U305">
        <v>1.2266995000000001E-3</v>
      </c>
      <c r="V305">
        <v>4.7481128999999998E-4</v>
      </c>
      <c r="W305">
        <v>1.5099509000000001E-4</v>
      </c>
      <c r="X305" s="217">
        <v>1.8095505E-8</v>
      </c>
      <c r="Y305">
        <v>0.34496634999999998</v>
      </c>
      <c r="Z305">
        <v>1.2576412E-2</v>
      </c>
      <c r="AA305" s="217">
        <v>2.011272E-9</v>
      </c>
      <c r="AB305">
        <v>1.3970104999999999E-3</v>
      </c>
      <c r="AC305">
        <v>2.3456169</v>
      </c>
      <c r="AD305" s="217">
        <v>9.0242852000000002E-12</v>
      </c>
      <c r="AE305" s="217">
        <v>3.0894826000000001E-10</v>
      </c>
      <c r="AF305">
        <v>0.60377649</v>
      </c>
      <c r="AG305">
        <v>0</v>
      </c>
      <c r="AH305">
        <v>0</v>
      </c>
      <c r="AI305">
        <v>1.2260702E-2</v>
      </c>
      <c r="AJ305">
        <v>0</v>
      </c>
      <c r="AK305">
        <v>0</v>
      </c>
      <c r="AL305">
        <v>0.36657894000000002</v>
      </c>
      <c r="AM305">
        <v>0</v>
      </c>
      <c r="AN305">
        <v>0</v>
      </c>
      <c r="AO305">
        <v>0</v>
      </c>
      <c r="AP305">
        <v>3.1766534000000001E-4</v>
      </c>
      <c r="AQ305" s="217">
        <v>3.1916232000000001E-7</v>
      </c>
      <c r="AR305">
        <v>1.0025913</v>
      </c>
      <c r="AS305" s="217">
        <v>1.8762898E-6</v>
      </c>
      <c r="AT305">
        <v>0</v>
      </c>
      <c r="AU305">
        <v>0</v>
      </c>
      <c r="AV305">
        <v>0</v>
      </c>
      <c r="AW305">
        <v>0</v>
      </c>
      <c r="AX305">
        <v>0</v>
      </c>
    </row>
    <row r="306" spans="1:50" x14ac:dyDescent="0.35">
      <c r="A306" t="s">
        <v>778</v>
      </c>
      <c r="B306" s="249">
        <f t="shared" si="4"/>
        <v>1.0879935419444221E-2</v>
      </c>
      <c r="C306" s="217">
        <v>1.5077395000000001E-9</v>
      </c>
      <c r="D306" s="217">
        <v>3.0810523000000002E-5</v>
      </c>
      <c r="E306">
        <v>0.15353625000000001</v>
      </c>
      <c r="F306" s="217">
        <v>8.0662373000000002E-10</v>
      </c>
      <c r="G306" s="217">
        <v>3.2332929999999999E-5</v>
      </c>
      <c r="H306" s="217">
        <v>3.4498987999999997E-5</v>
      </c>
      <c r="I306">
        <v>2.1383618E-4</v>
      </c>
      <c r="J306">
        <v>4.6959997E-3</v>
      </c>
      <c r="K306">
        <v>3.9654149999999999E-3</v>
      </c>
      <c r="L306">
        <v>5.2878128999999996</v>
      </c>
      <c r="M306" s="217">
        <v>9.9608468999999999E-6</v>
      </c>
      <c r="N306">
        <v>0.1848707</v>
      </c>
      <c r="O306">
        <v>0.18486958000000001</v>
      </c>
      <c r="P306" s="217">
        <v>7.3741282000000005E-7</v>
      </c>
      <c r="Q306" s="217">
        <v>3.8308017999999998E-7</v>
      </c>
      <c r="R306" s="217">
        <v>1.0158152E-9</v>
      </c>
      <c r="S306" s="217">
        <v>4.8105378000000002E-5</v>
      </c>
      <c r="T306" s="217">
        <v>3.4519192000000001E-8</v>
      </c>
      <c r="U306">
        <v>4.9520692E-4</v>
      </c>
      <c r="V306">
        <v>2.2809997999999999E-4</v>
      </c>
      <c r="W306">
        <v>1.0935898999999999E-4</v>
      </c>
      <c r="X306" s="217">
        <v>1.5077589E-9</v>
      </c>
      <c r="Y306">
        <v>6.5040924999999999E-2</v>
      </c>
      <c r="Z306">
        <v>3.5103618999999999E-4</v>
      </c>
      <c r="AA306" s="217">
        <v>1.2336658E-9</v>
      </c>
      <c r="AB306">
        <v>2.8027553999999998E-4</v>
      </c>
      <c r="AC306">
        <v>0.90165947000000002</v>
      </c>
      <c r="AD306" s="217">
        <v>2.0899463999999999E-12</v>
      </c>
      <c r="AE306" s="217">
        <v>1.4856329999999999E-10</v>
      </c>
      <c r="AF306">
        <v>0.25379595999999999</v>
      </c>
      <c r="AG306">
        <v>0</v>
      </c>
      <c r="AH306">
        <v>0</v>
      </c>
      <c r="AI306">
        <v>3.7789939000000002E-4</v>
      </c>
      <c r="AJ306">
        <v>0</v>
      </c>
      <c r="AK306">
        <v>0</v>
      </c>
      <c r="AL306">
        <v>6.9066727999999994E-2</v>
      </c>
      <c r="AM306">
        <v>0</v>
      </c>
      <c r="AN306">
        <v>0</v>
      </c>
      <c r="AO306">
        <v>0</v>
      </c>
      <c r="AP306" s="217">
        <v>8.9373241000000006E-6</v>
      </c>
      <c r="AQ306" s="217">
        <v>2.9081032000000001E-8</v>
      </c>
      <c r="AR306" s="217">
        <v>6.9618037999999994E-5</v>
      </c>
      <c r="AS306" s="217">
        <v>4.5168348999999999E-7</v>
      </c>
      <c r="AT306">
        <v>0</v>
      </c>
      <c r="AU306">
        <v>0</v>
      </c>
      <c r="AV306">
        <v>0</v>
      </c>
      <c r="AW306">
        <v>0</v>
      </c>
      <c r="AX306">
        <v>0</v>
      </c>
    </row>
    <row r="307" spans="1:50" x14ac:dyDescent="0.35">
      <c r="A307" t="s">
        <v>779</v>
      </c>
      <c r="B307" s="249">
        <f t="shared" si="4"/>
        <v>3.5356363937113205E-3</v>
      </c>
      <c r="C307" s="217">
        <v>3.1927577000000001E-8</v>
      </c>
      <c r="D307">
        <v>1.3730985E-4</v>
      </c>
      <c r="E307">
        <v>1.4250000000000001E-2</v>
      </c>
      <c r="F307" s="217">
        <v>2.8833413000000001E-9</v>
      </c>
      <c r="G307" s="217">
        <v>1.5530645E-5</v>
      </c>
      <c r="H307" s="217">
        <v>7.3373544999999994E-5</v>
      </c>
      <c r="I307" s="217">
        <v>1.3837437E-5</v>
      </c>
      <c r="J307">
        <v>9.9448498000000007E-3</v>
      </c>
      <c r="K307">
        <v>2.7941520000000001E-2</v>
      </c>
      <c r="L307">
        <v>6.1673036000000003</v>
      </c>
      <c r="M307" s="217">
        <v>3.2839400999999999E-5</v>
      </c>
      <c r="N307">
        <v>2.5215143999999998E-2</v>
      </c>
      <c r="O307">
        <v>1.4576459E-2</v>
      </c>
      <c r="P307">
        <v>1.0634334E-2</v>
      </c>
      <c r="Q307" s="217">
        <v>4.3515038E-6</v>
      </c>
      <c r="R307" s="217">
        <v>3.5888678E-9</v>
      </c>
      <c r="S307" s="217">
        <v>9.5429698E-5</v>
      </c>
      <c r="T307" s="217">
        <v>4.2965342E-7</v>
      </c>
      <c r="U307" s="217">
        <v>2.9489120999999999E-5</v>
      </c>
      <c r="V307">
        <v>3.2828852999999998E-4</v>
      </c>
      <c r="W307">
        <v>1.0288197000000001E-4</v>
      </c>
      <c r="X307" s="217">
        <v>3.1927663999999999E-8</v>
      </c>
      <c r="Y307">
        <v>0.28014683000000001</v>
      </c>
      <c r="Z307">
        <v>-8.4450234999999992E-3</v>
      </c>
      <c r="AA307" s="217">
        <v>3.0360865000000001E-9</v>
      </c>
      <c r="AB307">
        <v>1.0290093000000001E-3</v>
      </c>
      <c r="AC307">
        <v>2.6098249</v>
      </c>
      <c r="AD307" s="217">
        <v>2.2784092999999999E-11</v>
      </c>
      <c r="AE307" s="217">
        <v>3.8073343000000002E-10</v>
      </c>
      <c r="AF307">
        <v>0.37211938</v>
      </c>
      <c r="AG307">
        <v>0</v>
      </c>
      <c r="AH307">
        <v>0</v>
      </c>
      <c r="AI307">
        <v>4.5580967E-3</v>
      </c>
      <c r="AJ307">
        <v>0</v>
      </c>
      <c r="AK307">
        <v>0</v>
      </c>
      <c r="AL307">
        <v>0.29775277</v>
      </c>
      <c r="AM307">
        <v>0</v>
      </c>
      <c r="AN307">
        <v>0</v>
      </c>
      <c r="AO307">
        <v>0</v>
      </c>
      <c r="AP307">
        <v>-1.8959719999999999E-4</v>
      </c>
      <c r="AQ307" s="217">
        <v>3.3045486E-7</v>
      </c>
      <c r="AR307">
        <v>1.1496776E-2</v>
      </c>
      <c r="AS307" s="217">
        <v>1.5994681E-6</v>
      </c>
      <c r="AT307">
        <v>0</v>
      </c>
      <c r="AU307">
        <v>0</v>
      </c>
      <c r="AV307">
        <v>0</v>
      </c>
      <c r="AW307">
        <v>0</v>
      </c>
      <c r="AX307">
        <v>0</v>
      </c>
    </row>
    <row r="308" spans="1:50" x14ac:dyDescent="0.35">
      <c r="A308" t="s">
        <v>780</v>
      </c>
      <c r="B308" s="249">
        <f t="shared" si="4"/>
        <v>1.1764862661048222E-2</v>
      </c>
      <c r="C308" s="217">
        <v>1.5077395000000001E-9</v>
      </c>
      <c r="D308" s="217">
        <v>3.0810523000000002E-5</v>
      </c>
      <c r="E308">
        <v>0.20654136000000001</v>
      </c>
      <c r="F308" s="217">
        <v>8.0662373000000002E-10</v>
      </c>
      <c r="G308" s="217">
        <v>4.2250109999999998E-5</v>
      </c>
      <c r="H308" s="217">
        <v>3.4839039999999999E-5</v>
      </c>
      <c r="I308" s="217">
        <v>2.1515406E-5</v>
      </c>
      <c r="J308">
        <v>4.4604120000000004E-3</v>
      </c>
      <c r="K308">
        <v>3.6472843999999999E-3</v>
      </c>
      <c r="L308">
        <v>5.0391439</v>
      </c>
      <c r="M308" s="217">
        <v>9.5916903000000008E-6</v>
      </c>
      <c r="N308">
        <v>0.24899915</v>
      </c>
      <c r="O308">
        <v>0.24899803000000001</v>
      </c>
      <c r="P308" s="217">
        <v>7.3741282000000005E-7</v>
      </c>
      <c r="Q308" s="217">
        <v>3.8308017999999998E-7</v>
      </c>
      <c r="R308" s="217">
        <v>1.0158152E-9</v>
      </c>
      <c r="S308" s="217">
        <v>4.8319724999999999E-5</v>
      </c>
      <c r="T308" s="217">
        <v>3.4519192000000001E-8</v>
      </c>
      <c r="U308" s="217">
        <v>3.5571365000000001E-5</v>
      </c>
      <c r="V308">
        <v>2.2465813E-4</v>
      </c>
      <c r="W308">
        <v>1.2524515000000001E-4</v>
      </c>
      <c r="X308" s="217">
        <v>1.5077589E-9</v>
      </c>
      <c r="Y308">
        <v>6.5040924999999999E-2</v>
      </c>
      <c r="Z308">
        <v>3.5103618999999999E-4</v>
      </c>
      <c r="AA308" s="217">
        <v>1.2341099E-9</v>
      </c>
      <c r="AB308">
        <v>2.8027553999999998E-4</v>
      </c>
      <c r="AC308">
        <v>0.13307921</v>
      </c>
      <c r="AD308" s="217">
        <v>1.9454545000000001E-12</v>
      </c>
      <c r="AE308" s="217">
        <v>1.0097799E-10</v>
      </c>
      <c r="AF308">
        <v>0.25379595999999999</v>
      </c>
      <c r="AG308">
        <v>0</v>
      </c>
      <c r="AH308">
        <v>0</v>
      </c>
      <c r="AI308">
        <v>3.7789939000000002E-4</v>
      </c>
      <c r="AJ308">
        <v>0</v>
      </c>
      <c r="AK308">
        <v>0</v>
      </c>
      <c r="AL308">
        <v>6.9066727999999994E-2</v>
      </c>
      <c r="AM308">
        <v>0</v>
      </c>
      <c r="AN308">
        <v>0</v>
      </c>
      <c r="AO308">
        <v>0</v>
      </c>
      <c r="AP308" s="217">
        <v>8.9373241000000006E-6</v>
      </c>
      <c r="AQ308" s="217">
        <v>2.9081032000000001E-8</v>
      </c>
      <c r="AR308" s="217">
        <v>6.9618037999999994E-5</v>
      </c>
      <c r="AS308" s="217">
        <v>4.5168348999999999E-7</v>
      </c>
      <c r="AT308">
        <v>0</v>
      </c>
      <c r="AU308">
        <v>0</v>
      </c>
      <c r="AV308">
        <v>0</v>
      </c>
      <c r="AW308">
        <v>0</v>
      </c>
      <c r="AX308">
        <v>0</v>
      </c>
    </row>
    <row r="309" spans="1:50" x14ac:dyDescent="0.35">
      <c r="A309" t="s">
        <v>781</v>
      </c>
      <c r="B309" s="249">
        <f t="shared" si="4"/>
        <v>-0.24547724685730798</v>
      </c>
      <c r="C309" s="217">
        <v>-3.0557180000000002E-7</v>
      </c>
      <c r="D309">
        <v>-3.5989981999999997E-2</v>
      </c>
      <c r="E309">
        <v>-3.1830280000000002</v>
      </c>
      <c r="F309" s="217">
        <v>-5.3056374000000002E-8</v>
      </c>
      <c r="G309">
        <v>-2.8009035000000002E-3</v>
      </c>
      <c r="H309">
        <v>-9.8259301999999993E-3</v>
      </c>
      <c r="I309">
        <v>-8.1537761999999996E-4</v>
      </c>
      <c r="J309">
        <v>-0.27976348000000001</v>
      </c>
      <c r="K309">
        <v>-8.7311425000000005E-3</v>
      </c>
      <c r="L309">
        <v>-28.406908000000001</v>
      </c>
      <c r="M309">
        <v>-6.7574165999999996E-4</v>
      </c>
      <c r="N309">
        <v>-3.3990729000000002</v>
      </c>
      <c r="O309">
        <v>-3.3695371999999999</v>
      </c>
      <c r="P309">
        <v>-2.9529586E-2</v>
      </c>
      <c r="Q309" s="217">
        <v>-6.1107736E-6</v>
      </c>
      <c r="R309" s="217">
        <v>-3.6984255999999998E-8</v>
      </c>
      <c r="S309">
        <v>-1.1593518000000001E-2</v>
      </c>
      <c r="T309" s="217">
        <v>-5.8870255999999997E-5</v>
      </c>
      <c r="U309">
        <v>-1.7436738999999999E-3</v>
      </c>
      <c r="V309">
        <v>-1.8862613E-2</v>
      </c>
      <c r="W309">
        <v>-1.0072671E-2</v>
      </c>
      <c r="X309" s="217">
        <v>-3.0557235999999999E-7</v>
      </c>
      <c r="Y309">
        <v>-74.579509000000002</v>
      </c>
      <c r="Z309">
        <v>-2.5046048999999999</v>
      </c>
      <c r="AA309" s="217">
        <v>-1.0627673000000001E-7</v>
      </c>
      <c r="AB309">
        <v>-5.0576397000000003E-4</v>
      </c>
      <c r="AC309">
        <v>-3.3997017999999999</v>
      </c>
      <c r="AD309" s="217">
        <v>-5.8369707999999998E-10</v>
      </c>
      <c r="AE309" s="217">
        <v>-6.9596624999999999E-9</v>
      </c>
      <c r="AF309">
        <v>-7.8794693999999998E-2</v>
      </c>
      <c r="AG309">
        <v>0</v>
      </c>
      <c r="AH309">
        <v>0</v>
      </c>
      <c r="AI309">
        <v>-0.38645203</v>
      </c>
      <c r="AJ309">
        <v>0</v>
      </c>
      <c r="AK309">
        <v>0</v>
      </c>
      <c r="AL309">
        <v>-80.250726999999998</v>
      </c>
      <c r="AM309">
        <v>0</v>
      </c>
      <c r="AN309">
        <v>0</v>
      </c>
      <c r="AO309">
        <v>0</v>
      </c>
      <c r="AP309">
        <v>-5.8335985E-2</v>
      </c>
      <c r="AQ309" s="217">
        <v>-3.2525462000000001E-7</v>
      </c>
      <c r="AR309">
        <v>-4.1728956999999997E-2</v>
      </c>
      <c r="AS309" s="217">
        <v>-5.4840584000000002E-7</v>
      </c>
      <c r="AT309">
        <v>0</v>
      </c>
      <c r="AU309">
        <v>0</v>
      </c>
      <c r="AV309">
        <v>0</v>
      </c>
      <c r="AW309">
        <v>0</v>
      </c>
      <c r="AX309">
        <v>0</v>
      </c>
    </row>
    <row r="310" spans="1:50" x14ac:dyDescent="0.35">
      <c r="A310" t="s">
        <v>782</v>
      </c>
      <c r="B310" s="249">
        <f t="shared" si="4"/>
        <v>0.14090895455738067</v>
      </c>
      <c r="C310" s="217">
        <v>3.1143116999999997E-8</v>
      </c>
      <c r="D310">
        <v>1.3581655E-4</v>
      </c>
      <c r="E310">
        <v>2.5536642999999999</v>
      </c>
      <c r="F310" s="217">
        <v>2.1981794000000002E-9</v>
      </c>
      <c r="G310" s="217">
        <v>8.9837288999999994E-6</v>
      </c>
      <c r="H310">
        <v>2.3605657E-4</v>
      </c>
      <c r="I310" s="217">
        <v>9.5638584000000006E-5</v>
      </c>
      <c r="J310">
        <v>6.9973263999999993E-2</v>
      </c>
      <c r="K310">
        <v>2.8937274999999998E-2</v>
      </c>
      <c r="L310">
        <v>42.109918</v>
      </c>
      <c r="M310" s="217">
        <v>7.1552955000000001E-5</v>
      </c>
      <c r="N310">
        <v>2.5546487999999998</v>
      </c>
      <c r="O310">
        <v>2.5545931999999998</v>
      </c>
      <c r="P310" s="217">
        <v>5.1394511999999997E-5</v>
      </c>
      <c r="Q310" s="217">
        <v>4.1880776999999998E-6</v>
      </c>
      <c r="R310" s="217">
        <v>2.5331882999999999E-9</v>
      </c>
      <c r="S310">
        <v>3.3667898999999998E-4</v>
      </c>
      <c r="T310" s="217">
        <v>4.9549317999999999E-7</v>
      </c>
      <c r="U310">
        <v>1.5720614E-4</v>
      </c>
      <c r="V310">
        <v>1.7074359999999999E-3</v>
      </c>
      <c r="W310">
        <v>4.1215331999999998E-4</v>
      </c>
      <c r="X310" s="217">
        <v>3.1150561999999998E-8</v>
      </c>
      <c r="Y310">
        <v>0.25254575000000001</v>
      </c>
      <c r="Z310">
        <v>6.5972642000000003E-3</v>
      </c>
      <c r="AA310" s="217">
        <v>1.6747584E-9</v>
      </c>
      <c r="AB310">
        <v>3.9443835E-4</v>
      </c>
      <c r="AC310">
        <v>0.57207668</v>
      </c>
      <c r="AD310" s="217">
        <v>8.9973836000000005E-11</v>
      </c>
      <c r="AE310" s="217">
        <v>3.5328708999999999E-9</v>
      </c>
      <c r="AF310">
        <v>6.3919184000000004E-2</v>
      </c>
      <c r="AG310">
        <v>0</v>
      </c>
      <c r="AH310">
        <v>0</v>
      </c>
      <c r="AI310">
        <v>4.8551792000000003E-3</v>
      </c>
      <c r="AJ310">
        <v>0</v>
      </c>
      <c r="AK310">
        <v>0</v>
      </c>
      <c r="AL310">
        <v>0.27514843999999999</v>
      </c>
      <c r="AM310">
        <v>0</v>
      </c>
      <c r="AN310">
        <v>0</v>
      </c>
      <c r="AO310">
        <v>0</v>
      </c>
      <c r="AP310">
        <v>1.5866084000000001E-4</v>
      </c>
      <c r="AQ310" s="217">
        <v>2.5948738000000002E-6</v>
      </c>
      <c r="AR310">
        <v>2.4010362E-2</v>
      </c>
      <c r="AS310" s="217">
        <v>5.3999274000000005E-7</v>
      </c>
      <c r="AT310">
        <v>0</v>
      </c>
      <c r="AU310">
        <v>0</v>
      </c>
      <c r="AV310">
        <v>0</v>
      </c>
      <c r="AW310">
        <v>0</v>
      </c>
      <c r="AX310">
        <v>0</v>
      </c>
    </row>
    <row r="311" spans="1:50" x14ac:dyDescent="0.35">
      <c r="A311" t="s">
        <v>783</v>
      </c>
      <c r="B311" s="249">
        <f t="shared" si="4"/>
        <v>0.16672827938090087</v>
      </c>
      <c r="C311" s="217">
        <v>3.4536874E-8</v>
      </c>
      <c r="D311">
        <v>1.5624730999999999E-4</v>
      </c>
      <c r="E311">
        <v>3.0235029999999998</v>
      </c>
      <c r="F311" s="217">
        <v>2.5371026999999999E-9</v>
      </c>
      <c r="G311" s="217">
        <v>9.3807301000000002E-6</v>
      </c>
      <c r="H311">
        <v>2.7687672000000001E-4</v>
      </c>
      <c r="I311">
        <v>1.1282196E-4</v>
      </c>
      <c r="J311">
        <v>8.1867005000000007E-2</v>
      </c>
      <c r="K311">
        <v>3.4265921999999997E-2</v>
      </c>
      <c r="L311">
        <v>49.854982</v>
      </c>
      <c r="M311" s="217">
        <v>8.1264702E-5</v>
      </c>
      <c r="N311">
        <v>3.0246230000000001</v>
      </c>
      <c r="O311">
        <v>3.0245589000000002</v>
      </c>
      <c r="P311" s="217">
        <v>5.9422855E-5</v>
      </c>
      <c r="Q311" s="217">
        <v>4.7137043000000002E-6</v>
      </c>
      <c r="R311" s="217">
        <v>2.9229607999999998E-9</v>
      </c>
      <c r="S311">
        <v>3.9538753000000002E-4</v>
      </c>
      <c r="T311" s="217">
        <v>5.3961329000000002E-7</v>
      </c>
      <c r="U311">
        <v>1.8546177E-4</v>
      </c>
      <c r="V311">
        <v>2.0137523999999999E-3</v>
      </c>
      <c r="W311">
        <v>4.8394102999999998E-4</v>
      </c>
      <c r="X311" s="217">
        <v>3.4545649000000001E-8</v>
      </c>
      <c r="Y311">
        <v>0.29087460999999998</v>
      </c>
      <c r="Z311">
        <v>1.1271223E-2</v>
      </c>
      <c r="AA311" s="217">
        <v>1.677189E-9</v>
      </c>
      <c r="AB311">
        <v>4.4276464E-4</v>
      </c>
      <c r="AC311">
        <v>0.66158826000000004</v>
      </c>
      <c r="AD311" s="217">
        <v>1.0332013E-10</v>
      </c>
      <c r="AE311" s="217">
        <v>4.1439256E-9</v>
      </c>
      <c r="AF311">
        <v>7.1867548000000003E-2</v>
      </c>
      <c r="AG311">
        <v>0</v>
      </c>
      <c r="AH311">
        <v>0</v>
      </c>
      <c r="AI311">
        <v>5.4086539000000001E-3</v>
      </c>
      <c r="AJ311">
        <v>0</v>
      </c>
      <c r="AK311">
        <v>0</v>
      </c>
      <c r="AL311">
        <v>0.31714289000000001</v>
      </c>
      <c r="AM311">
        <v>0</v>
      </c>
      <c r="AN311">
        <v>0</v>
      </c>
      <c r="AO311">
        <v>0</v>
      </c>
      <c r="AP311">
        <v>2.6791792000000001E-4</v>
      </c>
      <c r="AQ311" s="217">
        <v>3.0411733999999999E-6</v>
      </c>
      <c r="AR311">
        <v>2.7285098000000001E-2</v>
      </c>
      <c r="AS311" s="217">
        <v>6.0605106999999997E-7</v>
      </c>
      <c r="AT311">
        <v>0</v>
      </c>
      <c r="AU311">
        <v>0</v>
      </c>
      <c r="AV311">
        <v>0</v>
      </c>
      <c r="AW311">
        <v>0</v>
      </c>
      <c r="AX311">
        <v>0</v>
      </c>
    </row>
    <row r="312" spans="1:50" x14ac:dyDescent="0.35">
      <c r="A312" t="s">
        <v>784</v>
      </c>
      <c r="B312" s="249">
        <f t="shared" si="4"/>
        <v>0.14631714752275657</v>
      </c>
      <c r="C312" s="217">
        <v>7.2290791000000005E-8</v>
      </c>
      <c r="D312">
        <v>1.6300206000000001E-4</v>
      </c>
      <c r="E312">
        <v>2.8467761</v>
      </c>
      <c r="F312" s="217">
        <v>3.679469E-9</v>
      </c>
      <c r="G312" s="217">
        <v>1.1432134E-5</v>
      </c>
      <c r="H312">
        <v>1.8345909000000001E-4</v>
      </c>
      <c r="I312" s="217">
        <v>7.8276965E-5</v>
      </c>
      <c r="J312">
        <v>2.0934999999999999E-2</v>
      </c>
      <c r="K312">
        <v>8.4435515999999999E-3</v>
      </c>
      <c r="L312">
        <v>3.4983080000000002</v>
      </c>
      <c r="M312" s="217">
        <v>6.0993026000000001E-5</v>
      </c>
      <c r="N312">
        <v>2.8473082000000001</v>
      </c>
      <c r="O312">
        <v>2.847235</v>
      </c>
      <c r="P312" s="217">
        <v>6.3993517999999999E-5</v>
      </c>
      <c r="Q312" s="217">
        <v>9.1847864000000004E-6</v>
      </c>
      <c r="R312" s="217">
        <v>3.9851507999999999E-9</v>
      </c>
      <c r="S312">
        <v>2.6217207000000001E-4</v>
      </c>
      <c r="T312" s="217">
        <v>1.3066675E-5</v>
      </c>
      <c r="U312" s="217">
        <v>8.9325018999999995E-5</v>
      </c>
      <c r="V312">
        <v>1.1524370000000001E-3</v>
      </c>
      <c r="W312">
        <v>2.4712109000000001E-4</v>
      </c>
      <c r="X312" s="217">
        <v>7.2294779000000005E-8</v>
      </c>
      <c r="Y312">
        <v>0.30139674</v>
      </c>
      <c r="Z312">
        <v>3.8266690999999999E-2</v>
      </c>
      <c r="AA312" s="217">
        <v>1.0912359000000001E-8</v>
      </c>
      <c r="AB312">
        <v>6.3838871999999998E-4</v>
      </c>
      <c r="AC312">
        <v>0.97048568000000002</v>
      </c>
      <c r="AD312" s="217">
        <v>2.5942529000000001E-10</v>
      </c>
      <c r="AE312" s="217">
        <v>3.6074508999999999E-9</v>
      </c>
      <c r="AF312">
        <v>0.10172382000000001</v>
      </c>
      <c r="AG312">
        <v>0</v>
      </c>
      <c r="AH312">
        <v>0</v>
      </c>
      <c r="AI312">
        <v>1.2587048999999999E-2</v>
      </c>
      <c r="AJ312">
        <v>0</v>
      </c>
      <c r="AK312">
        <v>0</v>
      </c>
      <c r="AL312">
        <v>0.32611996999999998</v>
      </c>
      <c r="AM312">
        <v>0</v>
      </c>
      <c r="AN312">
        <v>0</v>
      </c>
      <c r="AO312">
        <v>0</v>
      </c>
      <c r="AP312">
        <v>9.1007456000000001E-4</v>
      </c>
      <c r="AQ312" s="217">
        <v>5.1870106E-6</v>
      </c>
      <c r="AR312">
        <v>3.5555576999999998E-2</v>
      </c>
      <c r="AS312" s="217">
        <v>7.6217214999999997E-7</v>
      </c>
      <c r="AT312">
        <v>0</v>
      </c>
      <c r="AU312">
        <v>0</v>
      </c>
      <c r="AV312">
        <v>0</v>
      </c>
      <c r="AW312">
        <v>0</v>
      </c>
      <c r="AX312">
        <v>0</v>
      </c>
    </row>
    <row r="313" spans="1:50" x14ac:dyDescent="0.35">
      <c r="A313" t="s">
        <v>785</v>
      </c>
      <c r="B313" s="249">
        <f t="shared" si="4"/>
        <v>1.1988969947446223E-2</v>
      </c>
      <c r="C313" s="217">
        <v>1.5077395000000001E-9</v>
      </c>
      <c r="D313" s="217">
        <v>3.0810523000000002E-5</v>
      </c>
      <c r="E313">
        <v>0.16596533999999999</v>
      </c>
      <c r="F313" s="217">
        <v>8.0662373000000002E-10</v>
      </c>
      <c r="G313" s="217">
        <v>3.4661191999999998E-5</v>
      </c>
      <c r="H313" s="217">
        <v>3.4335392000000001E-5</v>
      </c>
      <c r="I313" s="217">
        <v>1.7214587000000001E-5</v>
      </c>
      <c r="J313">
        <v>9.6464583000000007E-3</v>
      </c>
      <c r="K313">
        <v>1.8283397E-2</v>
      </c>
      <c r="L313">
        <v>19.072883999999998</v>
      </c>
      <c r="M313" s="217">
        <v>3.0338636E-6</v>
      </c>
      <c r="N313">
        <v>0.19990799000000001</v>
      </c>
      <c r="O313">
        <v>0.19990686999999999</v>
      </c>
      <c r="P313" s="217">
        <v>7.3741282000000005E-7</v>
      </c>
      <c r="Q313" s="217">
        <v>3.8308017999999998E-7</v>
      </c>
      <c r="R313" s="217">
        <v>1.0158152E-9</v>
      </c>
      <c r="S313" s="217">
        <v>4.7767656E-5</v>
      </c>
      <c r="T313" s="217">
        <v>3.4519192000000001E-8</v>
      </c>
      <c r="U313" s="217">
        <v>2.8968003999999999E-5</v>
      </c>
      <c r="V313">
        <v>2.2460868E-4</v>
      </c>
      <c r="W313">
        <v>1.1245874E-4</v>
      </c>
      <c r="X313" s="217">
        <v>1.5077589E-9</v>
      </c>
      <c r="Y313">
        <v>6.5040924999999999E-2</v>
      </c>
      <c r="Z313">
        <v>3.5103618999999999E-4</v>
      </c>
      <c r="AA313" s="217">
        <v>1.2336968E-9</v>
      </c>
      <c r="AB313">
        <v>2.8027553999999998E-4</v>
      </c>
      <c r="AC313">
        <v>8.8677066999999998E-2</v>
      </c>
      <c r="AD313" s="217">
        <v>1.4592588000000001E-12</v>
      </c>
      <c r="AE313" s="217">
        <v>7.5280750000000004E-11</v>
      </c>
      <c r="AF313">
        <v>0.25379595999999999</v>
      </c>
      <c r="AG313">
        <v>0</v>
      </c>
      <c r="AH313">
        <v>0</v>
      </c>
      <c r="AI313">
        <v>3.7789939000000002E-4</v>
      </c>
      <c r="AJ313">
        <v>0</v>
      </c>
      <c r="AK313">
        <v>0</v>
      </c>
      <c r="AL313">
        <v>6.9066727999999994E-2</v>
      </c>
      <c r="AM313">
        <v>0</v>
      </c>
      <c r="AN313">
        <v>0</v>
      </c>
      <c r="AO313">
        <v>0</v>
      </c>
      <c r="AP313" s="217">
        <v>8.9373241000000006E-6</v>
      </c>
      <c r="AQ313" s="217">
        <v>2.9081032000000001E-8</v>
      </c>
      <c r="AR313" s="217">
        <v>6.9618037999999994E-5</v>
      </c>
      <c r="AS313" s="217">
        <v>4.5168348999999999E-7</v>
      </c>
      <c r="AT313">
        <v>0</v>
      </c>
      <c r="AU313">
        <v>0</v>
      </c>
      <c r="AV313">
        <v>0</v>
      </c>
      <c r="AW313">
        <v>0</v>
      </c>
      <c r="AX313">
        <v>0</v>
      </c>
    </row>
    <row r="314" spans="1:50" x14ac:dyDescent="0.35">
      <c r="A314" t="s">
        <v>786</v>
      </c>
      <c r="B314" s="249">
        <f t="shared" si="4"/>
        <v>1.4089304889168222E-2</v>
      </c>
      <c r="C314" s="217">
        <v>1.5077395000000001E-9</v>
      </c>
      <c r="D314" s="217">
        <v>3.0810523000000002E-5</v>
      </c>
      <c r="E314">
        <v>0.19573333000000001</v>
      </c>
      <c r="F314" s="217">
        <v>8.0662373000000002E-10</v>
      </c>
      <c r="G314" s="217">
        <v>4.0218349000000002E-5</v>
      </c>
      <c r="H314" s="217">
        <v>3.4440694000000001E-5</v>
      </c>
      <c r="I314" s="217">
        <v>1.8987144E-5</v>
      </c>
      <c r="J314">
        <v>1.112843E-2</v>
      </c>
      <c r="K314">
        <v>2.1648708999999999E-2</v>
      </c>
      <c r="L314">
        <v>22.573944000000001</v>
      </c>
      <c r="M314" s="217">
        <v>3.1020922999999999E-6</v>
      </c>
      <c r="N314">
        <v>0.23592311999999999</v>
      </c>
      <c r="O314">
        <v>0.23592199999999999</v>
      </c>
      <c r="P314" s="217">
        <v>7.3741282000000005E-7</v>
      </c>
      <c r="Q314" s="217">
        <v>3.8308017999999998E-7</v>
      </c>
      <c r="R314" s="217">
        <v>1.0158152E-9</v>
      </c>
      <c r="S314" s="217">
        <v>4.7883148E-5</v>
      </c>
      <c r="T314" s="217">
        <v>3.4519192000000001E-8</v>
      </c>
      <c r="U314" s="217">
        <v>3.0541055999999998E-5</v>
      </c>
      <c r="V314">
        <v>2.2462046000000001E-4</v>
      </c>
      <c r="W314">
        <v>1.2181607000000001E-4</v>
      </c>
      <c r="X314" s="217">
        <v>1.5077589E-9</v>
      </c>
      <c r="Y314">
        <v>6.5040924999999999E-2</v>
      </c>
      <c r="Z314">
        <v>3.5103618999999999E-4</v>
      </c>
      <c r="AA314" s="217">
        <v>1.2337831E-9</v>
      </c>
      <c r="AB314">
        <v>2.8027553999999998E-4</v>
      </c>
      <c r="AC314">
        <v>9.8237961999999998E-2</v>
      </c>
      <c r="AD314" s="217">
        <v>1.4938145E-12</v>
      </c>
      <c r="AE314" s="217">
        <v>8.3239053999999998E-11</v>
      </c>
      <c r="AF314">
        <v>0.25379595999999999</v>
      </c>
      <c r="AG314">
        <v>0</v>
      </c>
      <c r="AH314">
        <v>0</v>
      </c>
      <c r="AI314">
        <v>3.7789939000000002E-4</v>
      </c>
      <c r="AJ314">
        <v>0</v>
      </c>
      <c r="AK314">
        <v>0</v>
      </c>
      <c r="AL314">
        <v>6.9066727999999994E-2</v>
      </c>
      <c r="AM314">
        <v>0</v>
      </c>
      <c r="AN314">
        <v>0</v>
      </c>
      <c r="AO314">
        <v>0</v>
      </c>
      <c r="AP314" s="217">
        <v>8.9373241000000006E-6</v>
      </c>
      <c r="AQ314" s="217">
        <v>2.9081032000000001E-8</v>
      </c>
      <c r="AR314" s="217">
        <v>6.9618037999999994E-5</v>
      </c>
      <c r="AS314" s="217">
        <v>4.5168348999999999E-7</v>
      </c>
      <c r="AT314">
        <v>0</v>
      </c>
      <c r="AU314">
        <v>0</v>
      </c>
      <c r="AV314">
        <v>0</v>
      </c>
      <c r="AW314">
        <v>0</v>
      </c>
      <c r="AX314">
        <v>0</v>
      </c>
    </row>
    <row r="315" spans="1:50" x14ac:dyDescent="0.35">
      <c r="A315" t="s">
        <v>787</v>
      </c>
      <c r="B315" s="249">
        <f t="shared" si="4"/>
        <v>4.9451855363458006E-3</v>
      </c>
      <c r="C315" s="217">
        <v>4.6833537999999999E-7</v>
      </c>
      <c r="D315">
        <v>1.6337740000000001E-4</v>
      </c>
      <c r="E315">
        <v>2.4410340999999999E-2</v>
      </c>
      <c r="F315" s="217">
        <v>3.1098874999999999E-9</v>
      </c>
      <c r="G315" s="217">
        <v>2.0282213999999999E-5</v>
      </c>
      <c r="H315">
        <v>2.2079091E-4</v>
      </c>
      <c r="I315" s="217">
        <v>4.9558592000000002E-5</v>
      </c>
      <c r="J315">
        <v>2.3784774000000002E-2</v>
      </c>
      <c r="K315">
        <v>3.5025232999999999E-4</v>
      </c>
      <c r="L315">
        <v>1.7273565</v>
      </c>
      <c r="M315" s="217">
        <v>7.8859935999999999E-5</v>
      </c>
      <c r="N315">
        <v>2.3304024E-2</v>
      </c>
      <c r="O315">
        <v>2.4692229E-2</v>
      </c>
      <c r="P315">
        <v>-1.4147350000000001E-3</v>
      </c>
      <c r="Q315" s="217">
        <v>2.6530036E-5</v>
      </c>
      <c r="R315" s="217">
        <v>3.6100030999999999E-9</v>
      </c>
      <c r="S315">
        <v>2.8005339000000001E-4</v>
      </c>
      <c r="T315" s="217">
        <v>7.8781624999999993E-6</v>
      </c>
      <c r="U315" s="217">
        <v>6.4406316000000004E-5</v>
      </c>
      <c r="V315">
        <v>7.7083318E-4</v>
      </c>
      <c r="W315">
        <v>2.0138936999999999E-4</v>
      </c>
      <c r="X315" s="217">
        <v>4.6835922000000002E-7</v>
      </c>
      <c r="Y315">
        <v>0.35205185999999999</v>
      </c>
      <c r="Z315">
        <v>4.6701229000000004E-3</v>
      </c>
      <c r="AA315" s="217">
        <v>3.723816E-9</v>
      </c>
      <c r="AB315">
        <v>1.7789990000000001E-3</v>
      </c>
      <c r="AC315">
        <v>0.93480742000000006</v>
      </c>
      <c r="AD315" s="217">
        <v>2.7857122000000001E-11</v>
      </c>
      <c r="AE315" s="217">
        <v>1.1391763000000001E-9</v>
      </c>
      <c r="AF315">
        <v>0.67992989999999998</v>
      </c>
      <c r="AG315">
        <v>0</v>
      </c>
      <c r="AH315">
        <v>0</v>
      </c>
      <c r="AI315">
        <v>5.2011889999999998E-2</v>
      </c>
      <c r="AJ315">
        <v>0</v>
      </c>
      <c r="AK315">
        <v>0</v>
      </c>
      <c r="AL315">
        <v>0.37270721000000001</v>
      </c>
      <c r="AM315">
        <v>0</v>
      </c>
      <c r="AN315">
        <v>0</v>
      </c>
      <c r="AO315">
        <v>0</v>
      </c>
      <c r="AP315">
        <v>1.7550296999999999E-4</v>
      </c>
      <c r="AQ315" s="217">
        <v>7.1755996999999997E-7</v>
      </c>
      <c r="AR315">
        <v>9.7018377000000003E-3</v>
      </c>
      <c r="AS315" s="217">
        <v>2.1329283000000001E-6</v>
      </c>
      <c r="AT315">
        <v>0</v>
      </c>
      <c r="AU315">
        <v>0</v>
      </c>
      <c r="AV315">
        <v>0</v>
      </c>
      <c r="AW315">
        <v>0</v>
      </c>
      <c r="AX315">
        <v>0</v>
      </c>
    </row>
    <row r="316" spans="1:50" x14ac:dyDescent="0.35">
      <c r="A316" t="s">
        <v>788</v>
      </c>
      <c r="B316" s="249">
        <f t="shared" si="4"/>
        <v>-5.326726777571901E-2</v>
      </c>
      <c r="C316" s="217">
        <v>-6.3119770999999999E-5</v>
      </c>
      <c r="D316">
        <v>-1.6817976000000001E-3</v>
      </c>
      <c r="E316">
        <v>-0.85428101000000001</v>
      </c>
      <c r="F316" s="217">
        <v>-7.3114053000000002E-9</v>
      </c>
      <c r="G316">
        <v>-1.2324626E-4</v>
      </c>
      <c r="H316">
        <v>-1.0421429999999999E-3</v>
      </c>
      <c r="I316">
        <v>-2.7291757999999998E-4</v>
      </c>
      <c r="J316">
        <v>-2.9256773E-2</v>
      </c>
      <c r="K316">
        <v>-8.3493010000000004E-4</v>
      </c>
      <c r="L316">
        <v>-6.9649048000000002</v>
      </c>
      <c r="M316">
        <v>-7.9734102000000005E-4</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-0.13791459</v>
      </c>
      <c r="AJ316">
        <v>0</v>
      </c>
      <c r="AK316">
        <v>0</v>
      </c>
      <c r="AL316">
        <v>-2.7324633</v>
      </c>
      <c r="AM316">
        <v>0</v>
      </c>
      <c r="AN316">
        <v>0</v>
      </c>
      <c r="AO316">
        <v>0</v>
      </c>
      <c r="AP316">
        <v>-1.2572251000000001E-3</v>
      </c>
      <c r="AQ316" s="217">
        <v>-1.8611622E-5</v>
      </c>
      <c r="AR316">
        <v>-1.1223346E-2</v>
      </c>
      <c r="AS316">
        <v>0</v>
      </c>
      <c r="AT316">
        <v>0</v>
      </c>
      <c r="AU316">
        <v>0</v>
      </c>
      <c r="AV316">
        <v>0</v>
      </c>
      <c r="AW316">
        <v>0</v>
      </c>
      <c r="AX316">
        <v>0</v>
      </c>
    </row>
    <row r="317" spans="1:50" x14ac:dyDescent="0.35">
      <c r="A317" t="s">
        <v>789</v>
      </c>
      <c r="B317" s="249">
        <f t="shared" si="4"/>
        <v>-2.9818592278520007E-2</v>
      </c>
      <c r="C317">
        <v>-1.0899787999999999E-4</v>
      </c>
      <c r="D317">
        <v>-1.0493912000000001E-3</v>
      </c>
      <c r="E317">
        <v>-0.43918114000000003</v>
      </c>
      <c r="F317" s="217">
        <v>-8.3599740000000001E-9</v>
      </c>
      <c r="G317" s="217">
        <v>-6.8103758999999998E-5</v>
      </c>
      <c r="H317">
        <v>-7.8564675000000002E-4</v>
      </c>
      <c r="I317">
        <v>-1.5473630000000001E-4</v>
      </c>
      <c r="J317">
        <v>-2.4581263999999999E-2</v>
      </c>
      <c r="K317">
        <v>-5.8285786999999999E-4</v>
      </c>
      <c r="L317">
        <v>-7.4333080999999996</v>
      </c>
      <c r="M317">
        <v>-4.8984503999999999E-4</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-0.10733333</v>
      </c>
      <c r="AJ317">
        <v>0</v>
      </c>
      <c r="AK317">
        <v>0</v>
      </c>
      <c r="AL317">
        <v>-1.7</v>
      </c>
      <c r="AM317">
        <v>0</v>
      </c>
      <c r="AN317">
        <v>0</v>
      </c>
      <c r="AO317">
        <v>0</v>
      </c>
      <c r="AP317">
        <v>-4.5033333000000001E-4</v>
      </c>
      <c r="AQ317" s="217">
        <v>-8.3666667000000006E-6</v>
      </c>
      <c r="AR317">
        <v>-6.5533333000000003E-3</v>
      </c>
      <c r="AS317">
        <v>0</v>
      </c>
      <c r="AT317">
        <v>0</v>
      </c>
      <c r="AU317">
        <v>0</v>
      </c>
      <c r="AV317">
        <v>0</v>
      </c>
      <c r="AW317">
        <v>0</v>
      </c>
      <c r="AX317">
        <v>0</v>
      </c>
    </row>
    <row r="318" spans="1:50" x14ac:dyDescent="0.35">
      <c r="A318" t="s">
        <v>790</v>
      </c>
      <c r="B318" s="249">
        <f t="shared" si="4"/>
        <v>-1.9116231646000008E-2</v>
      </c>
      <c r="C318" s="217">
        <v>-4.3100000000000002E-8</v>
      </c>
      <c r="D318">
        <v>-7.8450000000000004E-4</v>
      </c>
      <c r="E318">
        <v>-0.27450000000000002</v>
      </c>
      <c r="F318" s="217">
        <v>-6.8249999999999999E-9</v>
      </c>
      <c r="G318" s="217">
        <v>-5.5300000000000002E-5</v>
      </c>
      <c r="H318">
        <v>-5.5150000000000002E-4</v>
      </c>
      <c r="I318">
        <v>-1.0315E-4</v>
      </c>
      <c r="J318">
        <v>-1.985E-2</v>
      </c>
      <c r="K318">
        <v>-4.55E-4</v>
      </c>
      <c r="L318">
        <v>-1.925</v>
      </c>
      <c r="M318">
        <v>-4.6500000000000003E-4</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-9.7699999999999995E-2</v>
      </c>
      <c r="AJ318">
        <v>0</v>
      </c>
      <c r="AK318">
        <v>0</v>
      </c>
      <c r="AL318">
        <v>-1.605</v>
      </c>
      <c r="AM318">
        <v>0</v>
      </c>
      <c r="AN318">
        <v>0</v>
      </c>
      <c r="AO318">
        <v>0</v>
      </c>
      <c r="AP318">
        <v>-4.4749999999999998E-4</v>
      </c>
      <c r="AQ318" s="217">
        <v>-7.7999999999999999E-6</v>
      </c>
      <c r="AR318">
        <v>-6.8900000000000003E-3</v>
      </c>
      <c r="AS318">
        <v>0</v>
      </c>
      <c r="AT318">
        <v>0</v>
      </c>
      <c r="AU318">
        <v>0</v>
      </c>
      <c r="AV318">
        <v>0</v>
      </c>
      <c r="AW318">
        <v>0</v>
      </c>
      <c r="AX318">
        <v>0</v>
      </c>
    </row>
    <row r="319" spans="1:50" x14ac:dyDescent="0.35">
      <c r="A319" t="s">
        <v>791</v>
      </c>
      <c r="B319" s="249">
        <f t="shared" si="4"/>
        <v>-1.6097512612783997E-3</v>
      </c>
      <c r="C319" s="217">
        <v>-2.0712879999999999E-7</v>
      </c>
      <c r="D319" s="217">
        <v>-4.6567231999999998E-5</v>
      </c>
      <c r="E319">
        <v>-7.2267711000000004E-3</v>
      </c>
      <c r="F319" s="217">
        <v>-7.9703268000000003E-10</v>
      </c>
      <c r="G319" s="217">
        <v>-7.3770200000000004E-6</v>
      </c>
      <c r="H319" s="217">
        <v>-5.4784200000000003E-5</v>
      </c>
      <c r="I319" s="217">
        <v>-1.2277416000000001E-5</v>
      </c>
      <c r="J319">
        <v>-9.5422793999999991E-3</v>
      </c>
      <c r="K319" s="217">
        <v>-9.7218886999999996E-5</v>
      </c>
      <c r="L319">
        <v>-0.31471371999999997</v>
      </c>
      <c r="M319" s="217">
        <v>-5.5403815999999997E-5</v>
      </c>
      <c r="N319">
        <v>-7.3413460999999999E-3</v>
      </c>
      <c r="O319">
        <v>-7.3732075000000003E-3</v>
      </c>
      <c r="P319" s="217">
        <v>3.9179323999999998E-5</v>
      </c>
      <c r="Q319" s="217">
        <v>-7.3179063000000003E-6</v>
      </c>
      <c r="R319" s="217">
        <v>-9.5314793000000005E-10</v>
      </c>
      <c r="S319" s="217">
        <v>-7.3281314999999993E-5</v>
      </c>
      <c r="T319" s="217">
        <v>-1.4269573E-6</v>
      </c>
      <c r="U319" s="217">
        <v>-1.8717409999999999E-5</v>
      </c>
      <c r="V319">
        <v>-2.4616414999999999E-4</v>
      </c>
      <c r="W319" s="217">
        <v>-6.1268891000000001E-5</v>
      </c>
      <c r="X319" s="217">
        <v>-2.0713130000000001E-7</v>
      </c>
      <c r="Y319">
        <v>-8.9165441999999998E-2</v>
      </c>
      <c r="Z319">
        <v>-1.8960175E-3</v>
      </c>
      <c r="AA319" s="217">
        <v>-1.2381940999999999E-9</v>
      </c>
      <c r="AB319">
        <v>-3.135112E-4</v>
      </c>
      <c r="AC319">
        <v>-0.22740598000000001</v>
      </c>
      <c r="AD319" s="217">
        <v>-2.1771468E-11</v>
      </c>
      <c r="AE319" s="217">
        <v>-3.7789568999999999E-10</v>
      </c>
      <c r="AF319">
        <v>-0.11345441000000001</v>
      </c>
      <c r="AG319">
        <v>0</v>
      </c>
      <c r="AH319">
        <v>0</v>
      </c>
      <c r="AI319">
        <v>-5.7785160999999996E-3</v>
      </c>
      <c r="AJ319">
        <v>0</v>
      </c>
      <c r="AK319">
        <v>0</v>
      </c>
      <c r="AL319">
        <v>-9.4766058E-2</v>
      </c>
      <c r="AM319">
        <v>0</v>
      </c>
      <c r="AN319">
        <v>0</v>
      </c>
      <c r="AO319">
        <v>0</v>
      </c>
      <c r="AP319" s="217">
        <v>-5.3905988000000002E-5</v>
      </c>
      <c r="AQ319" s="217">
        <v>-2.8137694000000001E-7</v>
      </c>
      <c r="AR319">
        <v>-1.8906876E-3</v>
      </c>
      <c r="AS319" s="217">
        <v>-4.3023925999999998E-7</v>
      </c>
      <c r="AT319">
        <v>0</v>
      </c>
      <c r="AU319">
        <v>0</v>
      </c>
      <c r="AV319">
        <v>0</v>
      </c>
      <c r="AW319">
        <v>0</v>
      </c>
      <c r="AX319">
        <v>0</v>
      </c>
    </row>
    <row r="320" spans="1:50" x14ac:dyDescent="0.35">
      <c r="A320" t="s">
        <v>792</v>
      </c>
      <c r="B320" s="249">
        <f t="shared" si="4"/>
        <v>-6.0018734882882402E-3</v>
      </c>
      <c r="C320" s="217">
        <v>-4.3929538999999999E-8</v>
      </c>
      <c r="D320">
        <v>-2.9681853999999997E-4</v>
      </c>
      <c r="E320">
        <v>-4.2309210999999999E-2</v>
      </c>
      <c r="F320" s="217">
        <v>-7.3018753999999998E-9</v>
      </c>
      <c r="G320" s="217">
        <v>-3.6713659999999998E-5</v>
      </c>
      <c r="H320">
        <v>-3.9726589000000002E-4</v>
      </c>
      <c r="I320" s="217">
        <v>-6.3823244999999999E-5</v>
      </c>
      <c r="J320">
        <v>-1.6332408E-2</v>
      </c>
      <c r="K320">
        <v>-3.1793305999999998E-4</v>
      </c>
      <c r="L320">
        <v>-1.1950451</v>
      </c>
      <c r="M320" s="217">
        <v>-4.7276335000000002E-5</v>
      </c>
      <c r="N320">
        <v>-4.2780366E-2</v>
      </c>
      <c r="O320">
        <v>-4.2725802E-2</v>
      </c>
      <c r="P320" s="217">
        <v>-3.5813518999999997E-5</v>
      </c>
      <c r="Q320" s="217">
        <v>-1.8750954000000001E-5</v>
      </c>
      <c r="R320" s="217">
        <v>-9.1117143000000007E-9</v>
      </c>
      <c r="S320">
        <v>-5.1908749999999995E-4</v>
      </c>
      <c r="T320" s="217">
        <v>-6.5828573000000002E-7</v>
      </c>
      <c r="U320">
        <v>-1.6565505999999999E-4</v>
      </c>
      <c r="V320">
        <v>-1.8408649000000001E-3</v>
      </c>
      <c r="W320">
        <v>-4.975464E-4</v>
      </c>
      <c r="X320" s="217">
        <v>-4.3928204999999997E-8</v>
      </c>
      <c r="Y320">
        <v>-0.62448530999999996</v>
      </c>
      <c r="Z320">
        <v>-4.2582773000000001E-3</v>
      </c>
      <c r="AA320" s="217">
        <v>-6.2306593000000003E-9</v>
      </c>
      <c r="AB320">
        <v>-2.7575004000000001E-3</v>
      </c>
      <c r="AC320">
        <v>-0.41382169000000002</v>
      </c>
      <c r="AD320" s="217">
        <v>-1.6037070999999999E-11</v>
      </c>
      <c r="AE320" s="217">
        <v>-4.0381482999999998E-10</v>
      </c>
      <c r="AF320">
        <v>-0.24769289999999999</v>
      </c>
      <c r="AG320">
        <v>0</v>
      </c>
      <c r="AH320">
        <v>0</v>
      </c>
      <c r="AI320">
        <v>-1.0014510000000001E-2</v>
      </c>
      <c r="AJ320">
        <v>0</v>
      </c>
      <c r="AK320">
        <v>0</v>
      </c>
      <c r="AL320">
        <v>-0.66280766999999996</v>
      </c>
      <c r="AM320">
        <v>0</v>
      </c>
      <c r="AN320">
        <v>0</v>
      </c>
      <c r="AO320">
        <v>0</v>
      </c>
      <c r="AP320">
        <v>-1.2362617E-4</v>
      </c>
      <c r="AQ320" s="217">
        <v>-3.7678293999999999E-7</v>
      </c>
      <c r="AR320">
        <v>-1.112497E-2</v>
      </c>
      <c r="AS320" s="217">
        <v>-4.2066553999999999E-6</v>
      </c>
      <c r="AT320">
        <v>0</v>
      </c>
      <c r="AU320">
        <v>0</v>
      </c>
      <c r="AV320">
        <v>0</v>
      </c>
      <c r="AW320">
        <v>0</v>
      </c>
      <c r="AX320">
        <v>0</v>
      </c>
    </row>
    <row r="321" spans="1:50" x14ac:dyDescent="0.35">
      <c r="A321" t="s">
        <v>793</v>
      </c>
      <c r="B321" s="249">
        <f t="shared" si="4"/>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row>
    <row r="322" spans="1:50" x14ac:dyDescent="0.35">
      <c r="A322" t="s">
        <v>794</v>
      </c>
      <c r="B322" s="249">
        <f t="shared" si="4"/>
        <v>-5.1337456953940797E-4</v>
      </c>
      <c r="C322" s="217">
        <v>-4.1717962999999997E-9</v>
      </c>
      <c r="D322" s="217">
        <v>-1.8093224E-5</v>
      </c>
      <c r="E322">
        <v>-2.742389E-3</v>
      </c>
      <c r="F322" s="217">
        <v>-3.52973E-10</v>
      </c>
      <c r="G322" s="217">
        <v>-4.3222300000000003E-6</v>
      </c>
      <c r="H322" s="217">
        <v>-3.7631756000000001E-5</v>
      </c>
      <c r="I322" s="217">
        <v>-8.5978863999999992E-6</v>
      </c>
      <c r="J322">
        <v>-1.4429143000000001E-3</v>
      </c>
      <c r="K322" s="217">
        <v>-1.5991541999999999E-5</v>
      </c>
      <c r="L322">
        <v>-6.2636342999999997E-2</v>
      </c>
      <c r="M322" s="217">
        <v>-3.1802977E-6</v>
      </c>
      <c r="N322">
        <v>-2.7975807999999999E-3</v>
      </c>
      <c r="O322">
        <v>-2.8035473000000001E-3</v>
      </c>
      <c r="P322" s="217">
        <v>7.7522220000000003E-6</v>
      </c>
      <c r="Q322" s="217">
        <v>-1.7856928E-6</v>
      </c>
      <c r="R322" s="217">
        <v>-4.3355787000000002E-10</v>
      </c>
      <c r="S322" s="217">
        <v>-5.6528725999999997E-5</v>
      </c>
      <c r="T322" s="217">
        <v>-8.9342594000000004E-8</v>
      </c>
      <c r="U322" s="217">
        <v>-1.8991628999999999E-5</v>
      </c>
      <c r="V322">
        <v>-2.6838524999999998E-4</v>
      </c>
      <c r="W322" s="217">
        <v>-5.6478021000000001E-5</v>
      </c>
      <c r="X322" s="217">
        <v>-4.1709404999999998E-9</v>
      </c>
      <c r="Y322">
        <v>-3.6331101999999997E-2</v>
      </c>
      <c r="Z322">
        <v>-3.7790951000000003E-4</v>
      </c>
      <c r="AA322" s="217">
        <v>-9.8736954000000009E-10</v>
      </c>
      <c r="AB322">
        <v>-1.5237021000000001E-4</v>
      </c>
      <c r="AC322">
        <v>-2.2280681000000002</v>
      </c>
      <c r="AD322" s="217">
        <v>-1.0355603999999999E-12</v>
      </c>
      <c r="AE322" s="217">
        <v>-3.2805753999999999E-11</v>
      </c>
      <c r="AF322">
        <v>2.3375854000000001E-2</v>
      </c>
      <c r="AG322">
        <v>0</v>
      </c>
      <c r="AH322">
        <v>0</v>
      </c>
      <c r="AI322">
        <v>-1.4060564000000001E-3</v>
      </c>
      <c r="AJ322">
        <v>0</v>
      </c>
      <c r="AK322">
        <v>0</v>
      </c>
      <c r="AL322">
        <v>-3.8617224999999998E-2</v>
      </c>
      <c r="AM322">
        <v>0</v>
      </c>
      <c r="AN322">
        <v>0</v>
      </c>
      <c r="AO322">
        <v>0</v>
      </c>
      <c r="AP322" s="217">
        <v>-1.1599895E-5</v>
      </c>
      <c r="AQ322" s="217">
        <v>-3.9263165000000002E-8</v>
      </c>
      <c r="AR322">
        <v>-1.2718073E-4</v>
      </c>
      <c r="AS322" s="217">
        <v>-2.0750784999999999E-7</v>
      </c>
      <c r="AT322">
        <v>0</v>
      </c>
      <c r="AU322">
        <v>0</v>
      </c>
      <c r="AV322">
        <v>0</v>
      </c>
      <c r="AW322">
        <v>0</v>
      </c>
      <c r="AX322">
        <v>0</v>
      </c>
    </row>
    <row r="323" spans="1:50" x14ac:dyDescent="0.35">
      <c r="A323" t="s">
        <v>795</v>
      </c>
      <c r="B323" s="249">
        <f t="shared" si="4"/>
        <v>-9.8788222251256007E-4</v>
      </c>
      <c r="C323" s="217">
        <v>-6.7142660000000002E-9</v>
      </c>
      <c r="D323" s="217">
        <v>-4.9458217E-5</v>
      </c>
      <c r="E323">
        <v>-7.0187195000000003E-3</v>
      </c>
      <c r="F323" s="217">
        <v>-1.034944E-9</v>
      </c>
      <c r="G323" s="217">
        <v>-7.6424942000000002E-6</v>
      </c>
      <c r="H323" s="217">
        <v>-6.7417487999999997E-5</v>
      </c>
      <c r="I323" s="217">
        <v>-1.4305682E-5</v>
      </c>
      <c r="J323">
        <v>-2.1987383000000001E-3</v>
      </c>
      <c r="K323" s="217">
        <v>-4.2715637000000003E-5</v>
      </c>
      <c r="L323">
        <v>-0.15471746</v>
      </c>
      <c r="M323" s="217">
        <v>-1.0917828000000001E-5</v>
      </c>
      <c r="N323">
        <v>-7.2193073999999996E-3</v>
      </c>
      <c r="O323">
        <v>-7.0828002999999999E-3</v>
      </c>
      <c r="P323">
        <v>-1.2523330999999999E-4</v>
      </c>
      <c r="Q323" s="217">
        <v>-1.1273769000000001E-5</v>
      </c>
      <c r="R323" s="217">
        <v>-1.1467003999999999E-9</v>
      </c>
      <c r="S323" s="217">
        <v>-9.6955036999999997E-5</v>
      </c>
      <c r="T323" s="217">
        <v>-3.7867828999999999E-7</v>
      </c>
      <c r="U323" s="217">
        <v>-3.0532169000000001E-5</v>
      </c>
      <c r="V323">
        <v>-4.1612566000000001E-4</v>
      </c>
      <c r="W323" s="217">
        <v>-9.2147983999999996E-5</v>
      </c>
      <c r="X323" s="217">
        <v>-6.7125871000000002E-9</v>
      </c>
      <c r="Y323">
        <v>-0.1184711</v>
      </c>
      <c r="Z323">
        <v>-1.3172323000000001E-3</v>
      </c>
      <c r="AA323" s="217">
        <v>-1.4121816000000001E-9</v>
      </c>
      <c r="AB323">
        <v>-7.5324340000000004E-4</v>
      </c>
      <c r="AC323">
        <v>-2.2724228000000002</v>
      </c>
      <c r="AD323" s="217">
        <v>-2.1889003999999999E-12</v>
      </c>
      <c r="AE323" s="217">
        <v>-6.8561226999999998E-11</v>
      </c>
      <c r="AF323">
        <v>-3.0845101000000001</v>
      </c>
      <c r="AG323">
        <v>0</v>
      </c>
      <c r="AH323">
        <v>0</v>
      </c>
      <c r="AI323">
        <v>-9.8009558000000004E-3</v>
      </c>
      <c r="AJ323">
        <v>0</v>
      </c>
      <c r="AK323">
        <v>0</v>
      </c>
      <c r="AL323">
        <v>-0.12494522</v>
      </c>
      <c r="AM323">
        <v>0</v>
      </c>
      <c r="AN323">
        <v>0</v>
      </c>
      <c r="AO323">
        <v>0</v>
      </c>
      <c r="AP323" s="217">
        <v>-5.8285197999999997E-5</v>
      </c>
      <c r="AQ323" s="217">
        <v>-1.0386847999999999E-7</v>
      </c>
      <c r="AR323">
        <v>-3.3235671E-4</v>
      </c>
      <c r="AS323" s="217">
        <v>-8.2980439000000002E-7</v>
      </c>
      <c r="AT323">
        <v>0</v>
      </c>
      <c r="AU323">
        <v>0</v>
      </c>
      <c r="AV323">
        <v>0</v>
      </c>
      <c r="AW323">
        <v>0</v>
      </c>
      <c r="AX323">
        <v>0</v>
      </c>
    </row>
    <row r="324" spans="1:50" x14ac:dyDescent="0.35">
      <c r="A324" t="s">
        <v>796</v>
      </c>
      <c r="B324" s="249">
        <f t="shared" si="4"/>
        <v>-0.19143604597486005</v>
      </c>
      <c r="C324" s="217">
        <v>-5.7590480999999998E-5</v>
      </c>
      <c r="D324">
        <v>-2.3585286E-2</v>
      </c>
      <c r="E324">
        <v>-1.574864</v>
      </c>
      <c r="F324" s="217">
        <v>-3.6189672999999997E-7</v>
      </c>
      <c r="G324">
        <v>-2.2442716000000001E-3</v>
      </c>
      <c r="H324">
        <v>-8.1287292000000004E-3</v>
      </c>
      <c r="I324">
        <v>-1.1015491999999999E-3</v>
      </c>
      <c r="J324">
        <v>-0.63156783000000005</v>
      </c>
      <c r="K324">
        <v>-1.3151618E-2</v>
      </c>
      <c r="L324">
        <v>-46.16281</v>
      </c>
      <c r="M324">
        <v>-2.1631965999999998E-3</v>
      </c>
      <c r="N324">
        <v>-1.5873581000000001</v>
      </c>
      <c r="O324">
        <v>-1.6118129000000001</v>
      </c>
      <c r="P324">
        <v>2.5521230999999998E-2</v>
      </c>
      <c r="Q324">
        <v>-1.0663793E-3</v>
      </c>
      <c r="R324" s="217">
        <v>-4.3234621999999998E-7</v>
      </c>
      <c r="S324">
        <v>-9.8890443999999997E-3</v>
      </c>
      <c r="T324">
        <v>-1.0413403E-4</v>
      </c>
      <c r="U324">
        <v>-1.2560988E-3</v>
      </c>
      <c r="V324">
        <v>-1.7616568999999999E-2</v>
      </c>
      <c r="W324">
        <v>-7.6700795000000004E-3</v>
      </c>
      <c r="X324" s="217">
        <v>-5.7590602999999999E-5</v>
      </c>
      <c r="Y324">
        <v>-51.815347000000003</v>
      </c>
      <c r="Z324">
        <v>-1.1213013000000001</v>
      </c>
      <c r="AA324" s="217">
        <v>-1.1615193E-7</v>
      </c>
      <c r="AB324">
        <v>-0.18023265999999999</v>
      </c>
      <c r="AC324">
        <v>-27.871503000000001</v>
      </c>
      <c r="AD324" s="217">
        <v>-6.6802587999999997E-10</v>
      </c>
      <c r="AE324" s="217">
        <v>-1.7319006E-8</v>
      </c>
      <c r="AF324">
        <v>-9.8353442999999992</v>
      </c>
      <c r="AG324">
        <v>0</v>
      </c>
      <c r="AH324">
        <v>0</v>
      </c>
      <c r="AI324">
        <v>-2.2916306999999998</v>
      </c>
      <c r="AJ324">
        <v>0</v>
      </c>
      <c r="AK324">
        <v>0</v>
      </c>
      <c r="AL324">
        <v>-55.118555999999998</v>
      </c>
      <c r="AM324">
        <v>0</v>
      </c>
      <c r="AN324">
        <v>0</v>
      </c>
      <c r="AO324">
        <v>0</v>
      </c>
      <c r="AP324">
        <v>-3.0422873999999999E-2</v>
      </c>
      <c r="AQ324" s="217">
        <v>-2.0935784E-5</v>
      </c>
      <c r="AR324">
        <v>-0.10777781</v>
      </c>
      <c r="AS324">
        <v>-2.3528167999999999E-4</v>
      </c>
      <c r="AT324">
        <v>0</v>
      </c>
      <c r="AU324">
        <v>0</v>
      </c>
      <c r="AV324">
        <v>0</v>
      </c>
      <c r="AW324">
        <v>0</v>
      </c>
      <c r="AX324">
        <v>0</v>
      </c>
    </row>
    <row r="325" spans="1:50" x14ac:dyDescent="0.35">
      <c r="A325" t="s">
        <v>797</v>
      </c>
      <c r="B325" s="249">
        <f t="shared" si="4"/>
        <v>7.6024596888204399E-2</v>
      </c>
      <c r="C325" s="217">
        <v>7.6441059000000002E-7</v>
      </c>
      <c r="D325">
        <v>7.0981089000000004E-3</v>
      </c>
      <c r="E325">
        <v>0.97607242000000005</v>
      </c>
      <c r="F325" s="217">
        <v>7.4089917E-8</v>
      </c>
      <c r="G325">
        <v>1.6282937000000001E-4</v>
      </c>
      <c r="H325">
        <v>2.4090081999999999E-3</v>
      </c>
      <c r="I325">
        <v>5.0960230000000005E-4</v>
      </c>
      <c r="J325">
        <v>0.10898992</v>
      </c>
      <c r="K325">
        <v>3.4215908999999998E-3</v>
      </c>
      <c r="L325">
        <v>13.696374</v>
      </c>
      <c r="M325">
        <v>4.2240549000000004E-3</v>
      </c>
      <c r="N325">
        <v>0.99996240000000003</v>
      </c>
      <c r="O325">
        <v>0.98543685999999997</v>
      </c>
      <c r="P325">
        <v>1.4203469999999999E-2</v>
      </c>
      <c r="Q325">
        <v>3.2207762E-4</v>
      </c>
      <c r="R325" s="217">
        <v>8.0638709000000002E-8</v>
      </c>
      <c r="S325">
        <v>3.3107467000000001E-3</v>
      </c>
      <c r="T325" s="217">
        <v>6.1348833999999997E-5</v>
      </c>
      <c r="U325">
        <v>5.0594363999999995E-4</v>
      </c>
      <c r="V325">
        <v>9.8495821000000004E-3</v>
      </c>
      <c r="W325">
        <v>1.4960365E-3</v>
      </c>
      <c r="X325" s="217">
        <v>7.6443791000000002E-7</v>
      </c>
      <c r="Y325">
        <v>13.385671</v>
      </c>
      <c r="Z325">
        <v>0.10984518</v>
      </c>
      <c r="AA325" s="217">
        <v>1.4888942E-8</v>
      </c>
      <c r="AB325">
        <v>3.8070391000000002E-2</v>
      </c>
      <c r="AC325">
        <v>10.845806</v>
      </c>
      <c r="AD325" s="217">
        <v>2.3805051000000002E-10</v>
      </c>
      <c r="AE325" s="217">
        <v>5.7795628999999999E-9</v>
      </c>
      <c r="AF325">
        <v>3.0961655000000001</v>
      </c>
      <c r="AG325">
        <v>0</v>
      </c>
      <c r="AH325">
        <v>0</v>
      </c>
      <c r="AI325">
        <v>1.2191448</v>
      </c>
      <c r="AJ325">
        <v>0</v>
      </c>
      <c r="AK325">
        <v>0</v>
      </c>
      <c r="AL325">
        <v>14.302709999999999</v>
      </c>
      <c r="AM325">
        <v>0</v>
      </c>
      <c r="AN325">
        <v>0</v>
      </c>
      <c r="AO325">
        <v>0</v>
      </c>
      <c r="AP325">
        <v>9.1768334000000007E-3</v>
      </c>
      <c r="AQ325" s="217">
        <v>3.1923757999999999E-5</v>
      </c>
      <c r="AR325">
        <v>3.1883320999999999E-2</v>
      </c>
      <c r="AS325" s="217">
        <v>4.6013373000000002E-5</v>
      </c>
      <c r="AT325">
        <v>0</v>
      </c>
      <c r="AU325">
        <v>0</v>
      </c>
      <c r="AV325">
        <v>0</v>
      </c>
      <c r="AW325">
        <v>0</v>
      </c>
      <c r="AX325">
        <v>0</v>
      </c>
    </row>
    <row r="326" spans="1:50" x14ac:dyDescent="0.35">
      <c r="A326" t="s">
        <v>798</v>
      </c>
      <c r="B326" s="249">
        <f t="shared" ref="B326:B389" si="5">(C326*0.16)+(D326*0.16)+(E326*0.05)+(F326*30)+(G326*2)+(H326*4)+(I326*9)+(J326*0.09)+(K326*0.03)+(L326*0.0001)+(M326*0.06)</f>
        <v>1.3594047461116482E-2</v>
      </c>
      <c r="C326" s="217">
        <v>1.9355978000000001E-8</v>
      </c>
      <c r="D326">
        <v>1.1360026999999999E-3</v>
      </c>
      <c r="E326">
        <v>0.17125325</v>
      </c>
      <c r="F326" s="217">
        <v>3.0700851999999997E-8</v>
      </c>
      <c r="G326" s="217">
        <v>4.0741149000000003E-5</v>
      </c>
      <c r="H326">
        <v>4.0109457E-4</v>
      </c>
      <c r="I326" s="217">
        <v>5.0291067E-5</v>
      </c>
      <c r="J326">
        <v>2.5327685999999999E-2</v>
      </c>
      <c r="K326">
        <v>1.1081838000000001E-3</v>
      </c>
      <c r="L326">
        <v>3.9043633999999998</v>
      </c>
      <c r="M326">
        <v>1.1744386E-4</v>
      </c>
      <c r="N326">
        <v>0.17200494999999999</v>
      </c>
      <c r="O326">
        <v>0.17184968</v>
      </c>
      <c r="P326">
        <v>1.4526384999999999E-4</v>
      </c>
      <c r="Q326" s="217">
        <v>1.0006786000000001E-5</v>
      </c>
      <c r="R326" s="217">
        <v>3.8682009000000001E-8</v>
      </c>
      <c r="S326">
        <v>4.7775904999999998E-4</v>
      </c>
      <c r="T326" s="217">
        <v>6.5255649999999997E-7</v>
      </c>
      <c r="U326" s="217">
        <v>7.2041179999999996E-5</v>
      </c>
      <c r="V326">
        <v>8.2693095000000002E-4</v>
      </c>
      <c r="W326">
        <v>2.6007902E-4</v>
      </c>
      <c r="X326" s="217">
        <v>1.9355842000000001E-8</v>
      </c>
      <c r="Y326">
        <v>2.4300744999999999</v>
      </c>
      <c r="Z326">
        <v>8.6347000000000004E-3</v>
      </c>
      <c r="AA326" s="217">
        <v>2.3017732000000002E-9</v>
      </c>
      <c r="AB326">
        <v>1.0871848999999999E-2</v>
      </c>
      <c r="AC326">
        <v>1.2727141</v>
      </c>
      <c r="AD326" s="217">
        <v>5.5488353E-11</v>
      </c>
      <c r="AE326" s="217">
        <v>5.4550506999999997E-10</v>
      </c>
      <c r="AF326">
        <v>0.30492528000000002</v>
      </c>
      <c r="AG326">
        <v>0</v>
      </c>
      <c r="AH326">
        <v>0</v>
      </c>
      <c r="AI326">
        <v>1.6070566000000001E-2</v>
      </c>
      <c r="AJ326">
        <v>0</v>
      </c>
      <c r="AK326">
        <v>0</v>
      </c>
      <c r="AL326">
        <v>2.5792079999999999</v>
      </c>
      <c r="AM326">
        <v>0</v>
      </c>
      <c r="AN326">
        <v>0</v>
      </c>
      <c r="AO326">
        <v>0</v>
      </c>
      <c r="AP326">
        <v>3.1355681000000001E-4</v>
      </c>
      <c r="AQ326" s="217">
        <v>7.5425027999999998E-7</v>
      </c>
      <c r="AR326">
        <v>1.420714E-3</v>
      </c>
      <c r="AS326" s="217">
        <v>1.7397756000000001E-5</v>
      </c>
      <c r="AT326">
        <v>0</v>
      </c>
      <c r="AU326">
        <v>0</v>
      </c>
      <c r="AV326">
        <v>0</v>
      </c>
      <c r="AW326">
        <v>0</v>
      </c>
      <c r="AX326">
        <v>0</v>
      </c>
    </row>
    <row r="327" spans="1:50" x14ac:dyDescent="0.35">
      <c r="A327" t="s">
        <v>799</v>
      </c>
      <c r="B327" s="249">
        <f t="shared" si="5"/>
        <v>-1.0622982290897598E-4</v>
      </c>
      <c r="C327" s="217">
        <v>-2.1199085999999999E-9</v>
      </c>
      <c r="D327" s="217">
        <v>-7.5520134000000002E-6</v>
      </c>
      <c r="E327">
        <v>-8.1992256999999995E-4</v>
      </c>
      <c r="F327" s="217">
        <v>-1.0275912E-10</v>
      </c>
      <c r="G327" s="217">
        <v>-1.2057402000000001E-6</v>
      </c>
      <c r="H327" s="217">
        <v>-4.3596821999999998E-6</v>
      </c>
      <c r="I327" s="217">
        <v>-6.7420601999999996E-7</v>
      </c>
      <c r="J327">
        <v>-3.8840194000000001E-4</v>
      </c>
      <c r="K327" s="217">
        <v>-6.4986907999999998E-6</v>
      </c>
      <c r="L327">
        <v>-2.8328457000000001E-2</v>
      </c>
      <c r="M327" s="217">
        <v>-1.9984317E-6</v>
      </c>
      <c r="N327">
        <v>-8.3458002000000005E-4</v>
      </c>
      <c r="O327">
        <v>-8.3414842999999996E-4</v>
      </c>
      <c r="P327" s="217">
        <v>7.0354171999999995E-7</v>
      </c>
      <c r="Q327" s="217">
        <v>-1.1351414999999999E-6</v>
      </c>
      <c r="R327" s="217">
        <v>-1.2120576999999999E-10</v>
      </c>
      <c r="S327" s="217">
        <v>-5.4450496999999998E-6</v>
      </c>
      <c r="T327" s="217">
        <v>-5.5166592000000003E-8</v>
      </c>
      <c r="U327" s="217">
        <v>-1.2470152E-6</v>
      </c>
      <c r="V327" s="217">
        <v>-1.4264045000000001E-5</v>
      </c>
      <c r="W327" s="217">
        <v>-5.6596767999999999E-6</v>
      </c>
      <c r="X327" s="217">
        <v>-2.1199383999999999E-9</v>
      </c>
      <c r="Y327">
        <v>-1.4661633E-2</v>
      </c>
      <c r="Z327">
        <v>-2.5849553000000001E-2</v>
      </c>
      <c r="AA327" s="217">
        <v>-9.1567144000000006E-11</v>
      </c>
      <c r="AB327" s="217">
        <v>-6.0432493000000002E-5</v>
      </c>
      <c r="AC327">
        <v>-1.5861033E-2</v>
      </c>
      <c r="AD327" s="217">
        <v>-4.9687900000000003E-13</v>
      </c>
      <c r="AE327" s="217">
        <v>-1.1681464999999999E-11</v>
      </c>
      <c r="AF327">
        <v>-1.828117</v>
      </c>
      <c r="AG327">
        <v>0</v>
      </c>
      <c r="AH327">
        <v>0</v>
      </c>
      <c r="AI327">
        <v>-8.5417586999999998E-4</v>
      </c>
      <c r="AJ327">
        <v>0</v>
      </c>
      <c r="AK327">
        <v>0</v>
      </c>
      <c r="AL327">
        <v>-1.5584854E-2</v>
      </c>
      <c r="AM327">
        <v>0</v>
      </c>
      <c r="AN327">
        <v>0</v>
      </c>
      <c r="AO327">
        <v>0</v>
      </c>
      <c r="AP327">
        <v>-6.0369106000000004E-4</v>
      </c>
      <c r="AQ327" s="217">
        <v>-1.5094638000000001E-8</v>
      </c>
      <c r="AR327" s="217">
        <v>-5.6740090999999998E-5</v>
      </c>
      <c r="AS327" s="217">
        <v>-6.6522799000000005E-8</v>
      </c>
      <c r="AT327">
        <v>0</v>
      </c>
      <c r="AU327">
        <v>0</v>
      </c>
      <c r="AV327">
        <v>0</v>
      </c>
      <c r="AW327">
        <v>0</v>
      </c>
      <c r="AX327">
        <v>0</v>
      </c>
    </row>
    <row r="328" spans="1:50" x14ac:dyDescent="0.35">
      <c r="A328" s="197" t="s">
        <v>1169</v>
      </c>
      <c r="B328" s="249">
        <f t="shared" si="5"/>
        <v>0</v>
      </c>
      <c r="C328" s="217"/>
      <c r="D328" s="217"/>
      <c r="F328" s="217"/>
      <c r="G328" s="217"/>
      <c r="H328" s="217"/>
      <c r="I328" s="217"/>
      <c r="K328" s="217"/>
      <c r="M328" s="217"/>
      <c r="P328" s="217"/>
      <c r="Q328" s="217"/>
      <c r="R328" s="217"/>
      <c r="S328" s="217"/>
      <c r="T328" s="217"/>
      <c r="U328" s="217"/>
      <c r="V328" s="217"/>
      <c r="W328" s="217"/>
      <c r="X328" s="217"/>
      <c r="AA328" s="217"/>
      <c r="AB328" s="217"/>
      <c r="AD328" s="217"/>
      <c r="AE328" s="217"/>
      <c r="AQ328" s="217"/>
      <c r="AR328" s="217"/>
      <c r="AS328" s="217"/>
    </row>
    <row r="329" spans="1:50" x14ac:dyDescent="0.35">
      <c r="A329" t="s">
        <v>1044</v>
      </c>
      <c r="B329" s="249">
        <f t="shared" si="5"/>
        <v>2.4953064455695603E-2</v>
      </c>
      <c r="C329" s="217">
        <v>8.6024515999999996E-7</v>
      </c>
      <c r="D329">
        <v>2.7047577000000001E-3</v>
      </c>
      <c r="E329">
        <v>0.18470458000000001</v>
      </c>
      <c r="F329" s="217">
        <v>6.9834308999999998E-8</v>
      </c>
      <c r="G329">
        <v>1.4583287E-4</v>
      </c>
      <c r="H329">
        <v>9.8585943999999993E-4</v>
      </c>
      <c r="I329">
        <v>1.7202514E-4</v>
      </c>
      <c r="J329">
        <v>9.3046421000000004E-2</v>
      </c>
      <c r="K329">
        <v>2.7614955999999999E-3</v>
      </c>
      <c r="L329">
        <v>10.231356999999999</v>
      </c>
      <c r="M329">
        <v>3.2255561999999999E-4</v>
      </c>
      <c r="N329">
        <v>0.18729072999999999</v>
      </c>
      <c r="O329">
        <v>0.18709993</v>
      </c>
      <c r="P329">
        <v>1.0696472E-4</v>
      </c>
      <c r="Q329" s="217">
        <v>8.3838063999999994E-5</v>
      </c>
      <c r="R329" s="217">
        <v>8.7861134999999995E-8</v>
      </c>
      <c r="S329">
        <v>1.2384008E-3</v>
      </c>
      <c r="T329" s="217">
        <v>4.2399091000000002E-6</v>
      </c>
      <c r="U329">
        <v>3.1099152999999999E-4</v>
      </c>
      <c r="V329">
        <v>3.4686919000000002E-3</v>
      </c>
      <c r="W329">
        <v>1.0651092999999999E-3</v>
      </c>
      <c r="X329" s="217">
        <v>8.6024098000000004E-7</v>
      </c>
      <c r="Y329">
        <v>5.7038612000000004</v>
      </c>
      <c r="Z329">
        <v>3.3541316000000002E-2</v>
      </c>
      <c r="AA329" s="217">
        <v>1.3923105E-8</v>
      </c>
      <c r="AB329">
        <v>2.4599788000000001E-2</v>
      </c>
      <c r="AC329">
        <v>3.5974800999999998</v>
      </c>
      <c r="AD329" s="217">
        <v>8.0908819000000005E-11</v>
      </c>
      <c r="AE329" s="217">
        <v>2.6045825000000001E-9</v>
      </c>
      <c r="AF329">
        <v>2.1749592999999998</v>
      </c>
      <c r="AG329">
        <v>0</v>
      </c>
      <c r="AH329">
        <v>0</v>
      </c>
      <c r="AI329">
        <v>4.7283691000000003E-2</v>
      </c>
      <c r="AJ329">
        <v>0</v>
      </c>
      <c r="AK329">
        <v>0</v>
      </c>
      <c r="AL329">
        <v>6.0555234000000002</v>
      </c>
      <c r="AM329">
        <v>0</v>
      </c>
      <c r="AN329">
        <v>0</v>
      </c>
      <c r="AO329">
        <v>0</v>
      </c>
      <c r="AP329">
        <v>8.8408523999999997E-4</v>
      </c>
      <c r="AQ329" s="217">
        <v>3.0156648999999999E-6</v>
      </c>
      <c r="AR329">
        <v>0.12588255000000001</v>
      </c>
      <c r="AS329" s="217">
        <v>3.9344612000000002E-5</v>
      </c>
      <c r="AT329">
        <v>0</v>
      </c>
      <c r="AU329">
        <v>0</v>
      </c>
      <c r="AV329">
        <v>0</v>
      </c>
      <c r="AW329">
        <v>0</v>
      </c>
      <c r="AX329">
        <v>0</v>
      </c>
    </row>
    <row r="330" spans="1:50" x14ac:dyDescent="0.35">
      <c r="A330" t="s">
        <v>1045</v>
      </c>
      <c r="B330" s="249">
        <f t="shared" si="5"/>
        <v>6.6576017460000005E-3</v>
      </c>
      <c r="C330">
        <v>0</v>
      </c>
      <c r="D330">
        <v>0</v>
      </c>
      <c r="E330">
        <v>9.9487999999999993E-2</v>
      </c>
      <c r="F330">
        <v>0</v>
      </c>
      <c r="G330" s="217">
        <v>1.4836552999999999E-5</v>
      </c>
      <c r="H330">
        <v>2.5119999999999998E-4</v>
      </c>
      <c r="I330" s="217">
        <v>6.6080000000000004E-5</v>
      </c>
      <c r="J330">
        <v>6.0009600000000005E-4</v>
      </c>
      <c r="K330">
        <v>0</v>
      </c>
      <c r="L330">
        <v>0</v>
      </c>
      <c r="M330">
        <v>0</v>
      </c>
      <c r="N330">
        <v>9.9985050000000006E-2</v>
      </c>
      <c r="O330">
        <v>9.9985050000000006E-2</v>
      </c>
      <c r="P330">
        <v>0</v>
      </c>
      <c r="Q330">
        <v>0</v>
      </c>
      <c r="R330">
        <v>0</v>
      </c>
      <c r="S330">
        <v>3.7131000000000002E-4</v>
      </c>
      <c r="T330">
        <v>0</v>
      </c>
      <c r="U330">
        <v>1.9450000000000001E-4</v>
      </c>
      <c r="V330">
        <v>2.1299999999999999E-3</v>
      </c>
      <c r="W330">
        <v>5.1243109999999997E-4</v>
      </c>
      <c r="X330">
        <v>0</v>
      </c>
      <c r="Y330">
        <v>0</v>
      </c>
      <c r="Z330">
        <v>0</v>
      </c>
      <c r="AA330" s="217">
        <v>8.08E-10</v>
      </c>
      <c r="AB330">
        <v>0</v>
      </c>
      <c r="AC330">
        <v>1.0524200000000001E-4</v>
      </c>
      <c r="AD330">
        <v>0</v>
      </c>
      <c r="AE330" s="217">
        <v>1.19688E-12</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row>
    <row r="331" spans="1:50" x14ac:dyDescent="0.35">
      <c r="A331" t="s">
        <v>1046</v>
      </c>
      <c r="B331" s="249">
        <f t="shared" si="5"/>
        <v>2.2026967268477998E-2</v>
      </c>
      <c r="C331" s="217">
        <v>1.4015848E-6</v>
      </c>
      <c r="D331">
        <v>1.5305045E-3</v>
      </c>
      <c r="E331">
        <v>0.19496461000000001</v>
      </c>
      <c r="F331" s="217">
        <v>1.4341797E-8</v>
      </c>
      <c r="G331" s="217">
        <v>8.6523036999999999E-5</v>
      </c>
      <c r="H331">
        <v>6.5305902000000002E-4</v>
      </c>
      <c r="I331">
        <v>1.3767129E-4</v>
      </c>
      <c r="J331">
        <v>7.9380630999999993E-2</v>
      </c>
      <c r="K331">
        <v>1.7744935E-3</v>
      </c>
      <c r="L331">
        <v>7.4800180999999997</v>
      </c>
      <c r="M331">
        <v>1.0564062E-3</v>
      </c>
      <c r="N331">
        <v>0.20041405000000001</v>
      </c>
      <c r="O331">
        <v>0.19754759999999999</v>
      </c>
      <c r="P331">
        <v>2.7322388E-3</v>
      </c>
      <c r="Q331">
        <v>1.3420228000000001E-4</v>
      </c>
      <c r="R331" s="217">
        <v>1.5213088E-8</v>
      </c>
      <c r="S331">
        <v>8.7053361999999996E-4</v>
      </c>
      <c r="T331" s="217">
        <v>1.9546874999999999E-5</v>
      </c>
      <c r="U331">
        <v>1.4207046999999999E-4</v>
      </c>
      <c r="V331">
        <v>2.4224213999999998E-3</v>
      </c>
      <c r="W331">
        <v>5.1075869E-4</v>
      </c>
      <c r="X331" s="217">
        <v>1.4015989000000001E-6</v>
      </c>
      <c r="Y331">
        <v>2.8429381</v>
      </c>
      <c r="Z331">
        <v>3.2226376000000001E-2</v>
      </c>
      <c r="AA331" s="217">
        <v>1.2711554E-8</v>
      </c>
      <c r="AB331">
        <v>7.7613928E-3</v>
      </c>
      <c r="AC331">
        <v>3.3699659</v>
      </c>
      <c r="AD331" s="217">
        <v>1.1715481E-10</v>
      </c>
      <c r="AE331" s="217">
        <v>3.5130817000000002E-9</v>
      </c>
      <c r="AF331">
        <v>2.1055335999999998</v>
      </c>
      <c r="AG331">
        <v>0</v>
      </c>
      <c r="AH331">
        <v>0</v>
      </c>
      <c r="AI331">
        <v>0.26664838000000002</v>
      </c>
      <c r="AJ331">
        <v>0</v>
      </c>
      <c r="AK331">
        <v>0</v>
      </c>
      <c r="AL331">
        <v>3.0372944999999998</v>
      </c>
      <c r="AM331">
        <v>0</v>
      </c>
      <c r="AN331">
        <v>0</v>
      </c>
      <c r="AO331">
        <v>0</v>
      </c>
      <c r="AP331">
        <v>2.0724604000000001E-3</v>
      </c>
      <c r="AQ331" s="217">
        <v>9.6639640000000008E-6</v>
      </c>
      <c r="AR331">
        <v>0.13066813999999999</v>
      </c>
      <c r="AS331" s="217">
        <v>8.8216743999999992E-6</v>
      </c>
      <c r="AT331">
        <v>0</v>
      </c>
      <c r="AU331">
        <v>0</v>
      </c>
      <c r="AV331">
        <v>0</v>
      </c>
      <c r="AW331">
        <v>0</v>
      </c>
      <c r="AX331">
        <v>0</v>
      </c>
    </row>
    <row r="332" spans="1:50" x14ac:dyDescent="0.35">
      <c r="A332" t="s">
        <v>1047</v>
      </c>
      <c r="B332" s="249">
        <f t="shared" si="5"/>
        <v>6.1309452708040002</v>
      </c>
      <c r="C332" s="217">
        <v>1.5528325E-5</v>
      </c>
      <c r="D332">
        <v>0.31875559999999997</v>
      </c>
      <c r="E332">
        <v>46.045023999999998</v>
      </c>
      <c r="F332" s="217">
        <v>8.3473263999999997E-6</v>
      </c>
      <c r="G332">
        <v>4.6654147999999999E-2</v>
      </c>
      <c r="H332">
        <v>0.34932604</v>
      </c>
      <c r="I332">
        <v>7.8603492999999997E-2</v>
      </c>
      <c r="J332">
        <v>16.587197</v>
      </c>
      <c r="K332">
        <v>0.23118387000000001</v>
      </c>
      <c r="L332">
        <v>779.66412000000003</v>
      </c>
      <c r="M332">
        <v>2.7445323000000001E-2</v>
      </c>
      <c r="N332">
        <v>46.543550000000003</v>
      </c>
      <c r="O332">
        <v>46.531919000000002</v>
      </c>
      <c r="P332">
        <v>7.6793047000000003E-3</v>
      </c>
      <c r="Q332">
        <v>3.9522632000000002E-3</v>
      </c>
      <c r="R332" s="217">
        <v>1.0512370000000001E-5</v>
      </c>
      <c r="S332">
        <v>0.48773483000000001</v>
      </c>
      <c r="T332">
        <v>3.5540490000000001E-4</v>
      </c>
      <c r="U332">
        <v>0.21141266</v>
      </c>
      <c r="V332">
        <v>2.3233779999999999</v>
      </c>
      <c r="W332">
        <v>0.63828182</v>
      </c>
      <c r="X332" s="217">
        <v>1.5528524000000001E-5</v>
      </c>
      <c r="Y332">
        <v>672.94623000000001</v>
      </c>
      <c r="Z332">
        <v>3.6278640000000002</v>
      </c>
      <c r="AA332" s="217">
        <v>1.2761195E-5</v>
      </c>
      <c r="AB332">
        <v>2.9003443</v>
      </c>
      <c r="AC332">
        <v>380.42385000000002</v>
      </c>
      <c r="AD332" s="217">
        <v>1.3088416E-8</v>
      </c>
      <c r="AE332" s="217">
        <v>3.3146390999999997E-7</v>
      </c>
      <c r="AF332">
        <v>85.233226000000002</v>
      </c>
      <c r="AG332">
        <v>0</v>
      </c>
      <c r="AH332">
        <v>0</v>
      </c>
      <c r="AI332">
        <v>3.8984687999999998</v>
      </c>
      <c r="AJ332">
        <v>0</v>
      </c>
      <c r="AK332">
        <v>0</v>
      </c>
      <c r="AL332">
        <v>714.59744999999998</v>
      </c>
      <c r="AM332">
        <v>0</v>
      </c>
      <c r="AN332">
        <v>0</v>
      </c>
      <c r="AO332">
        <v>0</v>
      </c>
      <c r="AP332">
        <v>9.2359395999999996E-2</v>
      </c>
      <c r="AQ332">
        <v>3.0008646999999999E-4</v>
      </c>
      <c r="AR332">
        <v>0.71718117000000003</v>
      </c>
      <c r="AS332">
        <v>4.6744289000000003E-3</v>
      </c>
      <c r="AT332">
        <v>0</v>
      </c>
      <c r="AU332">
        <v>0</v>
      </c>
      <c r="AV332">
        <v>0</v>
      </c>
      <c r="AW332">
        <v>0</v>
      </c>
      <c r="AX332">
        <v>0</v>
      </c>
    </row>
    <row r="333" spans="1:50" x14ac:dyDescent="0.35">
      <c r="A333" t="s">
        <v>1048</v>
      </c>
      <c r="B333" s="249">
        <f t="shared" si="5"/>
        <v>26.180578238746318</v>
      </c>
      <c r="C333" s="217">
        <v>6.6309601999999998E-5</v>
      </c>
      <c r="D333">
        <v>1.3611614000000001</v>
      </c>
      <c r="E333">
        <v>196.62307999999999</v>
      </c>
      <c r="F333" s="217">
        <v>3.5645046999999997E-5</v>
      </c>
      <c r="G333">
        <v>0.19922419</v>
      </c>
      <c r="H333">
        <v>1.4917043999999999</v>
      </c>
      <c r="I333">
        <v>0.33565539999999999</v>
      </c>
      <c r="J333">
        <v>70.831231000000002</v>
      </c>
      <c r="K333">
        <v>0.98720949999999996</v>
      </c>
      <c r="L333">
        <v>3329.3492000000001</v>
      </c>
      <c r="M333">
        <v>0.11719797999999999</v>
      </c>
      <c r="N333">
        <v>198.75191000000001</v>
      </c>
      <c r="O333">
        <v>198.70223999999999</v>
      </c>
      <c r="P333">
        <v>3.2792437000000001E-2</v>
      </c>
      <c r="Q333">
        <v>1.6877092999999999E-2</v>
      </c>
      <c r="R333" s="217">
        <v>4.4890291000000002E-5</v>
      </c>
      <c r="S333">
        <v>2.0827423999999999</v>
      </c>
      <c r="T333">
        <v>1.5176625000000001E-3</v>
      </c>
      <c r="U333">
        <v>0.90278177999999998</v>
      </c>
      <c r="V333">
        <v>9.9213705999999995</v>
      </c>
      <c r="W333">
        <v>2.7256135000000001</v>
      </c>
      <c r="X333" s="217">
        <v>6.6310450999999994E-5</v>
      </c>
      <c r="Y333">
        <v>2873.6387</v>
      </c>
      <c r="Z333">
        <v>15.491832</v>
      </c>
      <c r="AA333" s="217">
        <v>5.4493305999999999E-5</v>
      </c>
      <c r="AB333">
        <v>12.385152</v>
      </c>
      <c r="AC333">
        <v>1624.4992999999999</v>
      </c>
      <c r="AD333" s="217">
        <v>5.5890613E-8</v>
      </c>
      <c r="AE333" s="217">
        <v>1.4154289E-6</v>
      </c>
      <c r="AF333">
        <v>363.96591999999998</v>
      </c>
      <c r="AG333">
        <v>0</v>
      </c>
      <c r="AH333">
        <v>0</v>
      </c>
      <c r="AI333">
        <v>16.647379000000001</v>
      </c>
      <c r="AJ333">
        <v>0</v>
      </c>
      <c r="AK333">
        <v>0</v>
      </c>
      <c r="AL333">
        <v>3051.4992000000002</v>
      </c>
      <c r="AM333">
        <v>0</v>
      </c>
      <c r="AN333">
        <v>0</v>
      </c>
      <c r="AO333">
        <v>0</v>
      </c>
      <c r="AP333">
        <v>0.39439634000000001</v>
      </c>
      <c r="AQ333">
        <v>1.2814397999999999E-3</v>
      </c>
      <c r="AR333">
        <v>3.0625323</v>
      </c>
      <c r="AS333">
        <v>1.9960911000000001E-2</v>
      </c>
      <c r="AT333">
        <v>0</v>
      </c>
      <c r="AU333">
        <v>0</v>
      </c>
      <c r="AV333">
        <v>0</v>
      </c>
      <c r="AW333">
        <v>0</v>
      </c>
      <c r="AX333">
        <v>0</v>
      </c>
    </row>
    <row r="334" spans="1:50" x14ac:dyDescent="0.35">
      <c r="A334" t="s">
        <v>1049</v>
      </c>
      <c r="B334" s="249">
        <f t="shared" si="5"/>
        <v>9.8390884406368002</v>
      </c>
      <c r="C334" s="217">
        <v>2.4920230000000001E-5</v>
      </c>
      <c r="D334">
        <v>0.51154666000000004</v>
      </c>
      <c r="E334">
        <v>73.894161999999994</v>
      </c>
      <c r="F334" s="217">
        <v>1.3395989999999999E-5</v>
      </c>
      <c r="G334">
        <v>7.4871699999999999E-2</v>
      </c>
      <c r="H334">
        <v>0.56060684000000005</v>
      </c>
      <c r="I334">
        <v>0.12614478000000001</v>
      </c>
      <c r="J334">
        <v>26.619532</v>
      </c>
      <c r="K334">
        <v>0.37100944000000002</v>
      </c>
      <c r="L334">
        <v>1251.2237</v>
      </c>
      <c r="M334">
        <v>4.4044914999999997E-2</v>
      </c>
      <c r="N334">
        <v>74.694209999999998</v>
      </c>
      <c r="O334">
        <v>74.675543000000005</v>
      </c>
      <c r="P334">
        <v>1.2323933E-2</v>
      </c>
      <c r="Q334">
        <v>6.3426869999999996E-3</v>
      </c>
      <c r="R334" s="217">
        <v>1.6870504000000001E-5</v>
      </c>
      <c r="S334">
        <v>0.78272858999999995</v>
      </c>
      <c r="T334">
        <v>5.7036233000000002E-4</v>
      </c>
      <c r="U334">
        <v>0.33928012000000002</v>
      </c>
      <c r="V334">
        <v>3.7286130000000002</v>
      </c>
      <c r="W334">
        <v>1.02433</v>
      </c>
      <c r="X334" s="217">
        <v>2.4920549E-5</v>
      </c>
      <c r="Y334">
        <v>1079.9603</v>
      </c>
      <c r="Z334">
        <v>5.8220834000000004</v>
      </c>
      <c r="AA334" s="217">
        <v>2.0479472999999999E-5</v>
      </c>
      <c r="AB334">
        <v>4.6545423000000001</v>
      </c>
      <c r="AC334">
        <v>610.51333999999997</v>
      </c>
      <c r="AD334" s="217">
        <v>2.1004604000000001E-8</v>
      </c>
      <c r="AE334" s="217">
        <v>5.3194126E-7</v>
      </c>
      <c r="AF334">
        <v>136.78433000000001</v>
      </c>
      <c r="AG334">
        <v>0</v>
      </c>
      <c r="AH334">
        <v>0</v>
      </c>
      <c r="AI334">
        <v>6.2563564999999999</v>
      </c>
      <c r="AJ334">
        <v>0</v>
      </c>
      <c r="AK334">
        <v>0</v>
      </c>
      <c r="AL334">
        <v>1146.8032000000001</v>
      </c>
      <c r="AM334">
        <v>0</v>
      </c>
      <c r="AN334">
        <v>0</v>
      </c>
      <c r="AO334">
        <v>0</v>
      </c>
      <c r="AP334">
        <v>0.14822057999999999</v>
      </c>
      <c r="AQ334">
        <v>4.8158598999999998E-4</v>
      </c>
      <c r="AR334">
        <v>1.1509495999999999</v>
      </c>
      <c r="AS334">
        <v>7.5016359999999999E-3</v>
      </c>
      <c r="AT334">
        <v>0</v>
      </c>
      <c r="AU334">
        <v>0</v>
      </c>
      <c r="AV334">
        <v>0</v>
      </c>
      <c r="AW334">
        <v>0</v>
      </c>
      <c r="AX334">
        <v>0</v>
      </c>
    </row>
    <row r="335" spans="1:50" x14ac:dyDescent="0.35">
      <c r="A335" t="s">
        <v>1050</v>
      </c>
      <c r="B335" s="249">
        <f t="shared" si="5"/>
        <v>11.06897449305144</v>
      </c>
      <c r="C335" s="217">
        <v>2.8035259E-5</v>
      </c>
      <c r="D335">
        <v>0.57548999000000001</v>
      </c>
      <c r="E335">
        <v>83.130932999999999</v>
      </c>
      <c r="F335" s="217">
        <v>1.5070489000000001E-5</v>
      </c>
      <c r="G335">
        <v>8.4230661999999998E-2</v>
      </c>
      <c r="H335">
        <v>0.63068268999999999</v>
      </c>
      <c r="I335">
        <v>0.14191287</v>
      </c>
      <c r="J335">
        <v>29.946974000000001</v>
      </c>
      <c r="K335">
        <v>0.41738562000000001</v>
      </c>
      <c r="L335">
        <v>1407.6267</v>
      </c>
      <c r="M335">
        <v>4.9550529000000003E-2</v>
      </c>
      <c r="N335">
        <v>84.030985999999999</v>
      </c>
      <c r="O335">
        <v>84.009985999999998</v>
      </c>
      <c r="P335">
        <v>1.3864424E-2</v>
      </c>
      <c r="Q335">
        <v>7.1355228999999999E-3</v>
      </c>
      <c r="R335" s="217">
        <v>1.8979317E-5</v>
      </c>
      <c r="S335">
        <v>0.88056966000000003</v>
      </c>
      <c r="T335">
        <v>6.4165762000000003E-4</v>
      </c>
      <c r="U335">
        <v>0.38169014000000001</v>
      </c>
      <c r="V335">
        <v>4.1946896000000002</v>
      </c>
      <c r="W335">
        <v>1.1523713</v>
      </c>
      <c r="X335" s="217">
        <v>2.8035617999999999E-5</v>
      </c>
      <c r="Y335">
        <v>1214.9553000000001</v>
      </c>
      <c r="Z335">
        <v>6.5498437999999997</v>
      </c>
      <c r="AA335" s="217">
        <v>2.3039408E-5</v>
      </c>
      <c r="AB335">
        <v>5.2363600999999997</v>
      </c>
      <c r="AC335">
        <v>686.82750999999996</v>
      </c>
      <c r="AD335" s="217">
        <v>2.3630180000000002E-8</v>
      </c>
      <c r="AE335" s="217">
        <v>5.9843391999999997E-7</v>
      </c>
      <c r="AF335">
        <v>153.88237000000001</v>
      </c>
      <c r="AG335">
        <v>0</v>
      </c>
      <c r="AH335">
        <v>0</v>
      </c>
      <c r="AI335">
        <v>7.0384010999999997</v>
      </c>
      <c r="AJ335">
        <v>0</v>
      </c>
      <c r="AK335">
        <v>0</v>
      </c>
      <c r="AL335">
        <v>1290.1536000000001</v>
      </c>
      <c r="AM335">
        <v>0</v>
      </c>
      <c r="AN335">
        <v>0</v>
      </c>
      <c r="AO335">
        <v>0</v>
      </c>
      <c r="AP335">
        <v>0.16674815000000001</v>
      </c>
      <c r="AQ335">
        <v>5.4178424000000003E-4</v>
      </c>
      <c r="AR335">
        <v>1.2948183</v>
      </c>
      <c r="AS335">
        <v>8.4393404999999998E-3</v>
      </c>
      <c r="AT335">
        <v>0</v>
      </c>
      <c r="AU335">
        <v>0</v>
      </c>
      <c r="AV335">
        <v>0</v>
      </c>
      <c r="AW335">
        <v>0</v>
      </c>
      <c r="AX335">
        <v>0</v>
      </c>
    </row>
    <row r="336" spans="1:50" x14ac:dyDescent="0.35">
      <c r="A336" t="s">
        <v>1051</v>
      </c>
      <c r="B336" s="249">
        <f t="shared" si="5"/>
        <v>3.5219464348375524</v>
      </c>
      <c r="C336" s="217">
        <v>8.9203097000000008E-6</v>
      </c>
      <c r="D336">
        <v>0.18311045000000001</v>
      </c>
      <c r="E336">
        <v>26.450751</v>
      </c>
      <c r="F336" s="217">
        <v>4.7951556000000001E-6</v>
      </c>
      <c r="G336">
        <v>2.6800665000000001E-2</v>
      </c>
      <c r="H336">
        <v>0.20067177</v>
      </c>
      <c r="I336">
        <v>4.5154095999999998E-2</v>
      </c>
      <c r="J336">
        <v>9.5285826</v>
      </c>
      <c r="K336">
        <v>0.13280450999999999</v>
      </c>
      <c r="L336">
        <v>447.88123000000002</v>
      </c>
      <c r="M336">
        <v>1.5766077E-2</v>
      </c>
      <c r="N336">
        <v>26.737131999999999</v>
      </c>
      <c r="O336">
        <v>26.730450000000001</v>
      </c>
      <c r="P336">
        <v>4.4114078000000003E-3</v>
      </c>
      <c r="Q336">
        <v>2.2703936000000001E-3</v>
      </c>
      <c r="R336" s="217">
        <v>6.0388734999999999E-6</v>
      </c>
      <c r="S336">
        <v>0.28018125999999999</v>
      </c>
      <c r="T336">
        <v>2.0416379E-4</v>
      </c>
      <c r="U336">
        <v>0.12144686</v>
      </c>
      <c r="V336">
        <v>1.3346739999999999</v>
      </c>
      <c r="W336">
        <v>0.36666358999999998</v>
      </c>
      <c r="X336" s="217">
        <v>8.9204240000000008E-6</v>
      </c>
      <c r="Y336">
        <v>386.57670000000002</v>
      </c>
      <c r="Z336">
        <v>2.0840412000000001</v>
      </c>
      <c r="AA336" s="217">
        <v>7.3307206000000002E-6</v>
      </c>
      <c r="AB336">
        <v>1.6661146</v>
      </c>
      <c r="AC336">
        <v>218.53603000000001</v>
      </c>
      <c r="AD336" s="217">
        <v>7.5186935999999993E-9</v>
      </c>
      <c r="AE336" s="217">
        <v>1.9041079E-7</v>
      </c>
      <c r="AF336">
        <v>48.962572999999999</v>
      </c>
      <c r="AG336">
        <v>0</v>
      </c>
      <c r="AH336">
        <v>0</v>
      </c>
      <c r="AI336">
        <v>2.2394913000000001</v>
      </c>
      <c r="AJ336">
        <v>0</v>
      </c>
      <c r="AK336">
        <v>0</v>
      </c>
      <c r="AL336">
        <v>410.50340999999997</v>
      </c>
      <c r="AM336">
        <v>0</v>
      </c>
      <c r="AN336">
        <v>0</v>
      </c>
      <c r="AO336">
        <v>0</v>
      </c>
      <c r="AP336">
        <v>5.3056231000000002E-2</v>
      </c>
      <c r="AQ336">
        <v>1.7238590000000001E-4</v>
      </c>
      <c r="AR336">
        <v>0.41198763999999999</v>
      </c>
      <c r="AS336">
        <v>2.6852447000000001E-3</v>
      </c>
      <c r="AT336">
        <v>0</v>
      </c>
      <c r="AU336">
        <v>0</v>
      </c>
      <c r="AV336">
        <v>0</v>
      </c>
      <c r="AW336">
        <v>0</v>
      </c>
      <c r="AX336">
        <v>0</v>
      </c>
    </row>
    <row r="337" spans="1:50" x14ac:dyDescent="0.35">
      <c r="A337" t="s">
        <v>1052</v>
      </c>
      <c r="B337" s="249">
        <f t="shared" si="5"/>
        <v>0.24198556203805197</v>
      </c>
      <c r="C337" s="217">
        <v>7.4387322000000004E-6</v>
      </c>
      <c r="D337">
        <v>2.3985652999999999E-2</v>
      </c>
      <c r="E337">
        <v>2.8631951</v>
      </c>
      <c r="F337" s="217">
        <v>4.7874003000000001E-7</v>
      </c>
      <c r="G337">
        <v>8.1984191000000002E-4</v>
      </c>
      <c r="H337">
        <v>7.2668011000000003E-3</v>
      </c>
      <c r="I337">
        <v>1.0967037999999999E-3</v>
      </c>
      <c r="J337">
        <v>0.54253594000000005</v>
      </c>
      <c r="K337">
        <v>1.9481902999999998E-2</v>
      </c>
      <c r="L337">
        <v>47.669106999999997</v>
      </c>
      <c r="M337">
        <v>3.5954225000000002E-3</v>
      </c>
      <c r="N337">
        <v>2.9182014000000001</v>
      </c>
      <c r="O337">
        <v>2.8994300000000002</v>
      </c>
      <c r="P337">
        <v>1.7031340999999998E-2</v>
      </c>
      <c r="Q337">
        <v>1.7400963999999999E-3</v>
      </c>
      <c r="R337" s="217">
        <v>4.9059852999999997E-7</v>
      </c>
      <c r="S337">
        <v>9.2088693000000003E-3</v>
      </c>
      <c r="T337">
        <v>1.4101338E-4</v>
      </c>
      <c r="U337">
        <v>1.2937891000000001E-3</v>
      </c>
      <c r="V337">
        <v>2.0398701000000002E-2</v>
      </c>
      <c r="W337">
        <v>4.6900248000000004E-3</v>
      </c>
      <c r="X337" s="217">
        <v>7.4388721000000001E-6</v>
      </c>
      <c r="Y337">
        <v>49.496980999999998</v>
      </c>
      <c r="Z337">
        <v>0.62576584999999996</v>
      </c>
      <c r="AA337" s="217">
        <v>3.9689083999999999E-8</v>
      </c>
      <c r="AB337">
        <v>0.14860437000000001</v>
      </c>
      <c r="AC337">
        <v>21.767439</v>
      </c>
      <c r="AD337" s="217">
        <v>8.2533117000000002E-10</v>
      </c>
      <c r="AE337" s="217">
        <v>7.6859552999999995E-8</v>
      </c>
      <c r="AF337">
        <v>5.4494534999999997</v>
      </c>
      <c r="AG337">
        <v>0</v>
      </c>
      <c r="AH337">
        <v>0</v>
      </c>
      <c r="AI337">
        <v>2.6611155000000002</v>
      </c>
      <c r="AJ337">
        <v>0</v>
      </c>
      <c r="AK337">
        <v>0</v>
      </c>
      <c r="AL337">
        <v>53.832813999999999</v>
      </c>
      <c r="AM337">
        <v>0</v>
      </c>
      <c r="AN337">
        <v>0</v>
      </c>
      <c r="AO337">
        <v>0</v>
      </c>
      <c r="AP337">
        <v>2.1562107E-2</v>
      </c>
      <c r="AQ337" s="217">
        <v>6.695251E-5</v>
      </c>
      <c r="AR337">
        <v>0.13699112999999999</v>
      </c>
      <c r="AS337">
        <v>1.3704335000000001E-4</v>
      </c>
      <c r="AT337">
        <v>0</v>
      </c>
      <c r="AU337">
        <v>0</v>
      </c>
      <c r="AV337">
        <v>0</v>
      </c>
      <c r="AW337">
        <v>0</v>
      </c>
      <c r="AX337">
        <v>0</v>
      </c>
    </row>
    <row r="338" spans="1:50" x14ac:dyDescent="0.35">
      <c r="A338" t="s">
        <v>1053</v>
      </c>
      <c r="B338" s="249">
        <f t="shared" si="5"/>
        <v>0.21962327290914799</v>
      </c>
      <c r="C338" s="217">
        <v>3.7485352999999999E-6</v>
      </c>
      <c r="D338">
        <v>1.2225755E-2</v>
      </c>
      <c r="E338">
        <v>1.7201515999999999</v>
      </c>
      <c r="F338" s="217">
        <v>2.0606024999999999E-7</v>
      </c>
      <c r="G338">
        <v>1.8159557E-3</v>
      </c>
      <c r="H338">
        <v>9.6218387999999992E-3</v>
      </c>
      <c r="I338">
        <v>1.8195415E-3</v>
      </c>
      <c r="J338">
        <v>0.74417206999999996</v>
      </c>
      <c r="K338">
        <v>2.1830876999999999E-2</v>
      </c>
      <c r="L338">
        <v>51.664337000000003</v>
      </c>
      <c r="M338">
        <v>6.0134020999999998E-3</v>
      </c>
      <c r="N338">
        <v>-24.224489999999999</v>
      </c>
      <c r="O338">
        <v>1.7419521</v>
      </c>
      <c r="P338">
        <v>-25.977059000000001</v>
      </c>
      <c r="Q338">
        <v>1.0616784000000001E-2</v>
      </c>
      <c r="R338" s="217">
        <v>2.4861149999999999E-7</v>
      </c>
      <c r="S338">
        <v>1.2637644999999999E-2</v>
      </c>
      <c r="T338" s="217">
        <v>7.3054850000000001E-5</v>
      </c>
      <c r="U338">
        <v>3.9342535000000001E-3</v>
      </c>
      <c r="V338">
        <v>4.4563710999999999E-2</v>
      </c>
      <c r="W338">
        <v>1.3318126E-2</v>
      </c>
      <c r="X338" s="217">
        <v>3.7465794000000001E-6</v>
      </c>
      <c r="Y338">
        <v>24.164787</v>
      </c>
      <c r="Z338">
        <v>0.25384092000000003</v>
      </c>
      <c r="AA338" s="217">
        <v>5.7228681000000002E-7</v>
      </c>
      <c r="AB338">
        <v>0.10383987</v>
      </c>
      <c r="AC338">
        <v>36.375073</v>
      </c>
      <c r="AD338" s="217">
        <v>1.3360722E-9</v>
      </c>
      <c r="AE338" s="217">
        <v>3.2502996999999999E-8</v>
      </c>
      <c r="AF338">
        <v>2315.2276000000002</v>
      </c>
      <c r="AG338">
        <v>0</v>
      </c>
      <c r="AH338">
        <v>0</v>
      </c>
      <c r="AI338">
        <v>316.40219999999999</v>
      </c>
      <c r="AJ338">
        <v>0</v>
      </c>
      <c r="AK338">
        <v>0</v>
      </c>
      <c r="AL338">
        <v>25.688696</v>
      </c>
      <c r="AM338">
        <v>0</v>
      </c>
      <c r="AN338">
        <v>0</v>
      </c>
      <c r="AO338">
        <v>0</v>
      </c>
      <c r="AP338">
        <v>9.1080573999999994E-3</v>
      </c>
      <c r="AQ338" s="217">
        <v>7.8431534000000003E-5</v>
      </c>
      <c r="AR338">
        <v>0.49230751</v>
      </c>
      <c r="AS338">
        <v>1.2807646E-4</v>
      </c>
      <c r="AT338">
        <v>0</v>
      </c>
      <c r="AU338">
        <v>0</v>
      </c>
      <c r="AV338">
        <v>0</v>
      </c>
      <c r="AW338">
        <v>0</v>
      </c>
      <c r="AX338">
        <v>0</v>
      </c>
    </row>
    <row r="339" spans="1:50" x14ac:dyDescent="0.35">
      <c r="A339" t="s">
        <v>1054</v>
      </c>
      <c r="B339" s="249">
        <f t="shared" si="5"/>
        <v>2.7670443998610082E-3</v>
      </c>
      <c r="C339" s="217">
        <v>3.4423437999999999E-9</v>
      </c>
      <c r="D339">
        <v>2.2476958E-4</v>
      </c>
      <c r="E339">
        <v>3.5535948999999997E-2</v>
      </c>
      <c r="F339" s="217">
        <v>6.1320212000000001E-9</v>
      </c>
      <c r="G339" s="217">
        <v>8.4356807999999994E-6</v>
      </c>
      <c r="H339" s="217">
        <v>9.2659748000000001E-5</v>
      </c>
      <c r="I339" s="217">
        <v>1.7296366999999999E-5</v>
      </c>
      <c r="J339">
        <v>3.9206049999999997E-3</v>
      </c>
      <c r="K339">
        <v>1.5353563E-4</v>
      </c>
      <c r="L339">
        <v>0.52902791000000005</v>
      </c>
      <c r="M339" s="217">
        <v>9.3056524999999998E-6</v>
      </c>
      <c r="N339">
        <v>3.5733826000000003E-2</v>
      </c>
      <c r="O339">
        <v>3.5725443000000003E-2</v>
      </c>
      <c r="P339" s="217">
        <v>6.3914868000000001E-6</v>
      </c>
      <c r="Q339" s="217">
        <v>1.9917189999999998E-6</v>
      </c>
      <c r="R339" s="217">
        <v>7.7328736999999999E-9</v>
      </c>
      <c r="S339">
        <v>1.1899119E-4</v>
      </c>
      <c r="T339" s="217">
        <v>9.2402579000000005E-8</v>
      </c>
      <c r="U339" s="217">
        <v>3.5298310000000001E-5</v>
      </c>
      <c r="V339">
        <v>3.8837775000000001E-4</v>
      </c>
      <c r="W339">
        <v>1.0549999E-4</v>
      </c>
      <c r="X339" s="217">
        <v>3.4423508000000001E-9</v>
      </c>
      <c r="Y339">
        <v>0.47810148000000002</v>
      </c>
      <c r="Z339">
        <v>2.2468636999999998E-3</v>
      </c>
      <c r="AA339" s="217">
        <v>4.9158739000000001E-10</v>
      </c>
      <c r="AB339">
        <v>2.0982778999999998E-3</v>
      </c>
      <c r="AC339">
        <v>0.24287869000000001</v>
      </c>
      <c r="AD339" s="217">
        <v>1.6656419999999999E-12</v>
      </c>
      <c r="AE339" s="217">
        <v>6.7242601000000001E-11</v>
      </c>
      <c r="AF339">
        <v>5.9102306E-2</v>
      </c>
      <c r="AG339">
        <v>0</v>
      </c>
      <c r="AH339">
        <v>0</v>
      </c>
      <c r="AI339">
        <v>1.6600423999999999E-3</v>
      </c>
      <c r="AJ339">
        <v>0</v>
      </c>
      <c r="AK339">
        <v>0</v>
      </c>
      <c r="AL339">
        <v>0.50756071000000003</v>
      </c>
      <c r="AM339">
        <v>0</v>
      </c>
      <c r="AN339">
        <v>0</v>
      </c>
      <c r="AO339">
        <v>0</v>
      </c>
      <c r="AP339" s="217">
        <v>5.5904405E-5</v>
      </c>
      <c r="AQ339" s="217">
        <v>1.4928298000000001E-7</v>
      </c>
      <c r="AR339">
        <v>2.3176866999999999E-4</v>
      </c>
      <c r="AS339" s="217">
        <v>3.4139789999999999E-6</v>
      </c>
      <c r="AT339">
        <v>0</v>
      </c>
      <c r="AU339">
        <v>0</v>
      </c>
      <c r="AV339">
        <v>0</v>
      </c>
      <c r="AW339">
        <v>0</v>
      </c>
      <c r="AX339">
        <v>0</v>
      </c>
    </row>
    <row r="340" spans="1:50" x14ac:dyDescent="0.35">
      <c r="A340" t="s">
        <v>1055</v>
      </c>
      <c r="B340" s="249">
        <f t="shared" si="5"/>
        <v>2.3517095413548794E-2</v>
      </c>
      <c r="C340" s="217">
        <v>3.520468E-8</v>
      </c>
      <c r="D340">
        <v>1.7335404999999999E-3</v>
      </c>
      <c r="E340">
        <v>0.26041421999999997</v>
      </c>
      <c r="F340" s="217">
        <v>4.6064919999999997E-8</v>
      </c>
      <c r="G340">
        <v>1.3377520999999999E-4</v>
      </c>
      <c r="H340">
        <v>4.8934830999999997E-4</v>
      </c>
      <c r="I340" s="217">
        <v>6.4266166999999994E-5</v>
      </c>
      <c r="J340">
        <v>7.5776620000000003E-2</v>
      </c>
      <c r="K340">
        <v>1.5710691000000001E-3</v>
      </c>
      <c r="L340">
        <v>5.4061446999999996</v>
      </c>
      <c r="M340">
        <v>1.1081411999999999E-4</v>
      </c>
      <c r="N340">
        <v>0.26246048</v>
      </c>
      <c r="O340">
        <v>0.26232651000000001</v>
      </c>
      <c r="P340">
        <v>1.1910482000000001E-4</v>
      </c>
      <c r="Q340" s="217">
        <v>1.4865088E-5</v>
      </c>
      <c r="R340" s="217">
        <v>5.8090504000000001E-8</v>
      </c>
      <c r="S340">
        <v>5.7482074000000005E-4</v>
      </c>
      <c r="T340" s="217">
        <v>8.8773460000000003E-7</v>
      </c>
      <c r="U340" s="217">
        <v>6.9673552999999995E-5</v>
      </c>
      <c r="V340">
        <v>8.1929199000000004E-4</v>
      </c>
      <c r="W340">
        <v>4.1114111000000001E-4</v>
      </c>
      <c r="X340" s="217">
        <v>3.5204956999999999E-8</v>
      </c>
      <c r="Y340">
        <v>3.7021039999999998</v>
      </c>
      <c r="Z340">
        <v>1.6957163000000001E-2</v>
      </c>
      <c r="AA340" s="217">
        <v>6.5883062E-9</v>
      </c>
      <c r="AB340">
        <v>1.6073838999999999E-2</v>
      </c>
      <c r="AC340">
        <v>1.8992939</v>
      </c>
      <c r="AD340" s="217">
        <v>3.0673853999999998E-11</v>
      </c>
      <c r="AE340" s="217">
        <v>1.3569456E-9</v>
      </c>
      <c r="AF340">
        <v>0.46582558000000002</v>
      </c>
      <c r="AG340">
        <v>0</v>
      </c>
      <c r="AH340">
        <v>0</v>
      </c>
      <c r="AI340">
        <v>1.9155520999999998E-2</v>
      </c>
      <c r="AJ340">
        <v>0</v>
      </c>
      <c r="AK340">
        <v>0</v>
      </c>
      <c r="AL340">
        <v>3.9305495000000001</v>
      </c>
      <c r="AM340">
        <v>0</v>
      </c>
      <c r="AN340">
        <v>0</v>
      </c>
      <c r="AO340">
        <v>0</v>
      </c>
      <c r="AP340">
        <v>4.4313497E-4</v>
      </c>
      <c r="AQ340" s="217">
        <v>1.1944550999999999E-6</v>
      </c>
      <c r="AR340">
        <v>1.8043611E-3</v>
      </c>
      <c r="AS340" s="217">
        <v>2.5980322999999999E-5</v>
      </c>
      <c r="AT340">
        <v>0</v>
      </c>
      <c r="AU340">
        <v>0</v>
      </c>
      <c r="AV340">
        <v>0</v>
      </c>
      <c r="AW340">
        <v>0</v>
      </c>
      <c r="AX340">
        <v>0</v>
      </c>
    </row>
    <row r="341" spans="1:50" x14ac:dyDescent="0.35">
      <c r="A341" t="s">
        <v>1056</v>
      </c>
      <c r="B341" s="249">
        <f t="shared" si="5"/>
        <v>1.1790719335147762E-2</v>
      </c>
      <c r="C341" s="217">
        <v>2.0060236000000001E-8</v>
      </c>
      <c r="D341">
        <v>6.1238296999999999E-4</v>
      </c>
      <c r="E341">
        <v>9.2390367000000001E-2</v>
      </c>
      <c r="F341" s="217">
        <v>1.6251841000000001E-8</v>
      </c>
      <c r="G341" s="217">
        <v>9.0076418000000006E-5</v>
      </c>
      <c r="H341">
        <v>9.2769946000000004E-4</v>
      </c>
      <c r="I341">
        <v>2.0118900999999999E-4</v>
      </c>
      <c r="J341">
        <v>1.3381987E-2</v>
      </c>
      <c r="K341">
        <v>4.4433229000000001E-4</v>
      </c>
      <c r="L341">
        <v>1.5078267000000001</v>
      </c>
      <c r="M341" s="217">
        <v>4.3095173E-5</v>
      </c>
      <c r="N341">
        <v>9.4013386000000004E-2</v>
      </c>
      <c r="O341">
        <v>9.3966809999999998E-2</v>
      </c>
      <c r="P341" s="217">
        <v>4.1208217000000003E-5</v>
      </c>
      <c r="Q341" s="217">
        <v>5.3676451999999997E-6</v>
      </c>
      <c r="R341" s="217">
        <v>2.0492658E-8</v>
      </c>
      <c r="S341">
        <v>1.2914218999999999E-3</v>
      </c>
      <c r="T341" s="217">
        <v>4.4071927999999997E-7</v>
      </c>
      <c r="U341">
        <v>5.5581648999999999E-4</v>
      </c>
      <c r="V341">
        <v>6.0984276000000002E-3</v>
      </c>
      <c r="W341">
        <v>1.5979261E-3</v>
      </c>
      <c r="X341" s="217">
        <v>2.006073E-8</v>
      </c>
      <c r="Y341">
        <v>1.3073923000000001</v>
      </c>
      <c r="Z341">
        <v>6.0792149999999998E-3</v>
      </c>
      <c r="AA341" s="217">
        <v>2.0446951999999999E-9</v>
      </c>
      <c r="AB341">
        <v>5.6724434000000002E-3</v>
      </c>
      <c r="AC341">
        <v>0.66466574</v>
      </c>
      <c r="AD341" s="217">
        <v>7.0839949000000004E-12</v>
      </c>
      <c r="AE341" s="217">
        <v>1.0103078999999999E-9</v>
      </c>
      <c r="AF341">
        <v>0.16485088000000001</v>
      </c>
      <c r="AG341">
        <v>0</v>
      </c>
      <c r="AH341">
        <v>0</v>
      </c>
      <c r="AI341">
        <v>6.9329309999999998E-3</v>
      </c>
      <c r="AJ341">
        <v>0</v>
      </c>
      <c r="AK341">
        <v>0</v>
      </c>
      <c r="AL341">
        <v>1.3880778</v>
      </c>
      <c r="AM341">
        <v>0</v>
      </c>
      <c r="AN341">
        <v>0</v>
      </c>
      <c r="AO341">
        <v>0</v>
      </c>
      <c r="AP341">
        <v>1.5790846000000001E-4</v>
      </c>
      <c r="AQ341" s="217">
        <v>4.2722100999999999E-7</v>
      </c>
      <c r="AR341">
        <v>6.787923E-4</v>
      </c>
      <c r="AS341" s="217">
        <v>9.1655398000000001E-6</v>
      </c>
      <c r="AT341">
        <v>0</v>
      </c>
      <c r="AU341">
        <v>0</v>
      </c>
      <c r="AV341">
        <v>0</v>
      </c>
      <c r="AW341">
        <v>0</v>
      </c>
      <c r="AX341">
        <v>0</v>
      </c>
    </row>
    <row r="342" spans="1:50" x14ac:dyDescent="0.35">
      <c r="A342" t="s">
        <v>1057</v>
      </c>
      <c r="B342" s="249">
        <f t="shared" si="5"/>
        <v>3.5344001404225597E-2</v>
      </c>
      <c r="C342" s="217">
        <v>3.5927840999999997E-7</v>
      </c>
      <c r="D342">
        <v>1.7995667000000001E-3</v>
      </c>
      <c r="E342">
        <v>0.27180045000000003</v>
      </c>
      <c r="F342" s="217">
        <v>4.6728316000000001E-8</v>
      </c>
      <c r="G342">
        <v>2.6157913999999999E-4</v>
      </c>
      <c r="H342">
        <v>2.6913416000000001E-3</v>
      </c>
      <c r="I342">
        <v>5.8172816999999997E-4</v>
      </c>
      <c r="J342">
        <v>4.9021122E-2</v>
      </c>
      <c r="K342">
        <v>1.3831918E-3</v>
      </c>
      <c r="L342">
        <v>4.7702168</v>
      </c>
      <c r="M342">
        <v>1.6820457E-4</v>
      </c>
      <c r="N342">
        <v>0.27672276000000001</v>
      </c>
      <c r="O342">
        <v>0.27643169000000001</v>
      </c>
      <c r="P342">
        <v>2.5179534999999998E-4</v>
      </c>
      <c r="Q342" s="217">
        <v>3.9278908999999999E-5</v>
      </c>
      <c r="R342" s="217">
        <v>5.8841424E-8</v>
      </c>
      <c r="S342">
        <v>3.7370936000000001E-3</v>
      </c>
      <c r="T342" s="217">
        <v>2.9144186000000001E-6</v>
      </c>
      <c r="U342">
        <v>1.5923652E-3</v>
      </c>
      <c r="V342">
        <v>1.7475653000000001E-2</v>
      </c>
      <c r="W342">
        <v>4.5825014999999998E-3</v>
      </c>
      <c r="X342" s="217">
        <v>3.5928198999999999E-7</v>
      </c>
      <c r="Y342">
        <v>3.8167165000000001</v>
      </c>
      <c r="Z342">
        <v>1.9183896999999998E-2</v>
      </c>
      <c r="AA342" s="217">
        <v>6.4377162E-9</v>
      </c>
      <c r="AB342">
        <v>1.6382018000000002E-2</v>
      </c>
      <c r="AC342">
        <v>2.2429926</v>
      </c>
      <c r="AD342" s="217">
        <v>3.9272614000000001E-11</v>
      </c>
      <c r="AE342" s="217">
        <v>3.2134974000000001E-9</v>
      </c>
      <c r="AF342">
        <v>0.49696264000000001</v>
      </c>
      <c r="AG342">
        <v>0</v>
      </c>
      <c r="AH342">
        <v>0</v>
      </c>
      <c r="AI342">
        <v>3.0352627E-2</v>
      </c>
      <c r="AJ342">
        <v>0</v>
      </c>
      <c r="AK342">
        <v>0</v>
      </c>
      <c r="AL342">
        <v>4.0524563000000002</v>
      </c>
      <c r="AM342">
        <v>0</v>
      </c>
      <c r="AN342">
        <v>0</v>
      </c>
      <c r="AO342">
        <v>0</v>
      </c>
      <c r="AP342">
        <v>5.1925194000000002E-4</v>
      </c>
      <c r="AQ342" s="217">
        <v>2.23125E-6</v>
      </c>
      <c r="AR342">
        <v>4.0619690999999999E-3</v>
      </c>
      <c r="AS342" s="217">
        <v>2.6328292000000001E-5</v>
      </c>
      <c r="AT342">
        <v>0</v>
      </c>
      <c r="AU342">
        <v>0</v>
      </c>
      <c r="AV342">
        <v>0</v>
      </c>
      <c r="AW342">
        <v>0</v>
      </c>
      <c r="AX342">
        <v>0</v>
      </c>
    </row>
    <row r="343" spans="1:50" x14ac:dyDescent="0.35">
      <c r="A343" t="s">
        <v>1058</v>
      </c>
      <c r="B343" s="249">
        <f t="shared" si="5"/>
        <v>0.89435266922553602</v>
      </c>
      <c r="C343" s="217">
        <v>2.2651971E-6</v>
      </c>
      <c r="D343">
        <v>4.6498526999999998E-2</v>
      </c>
      <c r="E343">
        <v>6.7168256</v>
      </c>
      <c r="F343" s="217">
        <v>1.2176676E-6</v>
      </c>
      <c r="G343">
        <v>6.8056816999999999E-3</v>
      </c>
      <c r="H343">
        <v>5.0957994999999999E-2</v>
      </c>
      <c r="I343">
        <v>1.1466298E-2</v>
      </c>
      <c r="J343">
        <v>2.4196601000000002</v>
      </c>
      <c r="K343">
        <v>3.3723985999999997E-2</v>
      </c>
      <c r="L343">
        <v>113.73363000000001</v>
      </c>
      <c r="M343">
        <v>4.0035911000000004E-3</v>
      </c>
      <c r="N343">
        <v>6.7895481999999996</v>
      </c>
      <c r="O343">
        <v>6.7878515000000004</v>
      </c>
      <c r="P343">
        <v>1.1202199000000001E-3</v>
      </c>
      <c r="Q343">
        <v>5.7653705000000003E-4</v>
      </c>
      <c r="R343" s="217">
        <v>1.5334937E-6</v>
      </c>
      <c r="S343">
        <v>7.1148400000000001E-2</v>
      </c>
      <c r="T343" s="217">
        <v>5.1844749000000003E-5</v>
      </c>
      <c r="U343">
        <v>3.0839856999999998E-2</v>
      </c>
      <c r="V343">
        <v>0.33892316</v>
      </c>
      <c r="W343">
        <v>9.3109468000000001E-2</v>
      </c>
      <c r="X343" s="217">
        <v>2.2652261000000002E-6</v>
      </c>
      <c r="Y343">
        <v>98.166144000000003</v>
      </c>
      <c r="Z343">
        <v>0.52921525999999997</v>
      </c>
      <c r="AA343" s="217">
        <v>1.8615415000000001E-6</v>
      </c>
      <c r="AB343">
        <v>0.42308821000000002</v>
      </c>
      <c r="AC343">
        <v>55.494391999999998</v>
      </c>
      <c r="AD343" s="217">
        <v>1.9092747999999998E-9</v>
      </c>
      <c r="AE343" s="217">
        <v>4.8352354000000002E-8</v>
      </c>
      <c r="AF343">
        <v>12.433411</v>
      </c>
      <c r="AG343">
        <v>0</v>
      </c>
      <c r="AH343">
        <v>0</v>
      </c>
      <c r="AI343">
        <v>0.56868978999999997</v>
      </c>
      <c r="AJ343">
        <v>0</v>
      </c>
      <c r="AK343">
        <v>0</v>
      </c>
      <c r="AL343">
        <v>104.24202</v>
      </c>
      <c r="AM343">
        <v>0</v>
      </c>
      <c r="AN343">
        <v>0</v>
      </c>
      <c r="AO343">
        <v>0</v>
      </c>
      <c r="AP343">
        <v>1.3472942E-2</v>
      </c>
      <c r="AQ343" s="217">
        <v>4.3775164999999998E-5</v>
      </c>
      <c r="AR343">
        <v>0.10461892</v>
      </c>
      <c r="AS343">
        <v>6.8188310000000002E-4</v>
      </c>
      <c r="AT343">
        <v>0</v>
      </c>
      <c r="AU343">
        <v>0</v>
      </c>
      <c r="AV343">
        <v>0</v>
      </c>
      <c r="AW343">
        <v>0</v>
      </c>
      <c r="AX343">
        <v>0</v>
      </c>
    </row>
    <row r="344" spans="1:50" x14ac:dyDescent="0.35">
      <c r="A344" t="s">
        <v>1059</v>
      </c>
      <c r="B344" s="249">
        <f t="shared" si="5"/>
        <v>8.6092024062221579</v>
      </c>
      <c r="C344" s="217">
        <v>2.1805200999999999E-5</v>
      </c>
      <c r="D344">
        <v>0.44760333000000002</v>
      </c>
      <c r="E344">
        <v>64.657392000000002</v>
      </c>
      <c r="F344" s="217">
        <v>1.1721491E-5</v>
      </c>
      <c r="G344">
        <v>6.5512737000000001E-2</v>
      </c>
      <c r="H344">
        <v>0.49053098000000001</v>
      </c>
      <c r="I344">
        <v>0.11037668</v>
      </c>
      <c r="J344">
        <v>23.292090999999999</v>
      </c>
      <c r="K344">
        <v>0.32463325999999998</v>
      </c>
      <c r="L344">
        <v>1094.8208</v>
      </c>
      <c r="M344">
        <v>3.8539300999999998E-2</v>
      </c>
      <c r="N344">
        <v>65.357433</v>
      </c>
      <c r="O344">
        <v>65.341099999999997</v>
      </c>
      <c r="P344">
        <v>1.0783441E-2</v>
      </c>
      <c r="Q344">
        <v>5.5498511000000002E-3</v>
      </c>
      <c r="R344" s="217">
        <v>1.4761691E-5</v>
      </c>
      <c r="S344">
        <v>0.68488751000000003</v>
      </c>
      <c r="T344">
        <v>4.9906704000000001E-4</v>
      </c>
      <c r="U344">
        <v>0.29687011000000002</v>
      </c>
      <c r="V344">
        <v>3.2625362999999998</v>
      </c>
      <c r="W344">
        <v>0.89628876999999996</v>
      </c>
      <c r="X344" s="217">
        <v>2.1805481000000001E-5</v>
      </c>
      <c r="Y344">
        <v>944.96525999999994</v>
      </c>
      <c r="Z344">
        <v>5.0943230000000002</v>
      </c>
      <c r="AA344" s="217">
        <v>1.7919539E-5</v>
      </c>
      <c r="AB344">
        <v>4.0727244999999996</v>
      </c>
      <c r="AC344">
        <v>534.19916999999998</v>
      </c>
      <c r="AD344" s="217">
        <v>1.8379029000000001E-8</v>
      </c>
      <c r="AE344" s="217">
        <v>4.6544859999999998E-7</v>
      </c>
      <c r="AF344">
        <v>119.68629</v>
      </c>
      <c r="AG344">
        <v>0</v>
      </c>
      <c r="AH344">
        <v>0</v>
      </c>
      <c r="AI344">
        <v>5.4743119</v>
      </c>
      <c r="AJ344">
        <v>0</v>
      </c>
      <c r="AK344">
        <v>0</v>
      </c>
      <c r="AL344">
        <v>1003.4528</v>
      </c>
      <c r="AM344">
        <v>0</v>
      </c>
      <c r="AN344">
        <v>0</v>
      </c>
      <c r="AO344">
        <v>0</v>
      </c>
      <c r="AP344">
        <v>0.12969301</v>
      </c>
      <c r="AQ344">
        <v>4.2138773999999998E-4</v>
      </c>
      <c r="AR344">
        <v>1.0070809000000001</v>
      </c>
      <c r="AS344">
        <v>6.5639315E-3</v>
      </c>
      <c r="AT344">
        <v>0</v>
      </c>
      <c r="AU344">
        <v>0</v>
      </c>
      <c r="AV344">
        <v>0</v>
      </c>
      <c r="AW344">
        <v>0</v>
      </c>
      <c r="AX344">
        <v>0</v>
      </c>
    </row>
    <row r="345" spans="1:50" x14ac:dyDescent="0.35">
      <c r="A345" t="s">
        <v>1060</v>
      </c>
      <c r="B345" s="249">
        <f t="shared" si="5"/>
        <v>5.9027495755459594</v>
      </c>
      <c r="C345" s="217">
        <v>1.4950356E-5</v>
      </c>
      <c r="D345">
        <v>0.30689142000000003</v>
      </c>
      <c r="E345">
        <v>44.331214000000003</v>
      </c>
      <c r="F345" s="217">
        <v>8.0366363000000002E-6</v>
      </c>
      <c r="G345">
        <v>4.4917667000000001E-2</v>
      </c>
      <c r="H345">
        <v>0.33632402</v>
      </c>
      <c r="I345">
        <v>7.5677847000000006E-2</v>
      </c>
      <c r="J345">
        <v>15.969816</v>
      </c>
      <c r="K345">
        <v>0.22257914000000001</v>
      </c>
      <c r="L345">
        <v>750.64477999999997</v>
      </c>
      <c r="M345">
        <v>2.6423800000000001E-2</v>
      </c>
      <c r="N345">
        <v>44.811185000000002</v>
      </c>
      <c r="O345">
        <v>44.799985999999997</v>
      </c>
      <c r="P345">
        <v>7.3934786000000004E-3</v>
      </c>
      <c r="Q345">
        <v>3.8051587000000001E-3</v>
      </c>
      <c r="R345" s="217">
        <v>1.0121095999999999E-5</v>
      </c>
      <c r="S345">
        <v>0.46958118999999998</v>
      </c>
      <c r="T345">
        <v>3.4217661999999999E-4</v>
      </c>
      <c r="U345">
        <v>0.20354380999999999</v>
      </c>
      <c r="V345">
        <v>2.2369012000000001</v>
      </c>
      <c r="W345">
        <v>0.61452477000000005</v>
      </c>
      <c r="X345" s="217">
        <v>1.4950548E-5</v>
      </c>
      <c r="Y345">
        <v>647.89895999999999</v>
      </c>
      <c r="Z345">
        <v>3.4928338000000001</v>
      </c>
      <c r="AA345" s="217">
        <v>1.2286220000000001E-5</v>
      </c>
      <c r="AB345">
        <v>2.7923925999999999</v>
      </c>
      <c r="AC345">
        <v>366.26434999999998</v>
      </c>
      <c r="AD345" s="217">
        <v>1.2601261E-8</v>
      </c>
      <c r="AE345" s="217">
        <v>3.1912671999999999E-7</v>
      </c>
      <c r="AF345">
        <v>82.060818999999995</v>
      </c>
      <c r="AG345">
        <v>0</v>
      </c>
      <c r="AH345">
        <v>0</v>
      </c>
      <c r="AI345">
        <v>3.7533666000000001</v>
      </c>
      <c r="AJ345">
        <v>0</v>
      </c>
      <c r="AK345">
        <v>0</v>
      </c>
      <c r="AL345">
        <v>687.99991</v>
      </c>
      <c r="AM345">
        <v>0</v>
      </c>
      <c r="AN345">
        <v>0</v>
      </c>
      <c r="AO345">
        <v>0</v>
      </c>
      <c r="AP345">
        <v>8.8921750999999993E-2</v>
      </c>
      <c r="AQ345">
        <v>2.8891715999999998E-4</v>
      </c>
      <c r="AR345">
        <v>0.69048746999999999</v>
      </c>
      <c r="AS345">
        <v>4.5004451999999997E-3</v>
      </c>
      <c r="AT345">
        <v>0</v>
      </c>
      <c r="AU345">
        <v>0</v>
      </c>
      <c r="AV345">
        <v>0</v>
      </c>
      <c r="AW345">
        <v>0</v>
      </c>
      <c r="AX345">
        <v>0</v>
      </c>
    </row>
    <row r="346" spans="1:50" x14ac:dyDescent="0.35">
      <c r="A346" t="s">
        <v>1061</v>
      </c>
      <c r="B346" s="249">
        <f t="shared" si="5"/>
        <v>78.047466589008806</v>
      </c>
      <c r="C346">
        <v>1.9767693000000001E-4</v>
      </c>
      <c r="D346">
        <v>4.0577864999999997</v>
      </c>
      <c r="E346">
        <v>586.15715999999998</v>
      </c>
      <c r="F346">
        <v>1.0626219000000001E-4</v>
      </c>
      <c r="G346">
        <v>0.59391137000000005</v>
      </c>
      <c r="H346">
        <v>4.4469509</v>
      </c>
      <c r="I346">
        <v>1.0006292999999999</v>
      </c>
      <c r="J346">
        <v>211.15646000000001</v>
      </c>
      <c r="K346">
        <v>2.9429908</v>
      </c>
      <c r="L346">
        <v>9925.1921000000002</v>
      </c>
      <c r="M346">
        <v>0.34938134999999998</v>
      </c>
      <c r="N346">
        <v>592.50345000000004</v>
      </c>
      <c r="O346">
        <v>592.35537999999997</v>
      </c>
      <c r="P346">
        <v>9.7758215999999995E-2</v>
      </c>
      <c r="Q346">
        <v>5.0312653999999998E-2</v>
      </c>
      <c r="R346">
        <v>1.3382338000000001E-4</v>
      </c>
      <c r="S346">
        <v>6.2089068000000003</v>
      </c>
      <c r="T346">
        <v>4.5243352999999997E-3</v>
      </c>
      <c r="U346">
        <v>2.6913016000000001</v>
      </c>
      <c r="V346">
        <v>29.576805</v>
      </c>
      <c r="W346">
        <v>8.1253831000000005</v>
      </c>
      <c r="X346">
        <v>1.9767946999999999E-4</v>
      </c>
      <c r="Y346">
        <v>8566.6641</v>
      </c>
      <c r="Z346">
        <v>46.183024000000003</v>
      </c>
      <c r="AA346">
        <v>1.6245113E-4</v>
      </c>
      <c r="AB346">
        <v>36.921635000000002</v>
      </c>
      <c r="AC346">
        <v>4842.8287</v>
      </c>
      <c r="AD346" s="217">
        <v>1.6661667000000001E-7</v>
      </c>
      <c r="AE346" s="217">
        <v>4.2195643999999998E-6</v>
      </c>
      <c r="AF346">
        <v>1085.0264</v>
      </c>
      <c r="AG346">
        <v>0</v>
      </c>
      <c r="AH346">
        <v>0</v>
      </c>
      <c r="AI346">
        <v>49.627847000000003</v>
      </c>
      <c r="AJ346">
        <v>0</v>
      </c>
      <c r="AK346">
        <v>0</v>
      </c>
      <c r="AL346">
        <v>9096.8878000000004</v>
      </c>
      <c r="AM346">
        <v>0</v>
      </c>
      <c r="AN346">
        <v>0</v>
      </c>
      <c r="AO346">
        <v>0</v>
      </c>
      <c r="AP346">
        <v>1.1757431</v>
      </c>
      <c r="AQ346">
        <v>3.8201269E-3</v>
      </c>
      <c r="AR346">
        <v>9.1297788000000004</v>
      </c>
      <c r="AS346">
        <v>5.9505887E-2</v>
      </c>
      <c r="AT346">
        <v>0</v>
      </c>
      <c r="AU346">
        <v>0</v>
      </c>
      <c r="AV346">
        <v>0</v>
      </c>
      <c r="AW346">
        <v>0</v>
      </c>
      <c r="AX346">
        <v>0</v>
      </c>
    </row>
    <row r="347" spans="1:50" x14ac:dyDescent="0.35">
      <c r="A347" t="s">
        <v>1062</v>
      </c>
      <c r="B347" s="249">
        <f t="shared" si="5"/>
        <v>1.1280352973812718E-2</v>
      </c>
      <c r="C347" s="217">
        <v>1.5092642E-8</v>
      </c>
      <c r="D347">
        <v>5.9199744999999997E-4</v>
      </c>
      <c r="E347">
        <v>8.7344863999999994E-2</v>
      </c>
      <c r="F347" s="217">
        <v>1.6072856999999998E-8</v>
      </c>
      <c r="G347" s="217">
        <v>8.3534003000000005E-5</v>
      </c>
      <c r="H347">
        <v>8.9525518000000001E-4</v>
      </c>
      <c r="I347">
        <v>1.9981501000000001E-4</v>
      </c>
      <c r="J347">
        <v>1.2383261E-2</v>
      </c>
      <c r="K347">
        <v>4.1326637000000001E-4</v>
      </c>
      <c r="L347">
        <v>1.4229721</v>
      </c>
      <c r="M347" s="217">
        <v>3.8217903E-5</v>
      </c>
      <c r="N347">
        <v>8.8919312E-2</v>
      </c>
      <c r="O347">
        <v>8.8892961000000006E-2</v>
      </c>
      <c r="P347" s="217">
        <v>2.1732008999999999E-5</v>
      </c>
      <c r="Q347" s="217">
        <v>4.6195369E-6</v>
      </c>
      <c r="R347" s="217">
        <v>2.0307520000000001E-8</v>
      </c>
      <c r="S347">
        <v>1.2540763999999999E-3</v>
      </c>
      <c r="T347" s="217">
        <v>3.3453811E-7</v>
      </c>
      <c r="U347">
        <v>5.5314548000000004E-4</v>
      </c>
      <c r="V347">
        <v>6.0632207E-3</v>
      </c>
      <c r="W347">
        <v>1.5863879E-3</v>
      </c>
      <c r="X347" s="217">
        <v>1.5092976000000001E-8</v>
      </c>
      <c r="Y347">
        <v>1.2612719999999999</v>
      </c>
      <c r="Z347">
        <v>5.7187148999999996E-3</v>
      </c>
      <c r="AA347" s="217">
        <v>1.6492842E-9</v>
      </c>
      <c r="AB347">
        <v>5.5443198999999997E-3</v>
      </c>
      <c r="AC347">
        <v>0.64543381</v>
      </c>
      <c r="AD347" s="217">
        <v>6.1103819999999996E-12</v>
      </c>
      <c r="AE347" s="217">
        <v>9.7816989000000007E-10</v>
      </c>
      <c r="AF347">
        <v>0.15543544000000001</v>
      </c>
      <c r="AG347">
        <v>0</v>
      </c>
      <c r="AH347">
        <v>0</v>
      </c>
      <c r="AI347">
        <v>4.1259071000000003E-3</v>
      </c>
      <c r="AJ347">
        <v>0</v>
      </c>
      <c r="AK347">
        <v>0</v>
      </c>
      <c r="AL347">
        <v>1.3389374999999999</v>
      </c>
      <c r="AM347">
        <v>0</v>
      </c>
      <c r="AN347">
        <v>0</v>
      </c>
      <c r="AO347">
        <v>0</v>
      </c>
      <c r="AP347">
        <v>1.4271206999999999E-4</v>
      </c>
      <c r="AQ347" s="217">
        <v>3.6895627000000001E-7</v>
      </c>
      <c r="AR347">
        <v>6.0383628000000003E-4</v>
      </c>
      <c r="AS347" s="217">
        <v>9.0327004000000005E-6</v>
      </c>
      <c r="AT347">
        <v>0</v>
      </c>
      <c r="AU347">
        <v>0</v>
      </c>
      <c r="AV347">
        <v>0</v>
      </c>
      <c r="AW347">
        <v>0</v>
      </c>
      <c r="AX347">
        <v>0</v>
      </c>
    </row>
    <row r="348" spans="1:50" x14ac:dyDescent="0.35">
      <c r="A348" t="s">
        <v>1063</v>
      </c>
      <c r="B348" s="249">
        <f t="shared" si="5"/>
        <v>3.3889985939933608E-2</v>
      </c>
      <c r="C348" s="217">
        <v>3.4512571000000002E-7</v>
      </c>
      <c r="D348">
        <v>1.7414886E-3</v>
      </c>
      <c r="E348">
        <v>0.25742594000000002</v>
      </c>
      <c r="F348" s="217">
        <v>4.6218393999999997E-8</v>
      </c>
      <c r="G348">
        <v>2.4293983999999999E-4</v>
      </c>
      <c r="H348">
        <v>2.5989096000000001E-3</v>
      </c>
      <c r="I348">
        <v>5.7781412999999998E-4</v>
      </c>
      <c r="J348">
        <v>4.6175755999999998E-2</v>
      </c>
      <c r="K348">
        <v>1.2946849E-3</v>
      </c>
      <c r="L348">
        <v>4.5284659999999999</v>
      </c>
      <c r="M348">
        <v>1.5430924999999999E-4</v>
      </c>
      <c r="N348">
        <v>0.26220988000000001</v>
      </c>
      <c r="O348">
        <v>0.26197642999999998</v>
      </c>
      <c r="P348">
        <v>1.9630752000000001E-4</v>
      </c>
      <c r="Q348" s="217">
        <v>3.7147536999999998E-5</v>
      </c>
      <c r="R348" s="217">
        <v>5.8313971000000003E-8</v>
      </c>
      <c r="S348">
        <v>3.6306988000000002E-3</v>
      </c>
      <c r="T348" s="217">
        <v>2.6119077999999998E-6</v>
      </c>
      <c r="U348">
        <v>1.584757E-3</v>
      </c>
      <c r="V348">
        <v>1.7375364000000001E-2</v>
      </c>
      <c r="W348">
        <v>4.549633E-3</v>
      </c>
      <c r="X348" s="217">
        <v>3.4512883000000001E-7</v>
      </c>
      <c r="Y348">
        <v>3.6853201000000002</v>
      </c>
      <c r="Z348">
        <v>1.8156563000000001E-2</v>
      </c>
      <c r="AA348" s="217">
        <v>5.3111913000000001E-9</v>
      </c>
      <c r="AB348">
        <v>1.6016992000000001E-2</v>
      </c>
      <c r="AC348">
        <v>2.1882008000000002</v>
      </c>
      <c r="AD348" s="217">
        <v>3.6498783999999999E-11</v>
      </c>
      <c r="AE348" s="217">
        <v>3.1219381999999999E-9</v>
      </c>
      <c r="AF348">
        <v>0.47013797000000002</v>
      </c>
      <c r="AG348">
        <v>0</v>
      </c>
      <c r="AH348">
        <v>0</v>
      </c>
      <c r="AI348">
        <v>2.2355399000000001E-2</v>
      </c>
      <c r="AJ348">
        <v>0</v>
      </c>
      <c r="AK348">
        <v>0</v>
      </c>
      <c r="AL348">
        <v>3.9124563999999999</v>
      </c>
      <c r="AM348">
        <v>0</v>
      </c>
      <c r="AN348">
        <v>0</v>
      </c>
      <c r="AO348">
        <v>0</v>
      </c>
      <c r="AP348">
        <v>4.7594706999999999E-4</v>
      </c>
      <c r="AQ348" s="217">
        <v>2.0652536000000002E-6</v>
      </c>
      <c r="AR348">
        <v>3.8484193000000002E-3</v>
      </c>
      <c r="AS348" s="217">
        <v>2.5949834E-5</v>
      </c>
      <c r="AT348">
        <v>0</v>
      </c>
      <c r="AU348">
        <v>0</v>
      </c>
      <c r="AV348">
        <v>0</v>
      </c>
      <c r="AW348">
        <v>0</v>
      </c>
      <c r="AX348">
        <v>0</v>
      </c>
    </row>
    <row r="349" spans="1:50" x14ac:dyDescent="0.35">
      <c r="A349" t="s">
        <v>1064</v>
      </c>
      <c r="B349" s="249">
        <f t="shared" si="5"/>
        <v>0.37739053008145002</v>
      </c>
      <c r="C349" s="217">
        <v>7.1838823000000004E-5</v>
      </c>
      <c r="D349">
        <v>4.1859953000000002E-3</v>
      </c>
      <c r="E349">
        <v>0.60726232000000002</v>
      </c>
      <c r="F349" s="217">
        <v>3.6413459000000001E-8</v>
      </c>
      <c r="G349">
        <v>1.2392061999999999E-3</v>
      </c>
      <c r="H349">
        <v>1.6588281999999999E-2</v>
      </c>
      <c r="I349">
        <v>4.4415727999999998E-3</v>
      </c>
      <c r="J349">
        <v>2.3810229000000001</v>
      </c>
      <c r="K349">
        <v>4.0350523999999999E-2</v>
      </c>
      <c r="L349">
        <v>216.07718</v>
      </c>
      <c r="M349">
        <v>7.1512983E-3</v>
      </c>
      <c r="N349">
        <v>0.62996602000000002</v>
      </c>
      <c r="O349">
        <v>0.60266755999999999</v>
      </c>
      <c r="P349">
        <v>2.6504368E-2</v>
      </c>
      <c r="Q349">
        <v>7.9408927999999996E-4</v>
      </c>
      <c r="R349" s="217">
        <v>3.7539063999999997E-8</v>
      </c>
      <c r="S349">
        <v>1.8980598000000001E-2</v>
      </c>
      <c r="T349">
        <v>1.2932792999999999E-3</v>
      </c>
      <c r="U349">
        <v>1.1223373E-3</v>
      </c>
      <c r="V349">
        <v>1.4756997000000001E-2</v>
      </c>
      <c r="W349">
        <v>4.8350529999999997E-3</v>
      </c>
      <c r="X349" s="217">
        <v>7.1843220999999994E-5</v>
      </c>
      <c r="Y349">
        <v>7.9052680999999998</v>
      </c>
      <c r="Z349">
        <v>0.34890381999999998</v>
      </c>
      <c r="AA349" s="217">
        <v>5.5030959999999999E-8</v>
      </c>
      <c r="AB349">
        <v>3.2412464000000002E-2</v>
      </c>
      <c r="AC349">
        <v>134.40438</v>
      </c>
      <c r="AD349" s="217">
        <v>1.8056446E-9</v>
      </c>
      <c r="AE349" s="217">
        <v>1.5344545E-7</v>
      </c>
      <c r="AF349">
        <v>3.8051822</v>
      </c>
      <c r="AG349">
        <v>0</v>
      </c>
      <c r="AH349">
        <v>0</v>
      </c>
      <c r="AI349">
        <v>1.0610676999999999</v>
      </c>
      <c r="AJ349">
        <v>0</v>
      </c>
      <c r="AK349">
        <v>0</v>
      </c>
      <c r="AL349">
        <v>8.4081867999999993</v>
      </c>
      <c r="AM349">
        <v>0</v>
      </c>
      <c r="AN349">
        <v>0</v>
      </c>
      <c r="AO349">
        <v>0</v>
      </c>
      <c r="AP349">
        <v>9.7643707999999999E-3</v>
      </c>
      <c r="AQ349">
        <v>1.5473914E-2</v>
      </c>
      <c r="AR349">
        <v>9.7994652000000002E-2</v>
      </c>
      <c r="AS349" s="217">
        <v>2.7476849000000002E-5</v>
      </c>
      <c r="AT349">
        <v>0</v>
      </c>
      <c r="AU349">
        <v>0</v>
      </c>
      <c r="AV349">
        <v>0</v>
      </c>
      <c r="AW349">
        <v>0</v>
      </c>
      <c r="AX349">
        <v>0</v>
      </c>
    </row>
    <row r="350" spans="1:50" x14ac:dyDescent="0.35">
      <c r="A350" t="s">
        <v>1065</v>
      </c>
      <c r="B350" s="249">
        <f t="shared" si="5"/>
        <v>11.56367325116536</v>
      </c>
      <c r="C350" s="217">
        <v>2.9288220999999999E-5</v>
      </c>
      <c r="D350">
        <v>0.60121000999999996</v>
      </c>
      <c r="E350">
        <v>86.846250999999995</v>
      </c>
      <c r="F350" s="217">
        <v>1.5744024999999999E-5</v>
      </c>
      <c r="G350">
        <v>8.7995131000000004E-2</v>
      </c>
      <c r="H350">
        <v>0.65886940000000005</v>
      </c>
      <c r="I350">
        <v>0.14825530000000001</v>
      </c>
      <c r="J350">
        <v>31.285374999999998</v>
      </c>
      <c r="K350">
        <v>0.43603956999999999</v>
      </c>
      <c r="L350">
        <v>1470.5369000000001</v>
      </c>
      <c r="M350">
        <v>5.1765060000000002E-2</v>
      </c>
      <c r="N350">
        <v>87.786529999999999</v>
      </c>
      <c r="O350">
        <v>87.764591999999993</v>
      </c>
      <c r="P350">
        <v>1.4484059000000001E-2</v>
      </c>
      <c r="Q350">
        <v>7.4544264000000002E-3</v>
      </c>
      <c r="R350" s="217">
        <v>1.9827548000000001E-5</v>
      </c>
      <c r="S350">
        <v>0.91992441000000003</v>
      </c>
      <c r="T350">
        <v>6.7033483000000001E-4</v>
      </c>
      <c r="U350">
        <v>0.39874878000000002</v>
      </c>
      <c r="V350">
        <v>4.3821602000000004</v>
      </c>
      <c r="W350">
        <v>1.2038735</v>
      </c>
      <c r="X350" s="217">
        <v>2.9288597000000001E-5</v>
      </c>
      <c r="Y350">
        <v>1269.2546</v>
      </c>
      <c r="Z350">
        <v>6.8425719000000003</v>
      </c>
      <c r="AA350" s="217">
        <v>2.4069094E-5</v>
      </c>
      <c r="AB350">
        <v>5.4703854999999999</v>
      </c>
      <c r="AC350">
        <v>717.52346</v>
      </c>
      <c r="AD350" s="217">
        <v>2.4686269E-8</v>
      </c>
      <c r="AE350" s="217">
        <v>6.2517935000000001E-7</v>
      </c>
      <c r="AF350">
        <v>160.75973999999999</v>
      </c>
      <c r="AG350">
        <v>0</v>
      </c>
      <c r="AH350">
        <v>0</v>
      </c>
      <c r="AI350">
        <v>7.3529638999999998</v>
      </c>
      <c r="AJ350">
        <v>0</v>
      </c>
      <c r="AK350">
        <v>0</v>
      </c>
      <c r="AL350">
        <v>1347.8136</v>
      </c>
      <c r="AM350">
        <v>0</v>
      </c>
      <c r="AN350">
        <v>0</v>
      </c>
      <c r="AO350">
        <v>0</v>
      </c>
      <c r="AP350">
        <v>0.17420052</v>
      </c>
      <c r="AQ350">
        <v>5.6599787000000004E-4</v>
      </c>
      <c r="AR350">
        <v>1.3526868000000001</v>
      </c>
      <c r="AS350">
        <v>8.8165146999999999E-3</v>
      </c>
      <c r="AT350">
        <v>0</v>
      </c>
      <c r="AU350">
        <v>0</v>
      </c>
      <c r="AV350">
        <v>0</v>
      </c>
      <c r="AW350">
        <v>0</v>
      </c>
      <c r="AX350">
        <v>0</v>
      </c>
    </row>
    <row r="351" spans="1:50" x14ac:dyDescent="0.35">
      <c r="A351" t="s">
        <v>1066</v>
      </c>
      <c r="B351" s="249">
        <f t="shared" si="5"/>
        <v>2.8144898641232636</v>
      </c>
      <c r="C351" s="217">
        <v>3.7100579E-6</v>
      </c>
      <c r="D351">
        <v>7.6157712000000002E-2</v>
      </c>
      <c r="E351">
        <v>11.001167000000001</v>
      </c>
      <c r="F351" s="217">
        <v>1.9943595999999999E-6</v>
      </c>
      <c r="G351">
        <v>0.20533635</v>
      </c>
      <c r="H351">
        <v>8.3461662000000006E-2</v>
      </c>
      <c r="I351">
        <v>1.8780100000000001E-2</v>
      </c>
      <c r="J351">
        <v>14.633044999999999</v>
      </c>
      <c r="K351">
        <v>8.6021422E-2</v>
      </c>
      <c r="L351">
        <v>186.27887999999999</v>
      </c>
      <c r="M351">
        <v>7.7171191000000002E-3</v>
      </c>
      <c r="N351">
        <v>11.120276</v>
      </c>
      <c r="O351">
        <v>11.117497</v>
      </c>
      <c r="P351">
        <v>1.8347545E-3</v>
      </c>
      <c r="Q351">
        <v>9.4428245E-4</v>
      </c>
      <c r="R351" s="217">
        <v>2.511636E-6</v>
      </c>
      <c r="S351">
        <v>0.11653056000000001</v>
      </c>
      <c r="T351" s="217">
        <v>8.4914033999999993E-5</v>
      </c>
      <c r="U351">
        <v>5.0511127000000003E-2</v>
      </c>
      <c r="V351">
        <v>0.55510603000000003</v>
      </c>
      <c r="W351">
        <v>0.15249953999999999</v>
      </c>
      <c r="X351" s="217">
        <v>3.7101054E-6</v>
      </c>
      <c r="Y351">
        <v>160.78163000000001</v>
      </c>
      <c r="Z351">
        <v>0.86677636000000002</v>
      </c>
      <c r="AA351" s="217">
        <v>3.0489297999999998E-6</v>
      </c>
      <c r="AB351">
        <v>0.69295594000000005</v>
      </c>
      <c r="AC351">
        <v>150.44714999999999</v>
      </c>
      <c r="AD351" s="217">
        <v>3.1271098999999999E-9</v>
      </c>
      <c r="AE351" s="217">
        <v>1.3119074000000001E-7</v>
      </c>
      <c r="AF351">
        <v>20.364089</v>
      </c>
      <c r="AG351">
        <v>0</v>
      </c>
      <c r="AH351">
        <v>0</v>
      </c>
      <c r="AI351">
        <v>0.93142979999999997</v>
      </c>
      <c r="AJ351">
        <v>0</v>
      </c>
      <c r="AK351">
        <v>0</v>
      </c>
      <c r="AL351">
        <v>170.73302000000001</v>
      </c>
      <c r="AM351">
        <v>0</v>
      </c>
      <c r="AN351">
        <v>0</v>
      </c>
      <c r="AO351">
        <v>0</v>
      </c>
      <c r="AP351">
        <v>2.2066688000000001E-2</v>
      </c>
      <c r="AQ351">
        <v>0.82007169999999996</v>
      </c>
      <c r="AR351">
        <v>0.17135033</v>
      </c>
      <c r="AS351">
        <v>1.1168237000000001E-3</v>
      </c>
      <c r="AT351">
        <v>0</v>
      </c>
      <c r="AU351">
        <v>0</v>
      </c>
      <c r="AV351">
        <v>0</v>
      </c>
      <c r="AW351">
        <v>0</v>
      </c>
      <c r="AX351">
        <v>0</v>
      </c>
    </row>
    <row r="352" spans="1:50" x14ac:dyDescent="0.35">
      <c r="A352" t="s">
        <v>1067</v>
      </c>
      <c r="B352" s="249">
        <f t="shared" si="5"/>
        <v>1.5561063555256001E-2</v>
      </c>
      <c r="C352" s="217">
        <v>3.7174134999999999E-7</v>
      </c>
      <c r="D352">
        <v>9.7725799999999995E-4</v>
      </c>
      <c r="E352">
        <v>0.13058052000000001</v>
      </c>
      <c r="F352" s="217">
        <v>2.4384288000000001E-8</v>
      </c>
      <c r="G352" s="217">
        <v>7.7468161000000005E-5</v>
      </c>
      <c r="H352">
        <v>5.6573443000000005E-4</v>
      </c>
      <c r="I352">
        <v>1.140981E-4</v>
      </c>
      <c r="J352">
        <v>5.3532431999999998E-2</v>
      </c>
      <c r="K352">
        <v>1.5552369000000001E-3</v>
      </c>
      <c r="L352">
        <v>5.5447635999999996</v>
      </c>
      <c r="M352">
        <v>1.8459965E-4</v>
      </c>
      <c r="N352">
        <v>0.13176552</v>
      </c>
      <c r="O352">
        <v>0.13168814000000001</v>
      </c>
      <c r="P352" s="217">
        <v>3.8225159000000002E-5</v>
      </c>
      <c r="Q352" s="217">
        <v>3.9149544999999998E-5</v>
      </c>
      <c r="R352" s="217">
        <v>3.063034E-8</v>
      </c>
      <c r="S352">
        <v>7.5279546999999997E-4</v>
      </c>
      <c r="T352" s="217">
        <v>1.9771501000000001E-6</v>
      </c>
      <c r="U352">
        <v>2.6407588999999998E-4</v>
      </c>
      <c r="V352">
        <v>2.9234498000000001E-3</v>
      </c>
      <c r="W352">
        <v>8.3115566000000005E-4</v>
      </c>
      <c r="X352" s="217">
        <v>3.7173985999999999E-7</v>
      </c>
      <c r="Y352">
        <v>2.0422796000000001</v>
      </c>
      <c r="Z352">
        <v>1.4530296E-2</v>
      </c>
      <c r="AA352" s="217">
        <v>1.1921932999999999E-8</v>
      </c>
      <c r="AB352">
        <v>8.6820817000000002E-3</v>
      </c>
      <c r="AC352">
        <v>1.4655087</v>
      </c>
      <c r="AD352" s="217">
        <v>5.5562106000000001E-11</v>
      </c>
      <c r="AE352" s="217">
        <v>1.8648070000000002E-9</v>
      </c>
      <c r="AF352">
        <v>1.7012579000000001</v>
      </c>
      <c r="AG352">
        <v>0</v>
      </c>
      <c r="AH352">
        <v>0</v>
      </c>
      <c r="AI352">
        <v>2.1371523E-2</v>
      </c>
      <c r="AJ352">
        <v>0</v>
      </c>
      <c r="AK352">
        <v>0</v>
      </c>
      <c r="AL352">
        <v>2.1685805</v>
      </c>
      <c r="AM352">
        <v>0</v>
      </c>
      <c r="AN352">
        <v>0</v>
      </c>
      <c r="AO352">
        <v>0</v>
      </c>
      <c r="AP352">
        <v>3.8514073999999999E-4</v>
      </c>
      <c r="AQ352" s="217">
        <v>1.2970777E-6</v>
      </c>
      <c r="AR352">
        <v>0.12420676</v>
      </c>
      <c r="AS352" s="217">
        <v>1.3730026E-5</v>
      </c>
      <c r="AT352">
        <v>0</v>
      </c>
      <c r="AU352">
        <v>0</v>
      </c>
      <c r="AV352">
        <v>0</v>
      </c>
      <c r="AW352">
        <v>0</v>
      </c>
      <c r="AX352">
        <v>0</v>
      </c>
    </row>
    <row r="353" spans="1:50" x14ac:dyDescent="0.35">
      <c r="A353" t="s">
        <v>1068</v>
      </c>
      <c r="B353" s="249">
        <f t="shared" si="5"/>
        <v>2.2898428488117597</v>
      </c>
      <c r="C353" s="217">
        <v>2.4710635999999999E-5</v>
      </c>
      <c r="D353">
        <v>1.8920434999999999E-2</v>
      </c>
      <c r="E353">
        <v>4.6905621000000002</v>
      </c>
      <c r="F353" s="217">
        <v>2.4147839999999998E-7</v>
      </c>
      <c r="G353">
        <v>3.1566295000000001E-2</v>
      </c>
      <c r="H353">
        <v>0.28115466</v>
      </c>
      <c r="I353">
        <v>6.8926587999999997E-2</v>
      </c>
      <c r="J353">
        <v>2.5486380999999998</v>
      </c>
      <c r="K353">
        <v>3.7686903000000001E-2</v>
      </c>
      <c r="L353">
        <v>133.3047</v>
      </c>
      <c r="M353">
        <v>5.7874678000000004E-3</v>
      </c>
      <c r="N353">
        <v>5.0284202000000002</v>
      </c>
      <c r="O353">
        <v>5.0997971</v>
      </c>
      <c r="P353">
        <v>-7.6156048000000004E-2</v>
      </c>
      <c r="Q353">
        <v>4.7791520000000001E-3</v>
      </c>
      <c r="R353" s="217">
        <v>2.8669930999999998E-7</v>
      </c>
      <c r="S353">
        <v>0.45150933999999998</v>
      </c>
      <c r="T353">
        <v>2.4883118000000002E-4</v>
      </c>
      <c r="U353">
        <v>0.13876548999999999</v>
      </c>
      <c r="V353">
        <v>2.2826168999999998</v>
      </c>
      <c r="W353">
        <v>0.40736552999999998</v>
      </c>
      <c r="X353" s="217">
        <v>2.4699088999999999E-5</v>
      </c>
      <c r="Y353">
        <v>34.481855000000003</v>
      </c>
      <c r="Z353">
        <v>1.5063413000000001</v>
      </c>
      <c r="AA353" s="217">
        <v>3.3073986999999998E-6</v>
      </c>
      <c r="AB353">
        <v>8.4188451999999997E-2</v>
      </c>
      <c r="AC353">
        <v>28466.239000000001</v>
      </c>
      <c r="AD353" s="217">
        <v>2.7136693E-9</v>
      </c>
      <c r="AE353" s="217">
        <v>1.4819242E-7</v>
      </c>
      <c r="AF353">
        <v>14.368271999999999</v>
      </c>
      <c r="AG353">
        <v>0</v>
      </c>
      <c r="AH353">
        <v>0</v>
      </c>
      <c r="AI353">
        <v>3.3676582000000002</v>
      </c>
      <c r="AJ353">
        <v>0</v>
      </c>
      <c r="AK353">
        <v>0</v>
      </c>
      <c r="AL353">
        <v>37.036560999999999</v>
      </c>
      <c r="AM353">
        <v>0</v>
      </c>
      <c r="AN353">
        <v>0</v>
      </c>
      <c r="AO353">
        <v>0</v>
      </c>
      <c r="AP353">
        <v>4.0358090999999999E-2</v>
      </c>
      <c r="AQ353">
        <v>1.7241368E-4</v>
      </c>
      <c r="AR353">
        <v>0.43369037999999999</v>
      </c>
      <c r="AS353">
        <v>1.0818341000000001E-4</v>
      </c>
      <c r="AT353">
        <v>0</v>
      </c>
      <c r="AU353">
        <v>0</v>
      </c>
      <c r="AV353">
        <v>0</v>
      </c>
      <c r="AW353">
        <v>0</v>
      </c>
      <c r="AX353">
        <v>0</v>
      </c>
    </row>
    <row r="354" spans="1:50" x14ac:dyDescent="0.35">
      <c r="A354" t="s">
        <v>1069</v>
      </c>
      <c r="B354" s="249">
        <f t="shared" si="5"/>
        <v>0.24574341440057798</v>
      </c>
      <c r="C354" s="217">
        <v>4.3354893E-6</v>
      </c>
      <c r="D354">
        <v>8.5280531999999999E-3</v>
      </c>
      <c r="E354">
        <v>1.3294873</v>
      </c>
      <c r="F354" s="217">
        <v>8.5063342999999999E-8</v>
      </c>
      <c r="G354">
        <v>4.4858220000000001E-4</v>
      </c>
      <c r="H354">
        <v>5.5377967999999996E-3</v>
      </c>
      <c r="I354">
        <v>9.6981045999999999E-4</v>
      </c>
      <c r="J354">
        <v>1.5461326</v>
      </c>
      <c r="K354">
        <v>3.1384911000000001E-2</v>
      </c>
      <c r="L354">
        <v>54.958302000000003</v>
      </c>
      <c r="M354">
        <v>8.9226340000000005E-3</v>
      </c>
      <c r="N354">
        <v>1.4279976999999999</v>
      </c>
      <c r="O354">
        <v>1.2505459999999999</v>
      </c>
      <c r="P354">
        <v>0.17567991999999999</v>
      </c>
      <c r="Q354">
        <v>1.7717481999999999E-3</v>
      </c>
      <c r="R354" s="217">
        <v>8.0175647999999996E-8</v>
      </c>
      <c r="S354">
        <v>6.9624318000000001E-3</v>
      </c>
      <c r="T354">
        <v>1.0027138E-4</v>
      </c>
      <c r="U354">
        <v>1.2989212E-3</v>
      </c>
      <c r="V354">
        <v>1.5179476000000001E-2</v>
      </c>
      <c r="W354">
        <v>3.2634843000000002E-3</v>
      </c>
      <c r="X354" s="217">
        <v>4.3355300999999997E-6</v>
      </c>
      <c r="Y354">
        <v>17.516052999999999</v>
      </c>
      <c r="Z354">
        <v>0.30323275</v>
      </c>
      <c r="AA354" s="217">
        <v>6.0741812999999999E-8</v>
      </c>
      <c r="AB354">
        <v>9.0090143999999997E-2</v>
      </c>
      <c r="AC354">
        <v>104.22117</v>
      </c>
      <c r="AD354" s="217">
        <v>1.0907665000000001E-9</v>
      </c>
      <c r="AE354" s="217">
        <v>1.7567164E-8</v>
      </c>
      <c r="AF354">
        <v>8.6320467999999995</v>
      </c>
      <c r="AG354">
        <v>0</v>
      </c>
      <c r="AH354">
        <v>0</v>
      </c>
      <c r="AI354">
        <v>2.0903882999999999</v>
      </c>
      <c r="AJ354">
        <v>0</v>
      </c>
      <c r="AK354">
        <v>0</v>
      </c>
      <c r="AL354">
        <v>18.611549</v>
      </c>
      <c r="AM354">
        <v>0</v>
      </c>
      <c r="AN354">
        <v>0</v>
      </c>
      <c r="AO354">
        <v>0</v>
      </c>
      <c r="AP354">
        <v>1.1434414E-2</v>
      </c>
      <c r="AQ354" s="217">
        <v>2.8867692E-5</v>
      </c>
      <c r="AR354">
        <v>0.14198579</v>
      </c>
      <c r="AS354" s="217">
        <v>7.3669674000000006E-5</v>
      </c>
      <c r="AT354">
        <v>0</v>
      </c>
      <c r="AU354">
        <v>0</v>
      </c>
      <c r="AV354">
        <v>0</v>
      </c>
      <c r="AW354">
        <v>0</v>
      </c>
      <c r="AX354">
        <v>0</v>
      </c>
    </row>
    <row r="355" spans="1:50" x14ac:dyDescent="0.35">
      <c r="A355" t="s">
        <v>1070</v>
      </c>
      <c r="B355" s="249">
        <f t="shared" si="5"/>
        <v>0.10827494449326</v>
      </c>
      <c r="C355" s="217">
        <v>9.7773825000000002E-7</v>
      </c>
      <c r="D355">
        <v>6.7778283000000002E-3</v>
      </c>
      <c r="E355">
        <v>0.94954108999999998</v>
      </c>
      <c r="F355" s="217">
        <v>7.2215738000000005E-8</v>
      </c>
      <c r="G355">
        <v>2.6710200000000002E-4</v>
      </c>
      <c r="H355">
        <v>4.3820016999999998E-3</v>
      </c>
      <c r="I355">
        <v>5.7193027999999997E-4</v>
      </c>
      <c r="J355">
        <v>0.37044371999999998</v>
      </c>
      <c r="K355">
        <v>6.2438661000000003E-3</v>
      </c>
      <c r="L355">
        <v>28.560307000000002</v>
      </c>
      <c r="M355">
        <v>1.9708292E-3</v>
      </c>
      <c r="N355">
        <v>0.92036604</v>
      </c>
      <c r="O355">
        <v>0.95315123000000002</v>
      </c>
      <c r="P355">
        <v>-3.4670860999999997E-2</v>
      </c>
      <c r="Q355">
        <v>1.8856687000000001E-3</v>
      </c>
      <c r="R355" s="217">
        <v>6.4783044999999996E-8</v>
      </c>
      <c r="S355">
        <v>5.5011673000000001E-3</v>
      </c>
      <c r="T355" s="217">
        <v>6.7334662E-5</v>
      </c>
      <c r="U355">
        <v>7.4913118999999999E-4</v>
      </c>
      <c r="V355">
        <v>1.1571311000000001E-2</v>
      </c>
      <c r="W355">
        <v>2.2821424000000002E-3</v>
      </c>
      <c r="X355" s="217">
        <v>9.7765192000000005E-7</v>
      </c>
      <c r="Y355">
        <v>14.767761999999999</v>
      </c>
      <c r="Z355">
        <v>0.48029063999999999</v>
      </c>
      <c r="AA355" s="217">
        <v>3.4825998000000003E-8</v>
      </c>
      <c r="AB355">
        <v>8.2158732999999998E-2</v>
      </c>
      <c r="AC355">
        <v>21.168589000000001</v>
      </c>
      <c r="AD355" s="217">
        <v>4.4677735000000002E-10</v>
      </c>
      <c r="AE355" s="217">
        <v>1.070574E-8</v>
      </c>
      <c r="AF355">
        <v>8.1837871</v>
      </c>
      <c r="AG355">
        <v>0</v>
      </c>
      <c r="AH355">
        <v>0</v>
      </c>
      <c r="AI355">
        <v>2.5195679000000002</v>
      </c>
      <c r="AJ355">
        <v>0</v>
      </c>
      <c r="AK355">
        <v>0</v>
      </c>
      <c r="AL355">
        <v>15.673802</v>
      </c>
      <c r="AM355">
        <v>0</v>
      </c>
      <c r="AN355">
        <v>0</v>
      </c>
      <c r="AO355">
        <v>0</v>
      </c>
      <c r="AP355">
        <v>1.5959887999999998E-2</v>
      </c>
      <c r="AQ355">
        <v>1.6376493E-3</v>
      </c>
      <c r="AR355">
        <v>0.1196979</v>
      </c>
      <c r="AS355" s="217">
        <v>6.8551136E-5</v>
      </c>
      <c r="AT355">
        <v>0</v>
      </c>
      <c r="AU355">
        <v>0</v>
      </c>
      <c r="AV355">
        <v>0</v>
      </c>
      <c r="AW355">
        <v>0</v>
      </c>
      <c r="AX355">
        <v>0</v>
      </c>
    </row>
    <row r="356" spans="1:50" x14ac:dyDescent="0.35">
      <c r="A356" t="s">
        <v>1071</v>
      </c>
      <c r="B356" s="249">
        <f t="shared" si="5"/>
        <v>5.1802230051858002E-2</v>
      </c>
      <c r="C356" s="217">
        <v>6.8558855000000002E-7</v>
      </c>
      <c r="D356">
        <v>3.1920570999999999E-3</v>
      </c>
      <c r="E356">
        <v>0.45119946999999999</v>
      </c>
      <c r="F356" s="217">
        <v>2.2472002999999999E-8</v>
      </c>
      <c r="G356">
        <v>1.4295388000000001E-4</v>
      </c>
      <c r="H356">
        <v>2.2425709E-3</v>
      </c>
      <c r="I356">
        <v>2.5649716000000002E-4</v>
      </c>
      <c r="J356">
        <v>0.17440842000000001</v>
      </c>
      <c r="K356">
        <v>2.8682274999999998E-3</v>
      </c>
      <c r="L356">
        <v>13.287993999999999</v>
      </c>
      <c r="M356">
        <v>9.0789560999999998E-4</v>
      </c>
      <c r="N356">
        <v>0.40662320000000002</v>
      </c>
      <c r="O356">
        <v>0.45867597999999998</v>
      </c>
      <c r="P356">
        <v>-5.2705329000000002E-2</v>
      </c>
      <c r="Q356">
        <v>6.5254077000000002E-4</v>
      </c>
      <c r="R356" s="217">
        <v>2.1365773000000001E-8</v>
      </c>
      <c r="S356">
        <v>2.7356530000000002E-3</v>
      </c>
      <c r="T356" s="217">
        <v>2.9020392999999998E-5</v>
      </c>
      <c r="U356">
        <v>3.9503185999999999E-4</v>
      </c>
      <c r="V356">
        <v>5.2256652999999997E-3</v>
      </c>
      <c r="W356">
        <v>1.2471505E-3</v>
      </c>
      <c r="X356" s="217">
        <v>6.8558805000000001E-7</v>
      </c>
      <c r="Y356">
        <v>6.0659656000000002</v>
      </c>
      <c r="Z356">
        <v>0.40189465000000002</v>
      </c>
      <c r="AA356" s="217">
        <v>2.3283183E-8</v>
      </c>
      <c r="AB356">
        <v>2.7492974999999999E-2</v>
      </c>
      <c r="AC356">
        <v>8.8045682999999997</v>
      </c>
      <c r="AD356" s="217">
        <v>2.0778521999999999E-10</v>
      </c>
      <c r="AE356" s="217">
        <v>4.497694E-9</v>
      </c>
      <c r="AF356">
        <v>6.1398358999999996</v>
      </c>
      <c r="AG356">
        <v>0</v>
      </c>
      <c r="AH356">
        <v>0</v>
      </c>
      <c r="AI356">
        <v>1.3311499</v>
      </c>
      <c r="AJ356">
        <v>0</v>
      </c>
      <c r="AK356">
        <v>0</v>
      </c>
      <c r="AL356">
        <v>6.4302980999999999</v>
      </c>
      <c r="AM356">
        <v>0</v>
      </c>
      <c r="AN356">
        <v>0</v>
      </c>
      <c r="AO356">
        <v>0</v>
      </c>
      <c r="AP356">
        <v>1.0814290000000001E-2</v>
      </c>
      <c r="AQ356" s="217">
        <v>8.0412811E-6</v>
      </c>
      <c r="AR356">
        <v>3.6532323999999998E-2</v>
      </c>
      <c r="AS356" s="217">
        <v>2.1743175E-5</v>
      </c>
      <c r="AT356">
        <v>0</v>
      </c>
      <c r="AU356">
        <v>0</v>
      </c>
      <c r="AV356">
        <v>0</v>
      </c>
      <c r="AW356">
        <v>0</v>
      </c>
      <c r="AX356">
        <v>0</v>
      </c>
    </row>
    <row r="357" spans="1:50" x14ac:dyDescent="0.35">
      <c r="A357" t="s">
        <v>1072</v>
      </c>
      <c r="B357" s="249">
        <f t="shared" si="5"/>
        <v>6.6862338660508794E-2</v>
      </c>
      <c r="C357" s="217">
        <v>7.2572742999999997E-7</v>
      </c>
      <c r="D357">
        <v>4.1416366E-3</v>
      </c>
      <c r="E357">
        <v>0.57742892000000001</v>
      </c>
      <c r="F357" s="217">
        <v>3.1936804E-8</v>
      </c>
      <c r="G357">
        <v>1.8329946999999999E-4</v>
      </c>
      <c r="H357">
        <v>2.559431E-3</v>
      </c>
      <c r="I357">
        <v>3.2018405000000001E-4</v>
      </c>
      <c r="J357">
        <v>0.24317685999999999</v>
      </c>
      <c r="K357">
        <v>5.0944993999999999E-3</v>
      </c>
      <c r="L357">
        <v>17.224526000000001</v>
      </c>
      <c r="M357">
        <v>1.3328702E-3</v>
      </c>
      <c r="N357">
        <v>0.50109437999999995</v>
      </c>
      <c r="O357">
        <v>0.58686488999999997</v>
      </c>
      <c r="P357">
        <v>-8.6772404999999997E-2</v>
      </c>
      <c r="Q357">
        <v>1.0018920000000001E-3</v>
      </c>
      <c r="R357" s="217">
        <v>3.0850403999999998E-8</v>
      </c>
      <c r="S357">
        <v>3.1503384000000001E-3</v>
      </c>
      <c r="T357" s="217">
        <v>3.5389819000000003E-5</v>
      </c>
      <c r="U357">
        <v>4.8823483999999999E-4</v>
      </c>
      <c r="V357">
        <v>6.4310792999999998E-3</v>
      </c>
      <c r="W357">
        <v>1.5410767E-3</v>
      </c>
      <c r="X357" s="217">
        <v>7.2463841000000001E-7</v>
      </c>
      <c r="Y357">
        <v>8.0229318999999997</v>
      </c>
      <c r="Z357">
        <v>0.82697505000000004</v>
      </c>
      <c r="AA357" s="217">
        <v>2.6235160000000001E-8</v>
      </c>
      <c r="AB357">
        <v>3.6017673E-2</v>
      </c>
      <c r="AC357">
        <v>9.8538572999999996</v>
      </c>
      <c r="AD357" s="217">
        <v>2.6481895E-10</v>
      </c>
      <c r="AE357" s="217">
        <v>5.3474920000000003E-9</v>
      </c>
      <c r="AF357">
        <v>8.7673021999999996</v>
      </c>
      <c r="AG357">
        <v>0</v>
      </c>
      <c r="AH357">
        <v>0</v>
      </c>
      <c r="AI357">
        <v>1.9371750000000001</v>
      </c>
      <c r="AJ357">
        <v>0</v>
      </c>
      <c r="AK357">
        <v>0</v>
      </c>
      <c r="AL357">
        <v>8.5302249999999997</v>
      </c>
      <c r="AM357">
        <v>0</v>
      </c>
      <c r="AN357">
        <v>0</v>
      </c>
      <c r="AO357">
        <v>0</v>
      </c>
      <c r="AP357">
        <v>2.1126241E-2</v>
      </c>
      <c r="AQ357" s="217">
        <v>1.0709719E-5</v>
      </c>
      <c r="AR357">
        <v>4.6967080000000001E-2</v>
      </c>
      <c r="AS357" s="217">
        <v>2.8446419000000001E-5</v>
      </c>
      <c r="AT357">
        <v>0</v>
      </c>
      <c r="AU357">
        <v>0</v>
      </c>
      <c r="AV357">
        <v>0</v>
      </c>
      <c r="AW357">
        <v>0</v>
      </c>
      <c r="AX357">
        <v>0</v>
      </c>
    </row>
    <row r="358" spans="1:50" x14ac:dyDescent="0.35">
      <c r="A358" t="s">
        <v>1073</v>
      </c>
      <c r="B358" s="249">
        <f t="shared" si="5"/>
        <v>7.9388270196614791E-2</v>
      </c>
      <c r="C358" s="217">
        <v>6.4296453E-7</v>
      </c>
      <c r="D358">
        <v>3.7760420999999999E-3</v>
      </c>
      <c r="E358">
        <v>0.553338</v>
      </c>
      <c r="F358" s="217">
        <v>4.0627842999999998E-8</v>
      </c>
      <c r="G358">
        <v>1.4770540000000001E-4</v>
      </c>
      <c r="H358">
        <v>2.3537985E-3</v>
      </c>
      <c r="I358">
        <v>2.9263864E-4</v>
      </c>
      <c r="J358">
        <v>0.40706328000000003</v>
      </c>
      <c r="K358">
        <v>5.2459763E-3</v>
      </c>
      <c r="L358">
        <v>18.887495000000001</v>
      </c>
      <c r="M358">
        <v>1.4950867000000001E-3</v>
      </c>
      <c r="N358">
        <v>0.56477031</v>
      </c>
      <c r="O358">
        <v>0.56322415000000003</v>
      </c>
      <c r="P358">
        <v>6.2575344999999999E-4</v>
      </c>
      <c r="Q358">
        <v>9.2040381999999995E-4</v>
      </c>
      <c r="R358" s="217">
        <v>3.7002127E-8</v>
      </c>
      <c r="S358">
        <v>2.8823563000000001E-3</v>
      </c>
      <c r="T358" s="217">
        <v>3.3796763E-5</v>
      </c>
      <c r="U358">
        <v>4.6801382000000001E-4</v>
      </c>
      <c r="V358">
        <v>5.8977346999999998E-3</v>
      </c>
      <c r="W358">
        <v>1.4406270999999999E-3</v>
      </c>
      <c r="X358" s="217">
        <v>6.4296503999999995E-7</v>
      </c>
      <c r="Y358">
        <v>7.044098</v>
      </c>
      <c r="Z358">
        <v>9.1980116000000001E-2</v>
      </c>
      <c r="AA358" s="217">
        <v>2.7547689E-8</v>
      </c>
      <c r="AB358">
        <v>3.2313389999999997E-2</v>
      </c>
      <c r="AC358">
        <v>9.9493641000000004</v>
      </c>
      <c r="AD358" s="217">
        <v>2.9581448999999998E-10</v>
      </c>
      <c r="AE358" s="217">
        <v>5.4400211000000003E-9</v>
      </c>
      <c r="AF358">
        <v>1.1946384999999999</v>
      </c>
      <c r="AG358">
        <v>0</v>
      </c>
      <c r="AH358">
        <v>0</v>
      </c>
      <c r="AI358">
        <v>0.72986861999999997</v>
      </c>
      <c r="AJ358">
        <v>0</v>
      </c>
      <c r="AK358">
        <v>0</v>
      </c>
      <c r="AL358">
        <v>7.4761207000000001</v>
      </c>
      <c r="AM358">
        <v>0</v>
      </c>
      <c r="AN358">
        <v>0</v>
      </c>
      <c r="AO358">
        <v>0</v>
      </c>
      <c r="AP358">
        <v>3.7438099000000002E-3</v>
      </c>
      <c r="AQ358" s="217">
        <v>1.0262707E-5</v>
      </c>
      <c r="AR358">
        <v>4.3503152000000003E-2</v>
      </c>
      <c r="AS358" s="217">
        <v>2.4255640000000001E-5</v>
      </c>
      <c r="AT358">
        <v>0</v>
      </c>
      <c r="AU358">
        <v>0</v>
      </c>
      <c r="AV358">
        <v>0</v>
      </c>
      <c r="AW358">
        <v>0</v>
      </c>
      <c r="AX358">
        <v>0</v>
      </c>
    </row>
    <row r="359" spans="1:50" x14ac:dyDescent="0.35">
      <c r="A359" t="s">
        <v>1074</v>
      </c>
      <c r="B359" s="249">
        <f t="shared" si="5"/>
        <v>0.225078908755836</v>
      </c>
      <c r="C359" s="217">
        <v>3.9620961000000004E-6</v>
      </c>
      <c r="D359">
        <v>6.8076585999999996E-3</v>
      </c>
      <c r="E359">
        <v>1.1174717000000001</v>
      </c>
      <c r="F359" s="217">
        <v>6.6592882000000002E-8</v>
      </c>
      <c r="G359">
        <v>4.2289638999999998E-4</v>
      </c>
      <c r="H359">
        <v>4.7633913999999998E-3</v>
      </c>
      <c r="I359">
        <v>7.7963817E-4</v>
      </c>
      <c r="J359">
        <v>1.5023512999999999</v>
      </c>
      <c r="K359">
        <v>2.9596213999999999E-2</v>
      </c>
      <c r="L359">
        <v>46.909801000000002</v>
      </c>
      <c r="M359">
        <v>6.7813537999999998E-3</v>
      </c>
      <c r="N359">
        <v>1.2112407000000001</v>
      </c>
      <c r="O359">
        <v>1.0369225</v>
      </c>
      <c r="P359">
        <v>0.17329768000000001</v>
      </c>
      <c r="Q359">
        <v>1.0204916999999999E-3</v>
      </c>
      <c r="R359" s="217">
        <v>6.8065079999999993E-8</v>
      </c>
      <c r="S359">
        <v>5.886807E-3</v>
      </c>
      <c r="T359" s="217">
        <v>7.0357584000000002E-5</v>
      </c>
      <c r="U359">
        <v>1.1203127000000001E-3</v>
      </c>
      <c r="V359">
        <v>1.1811075000000001E-2</v>
      </c>
      <c r="W359">
        <v>2.7913015000000001E-3</v>
      </c>
      <c r="X359" s="217">
        <v>3.9621200000000003E-6</v>
      </c>
      <c r="Y359">
        <v>13.015267</v>
      </c>
      <c r="Z359">
        <v>0.22739829</v>
      </c>
      <c r="AA359" s="217">
        <v>6.4371194000000003E-8</v>
      </c>
      <c r="AB359">
        <v>5.0950627999999998E-2</v>
      </c>
      <c r="AC359">
        <v>102.70939</v>
      </c>
      <c r="AD359" s="217">
        <v>1.0248316E-9</v>
      </c>
      <c r="AE359" s="217">
        <v>1.5009481E-8</v>
      </c>
      <c r="AF359">
        <v>8.9283256000000009</v>
      </c>
      <c r="AG359">
        <v>0</v>
      </c>
      <c r="AH359">
        <v>0</v>
      </c>
      <c r="AI359">
        <v>1.4722862000000001</v>
      </c>
      <c r="AJ359">
        <v>0</v>
      </c>
      <c r="AK359">
        <v>0</v>
      </c>
      <c r="AL359">
        <v>13.886749</v>
      </c>
      <c r="AM359">
        <v>0</v>
      </c>
      <c r="AN359">
        <v>0</v>
      </c>
      <c r="AO359">
        <v>0</v>
      </c>
      <c r="AP359">
        <v>7.8433979999999997E-3</v>
      </c>
      <c r="AQ359" s="217">
        <v>2.1325268999999999E-5</v>
      </c>
      <c r="AR359">
        <v>0.11906567999999999</v>
      </c>
      <c r="AS359" s="217">
        <v>4.4016513999999999E-5</v>
      </c>
      <c r="AT359">
        <v>0</v>
      </c>
      <c r="AU359">
        <v>0</v>
      </c>
      <c r="AV359">
        <v>0</v>
      </c>
      <c r="AW359">
        <v>0</v>
      </c>
      <c r="AX359">
        <v>0</v>
      </c>
    </row>
    <row r="360" spans="1:50" x14ac:dyDescent="0.35">
      <c r="A360" t="s">
        <v>1075</v>
      </c>
      <c r="B360" s="249">
        <f t="shared" si="5"/>
        <v>6.98798897177232</v>
      </c>
      <c r="C360" s="217">
        <v>1.7699027000000002E-5</v>
      </c>
      <c r="D360">
        <v>0.36331438999999999</v>
      </c>
      <c r="E360">
        <v>52.481648999999997</v>
      </c>
      <c r="F360" s="217">
        <v>9.5141975999999992E-6</v>
      </c>
      <c r="G360">
        <v>5.3175923E-2</v>
      </c>
      <c r="H360">
        <v>0.39815826999999998</v>
      </c>
      <c r="I360">
        <v>8.9591460999999997E-2</v>
      </c>
      <c r="J360">
        <v>18.905918</v>
      </c>
      <c r="K360">
        <v>0.26350101999999997</v>
      </c>
      <c r="L360">
        <v>888.65322000000003</v>
      </c>
      <c r="M360">
        <v>3.1281900000000001E-2</v>
      </c>
      <c r="N360">
        <v>53.049864999999997</v>
      </c>
      <c r="O360">
        <v>53.036606999999997</v>
      </c>
      <c r="P360">
        <v>8.7527931999999992E-3</v>
      </c>
      <c r="Q360">
        <v>4.5047493000000003E-3</v>
      </c>
      <c r="R360" s="217">
        <v>1.1981891999999999E-5</v>
      </c>
      <c r="S360">
        <v>0.55591519</v>
      </c>
      <c r="T360">
        <v>4.0508687999999998E-4</v>
      </c>
      <c r="U360">
        <v>0.24096600000000001</v>
      </c>
      <c r="V360">
        <v>2.6481626</v>
      </c>
      <c r="W360">
        <v>0.72750711999999995</v>
      </c>
      <c r="X360" s="217">
        <v>1.7699253999999999E-5</v>
      </c>
      <c r="Y360">
        <v>767.01725999999996</v>
      </c>
      <c r="Z360">
        <v>4.1350024000000003</v>
      </c>
      <c r="AA360" s="217">
        <v>1.4545081E-5</v>
      </c>
      <c r="AB360">
        <v>3.3057829000000001</v>
      </c>
      <c r="AC360">
        <v>433.60323</v>
      </c>
      <c r="AD360" s="217">
        <v>1.4918042999999999E-8</v>
      </c>
      <c r="AE360" s="217">
        <v>3.7779918999999998E-7</v>
      </c>
      <c r="AF360">
        <v>97.147963000000004</v>
      </c>
      <c r="AG360">
        <v>0</v>
      </c>
      <c r="AH360">
        <v>0</v>
      </c>
      <c r="AI360">
        <v>4.443435</v>
      </c>
      <c r="AJ360">
        <v>0</v>
      </c>
      <c r="AK360">
        <v>0</v>
      </c>
      <c r="AL360">
        <v>814.49090000000001</v>
      </c>
      <c r="AM360">
        <v>0</v>
      </c>
      <c r="AN360">
        <v>0</v>
      </c>
      <c r="AO360">
        <v>0</v>
      </c>
      <c r="AP360">
        <v>0.1052703</v>
      </c>
      <c r="AQ360">
        <v>3.4203551E-4</v>
      </c>
      <c r="AR360">
        <v>0.81743580000000005</v>
      </c>
      <c r="AS360">
        <v>5.3278665000000003E-3</v>
      </c>
      <c r="AT360">
        <v>0</v>
      </c>
      <c r="AU360">
        <v>0</v>
      </c>
      <c r="AV360">
        <v>0</v>
      </c>
      <c r="AW360">
        <v>0</v>
      </c>
      <c r="AX360">
        <v>0</v>
      </c>
    </row>
    <row r="361" spans="1:50" x14ac:dyDescent="0.35">
      <c r="A361" t="s">
        <v>1076</v>
      </c>
      <c r="B361" s="249">
        <f t="shared" si="5"/>
        <v>7.9271746360441604</v>
      </c>
      <c r="C361" s="217">
        <v>2.0077776E-5</v>
      </c>
      <c r="D361">
        <v>0.41214383999999998</v>
      </c>
      <c r="E361">
        <v>59.535183000000004</v>
      </c>
      <c r="F361" s="217">
        <v>1.0792905999999999E-5</v>
      </c>
      <c r="G361">
        <v>6.0322766999999999E-2</v>
      </c>
      <c r="H361">
        <v>0.45167074000000001</v>
      </c>
      <c r="I361">
        <v>0.10163255</v>
      </c>
      <c r="J361">
        <v>21.446873</v>
      </c>
      <c r="K361">
        <v>0.29891556000000002</v>
      </c>
      <c r="L361">
        <v>1008.0882</v>
      </c>
      <c r="M361">
        <v>3.5486187000000002E-2</v>
      </c>
      <c r="N361">
        <v>60.179766999999998</v>
      </c>
      <c r="O361">
        <v>60.164726999999999</v>
      </c>
      <c r="P361">
        <v>9.9291685999999997E-3</v>
      </c>
      <c r="Q361">
        <v>5.1101875999999997E-3</v>
      </c>
      <c r="R361" s="217">
        <v>1.3592258E-5</v>
      </c>
      <c r="S361">
        <v>0.63063018999999998</v>
      </c>
      <c r="T361">
        <v>4.5953056000000003E-4</v>
      </c>
      <c r="U361">
        <v>0.27335183000000002</v>
      </c>
      <c r="V361">
        <v>3.0040757</v>
      </c>
      <c r="W361">
        <v>0.82528407999999998</v>
      </c>
      <c r="X361" s="217">
        <v>2.0078034E-5</v>
      </c>
      <c r="Y361">
        <v>870.10437999999999</v>
      </c>
      <c r="Z361">
        <v>4.6907467</v>
      </c>
      <c r="AA361" s="217">
        <v>1.6499939000000001E-5</v>
      </c>
      <c r="AB361">
        <v>3.7500800999999999</v>
      </c>
      <c r="AC361">
        <v>491.87950000000001</v>
      </c>
      <c r="AD361" s="217">
        <v>1.6923028000000001E-8</v>
      </c>
      <c r="AE361" s="217">
        <v>4.2857539999999998E-7</v>
      </c>
      <c r="AF361">
        <v>110.20465</v>
      </c>
      <c r="AG361">
        <v>0</v>
      </c>
      <c r="AH361">
        <v>0</v>
      </c>
      <c r="AI361">
        <v>5.0406326999999997</v>
      </c>
      <c r="AJ361">
        <v>0</v>
      </c>
      <c r="AK361">
        <v>0</v>
      </c>
      <c r="AL361">
        <v>923.95848000000001</v>
      </c>
      <c r="AM361">
        <v>0</v>
      </c>
      <c r="AN361">
        <v>0</v>
      </c>
      <c r="AO361">
        <v>0</v>
      </c>
      <c r="AP361">
        <v>0.11941863</v>
      </c>
      <c r="AQ361">
        <v>3.8800507999999997E-4</v>
      </c>
      <c r="AR361">
        <v>0.92729916999999995</v>
      </c>
      <c r="AS361">
        <v>6.0439316999999996E-3</v>
      </c>
      <c r="AT361">
        <v>0</v>
      </c>
      <c r="AU361">
        <v>0</v>
      </c>
      <c r="AV361">
        <v>0</v>
      </c>
      <c r="AW361">
        <v>0</v>
      </c>
      <c r="AX361">
        <v>0</v>
      </c>
    </row>
    <row r="362" spans="1:50" x14ac:dyDescent="0.35">
      <c r="A362" t="s">
        <v>1077</v>
      </c>
      <c r="B362" s="249">
        <f t="shared" si="5"/>
        <v>1.8514685554582001E-2</v>
      </c>
      <c r="C362" s="217">
        <v>3.8613494999999999E-7</v>
      </c>
      <c r="D362">
        <v>1.1644242999999999E-3</v>
      </c>
      <c r="E362">
        <v>0.17534859</v>
      </c>
      <c r="F362" s="217">
        <v>1.6583432999999999E-8</v>
      </c>
      <c r="G362" s="217">
        <v>6.5575063E-5</v>
      </c>
      <c r="H362">
        <v>1.1238259E-3</v>
      </c>
      <c r="I362" s="217">
        <v>9.8586599999999996E-5</v>
      </c>
      <c r="J362">
        <v>3.8084681000000002E-2</v>
      </c>
      <c r="K362">
        <v>1.2293577E-3</v>
      </c>
      <c r="L362">
        <v>5.7570408000000004</v>
      </c>
      <c r="M362">
        <v>1.0749425E-4</v>
      </c>
      <c r="N362">
        <v>0.17751349</v>
      </c>
      <c r="O362">
        <v>0.17679595000000001</v>
      </c>
      <c r="P362">
        <v>6.8098259999999999E-4</v>
      </c>
      <c r="Q362" s="217">
        <v>3.6562593000000002E-5</v>
      </c>
      <c r="R362" s="217">
        <v>1.9830979000000001E-8</v>
      </c>
      <c r="S362">
        <v>1.362905E-3</v>
      </c>
      <c r="T362" s="217">
        <v>4.066815E-6</v>
      </c>
      <c r="U362">
        <v>2.1489892E-4</v>
      </c>
      <c r="V362">
        <v>2.6356609E-3</v>
      </c>
      <c r="W362">
        <v>6.6195972999999995E-4</v>
      </c>
      <c r="X362" s="217">
        <v>3.8613760000000002E-7</v>
      </c>
      <c r="Y362">
        <v>2.1972445999999999</v>
      </c>
      <c r="Z362">
        <v>3.4044063999999999E-2</v>
      </c>
      <c r="AA362" s="217">
        <v>1.2942731999999999E-8</v>
      </c>
      <c r="AB362">
        <v>3.5225106000000002E-3</v>
      </c>
      <c r="AC362">
        <v>2.7701965999999998</v>
      </c>
      <c r="AD362" s="217">
        <v>2.8049579999999999E-11</v>
      </c>
      <c r="AE362" s="217">
        <v>8.5793232000000005E-10</v>
      </c>
      <c r="AF362">
        <v>0.40127901999999999</v>
      </c>
      <c r="AG362">
        <v>0</v>
      </c>
      <c r="AH362">
        <v>0</v>
      </c>
      <c r="AI362">
        <v>5.9857938999999999E-2</v>
      </c>
      <c r="AJ362">
        <v>0</v>
      </c>
      <c r="AK362">
        <v>0</v>
      </c>
      <c r="AL362">
        <v>2.3981170000000001</v>
      </c>
      <c r="AM362">
        <v>0</v>
      </c>
      <c r="AN362">
        <v>0</v>
      </c>
      <c r="AO362">
        <v>0</v>
      </c>
      <c r="AP362">
        <v>8.4584264999999997E-4</v>
      </c>
      <c r="AQ362" s="217">
        <v>2.4070697E-6</v>
      </c>
      <c r="AR362">
        <v>8.0958121000000004E-3</v>
      </c>
      <c r="AS362" s="217">
        <v>4.8376264000000001E-6</v>
      </c>
      <c r="AT362">
        <v>0</v>
      </c>
      <c r="AU362">
        <v>0</v>
      </c>
      <c r="AV362">
        <v>0</v>
      </c>
      <c r="AW362">
        <v>0</v>
      </c>
      <c r="AX362">
        <v>0</v>
      </c>
    </row>
    <row r="363" spans="1:50" x14ac:dyDescent="0.35">
      <c r="A363" t="s">
        <v>1078</v>
      </c>
      <c r="B363" s="249">
        <f t="shared" si="5"/>
        <v>12.443040095263921</v>
      </c>
      <c r="C363" s="217">
        <v>3.1515462000000003E-5</v>
      </c>
      <c r="D363">
        <v>0.64692939999999999</v>
      </c>
      <c r="E363">
        <v>93.450529000000003</v>
      </c>
      <c r="F363" s="217">
        <v>1.6941289E-5</v>
      </c>
      <c r="G363">
        <v>9.4686776E-2</v>
      </c>
      <c r="H363">
        <v>0.70897354000000001</v>
      </c>
      <c r="I363">
        <v>0.15952947000000001</v>
      </c>
      <c r="J363">
        <v>33.664490999999998</v>
      </c>
      <c r="K363">
        <v>0.46919846999999998</v>
      </c>
      <c r="L363">
        <v>1582.3648000000001</v>
      </c>
      <c r="M363">
        <v>5.5701567E-2</v>
      </c>
      <c r="N363">
        <v>94.462311999999997</v>
      </c>
      <c r="O363">
        <v>94.438704999999999</v>
      </c>
      <c r="P363">
        <v>1.5585508E-2</v>
      </c>
      <c r="Q363">
        <v>8.0213029000000009E-3</v>
      </c>
      <c r="R363" s="217">
        <v>2.1335346000000001E-5</v>
      </c>
      <c r="S363">
        <v>0.98988063999999998</v>
      </c>
      <c r="T363">
        <v>7.2131086E-4</v>
      </c>
      <c r="U363">
        <v>0.42907188000000002</v>
      </c>
      <c r="V363">
        <v>4.7154043999999997</v>
      </c>
      <c r="W363">
        <v>1.2954228000000001</v>
      </c>
      <c r="X363" s="217">
        <v>3.1515866000000001E-5</v>
      </c>
      <c r="Y363">
        <v>1365.7757999999999</v>
      </c>
      <c r="Z363">
        <v>7.3629195999999997</v>
      </c>
      <c r="AA363" s="217">
        <v>2.5899442999999999E-5</v>
      </c>
      <c r="AB363">
        <v>5.8863843999999999</v>
      </c>
      <c r="AC363">
        <v>772.08798999999999</v>
      </c>
      <c r="AD363" s="217">
        <v>2.6563552000000002E-8</v>
      </c>
      <c r="AE363" s="217">
        <v>6.7272151000000003E-7</v>
      </c>
      <c r="AF363">
        <v>172.98482000000001</v>
      </c>
      <c r="AG363">
        <v>0</v>
      </c>
      <c r="AH363">
        <v>0</v>
      </c>
      <c r="AI363">
        <v>7.9121246999999997</v>
      </c>
      <c r="AJ363">
        <v>0</v>
      </c>
      <c r="AK363">
        <v>0</v>
      </c>
      <c r="AL363">
        <v>1450.3089</v>
      </c>
      <c r="AM363">
        <v>0</v>
      </c>
      <c r="AN363">
        <v>0</v>
      </c>
      <c r="AO363">
        <v>0</v>
      </c>
      <c r="AP363">
        <v>0.18744770999999999</v>
      </c>
      <c r="AQ363">
        <v>6.0903952999999996E-4</v>
      </c>
      <c r="AR363">
        <v>1.4555526999999999</v>
      </c>
      <c r="AS363">
        <v>9.4869719999999998E-3</v>
      </c>
      <c r="AT363">
        <v>0</v>
      </c>
      <c r="AU363">
        <v>0</v>
      </c>
      <c r="AV363">
        <v>0</v>
      </c>
      <c r="AW363">
        <v>0</v>
      </c>
      <c r="AX363">
        <v>0</v>
      </c>
    </row>
    <row r="364" spans="1:50" x14ac:dyDescent="0.35">
      <c r="A364" t="s">
        <v>1079</v>
      </c>
      <c r="B364" s="249">
        <f t="shared" si="5"/>
        <v>8.749699511878001</v>
      </c>
      <c r="C364" s="217">
        <v>2.216105E-5</v>
      </c>
      <c r="D364">
        <v>0.45490795000000001</v>
      </c>
      <c r="E364">
        <v>65.712563000000003</v>
      </c>
      <c r="F364" s="217">
        <v>1.1912779E-5</v>
      </c>
      <c r="G364">
        <v>6.6581867000000003E-2</v>
      </c>
      <c r="H364">
        <v>0.49853616000000001</v>
      </c>
      <c r="I364">
        <v>0.11217795999999999</v>
      </c>
      <c r="J364">
        <v>23.672204000000001</v>
      </c>
      <c r="K364">
        <v>0.32993107999999999</v>
      </c>
      <c r="L364">
        <v>1112.6876</v>
      </c>
      <c r="M364">
        <v>3.9168239000000001E-2</v>
      </c>
      <c r="N364">
        <v>66.424029000000004</v>
      </c>
      <c r="O364">
        <v>66.407428999999993</v>
      </c>
      <c r="P364">
        <v>1.0959421E-2</v>
      </c>
      <c r="Q364">
        <v>5.6404215000000002E-3</v>
      </c>
      <c r="R364" s="217">
        <v>1.5002593E-5</v>
      </c>
      <c r="S364">
        <v>0.69606447999999999</v>
      </c>
      <c r="T364">
        <v>5.0721152000000002E-4</v>
      </c>
      <c r="U364">
        <v>0.30171484999999998</v>
      </c>
      <c r="V364">
        <v>3.315779</v>
      </c>
      <c r="W364">
        <v>0.91091568000000001</v>
      </c>
      <c r="X364" s="217">
        <v>2.2161334E-5</v>
      </c>
      <c r="Y364">
        <v>960.38653999999997</v>
      </c>
      <c r="Z364">
        <v>5.1774592999999998</v>
      </c>
      <c r="AA364" s="217">
        <v>1.8211975999999999E-5</v>
      </c>
      <c r="AB364">
        <v>4.139189</v>
      </c>
      <c r="AC364">
        <v>542.91699000000006</v>
      </c>
      <c r="AD364" s="217">
        <v>1.8678964E-8</v>
      </c>
      <c r="AE364" s="217">
        <v>4.7304445E-7</v>
      </c>
      <c r="AF364">
        <v>121.6395</v>
      </c>
      <c r="AG364">
        <v>0</v>
      </c>
      <c r="AH364">
        <v>0</v>
      </c>
      <c r="AI364">
        <v>5.5636495000000004</v>
      </c>
      <c r="AJ364">
        <v>0</v>
      </c>
      <c r="AK364">
        <v>0</v>
      </c>
      <c r="AL364">
        <v>1019.8286000000001</v>
      </c>
      <c r="AM364">
        <v>0</v>
      </c>
      <c r="AN364">
        <v>0</v>
      </c>
      <c r="AO364">
        <v>0</v>
      </c>
      <c r="AP364">
        <v>0.13180952000000001</v>
      </c>
      <c r="AQ364">
        <v>4.2826455E-4</v>
      </c>
      <c r="AR364">
        <v>1.0235159</v>
      </c>
      <c r="AS364">
        <v>6.6710509999999999E-3</v>
      </c>
      <c r="AT364">
        <v>0</v>
      </c>
      <c r="AU364">
        <v>0</v>
      </c>
      <c r="AV364">
        <v>0</v>
      </c>
      <c r="AW364">
        <v>0</v>
      </c>
      <c r="AX364">
        <v>0</v>
      </c>
    </row>
    <row r="365" spans="1:50" x14ac:dyDescent="0.35">
      <c r="A365" t="s">
        <v>1080</v>
      </c>
      <c r="B365" s="249">
        <f t="shared" si="5"/>
        <v>1.3534146002865999</v>
      </c>
      <c r="C365">
        <v>2.0097543000000001E-4</v>
      </c>
      <c r="D365">
        <v>3.4048421000000002E-2</v>
      </c>
      <c r="E365">
        <v>4.0549524999999997</v>
      </c>
      <c r="F365" s="217">
        <v>5.5486925999999995E-7</v>
      </c>
      <c r="G365">
        <v>3.4338560999999999E-3</v>
      </c>
      <c r="H365">
        <v>5.1413622999999999E-2</v>
      </c>
      <c r="I365">
        <v>1.4963736E-2</v>
      </c>
      <c r="J365">
        <v>6.9271630999999996</v>
      </c>
      <c r="K365">
        <v>2.3032566000000001</v>
      </c>
      <c r="L365">
        <v>1042.0253</v>
      </c>
      <c r="M365">
        <v>2.0494842999999999E-2</v>
      </c>
      <c r="N365">
        <v>4.1729257999999998</v>
      </c>
      <c r="O365">
        <v>4.1885712000000002</v>
      </c>
      <c r="P365">
        <v>-1.8914385999999998E-2</v>
      </c>
      <c r="Q365">
        <v>3.2689473E-3</v>
      </c>
      <c r="R365" s="217">
        <v>5.8185828999999999E-7</v>
      </c>
      <c r="S365">
        <v>6.0181933E-2</v>
      </c>
      <c r="T365">
        <v>3.2970299999999998E-3</v>
      </c>
      <c r="U365">
        <v>9.5168332999999994E-3</v>
      </c>
      <c r="V365">
        <v>6.6969256000000005E-2</v>
      </c>
      <c r="W365">
        <v>1.7172665E-2</v>
      </c>
      <c r="X365">
        <v>2.0098916000000001E-4</v>
      </c>
      <c r="Y365">
        <v>65.477361999999999</v>
      </c>
      <c r="Z365">
        <v>3.4955010999999998</v>
      </c>
      <c r="AA365" s="217">
        <v>2.6220639999999998E-7</v>
      </c>
      <c r="AB365">
        <v>0.13593536000000001</v>
      </c>
      <c r="AC365">
        <v>641.72811000000002</v>
      </c>
      <c r="AD365" s="217">
        <v>1.2193569E-8</v>
      </c>
      <c r="AE365" s="217">
        <v>4.2876875000000001E-7</v>
      </c>
      <c r="AF365">
        <v>50.796850999999997</v>
      </c>
      <c r="AG365">
        <v>0</v>
      </c>
      <c r="AH365">
        <v>0</v>
      </c>
      <c r="AI365">
        <v>3.8750333000000001</v>
      </c>
      <c r="AJ365">
        <v>0</v>
      </c>
      <c r="AK365">
        <v>0</v>
      </c>
      <c r="AL365">
        <v>70.216577999999998</v>
      </c>
      <c r="AM365">
        <v>0</v>
      </c>
      <c r="AN365">
        <v>0</v>
      </c>
      <c r="AO365">
        <v>0</v>
      </c>
      <c r="AP365">
        <v>8.6843937999999996E-2</v>
      </c>
      <c r="AQ365" s="217">
        <v>7.6302268000000002E-5</v>
      </c>
      <c r="AR365">
        <v>0.64494459000000004</v>
      </c>
      <c r="AS365">
        <v>1.3136705000000001E-4</v>
      </c>
      <c r="AT365">
        <v>0</v>
      </c>
      <c r="AU365">
        <v>0</v>
      </c>
      <c r="AV365">
        <v>0</v>
      </c>
      <c r="AW365">
        <v>0</v>
      </c>
      <c r="AX365">
        <v>0</v>
      </c>
    </row>
    <row r="366" spans="1:50" x14ac:dyDescent="0.35">
      <c r="A366" t="s">
        <v>1081</v>
      </c>
      <c r="B366" s="249">
        <f t="shared" si="5"/>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row>
    <row r="367" spans="1:50" x14ac:dyDescent="0.35">
      <c r="A367" t="s">
        <v>1082</v>
      </c>
      <c r="B367" s="249">
        <f t="shared" si="5"/>
        <v>0.90076556437978006</v>
      </c>
      <c r="C367" s="217">
        <v>6.5552980000000001E-6</v>
      </c>
      <c r="D367">
        <v>8.0943505999999995E-3</v>
      </c>
      <c r="E367">
        <v>3.9970609000000001</v>
      </c>
      <c r="F367" s="217">
        <v>1.5200787E-7</v>
      </c>
      <c r="G367">
        <v>6.1033199000000002E-3</v>
      </c>
      <c r="H367">
        <v>4.0003904E-2</v>
      </c>
      <c r="I367">
        <v>1.7991719999999999E-2</v>
      </c>
      <c r="J367">
        <v>1.8353109000000001</v>
      </c>
      <c r="K367">
        <v>3.4830122000000001</v>
      </c>
      <c r="L367">
        <v>36.660553999999998</v>
      </c>
      <c r="M367">
        <v>1.5354946</v>
      </c>
      <c r="N367">
        <v>0.11045065</v>
      </c>
      <c r="O367">
        <v>1.3571746</v>
      </c>
      <c r="P367">
        <v>-3.9691662999999999</v>
      </c>
      <c r="Q367">
        <v>2.7224423999999998</v>
      </c>
      <c r="R367" s="217">
        <v>1.6702857999999999E-7</v>
      </c>
      <c r="S367">
        <v>5.9629406000000003E-2</v>
      </c>
      <c r="T367">
        <v>1.8073146999999999E-4</v>
      </c>
      <c r="U367">
        <v>4.0876640999999998E-2</v>
      </c>
      <c r="V367">
        <v>0.29894778999999999</v>
      </c>
      <c r="W367">
        <v>6.7288028E-2</v>
      </c>
      <c r="X367" s="217">
        <v>6.0242098999999998E-6</v>
      </c>
      <c r="Y367">
        <v>15.672516999999999</v>
      </c>
      <c r="Z367">
        <v>1.5318552000000001</v>
      </c>
      <c r="AA367" s="217">
        <v>4.5116703000000001E-7</v>
      </c>
      <c r="AB367">
        <v>4.2320836000000001E-2</v>
      </c>
      <c r="AC367">
        <v>169.20364000000001</v>
      </c>
      <c r="AD367" s="217">
        <v>6.3529588E-9</v>
      </c>
      <c r="AE367" s="217">
        <v>1.1539429E-7</v>
      </c>
      <c r="AF367">
        <v>138.71043</v>
      </c>
      <c r="AG367">
        <v>16.004999999999999</v>
      </c>
      <c r="AH367">
        <v>44</v>
      </c>
      <c r="AI367">
        <v>60.005206000000001</v>
      </c>
      <c r="AJ367">
        <v>20.462</v>
      </c>
      <c r="AK367">
        <v>0</v>
      </c>
      <c r="AL367">
        <v>20.461559999999999</v>
      </c>
      <c r="AM367">
        <v>1.24</v>
      </c>
      <c r="AN367">
        <v>0</v>
      </c>
      <c r="AO367">
        <v>0</v>
      </c>
      <c r="AP367">
        <v>5.8434310000000003E-2</v>
      </c>
      <c r="AQ367" s="217">
        <v>2.0541662999999999E-5</v>
      </c>
      <c r="AR367">
        <v>0.41879878999999998</v>
      </c>
      <c r="AS367" s="217">
        <v>5.0848898000000002E-5</v>
      </c>
      <c r="AT367">
        <v>0</v>
      </c>
      <c r="AU367">
        <v>0</v>
      </c>
      <c r="AV367">
        <v>0</v>
      </c>
      <c r="AW367">
        <v>0</v>
      </c>
      <c r="AX367">
        <v>0</v>
      </c>
    </row>
    <row r="368" spans="1:50" x14ac:dyDescent="0.35">
      <c r="A368" t="s">
        <v>1083</v>
      </c>
      <c r="B368" s="249">
        <f t="shared" si="5"/>
        <v>0.77401201680208409</v>
      </c>
      <c r="C368" s="217">
        <v>6.8579048999999996E-6</v>
      </c>
      <c r="D368">
        <v>8.6476916000000001E-3</v>
      </c>
      <c r="E368">
        <v>4.0898836000000003</v>
      </c>
      <c r="F368" s="217">
        <v>1.6078271E-7</v>
      </c>
      <c r="G368">
        <v>4.9828633999999998E-3</v>
      </c>
      <c r="H368">
        <v>1.9899971999999998E-2</v>
      </c>
      <c r="I368">
        <v>1.2728873999999999E-2</v>
      </c>
      <c r="J368">
        <v>1.8148310000000001</v>
      </c>
      <c r="K368">
        <v>3.4838566000000002</v>
      </c>
      <c r="L368">
        <v>40.174626000000004</v>
      </c>
      <c r="M368">
        <v>1.5355809</v>
      </c>
      <c r="N368">
        <v>0.20418501999999999</v>
      </c>
      <c r="O368">
        <v>1.4511102</v>
      </c>
      <c r="P368">
        <v>-3.9693874999999998</v>
      </c>
      <c r="Q368">
        <v>2.7224623000000001</v>
      </c>
      <c r="R368" s="217">
        <v>1.7772624999999999E-7</v>
      </c>
      <c r="S368">
        <v>2.9849858999999999E-2</v>
      </c>
      <c r="T368">
        <v>1.8355846000000001E-4</v>
      </c>
      <c r="U368">
        <v>2.5023778E-2</v>
      </c>
      <c r="V368">
        <v>0.12612013</v>
      </c>
      <c r="W368">
        <v>2.6548669E-2</v>
      </c>
      <c r="X368" s="217">
        <v>6.3269797000000002E-6</v>
      </c>
      <c r="Y368">
        <v>16.744785</v>
      </c>
      <c r="Z368">
        <v>1.6799333000000001</v>
      </c>
      <c r="AA368" s="217">
        <v>3.9407465000000001E-7</v>
      </c>
      <c r="AB368">
        <v>4.4635146000000001E-2</v>
      </c>
      <c r="AC368">
        <v>169.96795</v>
      </c>
      <c r="AD368" s="217">
        <v>6.3811505000000002E-9</v>
      </c>
      <c r="AE368" s="217">
        <v>1.1603189E-7</v>
      </c>
      <c r="AF368">
        <v>138.85722999999999</v>
      </c>
      <c r="AG368">
        <v>16.026</v>
      </c>
      <c r="AH368">
        <v>44</v>
      </c>
      <c r="AI368">
        <v>60.025989000000003</v>
      </c>
      <c r="AJ368">
        <v>21.626999999999999</v>
      </c>
      <c r="AK368">
        <v>0</v>
      </c>
      <c r="AL368">
        <v>21.626660000000001</v>
      </c>
      <c r="AM368">
        <v>1.24</v>
      </c>
      <c r="AN368">
        <v>0</v>
      </c>
      <c r="AO368">
        <v>0</v>
      </c>
      <c r="AP368">
        <v>6.1914627E-2</v>
      </c>
      <c r="AQ368" s="217">
        <v>2.1557638999999998E-5</v>
      </c>
      <c r="AR368">
        <v>0.42243035000000001</v>
      </c>
      <c r="AS368" s="217">
        <v>5.4116870999999997E-5</v>
      </c>
      <c r="AT368">
        <v>0</v>
      </c>
      <c r="AU368">
        <v>0</v>
      </c>
      <c r="AV368">
        <v>0</v>
      </c>
      <c r="AW368">
        <v>0</v>
      </c>
      <c r="AX368">
        <v>0</v>
      </c>
    </row>
    <row r="369" spans="1:50" x14ac:dyDescent="0.35">
      <c r="A369" t="s">
        <v>1084</v>
      </c>
      <c r="B369" s="249">
        <f t="shared" si="5"/>
        <v>0.86660964817977992</v>
      </c>
      <c r="C369" s="217">
        <v>6.5552980000000001E-6</v>
      </c>
      <c r="D369">
        <v>8.0943505999999995E-3</v>
      </c>
      <c r="E369">
        <v>3.9964168999999998</v>
      </c>
      <c r="F369" s="217">
        <v>1.5200787E-7</v>
      </c>
      <c r="G369">
        <v>5.5213425E-3</v>
      </c>
      <c r="H369">
        <v>3.5253904000000003E-2</v>
      </c>
      <c r="I369">
        <v>1.6756719999999999E-2</v>
      </c>
      <c r="J369">
        <v>1.8051318999999999</v>
      </c>
      <c r="K369">
        <v>3.4790276000000002</v>
      </c>
      <c r="L369">
        <v>36.656239999999997</v>
      </c>
      <c r="M369">
        <v>1.5353498999999999</v>
      </c>
      <c r="N369">
        <v>0.1098252</v>
      </c>
      <c r="O369">
        <v>1.3571746</v>
      </c>
      <c r="P369">
        <v>-3.9697917999999999</v>
      </c>
      <c r="Q369">
        <v>2.7224423999999998</v>
      </c>
      <c r="R369" s="217">
        <v>1.6702857999999999E-7</v>
      </c>
      <c r="S369">
        <v>5.2599406000000001E-2</v>
      </c>
      <c r="T369">
        <v>1.8073146999999999E-4</v>
      </c>
      <c r="U369">
        <v>3.7181141000000001E-2</v>
      </c>
      <c r="V369">
        <v>0.25847778999999999</v>
      </c>
      <c r="W369">
        <v>5.7146097999999999E-2</v>
      </c>
      <c r="X369" s="217">
        <v>6.0242098999999998E-6</v>
      </c>
      <c r="Y369">
        <v>15.672516999999999</v>
      </c>
      <c r="Z369">
        <v>1.5318552000000001</v>
      </c>
      <c r="AA369" s="217">
        <v>4.3870973000000002E-7</v>
      </c>
      <c r="AB369">
        <v>4.2320836000000001E-2</v>
      </c>
      <c r="AC369">
        <v>169.18466000000001</v>
      </c>
      <c r="AD369" s="217">
        <v>5.5945170999999997E-9</v>
      </c>
      <c r="AE369" s="217">
        <v>1.0536702E-7</v>
      </c>
      <c r="AF369">
        <v>138.71043</v>
      </c>
      <c r="AG369">
        <v>16.004999999999999</v>
      </c>
      <c r="AH369">
        <v>44</v>
      </c>
      <c r="AI369">
        <v>60.005206000000001</v>
      </c>
      <c r="AJ369">
        <v>20.462</v>
      </c>
      <c r="AK369">
        <v>0</v>
      </c>
      <c r="AL369">
        <v>20.461559999999999</v>
      </c>
      <c r="AM369">
        <v>1.24</v>
      </c>
      <c r="AN369">
        <v>0</v>
      </c>
      <c r="AO369">
        <v>0</v>
      </c>
      <c r="AP369">
        <v>5.8434310000000003E-2</v>
      </c>
      <c r="AQ369" s="217">
        <v>2.0541662999999999E-5</v>
      </c>
      <c r="AR369">
        <v>0.41879878999999998</v>
      </c>
      <c r="AS369" s="217">
        <v>5.0848898000000002E-5</v>
      </c>
      <c r="AT369">
        <v>0</v>
      </c>
      <c r="AU369">
        <v>0</v>
      </c>
      <c r="AV369">
        <v>0</v>
      </c>
      <c r="AW369">
        <v>0</v>
      </c>
      <c r="AX369">
        <v>0</v>
      </c>
    </row>
    <row r="370" spans="1:50" x14ac:dyDescent="0.35">
      <c r="A370" t="s">
        <v>1085</v>
      </c>
      <c r="B370" s="249">
        <f t="shared" si="5"/>
        <v>0.63842330449805196</v>
      </c>
      <c r="C370" s="217">
        <v>1.6169846999999999E-6</v>
      </c>
      <c r="D370">
        <v>3.3192434999999999E-2</v>
      </c>
      <c r="E370">
        <v>4.7947281999999998</v>
      </c>
      <c r="F370" s="217">
        <v>8.6921794999999997E-7</v>
      </c>
      <c r="G370">
        <v>4.8581572000000002E-3</v>
      </c>
      <c r="H370">
        <v>3.6375774999999999E-2</v>
      </c>
      <c r="I370">
        <v>8.1850840000000005E-3</v>
      </c>
      <c r="J370">
        <v>1.7272464000000001</v>
      </c>
      <c r="K370">
        <v>2.4073476999999999E-2</v>
      </c>
      <c r="L370">
        <v>81.187438999999998</v>
      </c>
      <c r="M370">
        <v>2.8579171999999998E-3</v>
      </c>
      <c r="N370">
        <v>4.8466404000000001</v>
      </c>
      <c r="O370">
        <v>4.8454291999999999</v>
      </c>
      <c r="P370">
        <v>7.9965598000000001E-4</v>
      </c>
      <c r="Q370">
        <v>4.115543E-4</v>
      </c>
      <c r="R370" s="217">
        <v>1.0946667E-6</v>
      </c>
      <c r="S370">
        <v>5.0788461999999999E-2</v>
      </c>
      <c r="T370" s="217">
        <v>3.7008773999999999E-5</v>
      </c>
      <c r="U370">
        <v>2.2014675000000001E-2</v>
      </c>
      <c r="V370">
        <v>0.24193638000000001</v>
      </c>
      <c r="W370">
        <v>6.6465116000000005E-2</v>
      </c>
      <c r="X370" s="217">
        <v>1.6170054E-6</v>
      </c>
      <c r="Y370">
        <v>70.074765999999997</v>
      </c>
      <c r="Z370">
        <v>0.37777419000000001</v>
      </c>
      <c r="AA370" s="217">
        <v>1.3288399E-6</v>
      </c>
      <c r="AB370">
        <v>0.30201662000000001</v>
      </c>
      <c r="AC370">
        <v>39.61403</v>
      </c>
      <c r="AD370" s="217">
        <v>1.3629138E-9</v>
      </c>
      <c r="AE370" s="217">
        <v>3.4515768000000002E-8</v>
      </c>
      <c r="AF370">
        <v>8.8754466999999995</v>
      </c>
      <c r="AG370">
        <v>0</v>
      </c>
      <c r="AH370">
        <v>0</v>
      </c>
      <c r="AI370">
        <v>0.40595262999999998</v>
      </c>
      <c r="AJ370">
        <v>0</v>
      </c>
      <c r="AK370">
        <v>0</v>
      </c>
      <c r="AL370">
        <v>74.411962000000003</v>
      </c>
      <c r="AM370">
        <v>0</v>
      </c>
      <c r="AN370">
        <v>0</v>
      </c>
      <c r="AO370">
        <v>0</v>
      </c>
      <c r="AP370">
        <v>9.6175040000000007E-3</v>
      </c>
      <c r="AQ370" s="217">
        <v>3.1248394999999997E-5</v>
      </c>
      <c r="AR370">
        <v>7.4681007999999993E-2</v>
      </c>
      <c r="AS370">
        <v>4.8675436000000002E-4</v>
      </c>
      <c r="AT370">
        <v>0</v>
      </c>
      <c r="AU370">
        <v>0</v>
      </c>
      <c r="AV370">
        <v>0</v>
      </c>
      <c r="AW370">
        <v>0</v>
      </c>
      <c r="AX370">
        <v>0</v>
      </c>
    </row>
    <row r="371" spans="1:50" x14ac:dyDescent="0.35">
      <c r="A371" t="s">
        <v>1086</v>
      </c>
      <c r="B371" s="249">
        <f t="shared" si="5"/>
        <v>9.6730346969144815E-2</v>
      </c>
      <c r="C371" s="217">
        <v>2.4499653E-7</v>
      </c>
      <c r="D371">
        <v>5.0291331000000003E-3</v>
      </c>
      <c r="E371">
        <v>0.72647054</v>
      </c>
      <c r="F371" s="217">
        <v>1.3169907000000001E-7</v>
      </c>
      <c r="G371">
        <v>7.3608094E-4</v>
      </c>
      <c r="H371">
        <v>5.5114550999999998E-3</v>
      </c>
      <c r="I371">
        <v>1.2401584E-3</v>
      </c>
      <c r="J371">
        <v>0.26170275999999998</v>
      </c>
      <c r="K371">
        <v>3.6474793E-3</v>
      </c>
      <c r="L371">
        <v>12.301069</v>
      </c>
      <c r="M371">
        <v>4.3301571000000001E-4</v>
      </c>
      <c r="N371">
        <v>0.73433599000000005</v>
      </c>
      <c r="O371">
        <v>0.73415248</v>
      </c>
      <c r="P371">
        <v>1.2115943E-4</v>
      </c>
      <c r="Q371" s="217">
        <v>6.2356417999999994E-5</v>
      </c>
      <c r="R371" s="217">
        <v>1.6585781E-7</v>
      </c>
      <c r="S371">
        <v>7.6951852000000003E-3</v>
      </c>
      <c r="T371" s="217">
        <v>5.6073636E-6</v>
      </c>
      <c r="U371">
        <v>3.3355411000000001E-3</v>
      </c>
      <c r="V371">
        <v>3.6656854000000003E-2</v>
      </c>
      <c r="W371">
        <v>1.0070424999999999E-2</v>
      </c>
      <c r="X371" s="217">
        <v>2.4499967E-7</v>
      </c>
      <c r="Y371">
        <v>10.617338999999999</v>
      </c>
      <c r="Z371">
        <v>5.7238244000000001E-2</v>
      </c>
      <c r="AA371" s="217">
        <v>2.0133843E-7</v>
      </c>
      <c r="AB371">
        <v>4.5759879000000003E-2</v>
      </c>
      <c r="AC371">
        <v>6.0020974000000002</v>
      </c>
      <c r="AD371" s="217">
        <v>2.0650110999999999E-10</v>
      </c>
      <c r="AE371" s="217">
        <v>5.2296371999999997E-9</v>
      </c>
      <c r="AF371">
        <v>1.3447583000000001</v>
      </c>
      <c r="AG371">
        <v>0</v>
      </c>
      <c r="AH371">
        <v>0</v>
      </c>
      <c r="AI371">
        <v>6.1507683E-2</v>
      </c>
      <c r="AJ371">
        <v>0</v>
      </c>
      <c r="AK371">
        <v>0</v>
      </c>
      <c r="AL371">
        <v>11.274487000000001</v>
      </c>
      <c r="AM371">
        <v>0</v>
      </c>
      <c r="AN371">
        <v>0</v>
      </c>
      <c r="AO371">
        <v>0</v>
      </c>
      <c r="AP371">
        <v>1.4571906999999999E-3</v>
      </c>
      <c r="AQ371" s="217">
        <v>4.7345828999999998E-6</v>
      </c>
      <c r="AR371">
        <v>1.1315251E-2</v>
      </c>
      <c r="AS371" s="217">
        <v>7.3750313E-5</v>
      </c>
      <c r="AT371">
        <v>0</v>
      </c>
      <c r="AU371">
        <v>0</v>
      </c>
      <c r="AV371">
        <v>0</v>
      </c>
      <c r="AW371">
        <v>0</v>
      </c>
      <c r="AX371">
        <v>0</v>
      </c>
    </row>
    <row r="372" spans="1:50" x14ac:dyDescent="0.35">
      <c r="A372" t="s">
        <v>1087</v>
      </c>
      <c r="B372" s="249">
        <f t="shared" si="5"/>
        <v>4.3634296857120001E-4</v>
      </c>
      <c r="C372" s="217">
        <v>1.1051599999999999E-9</v>
      </c>
      <c r="D372" s="217">
        <v>2.2686022999999999E-5</v>
      </c>
      <c r="E372">
        <v>3.2770514000000001E-3</v>
      </c>
      <c r="F372" s="217">
        <v>5.9408412000000003E-10</v>
      </c>
      <c r="G372" s="217">
        <v>3.3204030999999998E-6</v>
      </c>
      <c r="H372" s="217">
        <v>2.4861739E-5</v>
      </c>
      <c r="I372" s="217">
        <v>5.5942567E-6</v>
      </c>
      <c r="J372">
        <v>1.1805205E-3</v>
      </c>
      <c r="K372" s="217">
        <v>1.6453491999999999E-5</v>
      </c>
      <c r="L372">
        <v>5.5489152999999999E-2</v>
      </c>
      <c r="M372" s="217">
        <v>1.9532997000000002E-6</v>
      </c>
      <c r="N372">
        <v>3.3125317999999999E-3</v>
      </c>
      <c r="O372">
        <v>3.3117039999999999E-3</v>
      </c>
      <c r="P372" s="217">
        <v>5.4654062000000005E-7</v>
      </c>
      <c r="Q372" s="217">
        <v>2.8128488999999999E-7</v>
      </c>
      <c r="R372" s="217">
        <v>7.4817151999999996E-10</v>
      </c>
      <c r="S372" s="217">
        <v>3.4712373999999999E-5</v>
      </c>
      <c r="T372" s="217">
        <v>2.5294374999999998E-8</v>
      </c>
      <c r="U372" s="217">
        <v>1.5046362999999999E-5</v>
      </c>
      <c r="V372">
        <v>1.6535618000000001E-4</v>
      </c>
      <c r="W372" s="217">
        <v>4.5426892000000002E-5</v>
      </c>
      <c r="X372" s="217">
        <v>1.1051741999999999E-9</v>
      </c>
      <c r="Y372">
        <v>4.7893977999999997E-2</v>
      </c>
      <c r="Z372">
        <v>2.5819721000000002E-4</v>
      </c>
      <c r="AA372" s="217">
        <v>9.0822177000000002E-10</v>
      </c>
      <c r="AB372">
        <v>2.0641921E-4</v>
      </c>
      <c r="AC372">
        <v>2.7074988000000001E-2</v>
      </c>
      <c r="AD372" s="217">
        <v>9.3151022000000002E-13</v>
      </c>
      <c r="AE372" s="217">
        <v>2.3590480999999999E-11</v>
      </c>
      <c r="AF372">
        <v>6.0660986999999996E-3</v>
      </c>
      <c r="AG372">
        <v>0</v>
      </c>
      <c r="AH372">
        <v>0</v>
      </c>
      <c r="AI372">
        <v>2.7745630999999999E-4</v>
      </c>
      <c r="AJ372">
        <v>0</v>
      </c>
      <c r="AK372">
        <v>0</v>
      </c>
      <c r="AL372">
        <v>5.0858319999999999E-2</v>
      </c>
      <c r="AM372">
        <v>0</v>
      </c>
      <c r="AN372">
        <v>0</v>
      </c>
      <c r="AO372">
        <v>0</v>
      </c>
      <c r="AP372" s="217">
        <v>6.5732724000000001E-6</v>
      </c>
      <c r="AQ372" s="217">
        <v>2.135733E-8</v>
      </c>
      <c r="AR372" s="217">
        <v>5.1042204999999998E-5</v>
      </c>
      <c r="AS372" s="217">
        <v>3.3268185000000003E-7</v>
      </c>
      <c r="AT372">
        <v>0</v>
      </c>
      <c r="AU372">
        <v>0</v>
      </c>
      <c r="AV372">
        <v>0</v>
      </c>
      <c r="AW372">
        <v>0</v>
      </c>
      <c r="AX372">
        <v>0</v>
      </c>
    </row>
    <row r="373" spans="1:50" x14ac:dyDescent="0.35">
      <c r="A373" t="s">
        <v>1088</v>
      </c>
      <c r="B373" s="249">
        <f t="shared" si="5"/>
        <v>11.56367325116536</v>
      </c>
      <c r="C373" s="217">
        <v>2.9288220999999999E-5</v>
      </c>
      <c r="D373">
        <v>0.60121000999999996</v>
      </c>
      <c r="E373">
        <v>86.846250999999995</v>
      </c>
      <c r="F373" s="217">
        <v>1.5744024999999999E-5</v>
      </c>
      <c r="G373">
        <v>8.7995131000000004E-2</v>
      </c>
      <c r="H373">
        <v>0.65886940000000005</v>
      </c>
      <c r="I373">
        <v>0.14825530000000001</v>
      </c>
      <c r="J373">
        <v>31.285374999999998</v>
      </c>
      <c r="K373">
        <v>0.43603956999999999</v>
      </c>
      <c r="L373">
        <v>1470.5369000000001</v>
      </c>
      <c r="M373">
        <v>5.1765060000000002E-2</v>
      </c>
      <c r="N373">
        <v>87.786529999999999</v>
      </c>
      <c r="O373">
        <v>87.764591999999993</v>
      </c>
      <c r="P373">
        <v>1.4484059000000001E-2</v>
      </c>
      <c r="Q373">
        <v>7.4544264000000002E-3</v>
      </c>
      <c r="R373" s="217">
        <v>1.9827548000000001E-5</v>
      </c>
      <c r="S373">
        <v>0.91992441000000003</v>
      </c>
      <c r="T373">
        <v>6.7033483000000001E-4</v>
      </c>
      <c r="U373">
        <v>0.39874878000000002</v>
      </c>
      <c r="V373">
        <v>4.3821602000000004</v>
      </c>
      <c r="W373">
        <v>1.2038735</v>
      </c>
      <c r="X373" s="217">
        <v>2.9288597000000001E-5</v>
      </c>
      <c r="Y373">
        <v>1269.2546</v>
      </c>
      <c r="Z373">
        <v>6.8425719000000003</v>
      </c>
      <c r="AA373" s="217">
        <v>2.4069094E-5</v>
      </c>
      <c r="AB373">
        <v>5.4703854999999999</v>
      </c>
      <c r="AC373">
        <v>717.52346</v>
      </c>
      <c r="AD373" s="217">
        <v>2.4686269E-8</v>
      </c>
      <c r="AE373" s="217">
        <v>6.2517935000000001E-7</v>
      </c>
      <c r="AF373">
        <v>160.75973999999999</v>
      </c>
      <c r="AG373">
        <v>0</v>
      </c>
      <c r="AH373">
        <v>0</v>
      </c>
      <c r="AI373">
        <v>7.3529638999999998</v>
      </c>
      <c r="AJ373">
        <v>0</v>
      </c>
      <c r="AK373">
        <v>0</v>
      </c>
      <c r="AL373">
        <v>1347.8136</v>
      </c>
      <c r="AM373">
        <v>0</v>
      </c>
      <c r="AN373">
        <v>0</v>
      </c>
      <c r="AO373">
        <v>0</v>
      </c>
      <c r="AP373">
        <v>0.17420052</v>
      </c>
      <c r="AQ373">
        <v>5.6599787000000004E-4</v>
      </c>
      <c r="AR373">
        <v>1.3526868000000001</v>
      </c>
      <c r="AS373">
        <v>8.8165146999999999E-3</v>
      </c>
      <c r="AT373">
        <v>0</v>
      </c>
      <c r="AU373">
        <v>0</v>
      </c>
      <c r="AV373">
        <v>0</v>
      </c>
      <c r="AW373">
        <v>0</v>
      </c>
      <c r="AX373">
        <v>0</v>
      </c>
    </row>
    <row r="374" spans="1:50" x14ac:dyDescent="0.35">
      <c r="A374" t="s">
        <v>1089</v>
      </c>
      <c r="B374" s="249">
        <f t="shared" si="5"/>
        <v>9.7442268254079992E-2</v>
      </c>
      <c r="C374" s="217">
        <v>1.3362065000000001E-6</v>
      </c>
      <c r="D374">
        <v>1.2678479E-3</v>
      </c>
      <c r="E374">
        <v>0.17960597</v>
      </c>
      <c r="F374" s="217">
        <v>1.0737968E-8</v>
      </c>
      <c r="G374">
        <v>1.4584476999999999E-4</v>
      </c>
      <c r="H374">
        <v>8.1998574000000004E-4</v>
      </c>
      <c r="I374">
        <v>1.6239613999999999E-4</v>
      </c>
      <c r="J374">
        <v>0.86095259999999996</v>
      </c>
      <c r="K374">
        <v>9.0950011999999993E-3</v>
      </c>
      <c r="L374">
        <v>52.580084999999997</v>
      </c>
      <c r="M374">
        <v>3.4797977E-3</v>
      </c>
      <c r="N374">
        <v>0.18559274000000001</v>
      </c>
      <c r="O374">
        <v>0.1851082</v>
      </c>
      <c r="P374">
        <v>2.9180887E-4</v>
      </c>
      <c r="Q374">
        <v>1.9272460000000001E-4</v>
      </c>
      <c r="R374" s="217">
        <v>1.0382223E-8</v>
      </c>
      <c r="S374">
        <v>1.0131298E-3</v>
      </c>
      <c r="T374" s="217">
        <v>3.0040832999999999E-5</v>
      </c>
      <c r="U374">
        <v>1.7162640999999999E-4</v>
      </c>
      <c r="V374">
        <v>2.1960776E-3</v>
      </c>
      <c r="W374">
        <v>7.0265020000000004E-4</v>
      </c>
      <c r="X374" s="217">
        <v>1.3362358000000001E-6</v>
      </c>
      <c r="Y374">
        <v>2.3151090000000001</v>
      </c>
      <c r="Z374">
        <v>0.11096222</v>
      </c>
      <c r="AA374" s="217">
        <v>4.5704505999999999E-8</v>
      </c>
      <c r="AB374">
        <v>9.0691017000000002E-3</v>
      </c>
      <c r="AC374">
        <v>5.3435553999999996</v>
      </c>
      <c r="AD374" s="217">
        <v>3.2924315E-9</v>
      </c>
      <c r="AE374" s="217">
        <v>1.1077449E-8</v>
      </c>
      <c r="AF374">
        <v>0.54518069000000002</v>
      </c>
      <c r="AG374">
        <v>0</v>
      </c>
      <c r="AH374">
        <v>0</v>
      </c>
      <c r="AI374">
        <v>0.23054252</v>
      </c>
      <c r="AJ374">
        <v>0</v>
      </c>
      <c r="AK374">
        <v>0</v>
      </c>
      <c r="AL374">
        <v>2.4548614</v>
      </c>
      <c r="AM374">
        <v>0</v>
      </c>
      <c r="AN374">
        <v>0</v>
      </c>
      <c r="AO374">
        <v>0</v>
      </c>
      <c r="AP374">
        <v>3.0156277000000001E-3</v>
      </c>
      <c r="AQ374" s="217">
        <v>7.6652347999999999E-6</v>
      </c>
      <c r="AR374">
        <v>4.2352142000000002E-2</v>
      </c>
      <c r="AS374" s="217">
        <v>7.7049186000000003E-6</v>
      </c>
      <c r="AT374">
        <v>0</v>
      </c>
      <c r="AU374">
        <v>0</v>
      </c>
      <c r="AV374">
        <v>0</v>
      </c>
      <c r="AW374">
        <v>0</v>
      </c>
      <c r="AX374">
        <v>0</v>
      </c>
    </row>
    <row r="375" spans="1:50" x14ac:dyDescent="0.35">
      <c r="A375" t="s">
        <v>1090</v>
      </c>
      <c r="B375" s="249">
        <f t="shared" si="5"/>
        <v>0.376922450538756</v>
      </c>
      <c r="C375" s="217">
        <v>2.5425465999999999E-6</v>
      </c>
      <c r="D375">
        <v>2.9561923E-2</v>
      </c>
      <c r="E375">
        <v>4.9061119</v>
      </c>
      <c r="F375" s="217">
        <v>2.9417950999999997E-7</v>
      </c>
      <c r="G375">
        <v>3.1948443000000002E-3</v>
      </c>
      <c r="H375">
        <v>9.7495994999999992E-3</v>
      </c>
      <c r="I375">
        <v>1.8888107999999999E-3</v>
      </c>
      <c r="J375">
        <v>0.51658521000000002</v>
      </c>
      <c r="K375">
        <v>4.6665972999999999E-2</v>
      </c>
      <c r="L375">
        <v>162.87689</v>
      </c>
      <c r="M375">
        <v>5.1665796000000003E-3</v>
      </c>
      <c r="N375">
        <v>5.2564801000000001</v>
      </c>
      <c r="O375">
        <v>5.2554116000000004</v>
      </c>
      <c r="P375">
        <v>6.1864977000000005E-4</v>
      </c>
      <c r="Q375">
        <v>4.4980052999999998E-4</v>
      </c>
      <c r="R375" s="217">
        <v>3.6050764999999999E-7</v>
      </c>
      <c r="S375">
        <v>1.3125103000000001E-2</v>
      </c>
      <c r="T375" s="217">
        <v>2.6786353999999999E-5</v>
      </c>
      <c r="U375">
        <v>4.8779454999999996E-3</v>
      </c>
      <c r="V375">
        <v>5.3822333E-2</v>
      </c>
      <c r="W375">
        <v>1.8241255000000001E-2</v>
      </c>
      <c r="X375" s="217">
        <v>2.5425664000000001E-6</v>
      </c>
      <c r="Y375">
        <v>56.050519999999999</v>
      </c>
      <c r="Z375">
        <v>-2.3131986000000002</v>
      </c>
      <c r="AA375" s="217">
        <v>5.8560158E-8</v>
      </c>
      <c r="AB375">
        <v>5.9761108E-2</v>
      </c>
      <c r="AC375">
        <v>23.200690000000002</v>
      </c>
      <c r="AD375" s="217">
        <v>1.3046716999999999E-9</v>
      </c>
      <c r="AE375" s="217">
        <v>4.3443314000000001E-8</v>
      </c>
      <c r="AF375">
        <v>5.4282189000000001</v>
      </c>
      <c r="AG375">
        <v>0.23899999999999999</v>
      </c>
      <c r="AH375">
        <v>0</v>
      </c>
      <c r="AI375">
        <v>0.23847129</v>
      </c>
      <c r="AJ375">
        <v>13.791</v>
      </c>
      <c r="AK375">
        <v>47.76</v>
      </c>
      <c r="AL375">
        <v>61.550972999999999</v>
      </c>
      <c r="AM375">
        <v>0</v>
      </c>
      <c r="AN375">
        <v>0</v>
      </c>
      <c r="AO375">
        <v>0</v>
      </c>
      <c r="AP375">
        <v>-5.3397958000000002E-2</v>
      </c>
      <c r="AQ375" s="217">
        <v>5.3168645000000001E-5</v>
      </c>
      <c r="AR375">
        <v>7.6526159999999996E-2</v>
      </c>
      <c r="AS375" s="217">
        <v>9.1885305000000006E-5</v>
      </c>
      <c r="AT375">
        <v>0</v>
      </c>
      <c r="AU375">
        <v>0</v>
      </c>
      <c r="AV375">
        <v>0</v>
      </c>
      <c r="AW375">
        <v>0</v>
      </c>
      <c r="AX375">
        <v>0</v>
      </c>
    </row>
    <row r="376" spans="1:50" x14ac:dyDescent="0.35">
      <c r="A376" t="s">
        <v>1091</v>
      </c>
      <c r="B376" s="249">
        <f t="shared" si="5"/>
        <v>6.3951709574606808</v>
      </c>
      <c r="C376" s="217">
        <v>1.5799048E-5</v>
      </c>
      <c r="D376">
        <v>0.38203418</v>
      </c>
      <c r="E376">
        <v>52.826534000000002</v>
      </c>
      <c r="F376" s="217">
        <v>8.9042510999999997E-6</v>
      </c>
      <c r="G376">
        <v>4.6153481000000003E-2</v>
      </c>
      <c r="H376">
        <v>0.33843236999999998</v>
      </c>
      <c r="I376">
        <v>7.5131062999999998E-2</v>
      </c>
      <c r="J376">
        <v>16.299481</v>
      </c>
      <c r="K376">
        <v>0.2727735</v>
      </c>
      <c r="L376">
        <v>934.37947999999994</v>
      </c>
      <c r="M376">
        <v>2.7644688000000001E-2</v>
      </c>
      <c r="N376">
        <v>53.487969999999997</v>
      </c>
      <c r="O376">
        <v>53.474297</v>
      </c>
      <c r="P376">
        <v>9.5330610000000007E-3</v>
      </c>
      <c r="Q376">
        <v>4.1391759E-3</v>
      </c>
      <c r="R376" s="217">
        <v>1.1097743E-5</v>
      </c>
      <c r="S376">
        <v>0.47107618000000001</v>
      </c>
      <c r="T376">
        <v>3.637642E-4</v>
      </c>
      <c r="U376">
        <v>0.20188263000000001</v>
      </c>
      <c r="V376">
        <v>2.2188612999999999</v>
      </c>
      <c r="W376">
        <v>0.61248448</v>
      </c>
      <c r="X376" s="217">
        <v>1.5799256999999999E-5</v>
      </c>
      <c r="Y376">
        <v>784.89282000000003</v>
      </c>
      <c r="Z376">
        <v>3.9046093000000002</v>
      </c>
      <c r="AA376" s="217">
        <v>1.2045825000000001E-5</v>
      </c>
      <c r="AB376">
        <v>2.7651911999999998</v>
      </c>
      <c r="AC376">
        <v>383.76022999999998</v>
      </c>
      <c r="AD376" s="217">
        <v>1.3115374E-8</v>
      </c>
      <c r="AE376" s="217">
        <v>3.2926677000000002E-7</v>
      </c>
      <c r="AF376">
        <v>84.154607999999996</v>
      </c>
      <c r="AG376">
        <v>0</v>
      </c>
      <c r="AH376">
        <v>0</v>
      </c>
      <c r="AI376">
        <v>4.0180141000000003</v>
      </c>
      <c r="AJ376">
        <v>0</v>
      </c>
      <c r="AK376">
        <v>0</v>
      </c>
      <c r="AL376">
        <v>840.61521000000005</v>
      </c>
      <c r="AM376">
        <v>0</v>
      </c>
      <c r="AN376">
        <v>0</v>
      </c>
      <c r="AO376">
        <v>0</v>
      </c>
      <c r="AP376">
        <v>9.5754915999999995E-2</v>
      </c>
      <c r="AQ376">
        <v>4.8904324E-4</v>
      </c>
      <c r="AR376">
        <v>0.73635740999999999</v>
      </c>
      <c r="AS376">
        <v>4.4481724000000004E-3</v>
      </c>
      <c r="AT376">
        <v>0</v>
      </c>
      <c r="AU376">
        <v>0</v>
      </c>
      <c r="AV376">
        <v>0</v>
      </c>
      <c r="AW376">
        <v>0</v>
      </c>
      <c r="AX376">
        <v>0</v>
      </c>
    </row>
    <row r="377" spans="1:50" x14ac:dyDescent="0.35">
      <c r="A377" t="s">
        <v>1092</v>
      </c>
      <c r="B377" s="249">
        <f t="shared" si="5"/>
        <v>8.4680520673748802E-2</v>
      </c>
      <c r="C377" s="217">
        <v>8.4804093E-7</v>
      </c>
      <c r="D377">
        <v>6.7910777000000002E-3</v>
      </c>
      <c r="E377">
        <v>0.91397624</v>
      </c>
      <c r="F377" s="217">
        <v>1.1706614E-7</v>
      </c>
      <c r="G377">
        <v>5.0141748999999998E-4</v>
      </c>
      <c r="H377">
        <v>3.9717021000000002E-3</v>
      </c>
      <c r="I377">
        <v>5.6836560000000003E-4</v>
      </c>
      <c r="J377">
        <v>0.14908935000000001</v>
      </c>
      <c r="K377">
        <v>4.9762054999999998E-3</v>
      </c>
      <c r="L377">
        <v>20.608991</v>
      </c>
      <c r="M377">
        <v>4.3054670999999999E-3</v>
      </c>
      <c r="N377">
        <v>0.93702384999999999</v>
      </c>
      <c r="O377">
        <v>0.92021196999999999</v>
      </c>
      <c r="P377">
        <v>1.5626721E-2</v>
      </c>
      <c r="Q377">
        <v>1.1851587E-3</v>
      </c>
      <c r="R377" s="217">
        <v>1.1535604E-7</v>
      </c>
      <c r="S377">
        <v>5.0529145999999997E-3</v>
      </c>
      <c r="T377" s="217">
        <v>6.9993636999999995E-5</v>
      </c>
      <c r="U377">
        <v>5.8049995000000005E-4</v>
      </c>
      <c r="V377">
        <v>1.0647113999999999E-2</v>
      </c>
      <c r="W377">
        <v>1.8216358000000001E-3</v>
      </c>
      <c r="X377" s="217">
        <v>8.4807025999999999E-7</v>
      </c>
      <c r="Y377">
        <v>16.766306</v>
      </c>
      <c r="Z377">
        <v>0.17457934</v>
      </c>
      <c r="AA377" s="217">
        <v>1.9699410999999999E-8</v>
      </c>
      <c r="AB377">
        <v>0.11186706</v>
      </c>
      <c r="AC377">
        <v>9.6261469999999996</v>
      </c>
      <c r="AD377" s="217">
        <v>3.0748549000000001E-10</v>
      </c>
      <c r="AE377" s="217">
        <v>7.2261653000000002E-9</v>
      </c>
      <c r="AF377">
        <v>2.9378079000000001</v>
      </c>
      <c r="AG377">
        <v>0</v>
      </c>
      <c r="AH377">
        <v>0</v>
      </c>
      <c r="AI377">
        <v>1.9353252000000001</v>
      </c>
      <c r="AJ377">
        <v>0</v>
      </c>
      <c r="AK377">
        <v>0</v>
      </c>
      <c r="AL377">
        <v>17.728521000000001</v>
      </c>
      <c r="AM377">
        <v>0</v>
      </c>
      <c r="AN377">
        <v>0</v>
      </c>
      <c r="AO377">
        <v>0</v>
      </c>
      <c r="AP377">
        <v>9.2334652000000007E-3</v>
      </c>
      <c r="AQ377" s="217">
        <v>1.8721030000000001E-5</v>
      </c>
      <c r="AR377">
        <v>3.9461382000000003E-2</v>
      </c>
      <c r="AS377">
        <v>1.0611816E-4</v>
      </c>
      <c r="AT377">
        <v>0</v>
      </c>
      <c r="AU377">
        <v>0</v>
      </c>
      <c r="AV377">
        <v>0</v>
      </c>
      <c r="AW377">
        <v>0</v>
      </c>
      <c r="AX377">
        <v>0</v>
      </c>
    </row>
    <row r="378" spans="1:50" x14ac:dyDescent="0.35">
      <c r="A378" t="s">
        <v>1093</v>
      </c>
      <c r="B378" s="249">
        <f t="shared" si="5"/>
        <v>1.7543226940677998</v>
      </c>
      <c r="C378">
        <v>4.9912608000000002E-4</v>
      </c>
      <c r="D378">
        <v>7.8222206000000002E-2</v>
      </c>
      <c r="E378">
        <v>12.234531</v>
      </c>
      <c r="F378" s="217">
        <v>4.7397650000000002E-7</v>
      </c>
      <c r="G378">
        <v>4.3546662999999998E-3</v>
      </c>
      <c r="H378">
        <v>5.875818E-2</v>
      </c>
      <c r="I378">
        <v>6.5952008000000001E-3</v>
      </c>
      <c r="J378">
        <v>8.6120024999999991</v>
      </c>
      <c r="K378">
        <v>7.3032797999999996E-2</v>
      </c>
      <c r="L378">
        <v>472.26497999999998</v>
      </c>
      <c r="M378">
        <v>3.9832415000000003E-2</v>
      </c>
      <c r="N378">
        <v>12.586264999999999</v>
      </c>
      <c r="O378">
        <v>12.520554000000001</v>
      </c>
      <c r="P378">
        <v>3.0453302000000002E-2</v>
      </c>
      <c r="Q378">
        <v>3.5257708999999998E-2</v>
      </c>
      <c r="R378" s="217">
        <v>5.0519051000000004E-7</v>
      </c>
      <c r="S378">
        <v>7.1579267000000002E-2</v>
      </c>
      <c r="T378">
        <v>7.0738734000000002E-4</v>
      </c>
      <c r="U378">
        <v>1.0905434E-2</v>
      </c>
      <c r="V378">
        <v>0.13915565999999999</v>
      </c>
      <c r="W378">
        <v>3.4951286999999998E-2</v>
      </c>
      <c r="X378">
        <v>4.9912638000000002E-4</v>
      </c>
      <c r="Y378">
        <v>129.50617</v>
      </c>
      <c r="Z378">
        <v>2.7785172</v>
      </c>
      <c r="AA378" s="217">
        <v>7.2186938999999995E-7</v>
      </c>
      <c r="AB378">
        <v>0.23996743000000001</v>
      </c>
      <c r="AC378">
        <v>296.71931999999998</v>
      </c>
      <c r="AD378" s="217">
        <v>1.222628E-8</v>
      </c>
      <c r="AE378" s="217">
        <v>2.8010502000000003E-7</v>
      </c>
      <c r="AF378">
        <v>31.635300999999998</v>
      </c>
      <c r="AG378">
        <v>0</v>
      </c>
      <c r="AH378">
        <v>0</v>
      </c>
      <c r="AI378">
        <v>16.245671999999999</v>
      </c>
      <c r="AJ378">
        <v>0</v>
      </c>
      <c r="AK378">
        <v>0</v>
      </c>
      <c r="AL378">
        <v>138.07615999999999</v>
      </c>
      <c r="AM378">
        <v>0</v>
      </c>
      <c r="AN378">
        <v>0</v>
      </c>
      <c r="AO378">
        <v>0</v>
      </c>
      <c r="AP378">
        <v>0.12278380999999999</v>
      </c>
      <c r="AQ378">
        <v>4.7521700999999996E-3</v>
      </c>
      <c r="AR378">
        <v>1.6969771</v>
      </c>
      <c r="AS378">
        <v>2.5296828999999999E-4</v>
      </c>
      <c r="AT378">
        <v>0</v>
      </c>
      <c r="AU378">
        <v>0</v>
      </c>
      <c r="AV378">
        <v>0</v>
      </c>
      <c r="AW378">
        <v>0</v>
      </c>
      <c r="AX378">
        <v>0</v>
      </c>
    </row>
    <row r="379" spans="1:50" x14ac:dyDescent="0.35">
      <c r="A379" t="s">
        <v>1094</v>
      </c>
      <c r="B379" s="249">
        <f t="shared" si="5"/>
        <v>0.56424902981556402</v>
      </c>
      <c r="C379" s="217">
        <v>2.5935478999999999E-6</v>
      </c>
      <c r="D379">
        <v>2.6171305999999998E-2</v>
      </c>
      <c r="E379">
        <v>3.8886402000000002</v>
      </c>
      <c r="F379" s="217">
        <v>7.1242693000000001E-7</v>
      </c>
      <c r="G379">
        <v>4.3681719000000004E-3</v>
      </c>
      <c r="H379">
        <v>3.9248672999999998E-2</v>
      </c>
      <c r="I379">
        <v>8.7001557999999996E-3</v>
      </c>
      <c r="J379">
        <v>1.2166055</v>
      </c>
      <c r="K379">
        <v>4.3815010000000001E-2</v>
      </c>
      <c r="L379">
        <v>97.746926999999999</v>
      </c>
      <c r="M379">
        <v>1.6529117999999999E-2</v>
      </c>
      <c r="N379">
        <v>3.9170663000000001</v>
      </c>
      <c r="O379">
        <v>3.9156227000000001</v>
      </c>
      <c r="P379">
        <v>9.5321752E-4</v>
      </c>
      <c r="Q379">
        <v>4.9031792999999996E-4</v>
      </c>
      <c r="R379" s="217">
        <v>8.9140571000000002E-7</v>
      </c>
      <c r="S379">
        <v>5.4926409000000002E-2</v>
      </c>
      <c r="T379" s="217">
        <v>2.8845534E-5</v>
      </c>
      <c r="U379">
        <v>2.4080317E-2</v>
      </c>
      <c r="V379">
        <v>0.26426863</v>
      </c>
      <c r="W379">
        <v>6.7145468999999999E-2</v>
      </c>
      <c r="X379" s="217">
        <v>2.5935658000000001E-6</v>
      </c>
      <c r="Y379">
        <v>55.512157999999999</v>
      </c>
      <c r="Z379">
        <v>0.29647363999999998</v>
      </c>
      <c r="AA379" s="217">
        <v>2.3188610000000001E-7</v>
      </c>
      <c r="AB379">
        <v>0.24224132000000001</v>
      </c>
      <c r="AC379">
        <v>30.956882</v>
      </c>
      <c r="AD379" s="217">
        <v>4.8747974999999998E-9</v>
      </c>
      <c r="AE379" s="217">
        <v>9.7699135999999997E-8</v>
      </c>
      <c r="AF379">
        <v>9.1312522999999999</v>
      </c>
      <c r="AG379">
        <v>0.316</v>
      </c>
      <c r="AH379">
        <v>0</v>
      </c>
      <c r="AI379">
        <v>0.31627962999999998</v>
      </c>
      <c r="AJ379">
        <v>16.137</v>
      </c>
      <c r="AK379">
        <v>42.8</v>
      </c>
      <c r="AL379">
        <v>58.936698999999997</v>
      </c>
      <c r="AM379">
        <v>0</v>
      </c>
      <c r="AN379">
        <v>0</v>
      </c>
      <c r="AO379">
        <v>0</v>
      </c>
      <c r="AP379">
        <v>7.5498227999999997E-3</v>
      </c>
      <c r="AQ379" s="217">
        <v>1.9502740000000002E-5</v>
      </c>
      <c r="AR379">
        <v>7.9956845999999998E-2</v>
      </c>
      <c r="AS379">
        <v>3.9175720999999998E-4</v>
      </c>
      <c r="AT379">
        <v>0</v>
      </c>
      <c r="AU379">
        <v>0</v>
      </c>
      <c r="AV379">
        <v>0</v>
      </c>
      <c r="AW379">
        <v>0</v>
      </c>
      <c r="AX379">
        <v>0</v>
      </c>
    </row>
    <row r="380" spans="1:50" x14ac:dyDescent="0.35">
      <c r="A380" t="s">
        <v>1095</v>
      </c>
      <c r="B380" s="249">
        <f t="shared" si="5"/>
        <v>0.41516645596880392</v>
      </c>
      <c r="C380" s="217">
        <v>2.9494993999999998E-6</v>
      </c>
      <c r="D380">
        <v>2.6822192000000002E-2</v>
      </c>
      <c r="E380">
        <v>3.9978227999999998</v>
      </c>
      <c r="F380" s="217">
        <v>7.2274862999999999E-7</v>
      </c>
      <c r="G380">
        <v>3.0503293000000002E-3</v>
      </c>
      <c r="H380">
        <v>1.5603103E-2</v>
      </c>
      <c r="I380">
        <v>2.5101695000000002E-3</v>
      </c>
      <c r="J380">
        <v>1.1925209000000001</v>
      </c>
      <c r="K380">
        <v>4.4808242999999998E-2</v>
      </c>
      <c r="L380">
        <v>101.88047</v>
      </c>
      <c r="M380">
        <v>1.6630658E-2</v>
      </c>
      <c r="N380">
        <v>4.0273212999999997</v>
      </c>
      <c r="O380">
        <v>4.0261144</v>
      </c>
      <c r="P380">
        <v>6.9309544999999995E-4</v>
      </c>
      <c r="Q380">
        <v>5.1378207999999996E-4</v>
      </c>
      <c r="R380" s="217">
        <v>9.0398920000000005E-7</v>
      </c>
      <c r="S380">
        <v>1.9900701999999999E-2</v>
      </c>
      <c r="T380" s="217">
        <v>3.2170874999999999E-5</v>
      </c>
      <c r="U380">
        <v>5.4346856999999997E-3</v>
      </c>
      <c r="V380">
        <v>6.0994359999999997E-2</v>
      </c>
      <c r="W380">
        <v>1.9229141000000002E-2</v>
      </c>
      <c r="X380" s="217">
        <v>2.9497089999999999E-6</v>
      </c>
      <c r="Y380">
        <v>56.773449999999997</v>
      </c>
      <c r="Z380">
        <v>0.47065548000000001</v>
      </c>
      <c r="AA380" s="217">
        <v>1.6473679999999999E-7</v>
      </c>
      <c r="AB380">
        <v>0.2449636</v>
      </c>
      <c r="AC380">
        <v>31.855924999999999</v>
      </c>
      <c r="AD380" s="217">
        <v>4.9079589000000001E-9</v>
      </c>
      <c r="AE380" s="217">
        <v>9.8449133999999993E-8</v>
      </c>
      <c r="AF380">
        <v>9.3039275999999997</v>
      </c>
      <c r="AG380">
        <v>0.34100000000000003</v>
      </c>
      <c r="AH380">
        <v>0</v>
      </c>
      <c r="AI380">
        <v>0.34072612000000002</v>
      </c>
      <c r="AJ380">
        <v>17.507000000000001</v>
      </c>
      <c r="AK380">
        <v>42.8</v>
      </c>
      <c r="AL380">
        <v>60.307186999999999</v>
      </c>
      <c r="AM380">
        <v>0</v>
      </c>
      <c r="AN380">
        <v>0</v>
      </c>
      <c r="AO380">
        <v>0</v>
      </c>
      <c r="AP380">
        <v>1.1643662000000001E-2</v>
      </c>
      <c r="AQ380" s="217">
        <v>2.0697815000000001E-5</v>
      </c>
      <c r="AR380">
        <v>8.4228597000000002E-2</v>
      </c>
      <c r="AS380">
        <v>3.9560126999999999E-4</v>
      </c>
      <c r="AT380">
        <v>0</v>
      </c>
      <c r="AU380">
        <v>0</v>
      </c>
      <c r="AV380">
        <v>0</v>
      </c>
      <c r="AW380">
        <v>0</v>
      </c>
      <c r="AX380">
        <v>0</v>
      </c>
    </row>
    <row r="381" spans="1:50" x14ac:dyDescent="0.35">
      <c r="A381" t="s">
        <v>1096</v>
      </c>
      <c r="B381" s="249">
        <f t="shared" si="5"/>
        <v>0.526113147005564</v>
      </c>
      <c r="C381" s="217">
        <v>2.5935478999999999E-6</v>
      </c>
      <c r="D381">
        <v>2.6171305999999998E-2</v>
      </c>
      <c r="E381">
        <v>3.8891802000000002</v>
      </c>
      <c r="F381" s="217">
        <v>7.1242693000000001E-7</v>
      </c>
      <c r="G381">
        <v>3.7526806000000002E-3</v>
      </c>
      <c r="H381">
        <v>3.3920672999999998E-2</v>
      </c>
      <c r="I381">
        <v>7.2961557999999998E-3</v>
      </c>
      <c r="J381">
        <v>1.1848805</v>
      </c>
      <c r="K381">
        <v>3.9830375000000001E-2</v>
      </c>
      <c r="L381">
        <v>97.742611999999994</v>
      </c>
      <c r="M381">
        <v>1.6384457000000002E-2</v>
      </c>
      <c r="N381">
        <v>3.9176776000000002</v>
      </c>
      <c r="O381">
        <v>3.9162340000000002</v>
      </c>
      <c r="P381">
        <v>9.5321752E-4</v>
      </c>
      <c r="Q381">
        <v>4.9031792999999996E-4</v>
      </c>
      <c r="R381" s="217">
        <v>8.9140571000000002E-7</v>
      </c>
      <c r="S381">
        <v>4.7013009000000001E-2</v>
      </c>
      <c r="T381" s="217">
        <v>2.8845534E-5</v>
      </c>
      <c r="U381">
        <v>1.9879117000000002E-2</v>
      </c>
      <c r="V381">
        <v>0.21826063000000001</v>
      </c>
      <c r="W381">
        <v>5.5714799000000002E-2</v>
      </c>
      <c r="X381" s="217">
        <v>2.5935658000000001E-6</v>
      </c>
      <c r="Y381">
        <v>55.512157999999999</v>
      </c>
      <c r="Z381">
        <v>0.29647363999999998</v>
      </c>
      <c r="AA381" s="217">
        <v>2.1837734000000001E-7</v>
      </c>
      <c r="AB381">
        <v>0.24224132000000001</v>
      </c>
      <c r="AC381">
        <v>30.937894</v>
      </c>
      <c r="AD381" s="217">
        <v>4.1163558000000004E-9</v>
      </c>
      <c r="AE381" s="217">
        <v>8.7673021999999994E-8</v>
      </c>
      <c r="AF381">
        <v>9.1312522999999999</v>
      </c>
      <c r="AG381">
        <v>0.316</v>
      </c>
      <c r="AH381">
        <v>0</v>
      </c>
      <c r="AI381">
        <v>0.31627962999999998</v>
      </c>
      <c r="AJ381">
        <v>16.137</v>
      </c>
      <c r="AK381">
        <v>42.8</v>
      </c>
      <c r="AL381">
        <v>58.936698999999997</v>
      </c>
      <c r="AM381">
        <v>0</v>
      </c>
      <c r="AN381">
        <v>0</v>
      </c>
      <c r="AO381">
        <v>0</v>
      </c>
      <c r="AP381">
        <v>7.5498227999999997E-3</v>
      </c>
      <c r="AQ381" s="217">
        <v>1.9502740000000002E-5</v>
      </c>
      <c r="AR381">
        <v>7.9956845999999998E-2</v>
      </c>
      <c r="AS381">
        <v>3.9175720999999998E-4</v>
      </c>
      <c r="AT381">
        <v>0</v>
      </c>
      <c r="AU381">
        <v>0</v>
      </c>
      <c r="AV381">
        <v>0</v>
      </c>
      <c r="AW381">
        <v>0</v>
      </c>
      <c r="AX381">
        <v>0</v>
      </c>
    </row>
    <row r="382" spans="1:50" x14ac:dyDescent="0.35">
      <c r="A382" t="s">
        <v>1097</v>
      </c>
      <c r="B382" s="249">
        <f t="shared" si="5"/>
        <v>29.070034064332479</v>
      </c>
      <c r="C382" s="217">
        <v>7.3627953000000005E-5</v>
      </c>
      <c r="D382">
        <v>1.5113878999999999</v>
      </c>
      <c r="E382">
        <v>218.32365999999999</v>
      </c>
      <c r="F382" s="217">
        <v>3.9579061999999998E-5</v>
      </c>
      <c r="G382">
        <v>0.22121183999999999</v>
      </c>
      <c r="H382">
        <v>1.6563384000000001</v>
      </c>
      <c r="I382">
        <v>0.37270048</v>
      </c>
      <c r="J382">
        <v>78.648617999999999</v>
      </c>
      <c r="K382">
        <v>1.0961642</v>
      </c>
      <c r="L382">
        <v>3696.7973999999999</v>
      </c>
      <c r="M382">
        <v>0.13013269999999999</v>
      </c>
      <c r="N382">
        <v>220.68744000000001</v>
      </c>
      <c r="O382">
        <v>220.63229000000001</v>
      </c>
      <c r="P382">
        <v>3.6411619999999999E-2</v>
      </c>
      <c r="Q382">
        <v>1.8739756999999999E-2</v>
      </c>
      <c r="R382" s="217">
        <v>4.9844669999999999E-5</v>
      </c>
      <c r="S382">
        <v>2.3126072</v>
      </c>
      <c r="T382">
        <v>1.6851614E-3</v>
      </c>
      <c r="U382">
        <v>1.0024185000000001</v>
      </c>
      <c r="V382">
        <v>11.016356</v>
      </c>
      <c r="W382">
        <v>3.0264296000000002</v>
      </c>
      <c r="X382" s="217">
        <v>7.3628896000000005E-5</v>
      </c>
      <c r="Y382">
        <v>3190.7918</v>
      </c>
      <c r="Z382">
        <v>17.201609999999999</v>
      </c>
      <c r="AA382" s="217">
        <v>6.0507534999999999E-5</v>
      </c>
      <c r="AB382">
        <v>13.752057000000001</v>
      </c>
      <c r="AC382">
        <v>1803.7893999999999</v>
      </c>
      <c r="AD382" s="217">
        <v>6.2059059000000002E-8</v>
      </c>
      <c r="AE382" s="217">
        <v>1.5716445999999999E-6</v>
      </c>
      <c r="AF382">
        <v>404.13553000000002</v>
      </c>
      <c r="AG382">
        <v>0</v>
      </c>
      <c r="AH382">
        <v>0</v>
      </c>
      <c r="AI382">
        <v>18.484690000000001</v>
      </c>
      <c r="AJ382">
        <v>0</v>
      </c>
      <c r="AK382">
        <v>0</v>
      </c>
      <c r="AL382">
        <v>3388.2820999999999</v>
      </c>
      <c r="AM382">
        <v>0</v>
      </c>
      <c r="AN382">
        <v>0</v>
      </c>
      <c r="AO382">
        <v>0</v>
      </c>
      <c r="AP382">
        <v>0.43792444000000003</v>
      </c>
      <c r="AQ382">
        <v>1.4228677E-3</v>
      </c>
      <c r="AR382">
        <v>3.4005329</v>
      </c>
      <c r="AS382">
        <v>2.2163924000000002E-2</v>
      </c>
      <c r="AT382">
        <v>0</v>
      </c>
      <c r="AU382">
        <v>0</v>
      </c>
      <c r="AV382">
        <v>0</v>
      </c>
      <c r="AW382">
        <v>0</v>
      </c>
      <c r="AX382">
        <v>0</v>
      </c>
    </row>
    <row r="383" spans="1:50" x14ac:dyDescent="0.35">
      <c r="A383" t="s">
        <v>1098</v>
      </c>
      <c r="B383" s="249">
        <f t="shared" si="5"/>
        <v>8.7268593291721592E-4</v>
      </c>
      <c r="C383" s="217">
        <v>2.2103200999999999E-9</v>
      </c>
      <c r="D383" s="217">
        <v>4.5372045999999998E-5</v>
      </c>
      <c r="E383">
        <v>6.5541026999999998E-3</v>
      </c>
      <c r="F383" s="217">
        <v>1.1881682000000001E-9</v>
      </c>
      <c r="G383" s="217">
        <v>6.6408061999999996E-6</v>
      </c>
      <c r="H383" s="217">
        <v>4.9723479000000002E-5</v>
      </c>
      <c r="I383" s="217">
        <v>1.1188513E-5</v>
      </c>
      <c r="J383">
        <v>2.3610409999999999E-3</v>
      </c>
      <c r="K383" s="217">
        <v>3.2906983000000002E-5</v>
      </c>
      <c r="L383">
        <v>0.11097831</v>
      </c>
      <c r="M383" s="217">
        <v>3.9065995000000003E-6</v>
      </c>
      <c r="N383">
        <v>6.6250635999999998E-3</v>
      </c>
      <c r="O383">
        <v>6.6234079000000003E-3</v>
      </c>
      <c r="P383" s="217">
        <v>1.0930812E-6</v>
      </c>
      <c r="Q383" s="217">
        <v>5.6256976999999995E-7</v>
      </c>
      <c r="R383" s="217">
        <v>1.4963429999999999E-9</v>
      </c>
      <c r="S383" s="217">
        <v>6.9424747999999997E-5</v>
      </c>
      <c r="T383" s="217">
        <v>5.0588749999999997E-8</v>
      </c>
      <c r="U383" s="217">
        <v>3.0092725999999998E-5</v>
      </c>
      <c r="V383">
        <v>3.3071235E-4</v>
      </c>
      <c r="W383" s="217">
        <v>9.0853782999999994E-5</v>
      </c>
      <c r="X383" s="217">
        <v>2.2103483999999998E-9</v>
      </c>
      <c r="Y383">
        <v>9.5787955999999994E-2</v>
      </c>
      <c r="Z383">
        <v>5.1639440999999998E-4</v>
      </c>
      <c r="AA383" s="217">
        <v>1.8164435000000001E-9</v>
      </c>
      <c r="AB383">
        <v>4.1283841E-4</v>
      </c>
      <c r="AC383">
        <v>5.4149977000000002E-2</v>
      </c>
      <c r="AD383" s="217">
        <v>1.8630204000000001E-12</v>
      </c>
      <c r="AE383" s="217">
        <v>4.7180961999999998E-11</v>
      </c>
      <c r="AF383">
        <v>1.2132197000000001E-2</v>
      </c>
      <c r="AG383">
        <v>0</v>
      </c>
      <c r="AH383">
        <v>0</v>
      </c>
      <c r="AI383">
        <v>5.5491261999999998E-4</v>
      </c>
      <c r="AJ383">
        <v>0</v>
      </c>
      <c r="AK383">
        <v>0</v>
      </c>
      <c r="AL383">
        <v>0.10171664</v>
      </c>
      <c r="AM383">
        <v>0</v>
      </c>
      <c r="AN383">
        <v>0</v>
      </c>
      <c r="AO383">
        <v>0</v>
      </c>
      <c r="AP383" s="217">
        <v>1.3146545E-5</v>
      </c>
      <c r="AQ383" s="217">
        <v>4.2714660999999997E-8</v>
      </c>
      <c r="AR383">
        <v>1.0208441E-4</v>
      </c>
      <c r="AS383" s="217">
        <v>6.6536370000000005E-7</v>
      </c>
      <c r="AT383">
        <v>0</v>
      </c>
      <c r="AU383">
        <v>0</v>
      </c>
      <c r="AV383">
        <v>0</v>
      </c>
      <c r="AW383">
        <v>0</v>
      </c>
      <c r="AX383">
        <v>0</v>
      </c>
    </row>
    <row r="384" spans="1:50" x14ac:dyDescent="0.35">
      <c r="A384" t="s">
        <v>1099</v>
      </c>
      <c r="B384" s="249">
        <f t="shared" si="5"/>
        <v>3.6400328436990009E-2</v>
      </c>
      <c r="C384" s="217">
        <v>5.5893775000000003E-6</v>
      </c>
      <c r="D384">
        <v>1.7128372000000001E-3</v>
      </c>
      <c r="E384">
        <v>0.23329337999999999</v>
      </c>
      <c r="F384" s="217">
        <v>1.3905053E-8</v>
      </c>
      <c r="G384">
        <v>3.7891417999999998E-4</v>
      </c>
      <c r="H384">
        <v>1.3009654E-3</v>
      </c>
      <c r="I384">
        <v>2.4733463000000002E-4</v>
      </c>
      <c r="J384">
        <v>0.16537218000000001</v>
      </c>
      <c r="K384">
        <v>2.9855328999999998E-3</v>
      </c>
      <c r="L384">
        <v>12.289403</v>
      </c>
      <c r="M384">
        <v>1.1764986E-3</v>
      </c>
      <c r="N384">
        <v>0.23820121999999999</v>
      </c>
      <c r="O384">
        <v>0.23768267000000001</v>
      </c>
      <c r="P384">
        <v>1.3772991E-4</v>
      </c>
      <c r="Q384">
        <v>3.8081744999999997E-4</v>
      </c>
      <c r="R384" s="217">
        <v>1.4206552999999999E-8</v>
      </c>
      <c r="S384">
        <v>1.5667768E-3</v>
      </c>
      <c r="T384" s="217">
        <v>5.0819217999999999E-5</v>
      </c>
      <c r="U384">
        <v>2.2590471999999999E-4</v>
      </c>
      <c r="V384">
        <v>2.7859999999999998E-3</v>
      </c>
      <c r="W384">
        <v>1.2251105999999999E-3</v>
      </c>
      <c r="X384" s="217">
        <v>5.5894696000000003E-6</v>
      </c>
      <c r="Y384">
        <v>3.1597593000000002</v>
      </c>
      <c r="Z384">
        <v>5.3657743000000001E-2</v>
      </c>
      <c r="AA384" s="217">
        <v>1.330613E-8</v>
      </c>
      <c r="AB384">
        <v>1.2643440000000001E-2</v>
      </c>
      <c r="AC384">
        <v>7.0786607999999998</v>
      </c>
      <c r="AD384" s="217">
        <v>2.6087244000000001E-10</v>
      </c>
      <c r="AE384" s="217">
        <v>6.5754487000000001E-9</v>
      </c>
      <c r="AF384">
        <v>1.2495883999999999</v>
      </c>
      <c r="AG384">
        <v>0</v>
      </c>
      <c r="AH384">
        <v>0</v>
      </c>
      <c r="AI384">
        <v>0.31229235</v>
      </c>
      <c r="AJ384">
        <v>0</v>
      </c>
      <c r="AK384">
        <v>0</v>
      </c>
      <c r="AL384">
        <v>3.3591669999999998</v>
      </c>
      <c r="AM384">
        <v>0</v>
      </c>
      <c r="AN384">
        <v>0</v>
      </c>
      <c r="AO384">
        <v>0</v>
      </c>
      <c r="AP384">
        <v>1.8757549E-3</v>
      </c>
      <c r="AQ384" s="217">
        <v>1.7976676000000001E-5</v>
      </c>
      <c r="AR384">
        <v>7.7540755000000003E-2</v>
      </c>
      <c r="AS384" s="217">
        <v>1.0219574E-5</v>
      </c>
      <c r="AT384">
        <v>0</v>
      </c>
      <c r="AU384">
        <v>0</v>
      </c>
      <c r="AV384">
        <v>0</v>
      </c>
      <c r="AW384">
        <v>0</v>
      </c>
      <c r="AX384">
        <v>0</v>
      </c>
    </row>
    <row r="385" spans="1:50" x14ac:dyDescent="0.35">
      <c r="A385" t="s">
        <v>1100</v>
      </c>
      <c r="B385" s="249">
        <f t="shared" si="5"/>
        <v>3.7626407096856003E-2</v>
      </c>
      <c r="C385" s="217">
        <v>2.9002336000000001E-6</v>
      </c>
      <c r="D385">
        <v>1.9592628000000001E-3</v>
      </c>
      <c r="E385">
        <v>0.28295352000000001</v>
      </c>
      <c r="F385" s="217">
        <v>4.4261056E-8</v>
      </c>
      <c r="G385">
        <v>2.0528222999999999E-4</v>
      </c>
      <c r="H385">
        <v>7.8059215000000003E-4</v>
      </c>
      <c r="I385">
        <v>1.2470316E-4</v>
      </c>
      <c r="J385">
        <v>0.1964089</v>
      </c>
      <c r="K385">
        <v>2.4767156000000002E-3</v>
      </c>
      <c r="L385">
        <v>7.3334058999999998</v>
      </c>
      <c r="M385">
        <v>3.9587702999999998E-4</v>
      </c>
      <c r="N385">
        <v>0.28619371999999998</v>
      </c>
      <c r="O385">
        <v>0.28630435999999998</v>
      </c>
      <c r="P385">
        <v>-2.0786471E-4</v>
      </c>
      <c r="Q385" s="217">
        <v>9.7221704000000002E-5</v>
      </c>
      <c r="R385" s="217">
        <v>5.4893564000000002E-8</v>
      </c>
      <c r="S385">
        <v>9.3204178999999998E-4</v>
      </c>
      <c r="T385" s="217">
        <v>1.2800464E-5</v>
      </c>
      <c r="U385">
        <v>1.3355027E-4</v>
      </c>
      <c r="V385">
        <v>1.5848652E-3</v>
      </c>
      <c r="W385">
        <v>7.1606915999999996E-4</v>
      </c>
      <c r="X385" s="217">
        <v>2.9002472999999998E-6</v>
      </c>
      <c r="Y385">
        <v>4.0536821999999999</v>
      </c>
      <c r="Z385">
        <v>3.7519546000000001E-2</v>
      </c>
      <c r="AA385" s="217">
        <v>1.0177962E-8</v>
      </c>
      <c r="AB385">
        <v>1.6412067999999998E-2</v>
      </c>
      <c r="AC385">
        <v>3.8394925999999998</v>
      </c>
      <c r="AD385" s="217">
        <v>1.8609357000000001E-10</v>
      </c>
      <c r="AE385" s="217">
        <v>3.5622161000000001E-9</v>
      </c>
      <c r="AF385">
        <v>1.5271821999999999</v>
      </c>
      <c r="AG385">
        <v>0</v>
      </c>
      <c r="AH385">
        <v>0</v>
      </c>
      <c r="AI385">
        <v>8.7653935000000002E-2</v>
      </c>
      <c r="AJ385">
        <v>0</v>
      </c>
      <c r="AK385">
        <v>0</v>
      </c>
      <c r="AL385">
        <v>4.3061543000000002</v>
      </c>
      <c r="AM385">
        <v>0</v>
      </c>
      <c r="AN385">
        <v>0</v>
      </c>
      <c r="AO385">
        <v>0</v>
      </c>
      <c r="AP385">
        <v>1.0452466000000001E-3</v>
      </c>
      <c r="AQ385" s="217">
        <v>7.0953504000000004E-6</v>
      </c>
      <c r="AR385">
        <v>8.9196247000000006E-2</v>
      </c>
      <c r="AS385" s="217">
        <v>2.4854327000000001E-5</v>
      </c>
      <c r="AT385">
        <v>0</v>
      </c>
      <c r="AU385">
        <v>0</v>
      </c>
      <c r="AV385">
        <v>0</v>
      </c>
      <c r="AW385">
        <v>0</v>
      </c>
      <c r="AX385">
        <v>0</v>
      </c>
    </row>
    <row r="386" spans="1:50" x14ac:dyDescent="0.35">
      <c r="A386" t="s">
        <v>1101</v>
      </c>
      <c r="B386" s="249">
        <f t="shared" si="5"/>
        <v>3.6417176852006003E-2</v>
      </c>
      <c r="C386" s="217">
        <v>2.9129501000000001E-6</v>
      </c>
      <c r="D386">
        <v>1.6359453000000001E-3</v>
      </c>
      <c r="E386">
        <v>0.23034108</v>
      </c>
      <c r="F386" s="217">
        <v>3.6371193000000001E-8</v>
      </c>
      <c r="G386">
        <v>1.2999486000000001E-4</v>
      </c>
      <c r="H386">
        <v>8.9920411000000001E-4</v>
      </c>
      <c r="I386">
        <v>1.7519032999999999E-4</v>
      </c>
      <c r="J386">
        <v>0.20501406</v>
      </c>
      <c r="K386">
        <v>2.5819803999999999E-3</v>
      </c>
      <c r="L386">
        <v>6.5140535000000002</v>
      </c>
      <c r="M386">
        <v>3.8608506999999998E-4</v>
      </c>
      <c r="N386">
        <v>0.23259265000000001</v>
      </c>
      <c r="O386">
        <v>0.23273273999999999</v>
      </c>
      <c r="P386">
        <v>-2.3641588E-4</v>
      </c>
      <c r="Q386" s="217">
        <v>9.6323113000000002E-5</v>
      </c>
      <c r="R386" s="217">
        <v>4.4983978999999998E-8</v>
      </c>
      <c r="S386">
        <v>1.1478814E-3</v>
      </c>
      <c r="T386" s="217">
        <v>1.2287726E-5</v>
      </c>
      <c r="U386">
        <v>3.1119611000000001E-4</v>
      </c>
      <c r="V386">
        <v>3.5076523000000001E-3</v>
      </c>
      <c r="W386">
        <v>1.0474864E-3</v>
      </c>
      <c r="X386" s="217">
        <v>2.9129634000000001E-6</v>
      </c>
      <c r="Y386">
        <v>3.3604566999999999</v>
      </c>
      <c r="Z386">
        <v>3.4196954000000002E-2</v>
      </c>
      <c r="AA386" s="217">
        <v>1.8229383E-8</v>
      </c>
      <c r="AB386">
        <v>1.3569774E-2</v>
      </c>
      <c r="AC386">
        <v>3.5554909000000001</v>
      </c>
      <c r="AD386" s="217">
        <v>2.3206862000000001E-10</v>
      </c>
      <c r="AE386" s="217">
        <v>4.0037247999999998E-9</v>
      </c>
      <c r="AF386">
        <v>1.4383351</v>
      </c>
      <c r="AG386">
        <v>0</v>
      </c>
      <c r="AH386">
        <v>0</v>
      </c>
      <c r="AI386">
        <v>8.1590211999999995E-2</v>
      </c>
      <c r="AJ386">
        <v>0</v>
      </c>
      <c r="AK386">
        <v>0</v>
      </c>
      <c r="AL386">
        <v>3.5695920000000001</v>
      </c>
      <c r="AM386">
        <v>0</v>
      </c>
      <c r="AN386">
        <v>0</v>
      </c>
      <c r="AO386">
        <v>0</v>
      </c>
      <c r="AP386">
        <v>9.5490416000000003E-4</v>
      </c>
      <c r="AQ386" s="217">
        <v>7.3253794E-6</v>
      </c>
      <c r="AR386">
        <v>8.8940867000000007E-2</v>
      </c>
      <c r="AS386" s="217">
        <v>2.0361501000000001E-5</v>
      </c>
      <c r="AT386">
        <v>0</v>
      </c>
      <c r="AU386">
        <v>0</v>
      </c>
      <c r="AV386">
        <v>0</v>
      </c>
      <c r="AW386">
        <v>0</v>
      </c>
      <c r="AX386">
        <v>0</v>
      </c>
    </row>
    <row r="387" spans="1:50" x14ac:dyDescent="0.35">
      <c r="A387" t="s">
        <v>1102</v>
      </c>
      <c r="B387" s="249">
        <f t="shared" si="5"/>
        <v>3.6572155800502E-2</v>
      </c>
      <c r="C387" s="217">
        <v>2.8985096999999999E-6</v>
      </c>
      <c r="D387">
        <v>1.8743863999999999E-3</v>
      </c>
      <c r="E387">
        <v>0.27017134999999998</v>
      </c>
      <c r="F387" s="217">
        <v>4.2005665000000001E-8</v>
      </c>
      <c r="G387">
        <v>2.0156853999999999E-4</v>
      </c>
      <c r="H387">
        <v>7.5278783000000003E-4</v>
      </c>
      <c r="I387">
        <v>1.2055314000000001E-4</v>
      </c>
      <c r="J387">
        <v>0.19393341</v>
      </c>
      <c r="K387">
        <v>2.4148346E-3</v>
      </c>
      <c r="L387">
        <v>7.1272614000000001</v>
      </c>
      <c r="M387">
        <v>3.9196344999999999E-4</v>
      </c>
      <c r="N387">
        <v>0.27333093000000003</v>
      </c>
      <c r="O387">
        <v>0.27344813000000001</v>
      </c>
      <c r="P387">
        <v>-2.1369613E-4</v>
      </c>
      <c r="Q387" s="217">
        <v>9.6493865999999995E-5</v>
      </c>
      <c r="R387" s="217">
        <v>5.2049386999999999E-8</v>
      </c>
      <c r="S387">
        <v>8.9819927000000003E-4</v>
      </c>
      <c r="T387" s="217">
        <v>1.2757E-5</v>
      </c>
      <c r="U387">
        <v>1.2713342000000001E-4</v>
      </c>
      <c r="V387">
        <v>1.5118299E-3</v>
      </c>
      <c r="W387">
        <v>6.9362595999999997E-4</v>
      </c>
      <c r="X387" s="217">
        <v>2.8985235E-6</v>
      </c>
      <c r="Y387">
        <v>3.8724223000000002</v>
      </c>
      <c r="Z387">
        <v>3.6690975000000001E-2</v>
      </c>
      <c r="AA387" s="217">
        <v>9.9963136999999997E-9</v>
      </c>
      <c r="AB387">
        <v>1.5625068999999998E-2</v>
      </c>
      <c r="AC387">
        <v>3.7491731000000001</v>
      </c>
      <c r="AD387" s="217">
        <v>1.8492972999999999E-10</v>
      </c>
      <c r="AE387" s="217">
        <v>3.5326785999999998E-9</v>
      </c>
      <c r="AF387">
        <v>1.5043747999999999</v>
      </c>
      <c r="AG387">
        <v>0</v>
      </c>
      <c r="AH387">
        <v>0</v>
      </c>
      <c r="AI387">
        <v>8.6716067999999993E-2</v>
      </c>
      <c r="AJ387">
        <v>0</v>
      </c>
      <c r="AK387">
        <v>0</v>
      </c>
      <c r="AL387">
        <v>4.1137094000000003</v>
      </c>
      <c r="AM387">
        <v>0</v>
      </c>
      <c r="AN387">
        <v>0</v>
      </c>
      <c r="AO387">
        <v>0</v>
      </c>
      <c r="AP387">
        <v>1.0235903999999999E-3</v>
      </c>
      <c r="AQ387" s="217">
        <v>7.0368706000000004E-6</v>
      </c>
      <c r="AR387">
        <v>8.9107894000000007E-2</v>
      </c>
      <c r="AS387" s="217">
        <v>2.35823E-5</v>
      </c>
      <c r="AT387">
        <v>0</v>
      </c>
      <c r="AU387">
        <v>0</v>
      </c>
      <c r="AV387">
        <v>0</v>
      </c>
      <c r="AW387">
        <v>0</v>
      </c>
      <c r="AX387">
        <v>0</v>
      </c>
    </row>
    <row r="388" spans="1:50" x14ac:dyDescent="0.35">
      <c r="A388" t="s">
        <v>1103</v>
      </c>
      <c r="B388" s="249">
        <f t="shared" si="5"/>
        <v>3.6511677234006008E-2</v>
      </c>
      <c r="C388" s="217">
        <v>2.9129501000000001E-6</v>
      </c>
      <c r="D388">
        <v>1.6359453000000001E-3</v>
      </c>
      <c r="E388">
        <v>0.23033439</v>
      </c>
      <c r="F388" s="217">
        <v>3.6371193000000001E-8</v>
      </c>
      <c r="G388">
        <v>1.2909894E-4</v>
      </c>
      <c r="H388">
        <v>9.6745900000000005E-4</v>
      </c>
      <c r="I388">
        <v>1.9293660000000001E-4</v>
      </c>
      <c r="J388">
        <v>0.20129611</v>
      </c>
      <c r="K388">
        <v>2.5356465000000001E-3</v>
      </c>
      <c r="L388">
        <v>6.514005</v>
      </c>
      <c r="M388">
        <v>3.8443671999999999E-4</v>
      </c>
      <c r="N388">
        <v>0.23258433000000001</v>
      </c>
      <c r="O388">
        <v>0.23272441999999999</v>
      </c>
      <c r="P388">
        <v>-2.3641588E-4</v>
      </c>
      <c r="Q388" s="217">
        <v>9.6323113000000002E-5</v>
      </c>
      <c r="R388" s="217">
        <v>4.4983978999999998E-8</v>
      </c>
      <c r="S388">
        <v>1.2488987E-3</v>
      </c>
      <c r="T388" s="217">
        <v>1.2287726E-5</v>
      </c>
      <c r="U388">
        <v>3.6429840999999998E-4</v>
      </c>
      <c r="V388">
        <v>4.0891838999999996E-3</v>
      </c>
      <c r="W388">
        <v>1.1822255E-3</v>
      </c>
      <c r="X388" s="217">
        <v>2.9129634000000001E-6</v>
      </c>
      <c r="Y388">
        <v>3.3604566999999999</v>
      </c>
      <c r="Z388">
        <v>3.4196964000000003E-2</v>
      </c>
      <c r="AA388" s="217">
        <v>1.0165678E-8</v>
      </c>
      <c r="AB388">
        <v>1.3569774E-2</v>
      </c>
      <c r="AC388">
        <v>3.5553227999999999</v>
      </c>
      <c r="AD388" s="217">
        <v>2.2454421999999999E-10</v>
      </c>
      <c r="AE388" s="217">
        <v>3.8846777000000004E-9</v>
      </c>
      <c r="AF388">
        <v>1.4383349999999999</v>
      </c>
      <c r="AG388">
        <v>0</v>
      </c>
      <c r="AH388">
        <v>0</v>
      </c>
      <c r="AI388">
        <v>8.1590211999999995E-2</v>
      </c>
      <c r="AJ388">
        <v>0</v>
      </c>
      <c r="AK388">
        <v>0</v>
      </c>
      <c r="AL388">
        <v>3.5695920000000001</v>
      </c>
      <c r="AM388">
        <v>0</v>
      </c>
      <c r="AN388">
        <v>0</v>
      </c>
      <c r="AO388">
        <v>0</v>
      </c>
      <c r="AP388">
        <v>9.5490433E-4</v>
      </c>
      <c r="AQ388" s="217">
        <v>7.3253794E-6</v>
      </c>
      <c r="AR388">
        <v>8.8940867000000007E-2</v>
      </c>
      <c r="AS388" s="217">
        <v>2.0361501000000001E-5</v>
      </c>
      <c r="AT388">
        <v>0</v>
      </c>
      <c r="AU388">
        <v>0</v>
      </c>
      <c r="AV388">
        <v>0</v>
      </c>
      <c r="AW388">
        <v>0</v>
      </c>
      <c r="AX388">
        <v>0</v>
      </c>
    </row>
    <row r="389" spans="1:50" x14ac:dyDescent="0.35">
      <c r="A389" t="s">
        <v>1104</v>
      </c>
      <c r="B389" s="249">
        <f t="shared" si="5"/>
        <v>4.8100090583778003E-2</v>
      </c>
      <c r="C389" s="217">
        <v>3.8633428000000002E-6</v>
      </c>
      <c r="D389">
        <v>2.449433E-3</v>
      </c>
      <c r="E389">
        <v>0.35295452999999999</v>
      </c>
      <c r="F389" s="217">
        <v>5.4697751000000001E-8</v>
      </c>
      <c r="G389">
        <v>2.4908794999999999E-4</v>
      </c>
      <c r="H389">
        <v>9.9078953E-4</v>
      </c>
      <c r="I389">
        <v>1.5919381999999999E-4</v>
      </c>
      <c r="J389">
        <v>0.25668655000000001</v>
      </c>
      <c r="K389">
        <v>3.1786908999999999E-3</v>
      </c>
      <c r="L389">
        <v>9.3579576000000007</v>
      </c>
      <c r="M389">
        <v>5.1952249000000001E-4</v>
      </c>
      <c r="N389">
        <v>0.35696791999999999</v>
      </c>
      <c r="O389">
        <v>0.35712840000000001</v>
      </c>
      <c r="P389">
        <v>-2.8858501999999998E-4</v>
      </c>
      <c r="Q389">
        <v>1.2810463000000001E-4</v>
      </c>
      <c r="R389" s="217">
        <v>6.7748583000000003E-8</v>
      </c>
      <c r="S389">
        <v>1.1827732000000001E-3</v>
      </c>
      <c r="T389" s="217">
        <v>1.6977141999999999E-5</v>
      </c>
      <c r="U389">
        <v>1.6844135000000001E-4</v>
      </c>
      <c r="V389">
        <v>2.0023251000000001E-3</v>
      </c>
      <c r="W389">
        <v>8.8500617E-4</v>
      </c>
      <c r="X389" s="217">
        <v>3.8633611000000001E-6</v>
      </c>
      <c r="Y389">
        <v>5.0572293999999998</v>
      </c>
      <c r="Z389">
        <v>4.837984E-2</v>
      </c>
      <c r="AA389" s="217">
        <v>1.3085671E-8</v>
      </c>
      <c r="AB389">
        <v>2.0373672999999998E-2</v>
      </c>
      <c r="AC389">
        <v>4.9434297999999997</v>
      </c>
      <c r="AD389" s="217">
        <v>2.4595111999999999E-10</v>
      </c>
      <c r="AE389" s="217">
        <v>4.5759639E-9</v>
      </c>
      <c r="AF389">
        <v>1.9699431999999999</v>
      </c>
      <c r="AG389">
        <v>0</v>
      </c>
      <c r="AH389">
        <v>0</v>
      </c>
      <c r="AI389">
        <v>0.11497764000000001</v>
      </c>
      <c r="AJ389">
        <v>0</v>
      </c>
      <c r="AK389">
        <v>0</v>
      </c>
      <c r="AL389">
        <v>5.3724021999999998</v>
      </c>
      <c r="AM389">
        <v>0</v>
      </c>
      <c r="AN389">
        <v>0</v>
      </c>
      <c r="AO389">
        <v>0</v>
      </c>
      <c r="AP389">
        <v>1.350508E-3</v>
      </c>
      <c r="AQ389" s="217">
        <v>9.3449593000000005E-6</v>
      </c>
      <c r="AR389">
        <v>0.11682637999999999</v>
      </c>
      <c r="AS389" s="217">
        <v>3.0703615000000003E-5</v>
      </c>
      <c r="AT389">
        <v>0</v>
      </c>
      <c r="AU389">
        <v>0</v>
      </c>
      <c r="AV389">
        <v>0</v>
      </c>
      <c r="AW389">
        <v>0</v>
      </c>
      <c r="AX389">
        <v>0</v>
      </c>
    </row>
    <row r="390" spans="1:50" x14ac:dyDescent="0.35">
      <c r="A390" t="s">
        <v>1105</v>
      </c>
      <c r="B390" s="249">
        <f t="shared" ref="B390:B453" si="6">(C390*0.16)+(D390*0.16)+(E390*0.05)+(F390*30)+(G390*2)+(H390*4)+(I390*9)+(J390*0.09)+(K390*0.03)+(L390*0.0001)+(M390*0.06)</f>
        <v>4.8148430067712009E-2</v>
      </c>
      <c r="C390" s="217">
        <v>3.8833986999999999E-6</v>
      </c>
      <c r="D390">
        <v>2.1663712999999999E-3</v>
      </c>
      <c r="E390">
        <v>0.30510583000000002</v>
      </c>
      <c r="F390" s="217">
        <v>4.8103204000000003E-8</v>
      </c>
      <c r="G390">
        <v>1.7279567000000001E-4</v>
      </c>
      <c r="H390">
        <v>1.1110269000000001E-3</v>
      </c>
      <c r="I390">
        <v>2.1117048999999999E-4</v>
      </c>
      <c r="J390">
        <v>0.27618525999999999</v>
      </c>
      <c r="K390">
        <v>3.4692002E-3</v>
      </c>
      <c r="L390">
        <v>8.6258067999999994</v>
      </c>
      <c r="M390">
        <v>5.1485473000000004E-4</v>
      </c>
      <c r="N390">
        <v>0.30806492000000002</v>
      </c>
      <c r="O390">
        <v>0.30825303999999998</v>
      </c>
      <c r="P390">
        <v>-3.1631200000000002E-4</v>
      </c>
      <c r="Q390">
        <v>1.2819215999999999E-4</v>
      </c>
      <c r="R390" s="217">
        <v>5.9485228E-8</v>
      </c>
      <c r="S390">
        <v>1.4015324E-3</v>
      </c>
      <c r="T390" s="217">
        <v>1.6371004000000001E-5</v>
      </c>
      <c r="U390">
        <v>3.4889976000000001E-4</v>
      </c>
      <c r="V390">
        <v>3.9533221999999996E-3</v>
      </c>
      <c r="W390">
        <v>1.2259866000000001E-3</v>
      </c>
      <c r="X390" s="217">
        <v>3.8834164000000002E-6</v>
      </c>
      <c r="Y390">
        <v>4.4490546999999996</v>
      </c>
      <c r="Z390">
        <v>4.5401364E-2</v>
      </c>
      <c r="AA390" s="217">
        <v>2.1230768999999999E-8</v>
      </c>
      <c r="AB390">
        <v>1.7954439999999999E-2</v>
      </c>
      <c r="AC390">
        <v>4.7225842</v>
      </c>
      <c r="AD390" s="217">
        <v>3.1608899999999998E-10</v>
      </c>
      <c r="AE390" s="217">
        <v>5.4180024E-9</v>
      </c>
      <c r="AF390">
        <v>1.8912667999999999</v>
      </c>
      <c r="AG390">
        <v>0</v>
      </c>
      <c r="AH390">
        <v>0</v>
      </c>
      <c r="AI390">
        <v>0.10856201</v>
      </c>
      <c r="AJ390">
        <v>0</v>
      </c>
      <c r="AK390">
        <v>0</v>
      </c>
      <c r="AL390">
        <v>4.7259586999999996</v>
      </c>
      <c r="AM390">
        <v>0</v>
      </c>
      <c r="AN390">
        <v>0</v>
      </c>
      <c r="AO390">
        <v>0</v>
      </c>
      <c r="AP390">
        <v>1.2680456E-3</v>
      </c>
      <c r="AQ390" s="217">
        <v>9.7545794000000004E-6</v>
      </c>
      <c r="AR390">
        <v>0.11664121</v>
      </c>
      <c r="AS390" s="217">
        <v>2.6927181999999999E-5</v>
      </c>
      <c r="AT390">
        <v>0</v>
      </c>
      <c r="AU390">
        <v>0</v>
      </c>
      <c r="AV390">
        <v>0</v>
      </c>
      <c r="AW390">
        <v>0</v>
      </c>
      <c r="AX390">
        <v>0</v>
      </c>
    </row>
    <row r="391" spans="1:50" x14ac:dyDescent="0.35">
      <c r="A391" t="s">
        <v>1106</v>
      </c>
      <c r="B391" s="249">
        <f t="shared" si="6"/>
        <v>4.6896897809029996E-2</v>
      </c>
      <c r="C391" s="217">
        <v>3.8615704999999997E-6</v>
      </c>
      <c r="D391">
        <v>2.3621699999999998E-3</v>
      </c>
      <c r="E391">
        <v>0.33981256999999998</v>
      </c>
      <c r="F391" s="217">
        <v>5.2378925000000001E-8</v>
      </c>
      <c r="G391">
        <v>2.4486350000000001E-4</v>
      </c>
      <c r="H391">
        <v>9.6208977000000002E-4</v>
      </c>
      <c r="I391">
        <v>1.548977E-4</v>
      </c>
      <c r="J391">
        <v>0.25283359999999999</v>
      </c>
      <c r="K391">
        <v>3.1138435E-3</v>
      </c>
      <c r="L391">
        <v>9.1460133999999993</v>
      </c>
      <c r="M391">
        <v>5.1544774999999997E-4</v>
      </c>
      <c r="N391">
        <v>0.34374178999999999</v>
      </c>
      <c r="O391">
        <v>0.34390901000000001</v>
      </c>
      <c r="P391">
        <v>-2.9458095000000001E-4</v>
      </c>
      <c r="Q391">
        <v>1.2735633999999999E-4</v>
      </c>
      <c r="R391" s="217">
        <v>6.4824410999999994E-8</v>
      </c>
      <c r="S391">
        <v>1.1478112E-3</v>
      </c>
      <c r="T391" s="217">
        <v>1.6932456000000001E-5</v>
      </c>
      <c r="U391">
        <v>1.6175614E-4</v>
      </c>
      <c r="V391">
        <v>1.9262731000000001E-3</v>
      </c>
      <c r="W391">
        <v>8.6091982999999996E-4</v>
      </c>
      <c r="X391" s="217">
        <v>3.8615887999999996E-6</v>
      </c>
      <c r="Y391">
        <v>4.8708727999999999</v>
      </c>
      <c r="Z391">
        <v>4.7524799E-2</v>
      </c>
      <c r="AA391" s="217">
        <v>1.2899090000000001E-8</v>
      </c>
      <c r="AB391">
        <v>1.9564544E-2</v>
      </c>
      <c r="AC391">
        <v>4.8505592999999996</v>
      </c>
      <c r="AD391" s="217">
        <v>2.4414535E-10</v>
      </c>
      <c r="AE391" s="217">
        <v>4.5418448000000004E-9</v>
      </c>
      <c r="AF391">
        <v>1.9464942999999999</v>
      </c>
      <c r="AG391">
        <v>0</v>
      </c>
      <c r="AH391">
        <v>0</v>
      </c>
      <c r="AI391">
        <v>0.11401341</v>
      </c>
      <c r="AJ391">
        <v>0</v>
      </c>
      <c r="AK391">
        <v>0</v>
      </c>
      <c r="AL391">
        <v>5.1745460000000003</v>
      </c>
      <c r="AM391">
        <v>0</v>
      </c>
      <c r="AN391">
        <v>0</v>
      </c>
      <c r="AO391">
        <v>0</v>
      </c>
      <c r="AP391">
        <v>1.3281597E-3</v>
      </c>
      <c r="AQ391" s="217">
        <v>9.2848338999999993E-6</v>
      </c>
      <c r="AR391">
        <v>0.11673554</v>
      </c>
      <c r="AS391" s="217">
        <v>2.9395812E-5</v>
      </c>
      <c r="AT391">
        <v>0</v>
      </c>
      <c r="AU391">
        <v>0</v>
      </c>
      <c r="AV391">
        <v>0</v>
      </c>
      <c r="AW391">
        <v>0</v>
      </c>
      <c r="AX391">
        <v>0</v>
      </c>
    </row>
    <row r="392" spans="1:50" x14ac:dyDescent="0.35">
      <c r="A392" t="s">
        <v>1107</v>
      </c>
      <c r="B392" s="249">
        <f t="shared" si="6"/>
        <v>4.7708105391842004E-2</v>
      </c>
      <c r="C392" s="217">
        <v>3.8828301999999998E-6</v>
      </c>
      <c r="D392">
        <v>2.1210676000000001E-3</v>
      </c>
      <c r="E392">
        <v>0.29846275</v>
      </c>
      <c r="F392" s="217">
        <v>4.6868666999999997E-8</v>
      </c>
      <c r="G392">
        <v>1.7036614000000001E-4</v>
      </c>
      <c r="H392">
        <v>1.1694734E-3</v>
      </c>
      <c r="I392">
        <v>2.2759082000000001E-4</v>
      </c>
      <c r="J392">
        <v>0.27102862999999999</v>
      </c>
      <c r="K392">
        <v>3.3842714E-3</v>
      </c>
      <c r="L392">
        <v>8.5185153000000007</v>
      </c>
      <c r="M392">
        <v>5.1116884999999996E-4</v>
      </c>
      <c r="N392">
        <v>0.30139386000000001</v>
      </c>
      <c r="O392">
        <v>0.30158478</v>
      </c>
      <c r="P392">
        <v>-3.1878688E-4</v>
      </c>
      <c r="Q392">
        <v>1.2786467E-4</v>
      </c>
      <c r="R392" s="217">
        <v>5.7926291999999999E-8</v>
      </c>
      <c r="S392">
        <v>1.4912917999999999E-3</v>
      </c>
      <c r="T392" s="217">
        <v>1.6354199000000001E-5</v>
      </c>
      <c r="U392">
        <v>4.0110512000000002E-4</v>
      </c>
      <c r="V392">
        <v>4.5240643999999997E-3</v>
      </c>
      <c r="W392">
        <v>1.3555039E-3</v>
      </c>
      <c r="X392" s="217">
        <v>3.882848E-6</v>
      </c>
      <c r="Y392">
        <v>4.3523076999999999</v>
      </c>
      <c r="Z392">
        <v>4.4966378000000001E-2</v>
      </c>
      <c r="AA392" s="217">
        <v>1.2902149E-8</v>
      </c>
      <c r="AB392">
        <v>1.7526667999999999E-2</v>
      </c>
      <c r="AC392">
        <v>4.6740838</v>
      </c>
      <c r="AD392" s="217">
        <v>3.0705838999999999E-10</v>
      </c>
      <c r="AE392" s="217">
        <v>5.2676115999999999E-9</v>
      </c>
      <c r="AF392">
        <v>1.879129</v>
      </c>
      <c r="AG392">
        <v>0</v>
      </c>
      <c r="AH392">
        <v>0</v>
      </c>
      <c r="AI392">
        <v>0.10818671000000001</v>
      </c>
      <c r="AJ392">
        <v>0</v>
      </c>
      <c r="AK392">
        <v>0</v>
      </c>
      <c r="AL392">
        <v>4.6232658000000004</v>
      </c>
      <c r="AM392">
        <v>0</v>
      </c>
      <c r="AN392">
        <v>0</v>
      </c>
      <c r="AO392">
        <v>0</v>
      </c>
      <c r="AP392">
        <v>1.2569625000000001E-3</v>
      </c>
      <c r="AQ392" s="217">
        <v>9.7268063999999993E-6</v>
      </c>
      <c r="AR392">
        <v>0.1165987</v>
      </c>
      <c r="AS392" s="217">
        <v>2.6231558E-5</v>
      </c>
      <c r="AT392">
        <v>0</v>
      </c>
      <c r="AU392">
        <v>0</v>
      </c>
      <c r="AV392">
        <v>0</v>
      </c>
      <c r="AW392">
        <v>0</v>
      </c>
      <c r="AX392">
        <v>0</v>
      </c>
    </row>
    <row r="393" spans="1:50" x14ac:dyDescent="0.35">
      <c r="A393" t="s">
        <v>1108</v>
      </c>
      <c r="B393" s="249">
        <f t="shared" si="6"/>
        <v>5.85716144079E-2</v>
      </c>
      <c r="C393" s="217">
        <v>4.8264464999999998E-6</v>
      </c>
      <c r="D393">
        <v>2.9393384999999998E-3</v>
      </c>
      <c r="E393">
        <v>0.42291613</v>
      </c>
      <c r="F393" s="217">
        <v>6.5127402000000001E-8</v>
      </c>
      <c r="G393">
        <v>2.9325740999999999E-4</v>
      </c>
      <c r="H393">
        <v>1.2009156999999999E-3</v>
      </c>
      <c r="I393">
        <v>1.9367547E-4</v>
      </c>
      <c r="J393">
        <v>0.31695933999999998</v>
      </c>
      <c r="K393">
        <v>3.8804797999999999E-3</v>
      </c>
      <c r="L393">
        <v>11.381864999999999</v>
      </c>
      <c r="M393">
        <v>6.4315583999999997E-4</v>
      </c>
      <c r="N393">
        <v>0.42769733999999998</v>
      </c>
      <c r="O393">
        <v>0.42790768000000001</v>
      </c>
      <c r="P393">
        <v>-3.6932350999999998E-4</v>
      </c>
      <c r="Q393">
        <v>1.5898529E-4</v>
      </c>
      <c r="R393" s="217">
        <v>8.0594720999999995E-8</v>
      </c>
      <c r="S393">
        <v>1.433422E-3</v>
      </c>
      <c r="T393" s="217">
        <v>2.1153680999999998E-5</v>
      </c>
      <c r="U393">
        <v>2.0332422E-4</v>
      </c>
      <c r="V393">
        <v>2.4196865000000001E-3</v>
      </c>
      <c r="W393">
        <v>1.0545375999999999E-3</v>
      </c>
      <c r="X393" s="217">
        <v>4.8264694000000003E-6</v>
      </c>
      <c r="Y393">
        <v>6.0602112999999997</v>
      </c>
      <c r="Z393">
        <v>5.9235774999999997E-2</v>
      </c>
      <c r="AA393" s="217">
        <v>1.5991908999999999E-8</v>
      </c>
      <c r="AB393">
        <v>2.4332820000000002E-2</v>
      </c>
      <c r="AC393">
        <v>6.0470857000000002</v>
      </c>
      <c r="AD393" s="217">
        <v>3.0580371E-10</v>
      </c>
      <c r="AE393" s="217">
        <v>5.5860665E-9</v>
      </c>
      <c r="AF393">
        <v>2.412633</v>
      </c>
      <c r="AG393">
        <v>0</v>
      </c>
      <c r="AH393">
        <v>0</v>
      </c>
      <c r="AI393">
        <v>0.14229848</v>
      </c>
      <c r="AJ393">
        <v>0</v>
      </c>
      <c r="AK393">
        <v>0</v>
      </c>
      <c r="AL393">
        <v>6.4380499000000002</v>
      </c>
      <c r="AM393">
        <v>0</v>
      </c>
      <c r="AN393">
        <v>0</v>
      </c>
      <c r="AO393">
        <v>0</v>
      </c>
      <c r="AP393">
        <v>1.6556489000000001E-3</v>
      </c>
      <c r="AQ393" s="217">
        <v>1.1594384999999999E-5</v>
      </c>
      <c r="AR393">
        <v>0.14445625000000001</v>
      </c>
      <c r="AS393" s="217">
        <v>3.6548921000000002E-5</v>
      </c>
      <c r="AT393">
        <v>0</v>
      </c>
      <c r="AU393">
        <v>0</v>
      </c>
      <c r="AV393">
        <v>0</v>
      </c>
      <c r="AW393">
        <v>0</v>
      </c>
      <c r="AX393">
        <v>0</v>
      </c>
    </row>
    <row r="394" spans="1:50" x14ac:dyDescent="0.35">
      <c r="A394" t="s">
        <v>1109</v>
      </c>
      <c r="B394" s="249">
        <f t="shared" si="6"/>
        <v>5.9875286860691997E-2</v>
      </c>
      <c r="C394" s="217">
        <v>4.8538792000000002E-6</v>
      </c>
      <c r="D394">
        <v>2.699314E-3</v>
      </c>
      <c r="E394">
        <v>0.38023927000000002</v>
      </c>
      <c r="F394" s="217">
        <v>5.9903793999999999E-8</v>
      </c>
      <c r="G394">
        <v>2.1568172000000001E-4</v>
      </c>
      <c r="H394">
        <v>1.3188538000000001E-3</v>
      </c>
      <c r="I394">
        <v>2.4604355000000001E-4</v>
      </c>
      <c r="J394">
        <v>0.34737750000000001</v>
      </c>
      <c r="K394">
        <v>4.3579611999999997E-3</v>
      </c>
      <c r="L394">
        <v>10.743518999999999</v>
      </c>
      <c r="M394">
        <v>6.4371766999999996E-4</v>
      </c>
      <c r="N394">
        <v>0.38390752</v>
      </c>
      <c r="O394">
        <v>0.38414351000000002</v>
      </c>
      <c r="P394">
        <v>-3.9606830000000001E-4</v>
      </c>
      <c r="Q394">
        <v>1.6007943999999999E-4</v>
      </c>
      <c r="R394" s="217">
        <v>7.4073077000000006E-8</v>
      </c>
      <c r="S394">
        <v>1.6490883E-3</v>
      </c>
      <c r="T394" s="217">
        <v>2.0455218999999999E-5</v>
      </c>
      <c r="U394">
        <v>3.8312011000000003E-4</v>
      </c>
      <c r="V394">
        <v>4.3608997000000004E-3</v>
      </c>
      <c r="W394">
        <v>1.3956940000000001E-3</v>
      </c>
      <c r="X394" s="217">
        <v>4.8539013000000003E-6</v>
      </c>
      <c r="Y394">
        <v>5.5430273999999997</v>
      </c>
      <c r="Z394">
        <v>5.6628456000000001E-2</v>
      </c>
      <c r="AA394" s="217">
        <v>2.4015821000000001E-8</v>
      </c>
      <c r="AB394">
        <v>2.2362869E-2</v>
      </c>
      <c r="AC394">
        <v>5.8923613000000001</v>
      </c>
      <c r="AD394" s="217">
        <v>4.0015248999999999E-10</v>
      </c>
      <c r="AE394" s="217">
        <v>6.8325269999999996E-9</v>
      </c>
      <c r="AF394">
        <v>2.3448730000000002</v>
      </c>
      <c r="AG394">
        <v>0</v>
      </c>
      <c r="AH394">
        <v>0</v>
      </c>
      <c r="AI394">
        <v>0.13555466999999999</v>
      </c>
      <c r="AJ394">
        <v>0</v>
      </c>
      <c r="AK394">
        <v>0</v>
      </c>
      <c r="AL394">
        <v>5.8880303999999999</v>
      </c>
      <c r="AM394">
        <v>0</v>
      </c>
      <c r="AN394">
        <v>0</v>
      </c>
      <c r="AO394">
        <v>0</v>
      </c>
      <c r="AP394">
        <v>1.5817909999999999E-3</v>
      </c>
      <c r="AQ394" s="217">
        <v>1.2185322E-5</v>
      </c>
      <c r="AR394">
        <v>0.14434390999999999</v>
      </c>
      <c r="AS394" s="217">
        <v>3.3531504E-5</v>
      </c>
      <c r="AT394">
        <v>0</v>
      </c>
      <c r="AU394">
        <v>0</v>
      </c>
      <c r="AV394">
        <v>0</v>
      </c>
      <c r="AW394">
        <v>0</v>
      </c>
      <c r="AX394">
        <v>0</v>
      </c>
    </row>
    <row r="395" spans="1:50" x14ac:dyDescent="0.35">
      <c r="A395" t="s">
        <v>1110</v>
      </c>
      <c r="B395" s="249">
        <f t="shared" si="6"/>
        <v>5.7217839571328005E-2</v>
      </c>
      <c r="C395" s="217">
        <v>4.8246257999999999E-6</v>
      </c>
      <c r="D395">
        <v>2.849688E-3</v>
      </c>
      <c r="E395">
        <v>0.40941360999999998</v>
      </c>
      <c r="F395" s="217">
        <v>6.2745140000000002E-8</v>
      </c>
      <c r="G395">
        <v>2.8845496999999997E-4</v>
      </c>
      <c r="H395">
        <v>1.1713214E-3</v>
      </c>
      <c r="I395">
        <v>1.8923329999999999E-4</v>
      </c>
      <c r="J395">
        <v>0.31171258000000002</v>
      </c>
      <c r="K395">
        <v>3.8126619E-3</v>
      </c>
      <c r="L395">
        <v>11.164122000000001</v>
      </c>
      <c r="M395">
        <v>6.3891999999999996E-4</v>
      </c>
      <c r="N395">
        <v>0.41410606</v>
      </c>
      <c r="O395">
        <v>0.41432331999999999</v>
      </c>
      <c r="P395">
        <v>-3.7548368000000002E-4</v>
      </c>
      <c r="Q395">
        <v>1.5821655999999999E-4</v>
      </c>
      <c r="R395" s="217">
        <v>7.7590550999999996E-8</v>
      </c>
      <c r="S395">
        <v>1.3973414E-3</v>
      </c>
      <c r="T395" s="217">
        <v>2.1107775E-5</v>
      </c>
      <c r="U395">
        <v>1.9637077000000001E-4</v>
      </c>
      <c r="V395">
        <v>2.3406192E-3</v>
      </c>
      <c r="W395">
        <v>1.0286929E-3</v>
      </c>
      <c r="X395" s="217">
        <v>4.8246487000000004E-6</v>
      </c>
      <c r="Y395">
        <v>5.8687559</v>
      </c>
      <c r="Z395">
        <v>5.8360396000000002E-2</v>
      </c>
      <c r="AA395" s="217">
        <v>1.5800869000000002E-8</v>
      </c>
      <c r="AB395">
        <v>2.3501554000000001E-2</v>
      </c>
      <c r="AC395">
        <v>5.9516627</v>
      </c>
      <c r="AD395" s="217">
        <v>3.0335719000000002E-10</v>
      </c>
      <c r="AE395" s="217">
        <v>5.5466994000000001E-9</v>
      </c>
      <c r="AF395">
        <v>2.3885424999999998</v>
      </c>
      <c r="AG395">
        <v>0</v>
      </c>
      <c r="AH395">
        <v>0</v>
      </c>
      <c r="AI395">
        <v>0.14130786000000001</v>
      </c>
      <c r="AJ395">
        <v>0</v>
      </c>
      <c r="AK395">
        <v>0</v>
      </c>
      <c r="AL395">
        <v>6.2347804</v>
      </c>
      <c r="AM395">
        <v>0</v>
      </c>
      <c r="AN395">
        <v>0</v>
      </c>
      <c r="AO395">
        <v>0</v>
      </c>
      <c r="AP395">
        <v>1.6327689E-3</v>
      </c>
      <c r="AQ395" s="217">
        <v>1.1532615E-5</v>
      </c>
      <c r="AR395">
        <v>0.14436293</v>
      </c>
      <c r="AS395" s="217">
        <v>3.5205342000000001E-5</v>
      </c>
      <c r="AT395">
        <v>0</v>
      </c>
      <c r="AU395">
        <v>0</v>
      </c>
      <c r="AV395">
        <v>0</v>
      </c>
      <c r="AW395">
        <v>0</v>
      </c>
      <c r="AX395">
        <v>0</v>
      </c>
    </row>
    <row r="396" spans="1:50" x14ac:dyDescent="0.35">
      <c r="A396" t="s">
        <v>1111</v>
      </c>
      <c r="B396" s="249">
        <f t="shared" si="6"/>
        <v>5.9352410657247993E-2</v>
      </c>
      <c r="C396" s="217">
        <v>4.8532787999999999E-6</v>
      </c>
      <c r="D396">
        <v>2.6514931E-3</v>
      </c>
      <c r="E396">
        <v>0.37322846999999998</v>
      </c>
      <c r="F396" s="217">
        <v>5.8600688000000003E-8</v>
      </c>
      <c r="G396">
        <v>2.1302895999999999E-4</v>
      </c>
      <c r="H396">
        <v>1.376672E-3</v>
      </c>
      <c r="I396">
        <v>2.6236838999999998E-4</v>
      </c>
      <c r="J396">
        <v>0.34156467000000001</v>
      </c>
      <c r="K396">
        <v>4.2641689000000003E-3</v>
      </c>
      <c r="L396">
        <v>10.630262</v>
      </c>
      <c r="M396">
        <v>6.3967864999999997E-4</v>
      </c>
      <c r="N396">
        <v>0.37686735999999998</v>
      </c>
      <c r="O396">
        <v>0.37710630000000001</v>
      </c>
      <c r="P396">
        <v>-3.9868103E-4</v>
      </c>
      <c r="Q396">
        <v>1.5973377E-4</v>
      </c>
      <c r="R396" s="217">
        <v>7.2427552999999998E-8</v>
      </c>
      <c r="S396">
        <v>1.7380986E-3</v>
      </c>
      <c r="T396" s="217">
        <v>2.0437480000000001E-5</v>
      </c>
      <c r="U396">
        <v>4.3521032000000002E-4</v>
      </c>
      <c r="V396">
        <v>4.9303272E-3</v>
      </c>
      <c r="W396">
        <v>1.5244807E-3</v>
      </c>
      <c r="X396" s="217">
        <v>4.853301E-6</v>
      </c>
      <c r="Y396">
        <v>5.4409046999999999</v>
      </c>
      <c r="Z396">
        <v>5.6169917E-2</v>
      </c>
      <c r="AA396" s="217">
        <v>1.5683618000000001E-8</v>
      </c>
      <c r="AB396">
        <v>2.1911336999999999E-2</v>
      </c>
      <c r="AC396">
        <v>5.8411515999999999</v>
      </c>
      <c r="AD396" s="217">
        <v>3.8991094999999999E-10</v>
      </c>
      <c r="AE396" s="217">
        <v>6.6630043999999996E-9</v>
      </c>
      <c r="AF396">
        <v>2.3320609999999999</v>
      </c>
      <c r="AG396">
        <v>0</v>
      </c>
      <c r="AH396">
        <v>0</v>
      </c>
      <c r="AI396">
        <v>0.13515853</v>
      </c>
      <c r="AJ396">
        <v>0</v>
      </c>
      <c r="AK396">
        <v>0</v>
      </c>
      <c r="AL396">
        <v>5.7796314999999998</v>
      </c>
      <c r="AM396">
        <v>0</v>
      </c>
      <c r="AN396">
        <v>0</v>
      </c>
      <c r="AO396">
        <v>0</v>
      </c>
      <c r="AP396">
        <v>1.5701004E-3</v>
      </c>
      <c r="AQ396" s="217">
        <v>1.2156006E-5</v>
      </c>
      <c r="AR396">
        <v>0.14429905000000001</v>
      </c>
      <c r="AS396" s="217">
        <v>3.2797237E-5</v>
      </c>
      <c r="AT396">
        <v>0</v>
      </c>
      <c r="AU396">
        <v>0</v>
      </c>
      <c r="AV396">
        <v>0</v>
      </c>
      <c r="AW396">
        <v>0</v>
      </c>
      <c r="AX396">
        <v>0</v>
      </c>
    </row>
    <row r="397" spans="1:50" x14ac:dyDescent="0.35">
      <c r="A397" t="s">
        <v>1112</v>
      </c>
      <c r="B397" s="249">
        <f t="shared" si="6"/>
        <v>0.53108716117477617</v>
      </c>
      <c r="C397" s="217">
        <v>1.3451261000000001E-6</v>
      </c>
      <c r="D397">
        <v>2.7611892999999998E-2</v>
      </c>
      <c r="E397">
        <v>3.9886053000000001</v>
      </c>
      <c r="F397" s="217">
        <v>7.2307902000000003E-7</v>
      </c>
      <c r="G397">
        <v>4.0413701999999999E-3</v>
      </c>
      <c r="H397">
        <v>3.0260028000000001E-2</v>
      </c>
      <c r="I397">
        <v>6.8089509999999997E-3</v>
      </c>
      <c r="J397">
        <v>1.4368498000000001</v>
      </c>
      <c r="K397">
        <v>2.0026077999999999E-2</v>
      </c>
      <c r="L397">
        <v>67.537644999999998</v>
      </c>
      <c r="M397">
        <v>2.3774244000000001E-3</v>
      </c>
      <c r="N397">
        <v>4.0317897</v>
      </c>
      <c r="O397">
        <v>4.0307820999999997</v>
      </c>
      <c r="P397">
        <v>6.6521227999999995E-4</v>
      </c>
      <c r="Q397">
        <v>3.4236094999999999E-4</v>
      </c>
      <c r="R397" s="217">
        <v>9.1062379000000002E-7</v>
      </c>
      <c r="S397">
        <v>4.2249554000000002E-2</v>
      </c>
      <c r="T397" s="217">
        <v>3.0786603000000003E-5</v>
      </c>
      <c r="U397">
        <v>1.8313415999999999E-2</v>
      </c>
      <c r="V397">
        <v>0.20126036</v>
      </c>
      <c r="W397">
        <v>5.5290540999999999E-2</v>
      </c>
      <c r="X397" s="217">
        <v>1.3451433E-6</v>
      </c>
      <c r="Y397">
        <v>58.293312</v>
      </c>
      <c r="Z397">
        <v>0.31426018</v>
      </c>
      <c r="AA397" s="217">
        <v>1.1054261000000001E-6</v>
      </c>
      <c r="AB397">
        <v>0.2512395</v>
      </c>
      <c r="AC397">
        <v>32.953845000000001</v>
      </c>
      <c r="AD397" s="217">
        <v>1.1337712999999999E-9</v>
      </c>
      <c r="AE397" s="217">
        <v>2.8712738E-8</v>
      </c>
      <c r="AF397">
        <v>7.3832452000000002</v>
      </c>
      <c r="AG397">
        <v>0</v>
      </c>
      <c r="AH397">
        <v>0</v>
      </c>
      <c r="AI397">
        <v>0.33770106</v>
      </c>
      <c r="AJ397">
        <v>0</v>
      </c>
      <c r="AK397">
        <v>0</v>
      </c>
      <c r="AL397">
        <v>61.901308</v>
      </c>
      <c r="AM397">
        <v>0</v>
      </c>
      <c r="AN397">
        <v>0</v>
      </c>
      <c r="AO397">
        <v>0</v>
      </c>
      <c r="AP397">
        <v>8.0005427E-3</v>
      </c>
      <c r="AQ397" s="217">
        <v>2.5994699000000001E-5</v>
      </c>
      <c r="AR397">
        <v>6.2125120999999998E-2</v>
      </c>
      <c r="AS397">
        <v>4.0491784999999999E-4</v>
      </c>
      <c r="AT397">
        <v>0</v>
      </c>
      <c r="AU397">
        <v>0</v>
      </c>
      <c r="AV397">
        <v>0</v>
      </c>
      <c r="AW397">
        <v>0</v>
      </c>
      <c r="AX397">
        <v>0</v>
      </c>
    </row>
    <row r="398" spans="1:50" x14ac:dyDescent="0.35">
      <c r="A398" t="s">
        <v>1113</v>
      </c>
      <c r="B398" s="249">
        <f t="shared" si="6"/>
        <v>0</v>
      </c>
      <c r="C398">
        <v>0</v>
      </c>
      <c r="D398">
        <v>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row>
    <row r="399" spans="1:50" x14ac:dyDescent="0.35">
      <c r="A399" t="s">
        <v>1114</v>
      </c>
      <c r="B399" s="249">
        <f t="shared" si="6"/>
        <v>7.4173708483447204E-3</v>
      </c>
      <c r="C399" s="217">
        <v>3.3372091999999999E-8</v>
      </c>
      <c r="D399">
        <v>5.4404088000000004E-4</v>
      </c>
      <c r="E399">
        <v>8.6922797999999996E-2</v>
      </c>
      <c r="F399" s="217">
        <v>1.3678949E-8</v>
      </c>
      <c r="G399" s="217">
        <v>4.1287634000000001E-5</v>
      </c>
      <c r="H399">
        <v>2.0856712000000001E-4</v>
      </c>
      <c r="I399" s="217">
        <v>3.3477742000000001E-5</v>
      </c>
      <c r="J399">
        <v>1.7897089000000001E-2</v>
      </c>
      <c r="K399">
        <v>4.0153026999999999E-4</v>
      </c>
      <c r="L399">
        <v>1.3947113</v>
      </c>
      <c r="M399" s="217">
        <v>5.6170423999999999E-5</v>
      </c>
      <c r="N399">
        <v>8.8137709999999994E-2</v>
      </c>
      <c r="O399">
        <v>8.8123617000000001E-2</v>
      </c>
      <c r="P399" s="217">
        <v>5.3880924999999996E-6</v>
      </c>
      <c r="Q399" s="217">
        <v>8.7049202999999998E-6</v>
      </c>
      <c r="R399" s="217">
        <v>1.7151403999999999E-8</v>
      </c>
      <c r="S399">
        <v>2.5970894999999999E-4</v>
      </c>
      <c r="T399" s="217">
        <v>7.8635357999999996E-7</v>
      </c>
      <c r="U399" s="217">
        <v>6.1902509000000004E-5</v>
      </c>
      <c r="V399">
        <v>6.8822410999999997E-4</v>
      </c>
      <c r="W399">
        <v>2.3515666E-4</v>
      </c>
      <c r="X399" s="217">
        <v>3.3373559999999997E-8</v>
      </c>
      <c r="Y399">
        <v>1.1339281000000001</v>
      </c>
      <c r="Z399">
        <v>6.4468559999999999E-3</v>
      </c>
      <c r="AA399" s="217">
        <v>2.8926691999999998E-9</v>
      </c>
      <c r="AB399">
        <v>4.6743173000000004E-3</v>
      </c>
      <c r="AC399">
        <v>0.69235868</v>
      </c>
      <c r="AD399" s="217">
        <v>2.6470663000000002E-11</v>
      </c>
      <c r="AE399" s="217">
        <v>8.7267501000000003E-10</v>
      </c>
      <c r="AF399">
        <v>0.15169450000000001</v>
      </c>
      <c r="AG399">
        <v>0</v>
      </c>
      <c r="AH399">
        <v>0</v>
      </c>
      <c r="AI399">
        <v>8.4593798999999994E-3</v>
      </c>
      <c r="AJ399">
        <v>0</v>
      </c>
      <c r="AK399">
        <v>0</v>
      </c>
      <c r="AL399">
        <v>1.2058276999999999</v>
      </c>
      <c r="AM399">
        <v>0</v>
      </c>
      <c r="AN399">
        <v>0</v>
      </c>
      <c r="AO399">
        <v>0</v>
      </c>
      <c r="AP399">
        <v>1.6635002000000001E-4</v>
      </c>
      <c r="AQ399" s="217">
        <v>6.0164432999999996E-7</v>
      </c>
      <c r="AR399">
        <v>2.0119310999999998E-3</v>
      </c>
      <c r="AS399" s="217">
        <v>7.4713233000000002E-6</v>
      </c>
      <c r="AT399">
        <v>0</v>
      </c>
      <c r="AU399">
        <v>0</v>
      </c>
      <c r="AV399">
        <v>0</v>
      </c>
      <c r="AW399">
        <v>0</v>
      </c>
      <c r="AX399">
        <v>0</v>
      </c>
    </row>
    <row r="400" spans="1:50" x14ac:dyDescent="0.35">
      <c r="A400" t="s">
        <v>1115</v>
      </c>
      <c r="B400" s="249">
        <f t="shared" si="6"/>
        <v>111.49638041239919</v>
      </c>
      <c r="C400">
        <v>2.8239562000000003E-4</v>
      </c>
      <c r="D400">
        <v>5.7968378999999999</v>
      </c>
      <c r="E400">
        <v>837.36737000000005</v>
      </c>
      <c r="F400">
        <v>1.5180312999999999E-4</v>
      </c>
      <c r="G400">
        <v>0.84844481000000005</v>
      </c>
      <c r="H400">
        <v>6.3527870999999996</v>
      </c>
      <c r="I400">
        <v>1.4294704</v>
      </c>
      <c r="J400">
        <v>301.65208000000001</v>
      </c>
      <c r="K400">
        <v>4.2042726000000004</v>
      </c>
      <c r="L400">
        <v>14178.846</v>
      </c>
      <c r="M400">
        <v>0.49911622</v>
      </c>
      <c r="N400">
        <v>846.43349999999998</v>
      </c>
      <c r="O400">
        <v>846.22197000000006</v>
      </c>
      <c r="P400">
        <v>0.13965459</v>
      </c>
      <c r="Q400">
        <v>7.1875220000000004E-2</v>
      </c>
      <c r="R400">
        <v>1.9117626000000001E-4</v>
      </c>
      <c r="S400">
        <v>8.8698668999999999</v>
      </c>
      <c r="T400">
        <v>6.4633360999999997E-3</v>
      </c>
      <c r="U400">
        <v>3.8447165000000001</v>
      </c>
      <c r="V400">
        <v>42.252578</v>
      </c>
      <c r="W400">
        <v>11.60769</v>
      </c>
      <c r="X400">
        <v>2.8239923999999998E-4</v>
      </c>
      <c r="Y400">
        <v>12238.092000000001</v>
      </c>
      <c r="Z400">
        <v>65.975748999999993</v>
      </c>
      <c r="AA400">
        <v>2.3207303999999999E-4</v>
      </c>
      <c r="AB400">
        <v>52.745193</v>
      </c>
      <c r="AC400">
        <v>6918.3266999999996</v>
      </c>
      <c r="AD400" s="217">
        <v>2.3802382E-7</v>
      </c>
      <c r="AE400" s="217">
        <v>6.0279492000000001E-6</v>
      </c>
      <c r="AF400">
        <v>1550.0377000000001</v>
      </c>
      <c r="AG400">
        <v>0</v>
      </c>
      <c r="AH400">
        <v>0</v>
      </c>
      <c r="AI400">
        <v>70.896923999999999</v>
      </c>
      <c r="AJ400">
        <v>0</v>
      </c>
      <c r="AK400">
        <v>0</v>
      </c>
      <c r="AL400">
        <v>12995.554</v>
      </c>
      <c r="AM400">
        <v>0</v>
      </c>
      <c r="AN400">
        <v>0</v>
      </c>
      <c r="AO400">
        <v>0</v>
      </c>
      <c r="AP400">
        <v>1.6796331</v>
      </c>
      <c r="AQ400">
        <v>5.4573241999999996E-3</v>
      </c>
      <c r="AR400">
        <v>13.042541</v>
      </c>
      <c r="AS400">
        <v>8.5008410000000006E-2</v>
      </c>
      <c r="AT400">
        <v>0</v>
      </c>
      <c r="AU400">
        <v>0</v>
      </c>
      <c r="AV400">
        <v>0</v>
      </c>
      <c r="AW400">
        <v>0</v>
      </c>
      <c r="AX400">
        <v>0</v>
      </c>
    </row>
    <row r="401" spans="1:50" x14ac:dyDescent="0.35">
      <c r="A401" t="s">
        <v>1116</v>
      </c>
      <c r="B401" s="249">
        <f t="shared" si="6"/>
        <v>295.46540842474241</v>
      </c>
      <c r="C401">
        <v>7.4834838999999998E-4</v>
      </c>
      <c r="D401">
        <v>15.36162</v>
      </c>
      <c r="E401">
        <v>2219.0234999999998</v>
      </c>
      <c r="F401">
        <v>4.0227829999999999E-4</v>
      </c>
      <c r="G401">
        <v>2.2483787999999998</v>
      </c>
      <c r="H401">
        <v>16.834886000000001</v>
      </c>
      <c r="I401">
        <v>3.7880967000000001</v>
      </c>
      <c r="J401">
        <v>799.37801000000002</v>
      </c>
      <c r="K401">
        <v>11.141322000000001</v>
      </c>
      <c r="L401">
        <v>37573.942000000003</v>
      </c>
      <c r="M401">
        <v>1.3226579999999999</v>
      </c>
      <c r="N401">
        <v>2243.0488</v>
      </c>
      <c r="O401">
        <v>2242.4881999999998</v>
      </c>
      <c r="P401">
        <v>0.37008468</v>
      </c>
      <c r="Q401">
        <v>0.19046932999999999</v>
      </c>
      <c r="R401">
        <v>5.0661708999999997E-4</v>
      </c>
      <c r="S401">
        <v>23.505147000000001</v>
      </c>
      <c r="T401">
        <v>1.7127841000000001E-2</v>
      </c>
      <c r="U401">
        <v>10.188499</v>
      </c>
      <c r="V401">
        <v>111.96933</v>
      </c>
      <c r="W401">
        <v>30.760379</v>
      </c>
      <c r="X401">
        <v>7.4835798000000005E-4</v>
      </c>
      <c r="Y401">
        <v>32430.942999999999</v>
      </c>
      <c r="Z401">
        <v>174.83573000000001</v>
      </c>
      <c r="AA401">
        <v>6.1499356000000002E-4</v>
      </c>
      <c r="AB401">
        <v>139.77475999999999</v>
      </c>
      <c r="AC401">
        <v>18333.565999999999</v>
      </c>
      <c r="AD401" s="217">
        <v>6.3076310999999997E-7</v>
      </c>
      <c r="AE401" s="217">
        <v>1.5974065000000001E-5</v>
      </c>
      <c r="AF401">
        <v>4107.5999000000002</v>
      </c>
      <c r="AG401">
        <v>0</v>
      </c>
      <c r="AH401">
        <v>0</v>
      </c>
      <c r="AI401">
        <v>187.87684999999999</v>
      </c>
      <c r="AJ401">
        <v>0</v>
      </c>
      <c r="AK401">
        <v>0</v>
      </c>
      <c r="AL401">
        <v>34438.218000000001</v>
      </c>
      <c r="AM401">
        <v>0</v>
      </c>
      <c r="AN401">
        <v>0</v>
      </c>
      <c r="AO401">
        <v>0</v>
      </c>
      <c r="AP401">
        <v>4.4510275999999998</v>
      </c>
      <c r="AQ401">
        <v>1.4461909E-2</v>
      </c>
      <c r="AR401">
        <v>34.562733999999999</v>
      </c>
      <c r="AS401">
        <v>0.22527228999999999</v>
      </c>
      <c r="AT401">
        <v>0</v>
      </c>
      <c r="AU401">
        <v>0</v>
      </c>
      <c r="AV401">
        <v>0</v>
      </c>
      <c r="AW401">
        <v>0</v>
      </c>
      <c r="AX401">
        <v>0</v>
      </c>
    </row>
    <row r="402" spans="1:50" x14ac:dyDescent="0.35">
      <c r="A402" t="s">
        <v>1117</v>
      </c>
      <c r="B402" s="249">
        <f t="shared" si="6"/>
        <v>14.9954024583948</v>
      </c>
      <c r="C402" s="217">
        <v>3.7980030000000001E-5</v>
      </c>
      <c r="D402">
        <v>0.77962993000000003</v>
      </c>
      <c r="E402">
        <v>112.61945</v>
      </c>
      <c r="F402" s="217">
        <v>2.0416349E-5</v>
      </c>
      <c r="G402">
        <v>0.11410927999999999</v>
      </c>
      <c r="H402">
        <v>0.85440079999999996</v>
      </c>
      <c r="I402">
        <v>0.19225274000000001</v>
      </c>
      <c r="J402">
        <v>40.569875000000003</v>
      </c>
      <c r="K402">
        <v>0.56544218999999996</v>
      </c>
      <c r="L402">
        <v>1906.9453000000001</v>
      </c>
      <c r="M402">
        <v>6.7127276999999999E-2</v>
      </c>
      <c r="N402">
        <v>113.83877</v>
      </c>
      <c r="O402">
        <v>113.81032</v>
      </c>
      <c r="P402">
        <v>1.8782465000000002E-2</v>
      </c>
      <c r="Q402">
        <v>9.6666619999999995E-3</v>
      </c>
      <c r="R402" s="217">
        <v>2.5711729999999999E-5</v>
      </c>
      <c r="S402">
        <v>1.1929285999999999</v>
      </c>
      <c r="T402">
        <v>8.6926878999999996E-4</v>
      </c>
      <c r="U402">
        <v>0.51708467999999996</v>
      </c>
      <c r="V402">
        <v>5.6826454000000002</v>
      </c>
      <c r="W402">
        <v>1.5611447000000001</v>
      </c>
      <c r="X402" s="217">
        <v>3.7980517E-5</v>
      </c>
      <c r="Y402">
        <v>1645.9287999999999</v>
      </c>
      <c r="Z402">
        <v>8.8732287000000003</v>
      </c>
      <c r="AA402" s="217">
        <v>3.1212032E-5</v>
      </c>
      <c r="AB402">
        <v>7.0938211999999998</v>
      </c>
      <c r="AC402">
        <v>930.46150999999998</v>
      </c>
      <c r="AD402" s="217">
        <v>3.2012365000000003E-8</v>
      </c>
      <c r="AE402" s="217">
        <v>8.1071261999999996E-7</v>
      </c>
      <c r="AF402">
        <v>208.46809999999999</v>
      </c>
      <c r="AG402">
        <v>0</v>
      </c>
      <c r="AH402">
        <v>0</v>
      </c>
      <c r="AI402">
        <v>9.5350888000000005</v>
      </c>
      <c r="AJ402">
        <v>0</v>
      </c>
      <c r="AK402">
        <v>0</v>
      </c>
      <c r="AL402">
        <v>1747.8016</v>
      </c>
      <c r="AM402">
        <v>0</v>
      </c>
      <c r="AN402">
        <v>0</v>
      </c>
      <c r="AO402">
        <v>0</v>
      </c>
      <c r="AP402">
        <v>0.22589767999999999</v>
      </c>
      <c r="AQ402">
        <v>7.3396796000000004E-4</v>
      </c>
      <c r="AR402">
        <v>1.7541211000000001</v>
      </c>
      <c r="AS402">
        <v>1.1432975E-2</v>
      </c>
      <c r="AT402">
        <v>0</v>
      </c>
      <c r="AU402">
        <v>0</v>
      </c>
      <c r="AV402">
        <v>0</v>
      </c>
      <c r="AW402">
        <v>0</v>
      </c>
      <c r="AX402">
        <v>0</v>
      </c>
    </row>
    <row r="403" spans="1:50" x14ac:dyDescent="0.35">
      <c r="A403" t="s">
        <v>1118</v>
      </c>
      <c r="B403" s="249">
        <f t="shared" si="6"/>
        <v>21.923102609787605</v>
      </c>
      <c r="C403" s="217">
        <v>5.5526360000000001E-5</v>
      </c>
      <c r="D403">
        <v>1.1398098000000001</v>
      </c>
      <c r="E403">
        <v>164.64831000000001</v>
      </c>
      <c r="F403" s="217">
        <v>2.9848462999999999E-5</v>
      </c>
      <c r="G403">
        <v>0.16682643</v>
      </c>
      <c r="H403">
        <v>1.2491239999999999</v>
      </c>
      <c r="I403">
        <v>0.28107124999999999</v>
      </c>
      <c r="J403">
        <v>59.312683</v>
      </c>
      <c r="K403">
        <v>0.82666987000000003</v>
      </c>
      <c r="L403">
        <v>2787.9317000000001</v>
      </c>
      <c r="M403">
        <v>9.8139293000000002E-2</v>
      </c>
      <c r="N403">
        <v>166.43095</v>
      </c>
      <c r="O403">
        <v>166.38936000000001</v>
      </c>
      <c r="P403">
        <v>2.7459743000000002E-2</v>
      </c>
      <c r="Q403">
        <v>1.4132547000000001E-2</v>
      </c>
      <c r="R403" s="217">
        <v>3.7590248999999999E-5</v>
      </c>
      <c r="S403">
        <v>1.7440477000000001</v>
      </c>
      <c r="T403">
        <v>1.2708608E-3</v>
      </c>
      <c r="U403">
        <v>0.75597175000000005</v>
      </c>
      <c r="V403">
        <v>8.3079611</v>
      </c>
      <c r="W403">
        <v>2.2823753</v>
      </c>
      <c r="X403" s="217">
        <v>5.5527071E-5</v>
      </c>
      <c r="Y403">
        <v>2406.3287</v>
      </c>
      <c r="Z403">
        <v>12.972557</v>
      </c>
      <c r="AA403" s="217">
        <v>4.5631625E-5</v>
      </c>
      <c r="AB403">
        <v>10.371084</v>
      </c>
      <c r="AC403">
        <v>1360.3237999999999</v>
      </c>
      <c r="AD403" s="217">
        <v>4.6801702999999999E-8</v>
      </c>
      <c r="AE403" s="217">
        <v>1.1852524E-6</v>
      </c>
      <c r="AF403">
        <v>304.77791999999999</v>
      </c>
      <c r="AG403">
        <v>0</v>
      </c>
      <c r="AH403">
        <v>0</v>
      </c>
      <c r="AI403">
        <v>13.940187999999999</v>
      </c>
      <c r="AJ403">
        <v>0</v>
      </c>
      <c r="AK403">
        <v>0</v>
      </c>
      <c r="AL403">
        <v>2555.2656000000002</v>
      </c>
      <c r="AM403">
        <v>0</v>
      </c>
      <c r="AN403">
        <v>0</v>
      </c>
      <c r="AO403">
        <v>0</v>
      </c>
      <c r="AP403">
        <v>0.33025976000000001</v>
      </c>
      <c r="AQ403">
        <v>1.0730526000000001E-3</v>
      </c>
      <c r="AR403">
        <v>2.5645045</v>
      </c>
      <c r="AS403">
        <v>1.6714875000000001E-2</v>
      </c>
      <c r="AT403">
        <v>0</v>
      </c>
      <c r="AU403">
        <v>0</v>
      </c>
      <c r="AV403">
        <v>0</v>
      </c>
      <c r="AW403">
        <v>0</v>
      </c>
      <c r="AX403">
        <v>0</v>
      </c>
    </row>
    <row r="404" spans="1:50" x14ac:dyDescent="0.35">
      <c r="A404" t="s">
        <v>1119</v>
      </c>
      <c r="B404" s="249">
        <f t="shared" si="6"/>
        <v>0.22872233316110399</v>
      </c>
      <c r="C404" s="217">
        <v>5.6746439000000003E-6</v>
      </c>
      <c r="D404">
        <v>8.7692991000000008E-3</v>
      </c>
      <c r="E404">
        <v>1.1419079999999999</v>
      </c>
      <c r="F404" s="217">
        <v>8.9526236E-8</v>
      </c>
      <c r="G404">
        <v>6.7752689000000004E-4</v>
      </c>
      <c r="H404">
        <v>3.6456091999999998E-3</v>
      </c>
      <c r="I404">
        <v>7.1590960000000002E-4</v>
      </c>
      <c r="J404">
        <v>1.5956456999999999</v>
      </c>
      <c r="K404">
        <v>9.4132114999999992E-3</v>
      </c>
      <c r="L404">
        <v>33.510499000000003</v>
      </c>
      <c r="M404">
        <v>9.9669224999999993E-3</v>
      </c>
      <c r="N404">
        <v>1.1722395000000001</v>
      </c>
      <c r="O404">
        <v>1.1719063000000001</v>
      </c>
      <c r="P404">
        <v>-4.3582164000000002E-4</v>
      </c>
      <c r="Q404">
        <v>7.6904006999999996E-4</v>
      </c>
      <c r="R404" s="217">
        <v>9.7368632999999995E-8</v>
      </c>
      <c r="S404">
        <v>4.4876869000000002E-3</v>
      </c>
      <c r="T404">
        <v>1.2806553000000001E-4</v>
      </c>
      <c r="U404">
        <v>8.2813562000000004E-4</v>
      </c>
      <c r="V404">
        <v>9.9817245000000006E-3</v>
      </c>
      <c r="W404">
        <v>3.3599033000000001E-3</v>
      </c>
      <c r="X404" s="217">
        <v>5.6747010000000003E-6</v>
      </c>
      <c r="Y404">
        <v>15.676897</v>
      </c>
      <c r="Z404">
        <v>0.19616455999999999</v>
      </c>
      <c r="AA404" s="217">
        <v>5.1716492000000003E-8</v>
      </c>
      <c r="AB404">
        <v>3.0195195000000001E-2</v>
      </c>
      <c r="AC404">
        <v>23.110710999999998</v>
      </c>
      <c r="AD404" s="217">
        <v>3.8337790999999997E-9</v>
      </c>
      <c r="AE404" s="217">
        <v>4.7731143000000002E-8</v>
      </c>
      <c r="AF404">
        <v>2.3174473</v>
      </c>
      <c r="AG404">
        <v>0</v>
      </c>
      <c r="AH404">
        <v>0</v>
      </c>
      <c r="AI404">
        <v>0.85545590999999999</v>
      </c>
      <c r="AJ404">
        <v>0</v>
      </c>
      <c r="AK404">
        <v>0</v>
      </c>
      <c r="AL404">
        <v>16.978650999999999</v>
      </c>
      <c r="AM404">
        <v>0</v>
      </c>
      <c r="AN404">
        <v>0</v>
      </c>
      <c r="AO404">
        <v>0</v>
      </c>
      <c r="AP404">
        <v>5.7916733999999999E-3</v>
      </c>
      <c r="AQ404" s="217">
        <v>4.0538703E-5</v>
      </c>
      <c r="AR404">
        <v>0.27012839</v>
      </c>
      <c r="AS404" s="217">
        <v>2.6942328000000001E-5</v>
      </c>
      <c r="AT404">
        <v>0</v>
      </c>
      <c r="AU404">
        <v>0</v>
      </c>
      <c r="AV404">
        <v>0</v>
      </c>
      <c r="AW404">
        <v>0</v>
      </c>
      <c r="AX404">
        <v>0</v>
      </c>
    </row>
    <row r="405" spans="1:50" x14ac:dyDescent="0.35">
      <c r="A405" t="s">
        <v>1120</v>
      </c>
      <c r="B405" s="249">
        <f t="shared" si="6"/>
        <v>1.315386156063056</v>
      </c>
      <c r="C405" s="217">
        <v>3.3315816000000002E-6</v>
      </c>
      <c r="D405">
        <v>6.8388590999999999E-2</v>
      </c>
      <c r="E405">
        <v>9.8788987000000006</v>
      </c>
      <c r="F405" s="217">
        <v>1.7909078E-6</v>
      </c>
      <c r="G405">
        <v>1.0009585999999999E-2</v>
      </c>
      <c r="H405">
        <v>7.4947438000000005E-2</v>
      </c>
      <c r="I405">
        <v>1.6864275000000001E-2</v>
      </c>
      <c r="J405">
        <v>3.5587610000000001</v>
      </c>
      <c r="K405">
        <v>4.9600192000000001E-2</v>
      </c>
      <c r="L405">
        <v>167.27590000000001</v>
      </c>
      <c r="M405">
        <v>5.8883575999999997E-3</v>
      </c>
      <c r="N405">
        <v>9.9858568999999999</v>
      </c>
      <c r="O405">
        <v>9.9833613999999997</v>
      </c>
      <c r="P405">
        <v>1.6475846000000001E-3</v>
      </c>
      <c r="Q405">
        <v>8.4795281000000003E-4</v>
      </c>
      <c r="R405" s="217">
        <v>2.2554149999999998E-6</v>
      </c>
      <c r="S405">
        <v>0.10464286</v>
      </c>
      <c r="T405" s="217">
        <v>7.6251647999999998E-5</v>
      </c>
      <c r="U405">
        <v>4.5358305000000002E-2</v>
      </c>
      <c r="V405">
        <v>0.49847766999999998</v>
      </c>
      <c r="W405">
        <v>0.13694252000000001</v>
      </c>
      <c r="X405" s="217">
        <v>3.3316243000000001E-6</v>
      </c>
      <c r="Y405">
        <v>144.37971999999999</v>
      </c>
      <c r="Z405">
        <v>0.77835339000000003</v>
      </c>
      <c r="AA405" s="217">
        <v>2.7378974999999999E-6</v>
      </c>
      <c r="AB405">
        <v>0.62226501999999995</v>
      </c>
      <c r="AC405">
        <v>81.619431000000006</v>
      </c>
      <c r="AD405" s="217">
        <v>2.8081022000000001E-9</v>
      </c>
      <c r="AE405" s="217">
        <v>7.1115141999999997E-8</v>
      </c>
      <c r="AF405">
        <v>18.286674999999999</v>
      </c>
      <c r="AG405">
        <v>0</v>
      </c>
      <c r="AH405">
        <v>0</v>
      </c>
      <c r="AI405">
        <v>0.83641129999999997</v>
      </c>
      <c r="AJ405">
        <v>0</v>
      </c>
      <c r="AK405">
        <v>0</v>
      </c>
      <c r="AL405">
        <v>153.31593000000001</v>
      </c>
      <c r="AM405">
        <v>0</v>
      </c>
      <c r="AN405">
        <v>0</v>
      </c>
      <c r="AO405">
        <v>0</v>
      </c>
      <c r="AP405">
        <v>1.9815586E-2</v>
      </c>
      <c r="AQ405" s="217">
        <v>6.4383154000000005E-5</v>
      </c>
      <c r="AR405">
        <v>0.15387027</v>
      </c>
      <c r="AS405">
        <v>1.0028925E-3</v>
      </c>
      <c r="AT405">
        <v>0</v>
      </c>
      <c r="AU405">
        <v>0</v>
      </c>
      <c r="AV405">
        <v>0</v>
      </c>
      <c r="AW405">
        <v>0</v>
      </c>
      <c r="AX405">
        <v>0</v>
      </c>
    </row>
    <row r="406" spans="1:50" x14ac:dyDescent="0.35">
      <c r="A406" t="s">
        <v>1121</v>
      </c>
      <c r="B406" s="249">
        <f t="shared" si="6"/>
        <v>0.139568942042848</v>
      </c>
      <c r="C406" s="217">
        <v>1.2359152999999999E-6</v>
      </c>
      <c r="D406">
        <v>1.1071419000000001E-2</v>
      </c>
      <c r="E406">
        <v>1.3316219</v>
      </c>
      <c r="F406" s="217">
        <v>1.2082228E-7</v>
      </c>
      <c r="G406">
        <v>5.2795805000000005E-4</v>
      </c>
      <c r="H406">
        <v>5.7084941999999998E-3</v>
      </c>
      <c r="I406">
        <v>7.3210587000000003E-4</v>
      </c>
      <c r="J406">
        <v>0.40059348</v>
      </c>
      <c r="K406">
        <v>1.1047075999999999E-2</v>
      </c>
      <c r="L406">
        <v>42.127226999999998</v>
      </c>
      <c r="M406">
        <v>2.2700613E-3</v>
      </c>
      <c r="N406">
        <v>1.2909682</v>
      </c>
      <c r="O406">
        <v>1.3538572</v>
      </c>
      <c r="P406">
        <v>-6.4741573999999996E-2</v>
      </c>
      <c r="Q406">
        <v>1.8526608E-3</v>
      </c>
      <c r="R406" s="217">
        <v>1.2434302999999999E-7</v>
      </c>
      <c r="S406">
        <v>6.9990481000000004E-3</v>
      </c>
      <c r="T406" s="217">
        <v>7.8176462000000002E-5</v>
      </c>
      <c r="U406">
        <v>1.0567078999999999E-3</v>
      </c>
      <c r="V406">
        <v>1.3943107999999999E-2</v>
      </c>
      <c r="W406">
        <v>3.6040209000000002E-3</v>
      </c>
      <c r="X406" s="217">
        <v>1.2359224E-6</v>
      </c>
      <c r="Y406">
        <v>21.670127000000001</v>
      </c>
      <c r="Z406">
        <v>0.45140668</v>
      </c>
      <c r="AA406" s="217">
        <v>4.7723005999999999E-8</v>
      </c>
      <c r="AB406">
        <v>8.9264820999999994E-2</v>
      </c>
      <c r="AC406">
        <v>21.807310999999999</v>
      </c>
      <c r="AD406" s="217">
        <v>4.4566931999999999E-10</v>
      </c>
      <c r="AE406" s="217">
        <v>1.1580699E-8</v>
      </c>
      <c r="AF406">
        <v>9.1163869999999996</v>
      </c>
      <c r="AG406">
        <v>0</v>
      </c>
      <c r="AH406">
        <v>0</v>
      </c>
      <c r="AI406">
        <v>2.5639299000000002</v>
      </c>
      <c r="AJ406">
        <v>0</v>
      </c>
      <c r="AK406">
        <v>0</v>
      </c>
      <c r="AL406">
        <v>23.127337000000001</v>
      </c>
      <c r="AM406">
        <v>0</v>
      </c>
      <c r="AN406">
        <v>0</v>
      </c>
      <c r="AO406">
        <v>0</v>
      </c>
      <c r="AP406">
        <v>1.4422516E-2</v>
      </c>
      <c r="AQ406" s="217">
        <v>5.9092338000000001E-5</v>
      </c>
      <c r="AR406">
        <v>9.1291002999999996E-2</v>
      </c>
      <c r="AS406" s="217">
        <v>7.8429750999999998E-5</v>
      </c>
      <c r="AT406">
        <v>0</v>
      </c>
      <c r="AU406">
        <v>0</v>
      </c>
      <c r="AV406">
        <v>0</v>
      </c>
      <c r="AW406">
        <v>0</v>
      </c>
      <c r="AX406">
        <v>0</v>
      </c>
    </row>
    <row r="407" spans="1:50" x14ac:dyDescent="0.35">
      <c r="A407" t="s">
        <v>1122</v>
      </c>
      <c r="B407" s="249">
        <f t="shared" si="6"/>
        <v>1.2223887349533521E-2</v>
      </c>
      <c r="C407" s="217">
        <v>3.0960396999999998E-8</v>
      </c>
      <c r="D407">
        <v>6.3553537000000005E-4</v>
      </c>
      <c r="E407">
        <v>9.1804633999999996E-2</v>
      </c>
      <c r="F407" s="217">
        <v>1.6642911E-8</v>
      </c>
      <c r="G407" s="217">
        <v>9.3019108E-5</v>
      </c>
      <c r="H407">
        <v>6.9648675999999996E-4</v>
      </c>
      <c r="I407">
        <v>1.5671975999999999E-4</v>
      </c>
      <c r="J407">
        <v>3.3071575999999998E-2</v>
      </c>
      <c r="K407">
        <v>4.6093472999999999E-4</v>
      </c>
      <c r="L407">
        <v>1.5544954</v>
      </c>
      <c r="M407" s="217">
        <v>5.4720523999999998E-5</v>
      </c>
      <c r="N407">
        <v>9.2798596999999997E-2</v>
      </c>
      <c r="O407">
        <v>9.2775406000000005E-2</v>
      </c>
      <c r="P407" s="217">
        <v>1.5311009000000001E-5</v>
      </c>
      <c r="Q407" s="217">
        <v>7.8800279000000008E-6</v>
      </c>
      <c r="R407" s="217">
        <v>2.0959578000000002E-8</v>
      </c>
      <c r="S407">
        <v>9.7244639999999999E-4</v>
      </c>
      <c r="T407" s="217">
        <v>7.0860679000000005E-7</v>
      </c>
      <c r="U407">
        <v>4.2151485999999998E-4</v>
      </c>
      <c r="V407">
        <v>4.6323544000000001E-3</v>
      </c>
      <c r="W407">
        <v>1.2726072000000001E-3</v>
      </c>
      <c r="X407" s="217">
        <v>3.0960794000000002E-8</v>
      </c>
      <c r="Y407">
        <v>1.3417212000000001</v>
      </c>
      <c r="Z407">
        <v>7.2332404000000003E-3</v>
      </c>
      <c r="AA407" s="217">
        <v>2.5443290000000001E-8</v>
      </c>
      <c r="AB407">
        <v>5.7827106000000001E-3</v>
      </c>
      <c r="AC407">
        <v>0.75848961000000004</v>
      </c>
      <c r="AD407" s="217">
        <v>2.6095702E-11</v>
      </c>
      <c r="AE407" s="217">
        <v>6.6087321999999999E-10</v>
      </c>
      <c r="AF407">
        <v>0.16993812999999999</v>
      </c>
      <c r="AG407">
        <v>0</v>
      </c>
      <c r="AH407">
        <v>0</v>
      </c>
      <c r="AI407">
        <v>7.7727726E-3</v>
      </c>
      <c r="AJ407">
        <v>0</v>
      </c>
      <c r="AK407">
        <v>0</v>
      </c>
      <c r="AL407">
        <v>1.4247654000000001</v>
      </c>
      <c r="AM407">
        <v>0</v>
      </c>
      <c r="AN407">
        <v>0</v>
      </c>
      <c r="AO407">
        <v>0</v>
      </c>
      <c r="AP407">
        <v>1.8414629999999999E-4</v>
      </c>
      <c r="AQ407" s="217">
        <v>5.9831284000000005E-7</v>
      </c>
      <c r="AR407">
        <v>1.4299168000000001E-3</v>
      </c>
      <c r="AS407" s="217">
        <v>9.3198830000000005E-6</v>
      </c>
      <c r="AT407">
        <v>0</v>
      </c>
      <c r="AU407">
        <v>0</v>
      </c>
      <c r="AV407">
        <v>0</v>
      </c>
      <c r="AW407">
        <v>0</v>
      </c>
      <c r="AX407">
        <v>0</v>
      </c>
    </row>
    <row r="408" spans="1:50" x14ac:dyDescent="0.35">
      <c r="A408" t="s">
        <v>1123</v>
      </c>
      <c r="B408" s="249">
        <f t="shared" si="6"/>
        <v>3.6127743659725997</v>
      </c>
      <c r="C408">
        <v>2.9119326000000002E-4</v>
      </c>
      <c r="D408">
        <v>0.16059254000000001</v>
      </c>
      <c r="E408">
        <v>22.552638999999999</v>
      </c>
      <c r="F408" s="217">
        <v>3.5096716999999999E-6</v>
      </c>
      <c r="G408">
        <v>1.2840312E-2</v>
      </c>
      <c r="H408">
        <v>8.8568196000000002E-2</v>
      </c>
      <c r="I408">
        <v>1.7125066000000001E-2</v>
      </c>
      <c r="J408">
        <v>20.560188</v>
      </c>
      <c r="K408">
        <v>0.25546047999999999</v>
      </c>
      <c r="L408">
        <v>648.24328000000003</v>
      </c>
      <c r="M408">
        <v>3.8527735E-2</v>
      </c>
      <c r="N408">
        <v>22.773927</v>
      </c>
      <c r="O408">
        <v>22.794006</v>
      </c>
      <c r="P408">
        <v>-2.9877006000000001E-2</v>
      </c>
      <c r="Q408">
        <v>9.7985196999999993E-3</v>
      </c>
      <c r="R408" s="217">
        <v>4.3466497000000003E-6</v>
      </c>
      <c r="S408">
        <v>0.11272554</v>
      </c>
      <c r="T408">
        <v>1.2248223999999999E-3</v>
      </c>
      <c r="U408">
        <v>3.0290806999999999E-2</v>
      </c>
      <c r="V408">
        <v>0.33994837</v>
      </c>
      <c r="W408">
        <v>0.10234248999999999</v>
      </c>
      <c r="X408">
        <v>2.9119459999999998E-4</v>
      </c>
      <c r="Y408">
        <v>327.2158</v>
      </c>
      <c r="Z408">
        <v>3.3744421999999998</v>
      </c>
      <c r="AA408" s="217">
        <v>9.8189371999999995E-7</v>
      </c>
      <c r="AB408">
        <v>1.2940195000000001</v>
      </c>
      <c r="AC408">
        <v>356.74786999999998</v>
      </c>
      <c r="AD408" s="217">
        <v>2.307717E-8</v>
      </c>
      <c r="AE408" s="217">
        <v>3.9670704000000002E-7</v>
      </c>
      <c r="AF408">
        <v>140.4057</v>
      </c>
      <c r="AG408">
        <v>0</v>
      </c>
      <c r="AH408">
        <v>0</v>
      </c>
      <c r="AI408">
        <v>7.7744361</v>
      </c>
      <c r="AJ408">
        <v>0</v>
      </c>
      <c r="AK408">
        <v>0</v>
      </c>
      <c r="AL408">
        <v>347.67511999999999</v>
      </c>
      <c r="AM408">
        <v>0</v>
      </c>
      <c r="AN408">
        <v>0</v>
      </c>
      <c r="AO408">
        <v>0</v>
      </c>
      <c r="AP408">
        <v>9.2862337000000003E-2</v>
      </c>
      <c r="AQ408">
        <v>7.3098822999999996E-4</v>
      </c>
      <c r="AR408">
        <v>8.7449937999999996</v>
      </c>
      <c r="AS408">
        <v>1.9478651E-3</v>
      </c>
      <c r="AT408">
        <v>0</v>
      </c>
      <c r="AU408">
        <v>0</v>
      </c>
      <c r="AV408">
        <v>0</v>
      </c>
      <c r="AW408">
        <v>0</v>
      </c>
      <c r="AX408">
        <v>0</v>
      </c>
    </row>
    <row r="409" spans="1:50" x14ac:dyDescent="0.35">
      <c r="A409" t="s">
        <v>1124</v>
      </c>
      <c r="B409" s="249">
        <f t="shared" si="6"/>
        <v>1.5561063555256001E-2</v>
      </c>
      <c r="C409" s="217">
        <v>3.7174134999999999E-7</v>
      </c>
      <c r="D409">
        <v>9.7725799999999995E-4</v>
      </c>
      <c r="E409">
        <v>0.13058052000000001</v>
      </c>
      <c r="F409" s="217">
        <v>2.4384288000000001E-8</v>
      </c>
      <c r="G409" s="217">
        <v>7.7468161000000005E-5</v>
      </c>
      <c r="H409">
        <v>5.6573443000000005E-4</v>
      </c>
      <c r="I409">
        <v>1.140981E-4</v>
      </c>
      <c r="J409">
        <v>5.3532431999999998E-2</v>
      </c>
      <c r="K409">
        <v>1.5552369000000001E-3</v>
      </c>
      <c r="L409">
        <v>5.5447635999999996</v>
      </c>
      <c r="M409">
        <v>1.8459965E-4</v>
      </c>
      <c r="N409">
        <v>0.13176552</v>
      </c>
      <c r="O409">
        <v>0.13168814000000001</v>
      </c>
      <c r="P409" s="217">
        <v>3.8225159000000002E-5</v>
      </c>
      <c r="Q409" s="217">
        <v>3.9149544999999998E-5</v>
      </c>
      <c r="R409" s="217">
        <v>3.063034E-8</v>
      </c>
      <c r="S409">
        <v>7.5279546999999997E-4</v>
      </c>
      <c r="T409" s="217">
        <v>1.9771501000000001E-6</v>
      </c>
      <c r="U409">
        <v>2.6407588999999998E-4</v>
      </c>
      <c r="V409">
        <v>2.9234498000000001E-3</v>
      </c>
      <c r="W409">
        <v>8.3115566000000005E-4</v>
      </c>
      <c r="X409" s="217">
        <v>3.7173985999999999E-7</v>
      </c>
      <c r="Y409">
        <v>2.0422796000000001</v>
      </c>
      <c r="Z409">
        <v>1.4530296E-2</v>
      </c>
      <c r="AA409" s="217">
        <v>1.1921932999999999E-8</v>
      </c>
      <c r="AB409">
        <v>8.6820817000000002E-3</v>
      </c>
      <c r="AC409">
        <v>1.4655087</v>
      </c>
      <c r="AD409" s="217">
        <v>5.5562106000000001E-11</v>
      </c>
      <c r="AE409" s="217">
        <v>1.8648070000000002E-9</v>
      </c>
      <c r="AF409">
        <v>1.7012579000000001</v>
      </c>
      <c r="AG409">
        <v>0</v>
      </c>
      <c r="AH409">
        <v>0</v>
      </c>
      <c r="AI409">
        <v>2.1371523E-2</v>
      </c>
      <c r="AJ409">
        <v>0</v>
      </c>
      <c r="AK409">
        <v>0</v>
      </c>
      <c r="AL409">
        <v>2.1685805</v>
      </c>
      <c r="AM409">
        <v>0</v>
      </c>
      <c r="AN409">
        <v>0</v>
      </c>
      <c r="AO409">
        <v>0</v>
      </c>
      <c r="AP409">
        <v>3.8514073999999999E-4</v>
      </c>
      <c r="AQ409" s="217">
        <v>1.2970777E-6</v>
      </c>
      <c r="AR409">
        <v>0.12420676</v>
      </c>
      <c r="AS409" s="217">
        <v>1.3730026E-5</v>
      </c>
      <c r="AT409">
        <v>0</v>
      </c>
      <c r="AU409">
        <v>0</v>
      </c>
      <c r="AV409">
        <v>0</v>
      </c>
      <c r="AW409">
        <v>0</v>
      </c>
      <c r="AX409">
        <v>0</v>
      </c>
    </row>
    <row r="410" spans="1:50" x14ac:dyDescent="0.35">
      <c r="A410" t="s">
        <v>1125</v>
      </c>
      <c r="B410" s="249">
        <f t="shared" si="6"/>
        <v>16.900905756319681</v>
      </c>
      <c r="C410" s="217">
        <v>4.2806248000000002E-5</v>
      </c>
      <c r="D410">
        <v>0.87869947999999998</v>
      </c>
      <c r="E410">
        <v>126.93028</v>
      </c>
      <c r="F410" s="217">
        <v>2.3010706E-5</v>
      </c>
      <c r="G410">
        <v>0.12860943</v>
      </c>
      <c r="H410">
        <v>0.96297166999999995</v>
      </c>
      <c r="I410">
        <v>0.21668277999999999</v>
      </c>
      <c r="J410">
        <v>45.725192</v>
      </c>
      <c r="K410">
        <v>0.63729435999999995</v>
      </c>
      <c r="L410">
        <v>2149.2656000000002</v>
      </c>
      <c r="M410">
        <v>7.5657309000000006E-2</v>
      </c>
      <c r="N410">
        <v>128.30455000000001</v>
      </c>
      <c r="O410">
        <v>128.27248</v>
      </c>
      <c r="P410">
        <v>2.1169199999999999E-2</v>
      </c>
      <c r="Q410">
        <v>1.0895029000000001E-2</v>
      </c>
      <c r="R410" s="217">
        <v>2.8978985000000001E-5</v>
      </c>
      <c r="S410">
        <v>1.344517</v>
      </c>
      <c r="T410">
        <v>9.7972897000000005E-4</v>
      </c>
      <c r="U410">
        <v>0.58279192999999996</v>
      </c>
      <c r="V410">
        <v>6.4047535</v>
      </c>
      <c r="W410">
        <v>1.7595232999999999</v>
      </c>
      <c r="X410" s="217">
        <v>4.2806797000000003E-5</v>
      </c>
      <c r="Y410">
        <v>1855.0811000000001</v>
      </c>
      <c r="Z410">
        <v>10.000772</v>
      </c>
      <c r="AA410" s="217">
        <v>3.5178224E-5</v>
      </c>
      <c r="AB410">
        <v>7.9952509999999997</v>
      </c>
      <c r="AC410">
        <v>1048.6976</v>
      </c>
      <c r="AD410" s="217">
        <v>3.6080257000000002E-8</v>
      </c>
      <c r="AE410" s="217">
        <v>9.1373191999999999E-7</v>
      </c>
      <c r="AF410">
        <v>234.95867000000001</v>
      </c>
      <c r="AG410">
        <v>0</v>
      </c>
      <c r="AH410">
        <v>0</v>
      </c>
      <c r="AI410">
        <v>10.746737</v>
      </c>
      <c r="AJ410">
        <v>0</v>
      </c>
      <c r="AK410">
        <v>0</v>
      </c>
      <c r="AL410">
        <v>1969.8992000000001</v>
      </c>
      <c r="AM410">
        <v>0</v>
      </c>
      <c r="AN410">
        <v>0</v>
      </c>
      <c r="AO410">
        <v>0</v>
      </c>
      <c r="AP410">
        <v>0.25460305999999999</v>
      </c>
      <c r="AQ410">
        <v>8.2723512000000001E-4</v>
      </c>
      <c r="AR410">
        <v>1.9770216</v>
      </c>
      <c r="AS410">
        <v>1.2885792E-2</v>
      </c>
      <c r="AT410">
        <v>0</v>
      </c>
      <c r="AU410">
        <v>0</v>
      </c>
      <c r="AV410">
        <v>0</v>
      </c>
      <c r="AW410">
        <v>0</v>
      </c>
      <c r="AX410">
        <v>0</v>
      </c>
    </row>
    <row r="411" spans="1:50" x14ac:dyDescent="0.35">
      <c r="A411" t="s">
        <v>1126</v>
      </c>
      <c r="B411" s="249">
        <f t="shared" si="6"/>
        <v>1.2829384534244079</v>
      </c>
      <c r="C411" s="217">
        <v>3.2775587999999998E-6</v>
      </c>
      <c r="D411">
        <v>6.6686192000000005E-2</v>
      </c>
      <c r="E411">
        <v>9.6354854000000003</v>
      </c>
      <c r="F411" s="217">
        <v>1.7348077000000001E-6</v>
      </c>
      <c r="G411">
        <v>9.8166975000000007E-3</v>
      </c>
      <c r="H411">
        <v>7.2766528999999996E-2</v>
      </c>
      <c r="I411">
        <v>1.6332998000000001E-2</v>
      </c>
      <c r="J411">
        <v>3.4958714999999998</v>
      </c>
      <c r="K411">
        <v>4.8370849E-2</v>
      </c>
      <c r="L411">
        <v>163.15052</v>
      </c>
      <c r="M411">
        <v>5.8453098999999998E-3</v>
      </c>
      <c r="N411">
        <v>9.7432646999999992</v>
      </c>
      <c r="O411">
        <v>9.7413329999999991</v>
      </c>
      <c r="P411">
        <v>1.0863155E-3</v>
      </c>
      <c r="Q411">
        <v>8.4534956000000005E-4</v>
      </c>
      <c r="R411" s="217">
        <v>2.1832198999999999E-6</v>
      </c>
      <c r="S411">
        <v>0.10152944999999999</v>
      </c>
      <c r="T411" s="217">
        <v>7.8103256000000001E-5</v>
      </c>
      <c r="U411">
        <v>4.3889058000000002E-2</v>
      </c>
      <c r="V411">
        <v>0.48239690000000002</v>
      </c>
      <c r="W411">
        <v>0.13274842000000001</v>
      </c>
      <c r="X411" s="217">
        <v>3.2776003E-6</v>
      </c>
      <c r="Y411">
        <v>140.41503</v>
      </c>
      <c r="Z411">
        <v>0.77635078999999996</v>
      </c>
      <c r="AA411" s="217">
        <v>2.6521305000000001E-6</v>
      </c>
      <c r="AB411">
        <v>0.60239153999999995</v>
      </c>
      <c r="AC411">
        <v>81.651121000000003</v>
      </c>
      <c r="AD411" s="217">
        <v>3.1925029E-9</v>
      </c>
      <c r="AE411" s="217">
        <v>7.1950995000000002E-8</v>
      </c>
      <c r="AF411">
        <v>17.919626000000001</v>
      </c>
      <c r="AG411">
        <v>0</v>
      </c>
      <c r="AH411">
        <v>0</v>
      </c>
      <c r="AI411">
        <v>0.84090012000000003</v>
      </c>
      <c r="AJ411">
        <v>0</v>
      </c>
      <c r="AK411">
        <v>0</v>
      </c>
      <c r="AL411">
        <v>149.09963999999999</v>
      </c>
      <c r="AM411">
        <v>0</v>
      </c>
      <c r="AN411">
        <v>0</v>
      </c>
      <c r="AO411">
        <v>0</v>
      </c>
      <c r="AP411">
        <v>1.9754701999999999E-2</v>
      </c>
      <c r="AQ411" s="217">
        <v>7.0615838E-5</v>
      </c>
      <c r="AR411">
        <v>0.16302648</v>
      </c>
      <c r="AS411">
        <v>9.7026730999999998E-4</v>
      </c>
      <c r="AT411">
        <v>0</v>
      </c>
      <c r="AU411">
        <v>0</v>
      </c>
      <c r="AV411">
        <v>0</v>
      </c>
      <c r="AW411">
        <v>0</v>
      </c>
      <c r="AX411">
        <v>0</v>
      </c>
    </row>
    <row r="412" spans="1:50" x14ac:dyDescent="0.35">
      <c r="A412" t="s">
        <v>1127</v>
      </c>
      <c r="B412" s="249">
        <f t="shared" si="6"/>
        <v>0.31165764679232399</v>
      </c>
      <c r="C412" s="217">
        <v>5.7206064000000003E-6</v>
      </c>
      <c r="D412">
        <v>2.8927652000000002E-2</v>
      </c>
      <c r="E412">
        <v>3.9087529000000001</v>
      </c>
      <c r="F412" s="217">
        <v>2.1159951000000001E-7</v>
      </c>
      <c r="G412">
        <v>6.7334929999999995E-4</v>
      </c>
      <c r="H412">
        <v>1.0063572999999999E-2</v>
      </c>
      <c r="I412">
        <v>2.2959853000000001E-3</v>
      </c>
      <c r="J412">
        <v>0.47380527</v>
      </c>
      <c r="K412">
        <v>1.2036659E-2</v>
      </c>
      <c r="L412">
        <v>51.258279000000002</v>
      </c>
      <c r="M412">
        <v>1.9834232E-2</v>
      </c>
      <c r="N412">
        <v>4.0219053000000002</v>
      </c>
      <c r="O412">
        <v>3.9532683999999998</v>
      </c>
      <c r="P412">
        <v>6.7098880999999999E-2</v>
      </c>
      <c r="Q412">
        <v>1.5380292000000001E-3</v>
      </c>
      <c r="R412" s="217">
        <v>2.0472889E-7</v>
      </c>
      <c r="S412">
        <v>1.4091981E-2</v>
      </c>
      <c r="T412">
        <v>3.1417804999999999E-4</v>
      </c>
      <c r="U412">
        <v>2.1424428999999999E-3</v>
      </c>
      <c r="V412">
        <v>4.3941046999999997E-2</v>
      </c>
      <c r="W412">
        <v>6.2435981999999996E-3</v>
      </c>
      <c r="X412" s="217">
        <v>5.7208008999999998E-6</v>
      </c>
      <c r="Y412">
        <v>53.065097000000002</v>
      </c>
      <c r="Z412">
        <v>0.50323339</v>
      </c>
      <c r="AA412" s="217">
        <v>6.5505975999999997E-8</v>
      </c>
      <c r="AB412">
        <v>0.13144031</v>
      </c>
      <c r="AC412">
        <v>49.165235000000003</v>
      </c>
      <c r="AD412" s="217">
        <v>1.1811184000000001E-9</v>
      </c>
      <c r="AE412" s="217">
        <v>2.9202630999999998E-8</v>
      </c>
      <c r="AF412">
        <v>13.564469000000001</v>
      </c>
      <c r="AG412">
        <v>0</v>
      </c>
      <c r="AH412">
        <v>0</v>
      </c>
      <c r="AI412">
        <v>5.7929754999999998</v>
      </c>
      <c r="AJ412">
        <v>0</v>
      </c>
      <c r="AK412">
        <v>0</v>
      </c>
      <c r="AL412">
        <v>56.776732000000003</v>
      </c>
      <c r="AM412">
        <v>0</v>
      </c>
      <c r="AN412">
        <v>0</v>
      </c>
      <c r="AO412">
        <v>0</v>
      </c>
      <c r="AP412">
        <v>4.2870483000000001E-2</v>
      </c>
      <c r="AQ412">
        <v>1.6305802E-4</v>
      </c>
      <c r="AR412">
        <v>0.15761315000000001</v>
      </c>
      <c r="AS412">
        <v>1.3827425999999999E-4</v>
      </c>
      <c r="AT412">
        <v>0</v>
      </c>
      <c r="AU412">
        <v>0</v>
      </c>
      <c r="AV412">
        <v>0</v>
      </c>
      <c r="AW412">
        <v>0</v>
      </c>
      <c r="AX412">
        <v>0</v>
      </c>
    </row>
    <row r="413" spans="1:50" x14ac:dyDescent="0.35">
      <c r="A413" t="s">
        <v>1128</v>
      </c>
      <c r="B413" s="249">
        <f t="shared" si="6"/>
        <v>6.9799706392129195E-6</v>
      </c>
      <c r="C413" s="217">
        <v>8.3299912E-11</v>
      </c>
      <c r="D413" s="217">
        <v>6.6658594000000003E-7</v>
      </c>
      <c r="E413" s="217">
        <v>8.9981815999999997E-5</v>
      </c>
      <c r="F413" s="217">
        <v>4.8510608999999998E-12</v>
      </c>
      <c r="G413" s="217">
        <v>1.3649924E-8</v>
      </c>
      <c r="H413" s="217">
        <v>2.2449231000000001E-7</v>
      </c>
      <c r="I413" s="217">
        <v>5.1352726999999999E-8</v>
      </c>
      <c r="J413" s="217">
        <v>9.3537526000000001E-6</v>
      </c>
      <c r="K413" s="217">
        <v>2.5864764000000002E-7</v>
      </c>
      <c r="L413">
        <v>1.0947836E-3</v>
      </c>
      <c r="M413" s="217">
        <v>4.5913458E-7</v>
      </c>
      <c r="N413" s="217">
        <v>9.2568762000000003E-5</v>
      </c>
      <c r="O413" s="217">
        <v>9.0962111000000005E-5</v>
      </c>
      <c r="P413" s="217">
        <v>1.5717604000000001E-6</v>
      </c>
      <c r="Q413" s="217">
        <v>3.4890695000000003E-8</v>
      </c>
      <c r="R413" s="217">
        <v>4.6909170999999999E-12</v>
      </c>
      <c r="S413" s="217">
        <v>3.1673868999999998E-7</v>
      </c>
      <c r="T413" s="217">
        <v>6.7860725000000003E-9</v>
      </c>
      <c r="U413" s="217">
        <v>4.8511930000000002E-8</v>
      </c>
      <c r="V413" s="217">
        <v>1.0087664000000001E-6</v>
      </c>
      <c r="W413" s="217">
        <v>1.3818470000000001E-7</v>
      </c>
      <c r="X413" s="217">
        <v>8.3302982000000002E-11</v>
      </c>
      <c r="Y413">
        <v>1.2248770000000001E-3</v>
      </c>
      <c r="Z413" s="217">
        <v>1.1315713E-5</v>
      </c>
      <c r="AA413" s="217">
        <v>1.4072929E-12</v>
      </c>
      <c r="AB413" s="217">
        <v>3.0408993999999999E-6</v>
      </c>
      <c r="AC413">
        <v>1.0703078E-3</v>
      </c>
      <c r="AD413" s="217">
        <v>2.0411136999999999E-14</v>
      </c>
      <c r="AE413" s="217">
        <v>5.8518738E-13</v>
      </c>
      <c r="AF413">
        <v>3.1207117E-4</v>
      </c>
      <c r="AG413">
        <v>0</v>
      </c>
      <c r="AH413">
        <v>0</v>
      </c>
      <c r="AI413">
        <v>1.3450823000000001E-4</v>
      </c>
      <c r="AJ413">
        <v>0</v>
      </c>
      <c r="AK413">
        <v>0</v>
      </c>
      <c r="AL413">
        <v>1.3107316999999999E-3</v>
      </c>
      <c r="AM413">
        <v>0</v>
      </c>
      <c r="AN413">
        <v>0</v>
      </c>
      <c r="AO413">
        <v>0</v>
      </c>
      <c r="AP413" s="217">
        <v>9.9094770999999997E-7</v>
      </c>
      <c r="AQ413" s="217">
        <v>3.4848683000000001E-9</v>
      </c>
      <c r="AR413" s="217">
        <v>3.4058342E-6</v>
      </c>
      <c r="AS413" s="217">
        <v>3.1993336999999999E-9</v>
      </c>
      <c r="AT413">
        <v>0</v>
      </c>
      <c r="AU413">
        <v>0</v>
      </c>
      <c r="AV413">
        <v>0</v>
      </c>
      <c r="AW413">
        <v>0</v>
      </c>
      <c r="AX413">
        <v>0</v>
      </c>
    </row>
    <row r="414" spans="1:50" x14ac:dyDescent="0.35">
      <c r="A414" t="s">
        <v>1129</v>
      </c>
      <c r="B414" s="249">
        <f t="shared" si="6"/>
        <v>0.26381003630397598</v>
      </c>
      <c r="C414" s="217">
        <v>6.6817234999999998E-7</v>
      </c>
      <c r="D414">
        <v>1.3715817999999999E-2</v>
      </c>
      <c r="E414">
        <v>1.9812833000000001</v>
      </c>
      <c r="F414" s="217">
        <v>3.5917928E-7</v>
      </c>
      <c r="G414">
        <v>2.0074935000000001E-3</v>
      </c>
      <c r="H414">
        <v>1.5031241000000001E-2</v>
      </c>
      <c r="I414">
        <v>3.3822500999999999E-3</v>
      </c>
      <c r="J414">
        <v>0.7137348</v>
      </c>
      <c r="K414">
        <v>9.9476708000000007E-3</v>
      </c>
      <c r="L414">
        <v>33.548369999999998</v>
      </c>
      <c r="M414">
        <v>1.1809519000000001E-3</v>
      </c>
      <c r="N414">
        <v>2.0027344999999999</v>
      </c>
      <c r="O414">
        <v>2.0022340000000001</v>
      </c>
      <c r="P414">
        <v>3.304348E-4</v>
      </c>
      <c r="Q414">
        <v>1.7006296E-4</v>
      </c>
      <c r="R414" s="217">
        <v>4.5233948999999999E-7</v>
      </c>
      <c r="S414">
        <v>2.0986868999999998E-2</v>
      </c>
      <c r="T414" s="217">
        <v>1.5292810000000001E-5</v>
      </c>
      <c r="U414">
        <v>9.0969303000000001E-3</v>
      </c>
      <c r="V414">
        <v>9.9973237000000006E-2</v>
      </c>
      <c r="W414">
        <v>2.7464794000000001E-2</v>
      </c>
      <c r="X414" s="217">
        <v>6.6818091000000001E-7</v>
      </c>
      <c r="Y414">
        <v>28.956378000000001</v>
      </c>
      <c r="Z414">
        <v>0.1561043</v>
      </c>
      <c r="AA414" s="217">
        <v>5.4910480000000001E-7</v>
      </c>
      <c r="AB414">
        <v>0.12479967</v>
      </c>
      <c r="AC414">
        <v>16.369357000000001</v>
      </c>
      <c r="AD414" s="217">
        <v>5.6318483999999996E-10</v>
      </c>
      <c r="AE414" s="217">
        <v>1.4262647E-8</v>
      </c>
      <c r="AF414">
        <v>3.6675227000000001</v>
      </c>
      <c r="AG414">
        <v>0</v>
      </c>
      <c r="AH414">
        <v>0</v>
      </c>
      <c r="AI414">
        <v>0.16774823</v>
      </c>
      <c r="AJ414">
        <v>0</v>
      </c>
      <c r="AK414">
        <v>0</v>
      </c>
      <c r="AL414">
        <v>30.7486</v>
      </c>
      <c r="AM414">
        <v>0</v>
      </c>
      <c r="AN414">
        <v>0</v>
      </c>
      <c r="AO414">
        <v>0</v>
      </c>
      <c r="AP414">
        <v>3.9741565000000001E-3</v>
      </c>
      <c r="AQ414" s="217">
        <v>1.2912498999999999E-5</v>
      </c>
      <c r="AR414">
        <v>3.0859774999999999E-2</v>
      </c>
      <c r="AS414">
        <v>2.0113722000000001E-4</v>
      </c>
      <c r="AT414">
        <v>0</v>
      </c>
      <c r="AU414">
        <v>0</v>
      </c>
      <c r="AV414">
        <v>0</v>
      </c>
      <c r="AW414">
        <v>0</v>
      </c>
      <c r="AX414">
        <v>0</v>
      </c>
    </row>
    <row r="415" spans="1:50" x14ac:dyDescent="0.35">
      <c r="A415" t="s">
        <v>1130</v>
      </c>
      <c r="B415" s="249">
        <f t="shared" si="6"/>
        <v>9.3877262930903602E-4</v>
      </c>
      <c r="C415" s="217">
        <v>5.2224370999999999E-9</v>
      </c>
      <c r="D415" s="217">
        <v>6.6035430000000003E-5</v>
      </c>
      <c r="E415">
        <v>9.0700743999999993E-3</v>
      </c>
      <c r="F415" s="217">
        <v>9.5509997000000001E-10</v>
      </c>
      <c r="G415" s="217">
        <v>2.7220990999999999E-6</v>
      </c>
      <c r="H415" s="217">
        <v>5.2650205E-5</v>
      </c>
      <c r="I415" s="217">
        <v>7.7628077E-6</v>
      </c>
      <c r="J415">
        <v>1.8210430000000001E-3</v>
      </c>
      <c r="K415" s="217">
        <v>4.7005897999999998E-5</v>
      </c>
      <c r="L415">
        <v>0.21944864</v>
      </c>
      <c r="M415" s="217">
        <v>2.5242558E-5</v>
      </c>
      <c r="N415">
        <v>9.4162800000000008E-3</v>
      </c>
      <c r="O415">
        <v>9.1349485000000001E-3</v>
      </c>
      <c r="P415">
        <v>2.6243193000000001E-4</v>
      </c>
      <c r="Q415" s="217">
        <v>1.8899514999999999E-5</v>
      </c>
      <c r="R415" s="217">
        <v>7.0123693000000002E-10</v>
      </c>
      <c r="S415" s="217">
        <v>6.8308159999999995E-5</v>
      </c>
      <c r="T415" s="217">
        <v>1.0395416000000001E-6</v>
      </c>
      <c r="U415" s="217">
        <v>7.4617185999999998E-6</v>
      </c>
      <c r="V415">
        <v>1.5319705000000001E-4</v>
      </c>
      <c r="W415" s="217">
        <v>2.2348423000000001E-5</v>
      </c>
      <c r="X415" s="217">
        <v>5.2225520000000001E-9</v>
      </c>
      <c r="Y415">
        <v>0.18520971</v>
      </c>
      <c r="Z415">
        <v>2.6984484000000001E-3</v>
      </c>
      <c r="AA415" s="217">
        <v>2.6042531999999999E-10</v>
      </c>
      <c r="AB415">
        <v>1.5965488E-3</v>
      </c>
      <c r="AC415">
        <v>0.11631026</v>
      </c>
      <c r="AD415" s="217">
        <v>4.2275329000000003E-12</v>
      </c>
      <c r="AE415" s="217">
        <v>1.00773E-10</v>
      </c>
      <c r="AF415">
        <v>3.8935686999999997E-2</v>
      </c>
      <c r="AG415">
        <v>0</v>
      </c>
      <c r="AH415">
        <v>0</v>
      </c>
      <c r="AI415">
        <v>2.8976907E-2</v>
      </c>
      <c r="AJ415">
        <v>0</v>
      </c>
      <c r="AK415">
        <v>0</v>
      </c>
      <c r="AL415">
        <v>0.19371360000000001</v>
      </c>
      <c r="AM415">
        <v>0</v>
      </c>
      <c r="AN415">
        <v>0</v>
      </c>
      <c r="AO415">
        <v>0</v>
      </c>
      <c r="AP415">
        <v>1.4795794E-4</v>
      </c>
      <c r="AQ415" s="217">
        <v>2.242962E-7</v>
      </c>
      <c r="AR415">
        <v>9.4568403000000001E-4</v>
      </c>
      <c r="AS415" s="217">
        <v>1.3443857E-6</v>
      </c>
      <c r="AT415">
        <v>0</v>
      </c>
      <c r="AU415">
        <v>0</v>
      </c>
      <c r="AV415">
        <v>0</v>
      </c>
      <c r="AW415">
        <v>0</v>
      </c>
      <c r="AX415">
        <v>0</v>
      </c>
    </row>
    <row r="416" spans="1:50" x14ac:dyDescent="0.35">
      <c r="A416" t="s">
        <v>1131</v>
      </c>
      <c r="B416" s="249">
        <f t="shared" si="6"/>
        <v>1.6979179564092002</v>
      </c>
      <c r="C416">
        <v>4.6103669000000002E-3</v>
      </c>
      <c r="D416">
        <v>3.5256581000000002E-2</v>
      </c>
      <c r="E416">
        <v>4.8592956999999997</v>
      </c>
      <c r="F416" s="217">
        <v>3.9995684000000001E-7</v>
      </c>
      <c r="G416">
        <v>2.8646504E-3</v>
      </c>
      <c r="H416">
        <v>0.21150885999999999</v>
      </c>
      <c r="I416">
        <v>4.4516382E-2</v>
      </c>
      <c r="J416">
        <v>1.8063335</v>
      </c>
      <c r="K416">
        <v>6.7307335999999995E-2</v>
      </c>
      <c r="L416">
        <v>261.94279</v>
      </c>
      <c r="M416">
        <v>8.9446135999999996E-2</v>
      </c>
      <c r="N416">
        <v>4.9639300000000004</v>
      </c>
      <c r="O416">
        <v>4.9503621000000004</v>
      </c>
      <c r="P416">
        <v>3.1807095000000001E-3</v>
      </c>
      <c r="Q416">
        <v>1.0387201E-2</v>
      </c>
      <c r="R416" s="217">
        <v>4.3174548999999998E-7</v>
      </c>
      <c r="S416">
        <v>0.37416896999999999</v>
      </c>
      <c r="T416">
        <v>1.1944657E-3</v>
      </c>
      <c r="U416">
        <v>1.6517627999999999E-2</v>
      </c>
      <c r="V416">
        <v>1.5520124</v>
      </c>
      <c r="W416">
        <v>2.1502433000000001E-2</v>
      </c>
      <c r="X416">
        <v>4.6103673999999999E-3</v>
      </c>
      <c r="Y416">
        <v>61.313110999999999</v>
      </c>
      <c r="Z416">
        <v>1.7802865000000001</v>
      </c>
      <c r="AA416" s="217">
        <v>2.5847403000000001E-6</v>
      </c>
      <c r="AB416">
        <v>0.12846088999999999</v>
      </c>
      <c r="AC416">
        <v>510.90224999999998</v>
      </c>
      <c r="AD416" s="217">
        <v>5.8846556999999997E-9</v>
      </c>
      <c r="AE416" s="217">
        <v>6.8511796999999998E-7</v>
      </c>
      <c r="AF416">
        <v>13.136756999999999</v>
      </c>
      <c r="AG416">
        <v>0</v>
      </c>
      <c r="AH416">
        <v>0</v>
      </c>
      <c r="AI416">
        <v>5.1137531000000003</v>
      </c>
      <c r="AJ416">
        <v>0</v>
      </c>
      <c r="AK416">
        <v>0</v>
      </c>
      <c r="AL416">
        <v>65.825947999999997</v>
      </c>
      <c r="AM416">
        <v>0</v>
      </c>
      <c r="AN416">
        <v>0</v>
      </c>
      <c r="AO416">
        <v>0</v>
      </c>
      <c r="AP416">
        <v>5.3400073999999999E-2</v>
      </c>
      <c r="AQ416">
        <v>2.1301963000000001E-3</v>
      </c>
      <c r="AR416">
        <v>0.40687241000000002</v>
      </c>
      <c r="AS416">
        <v>1.2951329E-4</v>
      </c>
      <c r="AT416">
        <v>0</v>
      </c>
      <c r="AU416">
        <v>0</v>
      </c>
      <c r="AV416">
        <v>0</v>
      </c>
      <c r="AW416">
        <v>0</v>
      </c>
      <c r="AX416">
        <v>0</v>
      </c>
    </row>
    <row r="417" spans="1:50" x14ac:dyDescent="0.35">
      <c r="A417" t="s">
        <v>1132</v>
      </c>
      <c r="B417" s="249">
        <f t="shared" si="6"/>
        <v>1.0561035087934001</v>
      </c>
      <c r="C417">
        <v>7.1271130999999996E-3</v>
      </c>
      <c r="D417">
        <v>4.9542005E-2</v>
      </c>
      <c r="E417">
        <v>7.4635185999999996</v>
      </c>
      <c r="F417" s="217">
        <v>4.4532658000000001E-7</v>
      </c>
      <c r="G417">
        <v>3.7422661000000002E-3</v>
      </c>
      <c r="H417">
        <v>6.3814659999999995E-2</v>
      </c>
      <c r="I417">
        <v>1.0165596000000001E-2</v>
      </c>
      <c r="J417">
        <v>2.9237313999999999</v>
      </c>
      <c r="K417">
        <v>0.13302154999999999</v>
      </c>
      <c r="L417">
        <v>438.86077</v>
      </c>
      <c r="M417">
        <v>0.14335123999999999</v>
      </c>
      <c r="N417">
        <v>7.6470288000000002</v>
      </c>
      <c r="O417">
        <v>7.6056274999999998</v>
      </c>
      <c r="P417">
        <v>2.6314046000000001E-2</v>
      </c>
      <c r="Q417">
        <v>1.5087277E-2</v>
      </c>
      <c r="R417" s="217">
        <v>4.8341186000000004E-7</v>
      </c>
      <c r="S417">
        <v>7.7626378999999995E-2</v>
      </c>
      <c r="T417">
        <v>1.8421078E-3</v>
      </c>
      <c r="U417">
        <v>1.0475906E-2</v>
      </c>
      <c r="V417">
        <v>0.14272213</v>
      </c>
      <c r="W417">
        <v>3.2655902000000001E-2</v>
      </c>
      <c r="X417">
        <v>7.1271136000000002E-3</v>
      </c>
      <c r="Y417">
        <v>81.82159</v>
      </c>
      <c r="Z417">
        <v>2.0705870000000002</v>
      </c>
      <c r="AA417" s="217">
        <v>5.8810449000000001E-7</v>
      </c>
      <c r="AB417">
        <v>0.14627676000000001</v>
      </c>
      <c r="AC417">
        <v>792.44344000000001</v>
      </c>
      <c r="AD417" s="217">
        <v>1.7891709999999999E-8</v>
      </c>
      <c r="AE417" s="217">
        <v>1.2860740999999999E-6</v>
      </c>
      <c r="AF417">
        <v>26.970202</v>
      </c>
      <c r="AG417">
        <v>0</v>
      </c>
      <c r="AH417">
        <v>0</v>
      </c>
      <c r="AI417">
        <v>8.4552571000000007</v>
      </c>
      <c r="AJ417">
        <v>0</v>
      </c>
      <c r="AK417">
        <v>0</v>
      </c>
      <c r="AL417">
        <v>87.411831000000006</v>
      </c>
      <c r="AM417">
        <v>0</v>
      </c>
      <c r="AN417">
        <v>0</v>
      </c>
      <c r="AO417">
        <v>0</v>
      </c>
      <c r="AP417">
        <v>6.6105003999999995E-2</v>
      </c>
      <c r="AQ417">
        <v>3.2688156000000002E-3</v>
      </c>
      <c r="AR417">
        <v>0.80835904999999997</v>
      </c>
      <c r="AS417">
        <v>1.5294974000000001E-4</v>
      </c>
      <c r="AT417">
        <v>0</v>
      </c>
      <c r="AU417">
        <v>0</v>
      </c>
      <c r="AV417">
        <v>0</v>
      </c>
      <c r="AW417">
        <v>0</v>
      </c>
      <c r="AX417">
        <v>0</v>
      </c>
    </row>
    <row r="418" spans="1:50" x14ac:dyDescent="0.35">
      <c r="A418" t="s">
        <v>1133</v>
      </c>
      <c r="B418" s="249">
        <f t="shared" si="6"/>
        <v>1.1275967505560001E-2</v>
      </c>
      <c r="C418">
        <v>1.0446232E-4</v>
      </c>
      <c r="D418">
        <v>4.7415583000000002E-4</v>
      </c>
      <c r="E418">
        <v>7.2573313E-2</v>
      </c>
      <c r="F418" s="217">
        <v>2.666952E-9</v>
      </c>
      <c r="G418" s="217">
        <v>4.1871388000000001E-5</v>
      </c>
      <c r="H418">
        <v>7.1569714000000004E-4</v>
      </c>
      <c r="I418">
        <v>1.2826478E-4</v>
      </c>
      <c r="J418">
        <v>3.1284485000000001E-2</v>
      </c>
      <c r="K418">
        <v>1.2492562999999999E-3</v>
      </c>
      <c r="L418">
        <v>4.8198135999999998</v>
      </c>
      <c r="M418">
        <v>1.9777648000000002E-3</v>
      </c>
      <c r="N418">
        <v>7.4148849000000003E-2</v>
      </c>
      <c r="O418">
        <v>7.3948784000000004E-2</v>
      </c>
      <c r="P418" s="217">
        <v>-4.7586432999999996E-6</v>
      </c>
      <c r="Q418">
        <v>2.0482325E-4</v>
      </c>
      <c r="R418" s="217">
        <v>3.0584876999999999E-9</v>
      </c>
      <c r="S418">
        <v>8.6710735E-4</v>
      </c>
      <c r="T418" s="217">
        <v>2.5331015999999999E-5</v>
      </c>
      <c r="U418">
        <v>1.2325705999999999E-4</v>
      </c>
      <c r="V418">
        <v>1.6022705E-3</v>
      </c>
      <c r="W418">
        <v>3.8202823999999999E-4</v>
      </c>
      <c r="X418">
        <v>1.0446233E-4</v>
      </c>
      <c r="Y418">
        <v>0.76761977999999997</v>
      </c>
      <c r="Z418">
        <v>2.244908E-2</v>
      </c>
      <c r="AA418" s="217">
        <v>5.7239767999999997E-9</v>
      </c>
      <c r="AB418">
        <v>1.3221165999999999E-3</v>
      </c>
      <c r="AC418">
        <v>10.719702</v>
      </c>
      <c r="AD418" s="217">
        <v>1.1812014E-10</v>
      </c>
      <c r="AE418" s="217">
        <v>1.3879008999999999E-8</v>
      </c>
      <c r="AF418">
        <v>0.22382335</v>
      </c>
      <c r="AG418">
        <v>0</v>
      </c>
      <c r="AH418">
        <v>0</v>
      </c>
      <c r="AI418">
        <v>8.6343524000000005E-2</v>
      </c>
      <c r="AJ418">
        <v>0</v>
      </c>
      <c r="AK418">
        <v>0</v>
      </c>
      <c r="AL418">
        <v>0.81804169999999998</v>
      </c>
      <c r="AM418">
        <v>0</v>
      </c>
      <c r="AN418">
        <v>0</v>
      </c>
      <c r="AO418">
        <v>0</v>
      </c>
      <c r="AP418">
        <v>7.3368432999999995E-4</v>
      </c>
      <c r="AQ418" s="217">
        <v>4.7473392000000003E-5</v>
      </c>
      <c r="AR418">
        <v>6.7413860999999999E-3</v>
      </c>
      <c r="AS418" s="217">
        <v>1.4262192999999999E-6</v>
      </c>
      <c r="AT418">
        <v>0</v>
      </c>
      <c r="AU418">
        <v>0</v>
      </c>
      <c r="AV418">
        <v>0</v>
      </c>
      <c r="AW418">
        <v>0</v>
      </c>
      <c r="AX418">
        <v>0</v>
      </c>
    </row>
    <row r="419" spans="1:50" x14ac:dyDescent="0.35">
      <c r="A419" t="s">
        <v>1134</v>
      </c>
      <c r="B419" s="249">
        <f t="shared" si="6"/>
        <v>9.8390884406368002</v>
      </c>
      <c r="C419" s="217">
        <v>2.4920230000000001E-5</v>
      </c>
      <c r="D419">
        <v>0.51154666000000004</v>
      </c>
      <c r="E419">
        <v>73.894161999999994</v>
      </c>
      <c r="F419" s="217">
        <v>1.3395989999999999E-5</v>
      </c>
      <c r="G419">
        <v>7.4871699999999999E-2</v>
      </c>
      <c r="H419">
        <v>0.56060684000000005</v>
      </c>
      <c r="I419">
        <v>0.12614478000000001</v>
      </c>
      <c r="J419">
        <v>26.619532</v>
      </c>
      <c r="K419">
        <v>0.37100944000000002</v>
      </c>
      <c r="L419">
        <v>1251.2237</v>
      </c>
      <c r="M419">
        <v>4.4044914999999997E-2</v>
      </c>
      <c r="N419">
        <v>74.694209999999998</v>
      </c>
      <c r="O419">
        <v>74.675543000000005</v>
      </c>
      <c r="P419">
        <v>1.2323933E-2</v>
      </c>
      <c r="Q419">
        <v>6.3426869999999996E-3</v>
      </c>
      <c r="R419" s="217">
        <v>1.6870504000000001E-5</v>
      </c>
      <c r="S419">
        <v>0.78272858999999995</v>
      </c>
      <c r="T419">
        <v>5.7036233000000002E-4</v>
      </c>
      <c r="U419">
        <v>0.33928012000000002</v>
      </c>
      <c r="V419">
        <v>3.7286130000000002</v>
      </c>
      <c r="W419">
        <v>1.02433</v>
      </c>
      <c r="X419" s="217">
        <v>2.4920549E-5</v>
      </c>
      <c r="Y419">
        <v>1079.9603</v>
      </c>
      <c r="Z419">
        <v>5.8220834000000004</v>
      </c>
      <c r="AA419" s="217">
        <v>2.0479472999999999E-5</v>
      </c>
      <c r="AB419">
        <v>4.6545423000000001</v>
      </c>
      <c r="AC419">
        <v>610.51333999999997</v>
      </c>
      <c r="AD419" s="217">
        <v>2.1004604000000001E-8</v>
      </c>
      <c r="AE419" s="217">
        <v>5.3194126E-7</v>
      </c>
      <c r="AF419">
        <v>136.78433000000001</v>
      </c>
      <c r="AG419">
        <v>0</v>
      </c>
      <c r="AH419">
        <v>0</v>
      </c>
      <c r="AI419">
        <v>6.2563564999999999</v>
      </c>
      <c r="AJ419">
        <v>0</v>
      </c>
      <c r="AK419">
        <v>0</v>
      </c>
      <c r="AL419">
        <v>1146.8032000000001</v>
      </c>
      <c r="AM419">
        <v>0</v>
      </c>
      <c r="AN419">
        <v>0</v>
      </c>
      <c r="AO419">
        <v>0</v>
      </c>
      <c r="AP419">
        <v>0.14822057999999999</v>
      </c>
      <c r="AQ419">
        <v>4.8158598999999998E-4</v>
      </c>
      <c r="AR419">
        <v>1.1509495999999999</v>
      </c>
      <c r="AS419">
        <v>7.5016359999999999E-3</v>
      </c>
      <c r="AT419">
        <v>0</v>
      </c>
      <c r="AU419">
        <v>0</v>
      </c>
      <c r="AV419">
        <v>0</v>
      </c>
      <c r="AW419">
        <v>0</v>
      </c>
      <c r="AX419">
        <v>0</v>
      </c>
    </row>
    <row r="420" spans="1:50" x14ac:dyDescent="0.35">
      <c r="A420" t="s">
        <v>1135</v>
      </c>
      <c r="B420" s="249">
        <f t="shared" si="6"/>
        <v>9.8390884406368002</v>
      </c>
      <c r="C420" s="217">
        <v>2.4920230000000001E-5</v>
      </c>
      <c r="D420">
        <v>0.51154666000000004</v>
      </c>
      <c r="E420">
        <v>73.894161999999994</v>
      </c>
      <c r="F420" s="217">
        <v>1.3395989999999999E-5</v>
      </c>
      <c r="G420">
        <v>7.4871699999999999E-2</v>
      </c>
      <c r="H420">
        <v>0.56060684000000005</v>
      </c>
      <c r="I420">
        <v>0.12614478000000001</v>
      </c>
      <c r="J420">
        <v>26.619532</v>
      </c>
      <c r="K420">
        <v>0.37100944000000002</v>
      </c>
      <c r="L420">
        <v>1251.2237</v>
      </c>
      <c r="M420">
        <v>4.4044914999999997E-2</v>
      </c>
      <c r="N420">
        <v>74.694209999999998</v>
      </c>
      <c r="O420">
        <v>74.675543000000005</v>
      </c>
      <c r="P420">
        <v>1.2323933E-2</v>
      </c>
      <c r="Q420">
        <v>6.3426869999999996E-3</v>
      </c>
      <c r="R420" s="217">
        <v>1.6870504000000001E-5</v>
      </c>
      <c r="S420">
        <v>0.78272858999999995</v>
      </c>
      <c r="T420">
        <v>5.7036233000000002E-4</v>
      </c>
      <c r="U420">
        <v>0.33928012000000002</v>
      </c>
      <c r="V420">
        <v>3.7286130000000002</v>
      </c>
      <c r="W420">
        <v>1.02433</v>
      </c>
      <c r="X420" s="217">
        <v>2.4920549E-5</v>
      </c>
      <c r="Y420">
        <v>1079.9603</v>
      </c>
      <c r="Z420">
        <v>5.8220834000000004</v>
      </c>
      <c r="AA420" s="217">
        <v>2.0479472999999999E-5</v>
      </c>
      <c r="AB420">
        <v>4.6545423000000001</v>
      </c>
      <c r="AC420">
        <v>610.51333999999997</v>
      </c>
      <c r="AD420" s="217">
        <v>2.1004604000000001E-8</v>
      </c>
      <c r="AE420" s="217">
        <v>5.3194126E-7</v>
      </c>
      <c r="AF420">
        <v>136.78433000000001</v>
      </c>
      <c r="AG420">
        <v>0</v>
      </c>
      <c r="AH420">
        <v>0</v>
      </c>
      <c r="AI420">
        <v>6.2563564999999999</v>
      </c>
      <c r="AJ420">
        <v>0</v>
      </c>
      <c r="AK420">
        <v>0</v>
      </c>
      <c r="AL420">
        <v>1146.8032000000001</v>
      </c>
      <c r="AM420">
        <v>0</v>
      </c>
      <c r="AN420">
        <v>0</v>
      </c>
      <c r="AO420">
        <v>0</v>
      </c>
      <c r="AP420">
        <v>0.14822057999999999</v>
      </c>
      <c r="AQ420">
        <v>4.8158598999999998E-4</v>
      </c>
      <c r="AR420">
        <v>1.1509495999999999</v>
      </c>
      <c r="AS420">
        <v>7.5016359999999999E-3</v>
      </c>
      <c r="AT420">
        <v>0</v>
      </c>
      <c r="AU420">
        <v>0</v>
      </c>
      <c r="AV420">
        <v>0</v>
      </c>
      <c r="AW420">
        <v>0</v>
      </c>
      <c r="AX420">
        <v>0</v>
      </c>
    </row>
    <row r="421" spans="1:50" x14ac:dyDescent="0.35">
      <c r="A421" t="s">
        <v>1136</v>
      </c>
      <c r="B421" s="249">
        <f t="shared" si="6"/>
        <v>9.7707420411798415E-3</v>
      </c>
      <c r="C421" s="217">
        <v>2.4747124E-8</v>
      </c>
      <c r="D421">
        <v>5.0799324E-4</v>
      </c>
      <c r="E421">
        <v>7.3380863000000005E-2</v>
      </c>
      <c r="F421" s="217">
        <v>1.3302936E-8</v>
      </c>
      <c r="G421" s="217">
        <v>7.4351609999999995E-5</v>
      </c>
      <c r="H421">
        <v>5.5671262999999998E-4</v>
      </c>
      <c r="I421">
        <v>1.2526852E-4</v>
      </c>
      <c r="J421">
        <v>2.6434622000000001E-2</v>
      </c>
      <c r="K421">
        <v>3.6843225E-4</v>
      </c>
      <c r="L421">
        <v>1.2425322000000001</v>
      </c>
      <c r="M421" s="217">
        <v>4.3738961000000003E-5</v>
      </c>
      <c r="N421">
        <v>7.4175352999999999E-2</v>
      </c>
      <c r="O421">
        <v>7.4156816E-2</v>
      </c>
      <c r="P421" s="217">
        <v>1.2238326000000001E-5</v>
      </c>
      <c r="Q421" s="217">
        <v>6.2986281E-6</v>
      </c>
      <c r="R421" s="217">
        <v>1.6753313999999999E-8</v>
      </c>
      <c r="S421">
        <v>7.7729142999999996E-4</v>
      </c>
      <c r="T421" s="217">
        <v>5.6640036000000002E-7</v>
      </c>
      <c r="U421">
        <v>3.3692333999999998E-4</v>
      </c>
      <c r="V421">
        <v>3.7027125000000001E-3</v>
      </c>
      <c r="W421">
        <v>1.0172146E-3</v>
      </c>
      <c r="X421" s="217">
        <v>2.4747441000000001E-8</v>
      </c>
      <c r="Y421">
        <v>1.0724585</v>
      </c>
      <c r="Z421">
        <v>5.7816407999999996E-3</v>
      </c>
      <c r="AA421" s="217">
        <v>2.0337215000000001E-8</v>
      </c>
      <c r="AB421">
        <v>4.6222099999999999E-3</v>
      </c>
      <c r="AC421">
        <v>0.60627246999999995</v>
      </c>
      <c r="AD421" s="217">
        <v>2.0858698000000001E-11</v>
      </c>
      <c r="AE421" s="217">
        <v>5.2824617999999995E-10</v>
      </c>
      <c r="AF421">
        <v>0.13583417</v>
      </c>
      <c r="AG421">
        <v>0</v>
      </c>
      <c r="AH421">
        <v>0</v>
      </c>
      <c r="AI421">
        <v>6.2128972999999999E-3</v>
      </c>
      <c r="AJ421">
        <v>0</v>
      </c>
      <c r="AK421">
        <v>0</v>
      </c>
      <c r="AL421">
        <v>1.1388370000000001</v>
      </c>
      <c r="AM421">
        <v>0</v>
      </c>
      <c r="AN421">
        <v>0</v>
      </c>
      <c r="AO421">
        <v>0</v>
      </c>
      <c r="AP421">
        <v>1.4719097999999999E-4</v>
      </c>
      <c r="AQ421" s="217">
        <v>4.7824069999999997E-7</v>
      </c>
      <c r="AR421">
        <v>1.1429546E-3</v>
      </c>
      <c r="AS421" s="217">
        <v>7.4495265000000004E-6</v>
      </c>
      <c r="AT421">
        <v>0</v>
      </c>
      <c r="AU421">
        <v>0</v>
      </c>
      <c r="AV421">
        <v>0</v>
      </c>
      <c r="AW421">
        <v>0</v>
      </c>
      <c r="AX421">
        <v>0</v>
      </c>
    </row>
    <row r="422" spans="1:50" x14ac:dyDescent="0.35">
      <c r="A422" t="s">
        <v>1137</v>
      </c>
      <c r="B422" s="249">
        <f t="shared" si="6"/>
        <v>7.8469500111376406E-2</v>
      </c>
      <c r="C422" s="217">
        <v>6.8277203999999995E-7</v>
      </c>
      <c r="D422">
        <v>4.6411220000000001E-3</v>
      </c>
      <c r="E422">
        <v>0.64993814999999999</v>
      </c>
      <c r="F422" s="217">
        <v>3.2537095000000003E-8</v>
      </c>
      <c r="G422">
        <v>4.3350129999999998E-4</v>
      </c>
      <c r="H422">
        <v>2.7704734E-3</v>
      </c>
      <c r="I422">
        <v>3.1653820000000001E-4</v>
      </c>
      <c r="J422">
        <v>0.30978294000000001</v>
      </c>
      <c r="K422">
        <v>4.7674207000000003E-3</v>
      </c>
      <c r="L422">
        <v>23.353736999999999</v>
      </c>
      <c r="M422">
        <v>1.2054469000000001E-3</v>
      </c>
      <c r="N422">
        <v>0.66698707000000002</v>
      </c>
      <c r="O422">
        <v>0.65849046</v>
      </c>
      <c r="P422">
        <v>7.1743750999999998E-3</v>
      </c>
      <c r="Q422">
        <v>1.322234E-3</v>
      </c>
      <c r="R422" s="217">
        <v>3.4238902000000002E-8</v>
      </c>
      <c r="S422">
        <v>3.3448697000000001E-3</v>
      </c>
      <c r="T422" s="217">
        <v>3.373817E-5</v>
      </c>
      <c r="U422">
        <v>5.3613779999999995E-4</v>
      </c>
      <c r="V422">
        <v>6.3708209999999996E-3</v>
      </c>
      <c r="W422">
        <v>2.2087868000000002E-3</v>
      </c>
      <c r="X422" s="217">
        <v>6.8277717999999996E-7</v>
      </c>
      <c r="Y422">
        <v>8.2404887000000002</v>
      </c>
      <c r="Z422">
        <v>0.15038872</v>
      </c>
      <c r="AA422" s="217">
        <v>2.8314583999999999E-8</v>
      </c>
      <c r="AB422">
        <v>2.6504673999999999E-2</v>
      </c>
      <c r="AC422">
        <v>15.368243</v>
      </c>
      <c r="AD422" s="217">
        <v>3.3109350000000002E-10</v>
      </c>
      <c r="AE422" s="217">
        <v>7.6832059999999995E-9</v>
      </c>
      <c r="AF422">
        <v>1.1470823000000001</v>
      </c>
      <c r="AG422">
        <v>0</v>
      </c>
      <c r="AH422">
        <v>0</v>
      </c>
      <c r="AI422">
        <v>0.74989406000000003</v>
      </c>
      <c r="AJ422">
        <v>0</v>
      </c>
      <c r="AK422">
        <v>0</v>
      </c>
      <c r="AL422">
        <v>8.8138425999999992</v>
      </c>
      <c r="AM422">
        <v>0</v>
      </c>
      <c r="AN422">
        <v>0</v>
      </c>
      <c r="AO422">
        <v>0</v>
      </c>
      <c r="AP422">
        <v>5.2359930000000004E-3</v>
      </c>
      <c r="AQ422">
        <v>4.8292982999999998E-3</v>
      </c>
      <c r="AR422">
        <v>5.2549943000000002E-2</v>
      </c>
      <c r="AS422" s="217">
        <v>2.0529984000000001E-5</v>
      </c>
      <c r="AT422">
        <v>0</v>
      </c>
      <c r="AU422">
        <v>0</v>
      </c>
      <c r="AV422">
        <v>0</v>
      </c>
      <c r="AW422">
        <v>0</v>
      </c>
      <c r="AX422">
        <v>0</v>
      </c>
    </row>
    <row r="423" spans="1:50" x14ac:dyDescent="0.35">
      <c r="A423" t="s">
        <v>1138</v>
      </c>
      <c r="B423" s="249">
        <f t="shared" si="6"/>
        <v>0.40811359029016198</v>
      </c>
      <c r="C423" s="217">
        <v>6.9804926999999997E-6</v>
      </c>
      <c r="D423">
        <v>4.4097403000000002E-3</v>
      </c>
      <c r="E423">
        <v>0.62784786000000004</v>
      </c>
      <c r="F423" s="217">
        <v>3.7464111000000003E-8</v>
      </c>
      <c r="G423">
        <v>3.7944418999999999E-4</v>
      </c>
      <c r="H423">
        <v>3.2340271E-3</v>
      </c>
      <c r="I423">
        <v>4.0444450000000001E-4</v>
      </c>
      <c r="J423">
        <v>3.9465385999999998</v>
      </c>
      <c r="K423">
        <v>9.5857382000000008E-3</v>
      </c>
      <c r="L423">
        <v>28.764717000000001</v>
      </c>
      <c r="M423">
        <v>5.4313818999999998E-3</v>
      </c>
      <c r="N423">
        <v>0.64315056000000004</v>
      </c>
      <c r="O423">
        <v>0.64112055000000001</v>
      </c>
      <c r="P423">
        <v>1.2648609999999999E-3</v>
      </c>
      <c r="Q423">
        <v>7.6515180999999995E-4</v>
      </c>
      <c r="R423" s="217">
        <v>3.8575141999999999E-8</v>
      </c>
      <c r="S423">
        <v>3.9716311000000002E-3</v>
      </c>
      <c r="T423" s="217">
        <v>3.9387649000000003E-5</v>
      </c>
      <c r="U423">
        <v>6.4076699000000003E-4</v>
      </c>
      <c r="V423">
        <v>8.2236692000000004E-3</v>
      </c>
      <c r="W423">
        <v>2.3414759999999999E-3</v>
      </c>
      <c r="X423" s="217">
        <v>6.9805655000000003E-6</v>
      </c>
      <c r="Y423">
        <v>8.2262872999999992</v>
      </c>
      <c r="Z423">
        <v>0.37509613000000003</v>
      </c>
      <c r="AA423" s="217">
        <v>3.6245539999999998E-8</v>
      </c>
      <c r="AB423">
        <v>3.364429E-2</v>
      </c>
      <c r="AC423">
        <v>15.755651</v>
      </c>
      <c r="AD423" s="217">
        <v>4.4378146000000002E-9</v>
      </c>
      <c r="AE423" s="217">
        <v>1.5074219E-8</v>
      </c>
      <c r="AF423">
        <v>2.4005738000000001</v>
      </c>
      <c r="AG423">
        <v>0</v>
      </c>
      <c r="AH423">
        <v>0</v>
      </c>
      <c r="AI423">
        <v>1.2294278000000001</v>
      </c>
      <c r="AJ423">
        <v>0</v>
      </c>
      <c r="AK423">
        <v>0</v>
      </c>
      <c r="AL423">
        <v>8.7413775000000005</v>
      </c>
      <c r="AM423">
        <v>0</v>
      </c>
      <c r="AN423">
        <v>0</v>
      </c>
      <c r="AO423">
        <v>0</v>
      </c>
      <c r="AP423">
        <v>1.0309637E-2</v>
      </c>
      <c r="AQ423" s="217">
        <v>1.3574238E-5</v>
      </c>
      <c r="AR423">
        <v>0.3450201</v>
      </c>
      <c r="AS423" s="217">
        <v>2.8811963E-5</v>
      </c>
      <c r="AT423">
        <v>0</v>
      </c>
      <c r="AU423">
        <v>0</v>
      </c>
      <c r="AV423">
        <v>0</v>
      </c>
      <c r="AW423">
        <v>0</v>
      </c>
      <c r="AX423">
        <v>0</v>
      </c>
    </row>
    <row r="424" spans="1:50" x14ac:dyDescent="0.35">
      <c r="A424" t="s">
        <v>1139</v>
      </c>
      <c r="B424" s="249">
        <f t="shared" si="6"/>
        <v>2.71564837923132E-2</v>
      </c>
      <c r="C424" s="217">
        <v>1.4869177000000001E-7</v>
      </c>
      <c r="D424">
        <v>1.9971864999999999E-3</v>
      </c>
      <c r="E424">
        <v>0.25413058999999999</v>
      </c>
      <c r="F424" s="217">
        <v>2.6404681000000001E-8</v>
      </c>
      <c r="G424">
        <v>3.5774397000000002E-4</v>
      </c>
      <c r="H424">
        <v>8.8677677999999995E-4</v>
      </c>
      <c r="I424">
        <v>1.2296633E-4</v>
      </c>
      <c r="J424">
        <v>8.7904697000000004E-2</v>
      </c>
      <c r="K424">
        <v>4.6323872E-3</v>
      </c>
      <c r="L424">
        <v>6.8474228999999998</v>
      </c>
      <c r="M424">
        <v>4.1933092E-4</v>
      </c>
      <c r="N424">
        <v>0.26244989000000002</v>
      </c>
      <c r="O424">
        <v>0.26069590999999998</v>
      </c>
      <c r="P424">
        <v>1.5792412E-3</v>
      </c>
      <c r="Q424">
        <v>1.7474594000000001E-4</v>
      </c>
      <c r="R424" s="217">
        <v>2.6606980999999999E-8</v>
      </c>
      <c r="S424">
        <v>1.1185601E-3</v>
      </c>
      <c r="T424" s="217">
        <v>1.2615925000000001E-5</v>
      </c>
      <c r="U424">
        <v>1.7712332E-4</v>
      </c>
      <c r="V424">
        <v>2.5614572000000001E-3</v>
      </c>
      <c r="W424">
        <v>1.1546467000000001E-3</v>
      </c>
      <c r="X424" s="217">
        <v>1.4869334999999999E-7</v>
      </c>
      <c r="Y424">
        <v>4.0134992</v>
      </c>
      <c r="Z424">
        <v>0.35170551</v>
      </c>
      <c r="AA424" s="217">
        <v>1.4854099E-8</v>
      </c>
      <c r="AB424">
        <v>1.5212095E-2</v>
      </c>
      <c r="AC424">
        <v>4.0524915999999997</v>
      </c>
      <c r="AD424" s="217">
        <v>9.4117062000000004E-10</v>
      </c>
      <c r="AE424" s="217">
        <v>5.7053748E-9</v>
      </c>
      <c r="AF424">
        <v>0.64797769999999999</v>
      </c>
      <c r="AG424">
        <v>0</v>
      </c>
      <c r="AH424">
        <v>0</v>
      </c>
      <c r="AI424">
        <v>0.25891083999999998</v>
      </c>
      <c r="AJ424">
        <v>0</v>
      </c>
      <c r="AK424">
        <v>0</v>
      </c>
      <c r="AL424">
        <v>4.2978060999999999</v>
      </c>
      <c r="AM424">
        <v>0</v>
      </c>
      <c r="AN424">
        <v>0</v>
      </c>
      <c r="AO424">
        <v>0</v>
      </c>
      <c r="AP424">
        <v>8.8832144000000005E-3</v>
      </c>
      <c r="AQ424" s="217">
        <v>1.1699855999999999E-5</v>
      </c>
      <c r="AR424">
        <v>5.5273582000000002E-2</v>
      </c>
      <c r="AS424" s="217">
        <v>1.4502802999999999E-5</v>
      </c>
      <c r="AT424">
        <v>0</v>
      </c>
      <c r="AU424">
        <v>0</v>
      </c>
      <c r="AV424">
        <v>0</v>
      </c>
      <c r="AW424">
        <v>0</v>
      </c>
      <c r="AX424">
        <v>0</v>
      </c>
    </row>
    <row r="425" spans="1:50" x14ac:dyDescent="0.35">
      <c r="A425" t="s">
        <v>1140</v>
      </c>
      <c r="B425" s="249">
        <f t="shared" si="6"/>
        <v>0.25979487472445284</v>
      </c>
      <c r="C425" s="217">
        <v>6.5800282999999998E-7</v>
      </c>
      <c r="D425">
        <v>1.3507063999999999E-2</v>
      </c>
      <c r="E425">
        <v>1.9511284</v>
      </c>
      <c r="F425" s="217">
        <v>3.5371260000000002E-7</v>
      </c>
      <c r="G425">
        <v>1.9769395999999998E-3</v>
      </c>
      <c r="H425">
        <v>1.4802467E-2</v>
      </c>
      <c r="I425">
        <v>3.3307725999999998E-3</v>
      </c>
      <c r="J425">
        <v>0.70287182000000004</v>
      </c>
      <c r="K425">
        <v>9.7962681999999995E-3</v>
      </c>
      <c r="L425">
        <v>33.037767000000002</v>
      </c>
      <c r="M425">
        <v>1.1629780000000001E-3</v>
      </c>
      <c r="N425">
        <v>1.9722531000000001</v>
      </c>
      <c r="O425">
        <v>1.9717602000000001</v>
      </c>
      <c r="P425">
        <v>3.2540561000000002E-4</v>
      </c>
      <c r="Q425">
        <v>1.6747461999999999E-4</v>
      </c>
      <c r="R425" s="217">
        <v>4.4545492000000002E-7</v>
      </c>
      <c r="S425">
        <v>2.066745E-2</v>
      </c>
      <c r="T425" s="217">
        <v>1.5060055E-5</v>
      </c>
      <c r="U425">
        <v>8.9584758000000007E-3</v>
      </c>
      <c r="V425">
        <v>9.8451654E-2</v>
      </c>
      <c r="W425">
        <v>2.7046783000000001E-2</v>
      </c>
      <c r="X425" s="217">
        <v>6.5801125999999997E-7</v>
      </c>
      <c r="Y425">
        <v>28.515664999999998</v>
      </c>
      <c r="Z425">
        <v>0.15372841000000001</v>
      </c>
      <c r="AA425" s="217">
        <v>5.4074747E-7</v>
      </c>
      <c r="AB425">
        <v>0.12290023</v>
      </c>
      <c r="AC425">
        <v>16.120217</v>
      </c>
      <c r="AD425" s="217">
        <v>5.5461321999999998E-10</v>
      </c>
      <c r="AE425" s="217">
        <v>1.4045570999999999E-8</v>
      </c>
      <c r="AF425">
        <v>3.6117032999999998</v>
      </c>
      <c r="AG425">
        <v>0</v>
      </c>
      <c r="AH425">
        <v>0</v>
      </c>
      <c r="AI425">
        <v>0.16519511000000001</v>
      </c>
      <c r="AJ425">
        <v>0</v>
      </c>
      <c r="AK425">
        <v>0</v>
      </c>
      <c r="AL425">
        <v>30.280608999999998</v>
      </c>
      <c r="AM425">
        <v>0</v>
      </c>
      <c r="AN425">
        <v>0</v>
      </c>
      <c r="AO425">
        <v>0</v>
      </c>
      <c r="AP425">
        <v>3.9136702000000002E-3</v>
      </c>
      <c r="AQ425" s="217">
        <v>1.2715972E-5</v>
      </c>
      <c r="AR425">
        <v>3.0390092E-2</v>
      </c>
      <c r="AS425">
        <v>1.9807593E-4</v>
      </c>
      <c r="AT425">
        <v>0</v>
      </c>
      <c r="AU425">
        <v>0</v>
      </c>
      <c r="AV425">
        <v>0</v>
      </c>
      <c r="AW425">
        <v>0</v>
      </c>
      <c r="AX425">
        <v>0</v>
      </c>
    </row>
    <row r="426" spans="1:50" x14ac:dyDescent="0.35">
      <c r="A426" t="s">
        <v>1141</v>
      </c>
      <c r="B426" s="249">
        <f t="shared" si="6"/>
        <v>0.54242885961893617</v>
      </c>
      <c r="C426" s="217">
        <v>1.3738521E-6</v>
      </c>
      <c r="D426">
        <v>2.8201561999999999E-2</v>
      </c>
      <c r="E426">
        <v>4.0737845000000004</v>
      </c>
      <c r="F426" s="217">
        <v>7.3852082000000003E-7</v>
      </c>
      <c r="G426">
        <v>4.1276760999999999E-3</v>
      </c>
      <c r="H426">
        <v>3.090625E-2</v>
      </c>
      <c r="I426">
        <v>6.9543603999999998E-3</v>
      </c>
      <c r="J426">
        <v>1.4675346</v>
      </c>
      <c r="K426">
        <v>2.0453747000000001E-2</v>
      </c>
      <c r="L426">
        <v>68.979952999999995</v>
      </c>
      <c r="M426">
        <v>2.4281958E-3</v>
      </c>
      <c r="N426">
        <v>4.1178910999999996</v>
      </c>
      <c r="O426">
        <v>4.1168620000000002</v>
      </c>
      <c r="P426">
        <v>6.7941829999999999E-4</v>
      </c>
      <c r="Q426">
        <v>3.4967228E-4</v>
      </c>
      <c r="R426" s="217">
        <v>9.3007071999999998E-7</v>
      </c>
      <c r="S426">
        <v>4.315182E-2</v>
      </c>
      <c r="T426" s="217">
        <v>3.1444069999999997E-5</v>
      </c>
      <c r="U426">
        <v>1.8704510000000001E-2</v>
      </c>
      <c r="V426">
        <v>0.2055584</v>
      </c>
      <c r="W426">
        <v>5.6471304999999999E-2</v>
      </c>
      <c r="X426" s="217">
        <v>1.3738697000000001E-6</v>
      </c>
      <c r="Y426">
        <v>59.538201000000001</v>
      </c>
      <c r="Z426">
        <v>0.32097140000000002</v>
      </c>
      <c r="AA426" s="217">
        <v>1.1290332000000001E-6</v>
      </c>
      <c r="AB426">
        <v>0.25660486999999998</v>
      </c>
      <c r="AC426">
        <v>33.657595000000001</v>
      </c>
      <c r="AD426" s="217">
        <v>1.1579836000000001E-9</v>
      </c>
      <c r="AE426" s="217">
        <v>2.9325917000000001E-8</v>
      </c>
      <c r="AF426">
        <v>7.5409189999999997</v>
      </c>
      <c r="AG426">
        <v>0</v>
      </c>
      <c r="AH426">
        <v>0</v>
      </c>
      <c r="AI426">
        <v>0.34491287999999998</v>
      </c>
      <c r="AJ426">
        <v>0</v>
      </c>
      <c r="AK426">
        <v>0</v>
      </c>
      <c r="AL426">
        <v>63.223249000000003</v>
      </c>
      <c r="AM426">
        <v>0</v>
      </c>
      <c r="AN426">
        <v>0</v>
      </c>
      <c r="AO426">
        <v>0</v>
      </c>
      <c r="AP426">
        <v>8.1713992000000003E-3</v>
      </c>
      <c r="AQ426" s="217">
        <v>2.6549830999999999E-5</v>
      </c>
      <c r="AR426">
        <v>6.3451840999999995E-2</v>
      </c>
      <c r="AS426">
        <v>4.1356512000000002E-4</v>
      </c>
      <c r="AT426">
        <v>0</v>
      </c>
      <c r="AU426">
        <v>0</v>
      </c>
      <c r="AV426">
        <v>0</v>
      </c>
      <c r="AW426">
        <v>0</v>
      </c>
      <c r="AX426">
        <v>0</v>
      </c>
    </row>
    <row r="427" spans="1:50" x14ac:dyDescent="0.35">
      <c r="A427" t="s">
        <v>1142</v>
      </c>
      <c r="B427" s="249">
        <f t="shared" si="6"/>
        <v>5.7789298282066799</v>
      </c>
      <c r="C427" s="217">
        <v>1.4636748E-5</v>
      </c>
      <c r="D427">
        <v>0.30045387000000001</v>
      </c>
      <c r="E427">
        <v>43.401294999999998</v>
      </c>
      <c r="F427" s="217">
        <v>7.8680549000000004E-6</v>
      </c>
      <c r="G427">
        <v>4.3975446000000001E-2</v>
      </c>
      <c r="H427">
        <v>0.32926907999999999</v>
      </c>
      <c r="I427">
        <v>7.4090381999999996E-2</v>
      </c>
      <c r="J427">
        <v>15.634823000000001</v>
      </c>
      <c r="K427">
        <v>0.21791018000000001</v>
      </c>
      <c r="L427">
        <v>734.89878999999996</v>
      </c>
      <c r="M427">
        <v>2.5869518000000001E-2</v>
      </c>
      <c r="N427">
        <v>43.871198</v>
      </c>
      <c r="O427">
        <v>43.860233999999998</v>
      </c>
      <c r="P427">
        <v>7.2383884000000003E-3</v>
      </c>
      <c r="Q427">
        <v>3.7253392999999999E-3</v>
      </c>
      <c r="R427" s="217">
        <v>9.9087897000000002E-6</v>
      </c>
      <c r="S427">
        <v>0.45973096000000002</v>
      </c>
      <c r="T427">
        <v>3.3499890999999998E-4</v>
      </c>
      <c r="U427">
        <v>0.19927415000000001</v>
      </c>
      <c r="V427">
        <v>2.1899785999999999</v>
      </c>
      <c r="W427">
        <v>0.60163412000000005</v>
      </c>
      <c r="X427" s="217">
        <v>1.4636936000000001E-5</v>
      </c>
      <c r="Y427">
        <v>634.30822999999998</v>
      </c>
      <c r="Z427">
        <v>3.4195658999999998</v>
      </c>
      <c r="AA427" s="217">
        <v>1.2028495999999999E-5</v>
      </c>
      <c r="AB427">
        <v>2.7338176000000001</v>
      </c>
      <c r="AC427">
        <v>358.58136999999999</v>
      </c>
      <c r="AD427" s="217">
        <v>1.2336929E-8</v>
      </c>
      <c r="AE427" s="217">
        <v>3.1243251999999998E-7</v>
      </c>
      <c r="AF427">
        <v>80.339461</v>
      </c>
      <c r="AG427">
        <v>0</v>
      </c>
      <c r="AH427">
        <v>0</v>
      </c>
      <c r="AI427">
        <v>3.6746335999999999</v>
      </c>
      <c r="AJ427">
        <v>0</v>
      </c>
      <c r="AK427">
        <v>0</v>
      </c>
      <c r="AL427">
        <v>673.56799999999998</v>
      </c>
      <c r="AM427">
        <v>0</v>
      </c>
      <c r="AN427">
        <v>0</v>
      </c>
      <c r="AO427">
        <v>0</v>
      </c>
      <c r="AP427">
        <v>8.7056472999999995E-2</v>
      </c>
      <c r="AQ427">
        <v>2.8285666000000002E-4</v>
      </c>
      <c r="AR427">
        <v>0.67600338000000004</v>
      </c>
      <c r="AS427">
        <v>4.4060410999999999E-3</v>
      </c>
      <c r="AT427">
        <v>0</v>
      </c>
      <c r="AU427">
        <v>0</v>
      </c>
      <c r="AV427">
        <v>0</v>
      </c>
      <c r="AW427">
        <v>0</v>
      </c>
      <c r="AX427">
        <v>0</v>
      </c>
    </row>
    <row r="428" spans="1:50" x14ac:dyDescent="0.35">
      <c r="A428" t="s">
        <v>1143</v>
      </c>
      <c r="B428" s="249">
        <f t="shared" si="6"/>
        <v>1.0499353825846041</v>
      </c>
      <c r="C428" s="217">
        <v>5.9538294000000004E-6</v>
      </c>
      <c r="D428">
        <v>3.6505427999999999E-2</v>
      </c>
      <c r="E428">
        <v>7.8527247999999998</v>
      </c>
      <c r="F428" s="217">
        <v>9.3388972999999998E-7</v>
      </c>
      <c r="G428">
        <v>4.4818452000000002E-2</v>
      </c>
      <c r="H428">
        <v>2.3118156000000001E-2</v>
      </c>
      <c r="I428">
        <v>8.0449031000000004E-3</v>
      </c>
      <c r="J428">
        <v>3.7185261000000001</v>
      </c>
      <c r="K428">
        <v>0.99745870000000003</v>
      </c>
      <c r="L428">
        <v>93.066434999999998</v>
      </c>
      <c r="M428">
        <v>0.38363159000000002</v>
      </c>
      <c r="N428">
        <v>6.5575245000000004</v>
      </c>
      <c r="O428">
        <v>5.4898370999999999</v>
      </c>
      <c r="P428">
        <v>-1.6624336</v>
      </c>
      <c r="Q428">
        <v>2.7301209000000002</v>
      </c>
      <c r="R428" s="217">
        <v>1.1734666E-6</v>
      </c>
      <c r="S428">
        <v>3.0609750000000002E-2</v>
      </c>
      <c r="T428">
        <v>2.2553541E-4</v>
      </c>
      <c r="U428">
        <v>1.6241803999999999E-2</v>
      </c>
      <c r="V428">
        <v>0.10825298999999999</v>
      </c>
      <c r="W428">
        <v>0.11534613000000001</v>
      </c>
      <c r="X428" s="217">
        <v>5.4493239000000004E-6</v>
      </c>
      <c r="Y428">
        <v>76.832604000000003</v>
      </c>
      <c r="Z428">
        <v>0.61816349000000004</v>
      </c>
      <c r="AA428" s="217">
        <v>1.1848081E-7</v>
      </c>
      <c r="AB428">
        <v>0.32279008999999997</v>
      </c>
      <c r="AC428">
        <v>70.886171000000004</v>
      </c>
      <c r="AD428" s="217">
        <v>4.5494356999999998E-9</v>
      </c>
      <c r="AE428" s="217">
        <v>3.8643911000000001E-7</v>
      </c>
      <c r="AF428">
        <v>186.83715000000001</v>
      </c>
      <c r="AG428">
        <v>0</v>
      </c>
      <c r="AH428">
        <v>0</v>
      </c>
      <c r="AI428">
        <v>34.573092000000003</v>
      </c>
      <c r="AJ428">
        <v>0</v>
      </c>
      <c r="AK428">
        <v>0</v>
      </c>
      <c r="AL428">
        <v>91.417173000000005</v>
      </c>
      <c r="AM428">
        <v>0</v>
      </c>
      <c r="AN428">
        <v>0</v>
      </c>
      <c r="AO428">
        <v>0</v>
      </c>
      <c r="AP428">
        <v>1.7692237999999999E-2</v>
      </c>
      <c r="AQ428" s="217">
        <v>3.4709007000000002E-5</v>
      </c>
      <c r="AR428">
        <v>0.26051257</v>
      </c>
      <c r="AS428">
        <v>5.1559339000000002E-4</v>
      </c>
      <c r="AT428">
        <v>0</v>
      </c>
      <c r="AU428">
        <v>0</v>
      </c>
      <c r="AV428">
        <v>0</v>
      </c>
      <c r="AW428">
        <v>0</v>
      </c>
      <c r="AX428">
        <v>0</v>
      </c>
    </row>
    <row r="429" spans="1:50" x14ac:dyDescent="0.35">
      <c r="A429" t="s">
        <v>1144</v>
      </c>
      <c r="B429" s="249">
        <f t="shared" si="6"/>
        <v>0.57462399999999991</v>
      </c>
      <c r="C429">
        <v>0</v>
      </c>
      <c r="D429">
        <v>2.4400000000000002E-2</v>
      </c>
      <c r="E429">
        <v>3.75</v>
      </c>
      <c r="F429">
        <v>0</v>
      </c>
      <c r="G429">
        <v>2.8500000000000001E-3</v>
      </c>
      <c r="H429">
        <v>3.6999999999999998E-2</v>
      </c>
      <c r="I429">
        <v>8.3800000000000003E-3</v>
      </c>
      <c r="J429">
        <v>1.36</v>
      </c>
      <c r="K429">
        <v>0.06</v>
      </c>
      <c r="L429">
        <v>287</v>
      </c>
      <c r="M429">
        <v>0.02</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row>
    <row r="430" spans="1:50" x14ac:dyDescent="0.35">
      <c r="A430" t="s">
        <v>1145</v>
      </c>
      <c r="B430" s="249">
        <f t="shared" si="6"/>
        <v>0.31767179999999995</v>
      </c>
      <c r="C430">
        <v>0</v>
      </c>
      <c r="D430">
        <v>9.3799999999999994E-3</v>
      </c>
      <c r="E430">
        <v>3.29</v>
      </c>
      <c r="F430">
        <v>0</v>
      </c>
      <c r="G430">
        <v>2E-3</v>
      </c>
      <c r="H430">
        <v>1.4200000000000001E-2</v>
      </c>
      <c r="I430">
        <v>3.46E-3</v>
      </c>
      <c r="J430">
        <v>0.56699999999999995</v>
      </c>
      <c r="K430">
        <v>1.3299999999999999E-2</v>
      </c>
      <c r="L430">
        <v>73</v>
      </c>
      <c r="M430">
        <v>1.67E-2</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row>
    <row r="431" spans="1:50" x14ac:dyDescent="0.35">
      <c r="A431" t="s">
        <v>1146</v>
      </c>
      <c r="B431" s="249">
        <f t="shared" si="6"/>
        <v>0.48063879999999998</v>
      </c>
      <c r="C431">
        <v>0</v>
      </c>
      <c r="D431">
        <v>3.3799999999999997E-2</v>
      </c>
      <c r="E431">
        <v>4.8499999999999996</v>
      </c>
      <c r="F431">
        <v>0</v>
      </c>
      <c r="G431">
        <v>1.8500000000000001E-3</v>
      </c>
      <c r="H431">
        <v>2.9000000000000001E-2</v>
      </c>
      <c r="I431">
        <v>7.1599999999999997E-3</v>
      </c>
      <c r="J431">
        <v>0.501</v>
      </c>
      <c r="K431">
        <v>2.6700000000000002E-2</v>
      </c>
      <c r="L431">
        <v>22</v>
      </c>
      <c r="M431">
        <v>8.3300000000000006E-3</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row>
    <row r="432" spans="1:50" x14ac:dyDescent="0.35">
      <c r="A432" t="s">
        <v>1147</v>
      </c>
      <c r="B432" s="249">
        <f t="shared" si="6"/>
        <v>0.46838299999999994</v>
      </c>
      <c r="C432">
        <v>0</v>
      </c>
      <c r="D432">
        <v>3.6900000000000002E-2</v>
      </c>
      <c r="E432">
        <v>3.59</v>
      </c>
      <c r="F432">
        <v>0</v>
      </c>
      <c r="G432">
        <v>1.4499999999999999E-3</v>
      </c>
      <c r="H432">
        <v>1.2699999999999999E-2</v>
      </c>
      <c r="I432">
        <v>2.0200000000000001E-3</v>
      </c>
      <c r="J432">
        <v>2.11</v>
      </c>
      <c r="K432">
        <v>3.6700000000000003E-2</v>
      </c>
      <c r="L432">
        <v>172</v>
      </c>
      <c r="M432">
        <v>4.8300000000000003E-2</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row>
    <row r="433" spans="1:50" x14ac:dyDescent="0.35">
      <c r="A433" t="s">
        <v>1148</v>
      </c>
      <c r="B433" s="249">
        <f t="shared" si="6"/>
        <v>0.68089000000000011</v>
      </c>
      <c r="C433">
        <v>0</v>
      </c>
      <c r="D433">
        <v>2.3800000000000002E-2</v>
      </c>
      <c r="E433">
        <v>3.83</v>
      </c>
      <c r="F433">
        <v>0</v>
      </c>
      <c r="G433">
        <v>2.8500000000000001E-3</v>
      </c>
      <c r="H433">
        <v>3.9899999999999998E-2</v>
      </c>
      <c r="I433">
        <v>9.2099999999999994E-3</v>
      </c>
      <c r="J433">
        <v>1.75</v>
      </c>
      <c r="K433">
        <v>0.13300000000000001</v>
      </c>
      <c r="L433">
        <v>737</v>
      </c>
      <c r="M433">
        <v>3.6700000000000003E-2</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row>
    <row r="434" spans="1:50" x14ac:dyDescent="0.35">
      <c r="A434" t="s">
        <v>1149</v>
      </c>
      <c r="B434" s="249">
        <f t="shared" si="6"/>
        <v>0.24726119999999999</v>
      </c>
      <c r="C434">
        <v>0</v>
      </c>
      <c r="D434">
        <v>0.03</v>
      </c>
      <c r="E434">
        <v>3.99</v>
      </c>
      <c r="F434">
        <v>0</v>
      </c>
      <c r="G434">
        <v>1.5E-3</v>
      </c>
      <c r="H434">
        <v>3.7299999999999998E-3</v>
      </c>
      <c r="I434">
        <v>8.8900000000000003E-4</v>
      </c>
      <c r="J434">
        <v>0.14599999999999999</v>
      </c>
      <c r="K434">
        <v>0.01</v>
      </c>
      <c r="L434">
        <v>32</v>
      </c>
      <c r="M434">
        <v>6.6699999999999997E-3</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row>
    <row r="435" spans="1:50" x14ac:dyDescent="0.35">
      <c r="A435" t="s">
        <v>1150</v>
      </c>
      <c r="B435" s="249">
        <f t="shared" si="6"/>
        <v>0.37472080000000002</v>
      </c>
      <c r="C435">
        <v>0</v>
      </c>
      <c r="D435">
        <v>5.6299999999999996E-3</v>
      </c>
      <c r="E435">
        <v>0.98</v>
      </c>
      <c r="F435">
        <v>0</v>
      </c>
      <c r="G435">
        <v>1.9E-3</v>
      </c>
      <c r="H435">
        <v>3.3000000000000002E-2</v>
      </c>
      <c r="I435">
        <v>8.6700000000000006E-3</v>
      </c>
      <c r="J435">
        <v>0.73299999999999998</v>
      </c>
      <c r="K435">
        <v>0.3</v>
      </c>
      <c r="L435">
        <v>281</v>
      </c>
      <c r="M435">
        <v>0.13200000000000001</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row>
    <row r="436" spans="1:50" x14ac:dyDescent="0.35">
      <c r="A436" t="s">
        <v>1151</v>
      </c>
      <c r="B436" s="249">
        <f t="shared" si="6"/>
        <v>1.1653146958258519E-2</v>
      </c>
      <c r="C436" s="217">
        <v>2.0089947E-8</v>
      </c>
      <c r="D436">
        <v>5.1832799999999997E-4</v>
      </c>
      <c r="E436">
        <v>6.2014609999999998E-2</v>
      </c>
      <c r="F436" s="217">
        <v>6.4498908999999998E-9</v>
      </c>
      <c r="G436">
        <v>3.7799505E-3</v>
      </c>
      <c r="H436" s="217">
        <v>7.6587726000000003E-5</v>
      </c>
      <c r="I436" s="217">
        <v>1.4768189E-5</v>
      </c>
      <c r="J436">
        <v>4.7541481999999998E-3</v>
      </c>
      <c r="K436" s="217">
        <v>7.9517398E-5</v>
      </c>
      <c r="L436">
        <v>0.33520345000000001</v>
      </c>
      <c r="M436">
        <v>1.0570762E-4</v>
      </c>
      <c r="N436">
        <v>8.9640584999999995E-2</v>
      </c>
      <c r="O436">
        <v>8.9283476000000001E-2</v>
      </c>
      <c r="P436">
        <v>3.4803284000000002E-4</v>
      </c>
      <c r="Q436" s="217">
        <v>9.0761192999999995E-6</v>
      </c>
      <c r="R436" s="217">
        <v>7.1485127000000002E-9</v>
      </c>
      <c r="S436">
        <v>1.0409279999999999E-4</v>
      </c>
      <c r="T436" s="217">
        <v>1.5254662E-6</v>
      </c>
      <c r="U436" s="217">
        <v>2.0202156000000001E-5</v>
      </c>
      <c r="V436">
        <v>3.2582979000000001E-4</v>
      </c>
      <c r="W436">
        <v>2.9419526000000001E-3</v>
      </c>
      <c r="X436" s="217">
        <v>2.0090547999999999E-8</v>
      </c>
      <c r="Y436">
        <v>0.95822890999999999</v>
      </c>
      <c r="Z436">
        <v>1.3358036E-2</v>
      </c>
      <c r="AA436" s="217">
        <v>4.3298273999999999E-10</v>
      </c>
      <c r="AB436">
        <v>9.5791593000000002E-4</v>
      </c>
      <c r="AC436">
        <v>0.28139707000000003</v>
      </c>
      <c r="AD436" s="217">
        <v>2.9951816000000001E-9</v>
      </c>
      <c r="AE436" s="217">
        <v>5.9841369E-10</v>
      </c>
      <c r="AF436">
        <v>7.5694884000000004E-2</v>
      </c>
      <c r="AG436">
        <v>0</v>
      </c>
      <c r="AH436">
        <v>0</v>
      </c>
      <c r="AI436">
        <v>3.0628913000000001E-2</v>
      </c>
      <c r="AJ436">
        <v>0</v>
      </c>
      <c r="AK436">
        <v>0</v>
      </c>
      <c r="AL436">
        <v>1.0524742</v>
      </c>
      <c r="AM436">
        <v>0</v>
      </c>
      <c r="AN436">
        <v>0</v>
      </c>
      <c r="AO436">
        <v>0</v>
      </c>
      <c r="AP436">
        <v>4.7210178000000003E-4</v>
      </c>
      <c r="AQ436" s="217">
        <v>1.6246622999999999E-6</v>
      </c>
      <c r="AR436">
        <v>9.769737599999999E-4</v>
      </c>
      <c r="AS436" s="217">
        <v>1.1271679E-6</v>
      </c>
      <c r="AT436">
        <v>0</v>
      </c>
      <c r="AU436">
        <v>0</v>
      </c>
      <c r="AV436">
        <v>0</v>
      </c>
      <c r="AW436">
        <v>0</v>
      </c>
      <c r="AX436">
        <v>0</v>
      </c>
    </row>
    <row r="437" spans="1:50" x14ac:dyDescent="0.35">
      <c r="A437" s="197" t="s">
        <v>64</v>
      </c>
      <c r="B437" s="249">
        <f t="shared" si="6"/>
        <v>0</v>
      </c>
      <c r="C437" s="217"/>
      <c r="F437" s="217"/>
      <c r="H437" s="217"/>
      <c r="I437" s="217"/>
      <c r="K437" s="217"/>
      <c r="Q437" s="217"/>
      <c r="R437" s="217"/>
      <c r="T437" s="217"/>
      <c r="U437" s="217"/>
      <c r="X437" s="217"/>
      <c r="AA437" s="217"/>
      <c r="AD437" s="217"/>
      <c r="AE437" s="217"/>
      <c r="AQ437" s="217"/>
      <c r="AS437" s="217"/>
    </row>
    <row r="438" spans="1:50" x14ac:dyDescent="0.35">
      <c r="A438" t="s">
        <v>1152</v>
      </c>
      <c r="B438" s="249">
        <f t="shared" si="6"/>
        <v>1.5561063555256001E-2</v>
      </c>
      <c r="C438" s="217">
        <v>3.7174134999999999E-7</v>
      </c>
      <c r="D438">
        <v>9.7725799999999995E-4</v>
      </c>
      <c r="E438">
        <v>0.13058052000000001</v>
      </c>
      <c r="F438" s="217">
        <v>2.4384288000000001E-8</v>
      </c>
      <c r="G438" s="217">
        <v>7.7468161000000005E-5</v>
      </c>
      <c r="H438">
        <v>5.6573443000000005E-4</v>
      </c>
      <c r="I438">
        <v>1.140981E-4</v>
      </c>
      <c r="J438">
        <v>5.3532431999999998E-2</v>
      </c>
      <c r="K438">
        <v>1.5552369000000001E-3</v>
      </c>
      <c r="L438">
        <v>5.5447635999999996</v>
      </c>
      <c r="M438">
        <v>1.8459965E-4</v>
      </c>
      <c r="N438">
        <v>0.13176552</v>
      </c>
      <c r="O438">
        <v>0.13168814000000001</v>
      </c>
      <c r="P438" s="217">
        <v>3.8225159000000002E-5</v>
      </c>
      <c r="Q438" s="217">
        <v>3.9149544999999998E-5</v>
      </c>
      <c r="R438" s="217">
        <v>3.063034E-8</v>
      </c>
      <c r="S438">
        <v>7.5279546999999997E-4</v>
      </c>
      <c r="T438" s="217">
        <v>1.9771501000000001E-6</v>
      </c>
      <c r="U438">
        <v>2.6407588999999998E-4</v>
      </c>
      <c r="V438">
        <v>2.9234498000000001E-3</v>
      </c>
      <c r="W438">
        <v>8.3115566000000005E-4</v>
      </c>
      <c r="X438" s="217">
        <v>3.7173985999999999E-7</v>
      </c>
      <c r="Y438">
        <v>2.0422796000000001</v>
      </c>
      <c r="Z438">
        <v>1.4530296E-2</v>
      </c>
      <c r="AA438" s="217">
        <v>1.1921932999999999E-8</v>
      </c>
      <c r="AB438">
        <v>8.6820817000000002E-3</v>
      </c>
      <c r="AC438">
        <v>1.4655087</v>
      </c>
      <c r="AD438" s="217">
        <v>5.5562106000000001E-11</v>
      </c>
      <c r="AE438" s="217">
        <v>1.8648070000000002E-9</v>
      </c>
      <c r="AF438">
        <v>1.7012579000000001</v>
      </c>
      <c r="AG438">
        <v>0</v>
      </c>
      <c r="AH438">
        <v>0</v>
      </c>
      <c r="AI438">
        <v>2.1371523E-2</v>
      </c>
      <c r="AJ438">
        <v>0</v>
      </c>
      <c r="AK438">
        <v>0</v>
      </c>
      <c r="AL438">
        <v>2.1685805</v>
      </c>
      <c r="AM438">
        <v>0</v>
      </c>
      <c r="AN438">
        <v>0</v>
      </c>
      <c r="AO438">
        <v>0</v>
      </c>
      <c r="AP438">
        <v>3.8514073999999999E-4</v>
      </c>
      <c r="AQ438" s="217">
        <v>1.2970777E-6</v>
      </c>
      <c r="AR438">
        <v>0.12420676</v>
      </c>
      <c r="AS438" s="217">
        <v>1.3730026E-5</v>
      </c>
      <c r="AT438">
        <v>0</v>
      </c>
      <c r="AU438">
        <v>0</v>
      </c>
      <c r="AV438">
        <v>0</v>
      </c>
      <c r="AW438">
        <v>0</v>
      </c>
      <c r="AX438">
        <v>0</v>
      </c>
    </row>
    <row r="439" spans="1:50" x14ac:dyDescent="0.35">
      <c r="A439" t="s">
        <v>1153</v>
      </c>
      <c r="B439" s="249">
        <f t="shared" si="6"/>
        <v>6.2704750545043205E-3</v>
      </c>
      <c r="C439" s="217">
        <v>7.9017776999999998E-8</v>
      </c>
      <c r="D439">
        <v>3.2567004000000002E-4</v>
      </c>
      <c r="E439">
        <v>4.7135199000000003E-2</v>
      </c>
      <c r="F439" s="217">
        <v>5.9275120000000002E-9</v>
      </c>
      <c r="G439" s="217">
        <v>3.2877879999999998E-5</v>
      </c>
      <c r="H439">
        <v>3.2158430000000002E-4</v>
      </c>
      <c r="I439" s="217">
        <v>6.3040276999999997E-5</v>
      </c>
      <c r="J439">
        <v>2.0145440000000001E-2</v>
      </c>
      <c r="K439">
        <v>2.8919162999999998E-4</v>
      </c>
      <c r="L439">
        <v>1.1377691000000001</v>
      </c>
      <c r="M439">
        <v>1.069953E-4</v>
      </c>
      <c r="N439">
        <v>4.8065455E-2</v>
      </c>
      <c r="O439">
        <v>4.7777840000000002E-2</v>
      </c>
      <c r="P439">
        <v>2.3391349E-4</v>
      </c>
      <c r="Q439" s="217">
        <v>5.3700871E-5</v>
      </c>
      <c r="R439" s="217">
        <v>6.6404195E-9</v>
      </c>
      <c r="S439">
        <v>4.3286091000000002E-4</v>
      </c>
      <c r="T439" s="217">
        <v>3.0179185000000001E-6</v>
      </c>
      <c r="U439">
        <v>1.4051156E-4</v>
      </c>
      <c r="V439">
        <v>1.6551815999999999E-3</v>
      </c>
      <c r="W439">
        <v>4.2216096E-4</v>
      </c>
      <c r="X439" s="217">
        <v>7.9017765999999998E-8</v>
      </c>
      <c r="Y439">
        <v>0.71799928999999996</v>
      </c>
      <c r="Z439">
        <v>9.4184995999999997E-3</v>
      </c>
      <c r="AA439" s="217">
        <v>3.6427537E-9</v>
      </c>
      <c r="AB439">
        <v>4.0060842999999997E-3</v>
      </c>
      <c r="AC439">
        <v>0.67237137000000002</v>
      </c>
      <c r="AD439" s="217">
        <v>4.4666761999999998E-11</v>
      </c>
      <c r="AE439" s="217">
        <v>8.0074018999999999E-10</v>
      </c>
      <c r="AF439">
        <v>0.46196996000000001</v>
      </c>
      <c r="AG439">
        <v>0</v>
      </c>
      <c r="AH439">
        <v>0</v>
      </c>
      <c r="AI439">
        <v>5.7990519999999997E-2</v>
      </c>
      <c r="AJ439">
        <v>0</v>
      </c>
      <c r="AK439">
        <v>0</v>
      </c>
      <c r="AL439">
        <v>0.75844193999999998</v>
      </c>
      <c r="AM439">
        <v>0</v>
      </c>
      <c r="AN439">
        <v>0</v>
      </c>
      <c r="AO439">
        <v>0</v>
      </c>
      <c r="AP439">
        <v>3.6683864999999998E-4</v>
      </c>
      <c r="AQ439" s="217">
        <v>9.7603480999999991E-7</v>
      </c>
      <c r="AR439">
        <v>8.5745466999999995E-3</v>
      </c>
      <c r="AS439" s="217">
        <v>4.4764591999999996E-6</v>
      </c>
      <c r="AT439">
        <v>0</v>
      </c>
      <c r="AU439">
        <v>0</v>
      </c>
      <c r="AV439">
        <v>0</v>
      </c>
      <c r="AW439">
        <v>0</v>
      </c>
      <c r="AX439">
        <v>0</v>
      </c>
    </row>
    <row r="440" spans="1:50" x14ac:dyDescent="0.35">
      <c r="A440" t="s">
        <v>1154</v>
      </c>
      <c r="B440" s="249">
        <f t="shared" si="6"/>
        <v>5.5791669478233606E-3</v>
      </c>
      <c r="C440" s="217">
        <v>2.6206721000000001E-8</v>
      </c>
      <c r="D440">
        <v>2.9952226999999999E-4</v>
      </c>
      <c r="E440">
        <v>4.6697679999999998E-2</v>
      </c>
      <c r="F440" s="217">
        <v>7.0916356000000004E-9</v>
      </c>
      <c r="G440" s="217">
        <v>2.7675744E-5</v>
      </c>
      <c r="H440">
        <v>3.4252567999999998E-4</v>
      </c>
      <c r="I440" s="217">
        <v>7.6532703999999998E-5</v>
      </c>
      <c r="J440">
        <v>1.0965307000000001E-2</v>
      </c>
      <c r="K440">
        <v>2.77154E-4</v>
      </c>
      <c r="L440">
        <v>0.83454793000000005</v>
      </c>
      <c r="M440" s="217">
        <v>5.4114258000000003E-5</v>
      </c>
      <c r="N440">
        <v>4.7311025E-2</v>
      </c>
      <c r="O440">
        <v>4.7108591999999998E-2</v>
      </c>
      <c r="P440">
        <v>1.1748276E-4</v>
      </c>
      <c r="Q440" s="217">
        <v>8.4950259999999996E-5</v>
      </c>
      <c r="R440" s="217">
        <v>8.7929641999999999E-9</v>
      </c>
      <c r="S440">
        <v>4.7676670000000002E-4</v>
      </c>
      <c r="T440" s="217">
        <v>8.8066832999999999E-7</v>
      </c>
      <c r="U440">
        <v>2.0032857E-4</v>
      </c>
      <c r="V440">
        <v>2.2207116E-3</v>
      </c>
      <c r="W440">
        <v>5.6850184000000002E-4</v>
      </c>
      <c r="X440" s="217">
        <v>2.6193653999999998E-8</v>
      </c>
      <c r="Y440">
        <v>0.62631042999999997</v>
      </c>
      <c r="Z440">
        <v>5.7630972000000001E-3</v>
      </c>
      <c r="AA440" s="217">
        <v>1.0616911E-9</v>
      </c>
      <c r="AB440">
        <v>2.7917082E-3</v>
      </c>
      <c r="AC440">
        <v>0.46426824</v>
      </c>
      <c r="AD440" s="217">
        <v>2.0887098E-11</v>
      </c>
      <c r="AE440" s="217">
        <v>3.4290706999999998E-10</v>
      </c>
      <c r="AF440">
        <v>0.43929434000000001</v>
      </c>
      <c r="AG440">
        <v>0</v>
      </c>
      <c r="AH440">
        <v>0</v>
      </c>
      <c r="AI440">
        <v>1.3939073999999999E-2</v>
      </c>
      <c r="AJ440">
        <v>0</v>
      </c>
      <c r="AK440">
        <v>0</v>
      </c>
      <c r="AL440">
        <v>0.66460854999999996</v>
      </c>
      <c r="AM440">
        <v>0</v>
      </c>
      <c r="AN440">
        <v>0</v>
      </c>
      <c r="AO440">
        <v>0</v>
      </c>
      <c r="AP440">
        <v>1.8130843E-4</v>
      </c>
      <c r="AQ440" s="217">
        <v>4.8297956999999998E-7</v>
      </c>
      <c r="AR440">
        <v>1.8027975E-3</v>
      </c>
      <c r="AS440" s="217">
        <v>4.1367382000000002E-6</v>
      </c>
      <c r="AT440">
        <v>0</v>
      </c>
      <c r="AU440">
        <v>0</v>
      </c>
      <c r="AV440">
        <v>0</v>
      </c>
      <c r="AW440">
        <v>0</v>
      </c>
      <c r="AX440">
        <v>0</v>
      </c>
    </row>
    <row r="441" spans="1:50" x14ac:dyDescent="0.35">
      <c r="A441" t="s">
        <v>1155</v>
      </c>
      <c r="B441" s="249">
        <f t="shared" si="6"/>
        <v>2.2603289539332239E-3</v>
      </c>
      <c r="C441" s="217">
        <v>2.5095139E-9</v>
      </c>
      <c r="D441" s="217">
        <v>7.7990184E-5</v>
      </c>
      <c r="E441">
        <v>1.127906E-2</v>
      </c>
      <c r="F441" s="217">
        <v>1.8000357E-9</v>
      </c>
      <c r="G441" s="217">
        <v>1.2281933E-5</v>
      </c>
      <c r="H441">
        <v>2.3698736E-4</v>
      </c>
      <c r="I441" s="217">
        <v>2.1345757000000001E-5</v>
      </c>
      <c r="J441">
        <v>5.2379567999999996E-3</v>
      </c>
      <c r="K441" s="217">
        <v>9.1719151999999996E-5</v>
      </c>
      <c r="L441">
        <v>0.44062722999999998</v>
      </c>
      <c r="M441" s="217">
        <v>1.6459889000000001E-5</v>
      </c>
      <c r="N441">
        <v>1.1403730000000001E-2</v>
      </c>
      <c r="O441">
        <v>1.1386220000000001E-2</v>
      </c>
      <c r="P441" s="217">
        <v>1.1488604E-5</v>
      </c>
      <c r="Q441" s="217">
        <v>6.0212601E-6</v>
      </c>
      <c r="R441" s="217">
        <v>2.2332724E-9</v>
      </c>
      <c r="S441">
        <v>2.8869736E-4</v>
      </c>
      <c r="T441" s="217">
        <v>1.9104787999999999E-7</v>
      </c>
      <c r="U441" s="217">
        <v>5.6576300999999998E-5</v>
      </c>
      <c r="V441">
        <v>6.3711531000000001E-4</v>
      </c>
      <c r="W441">
        <v>1.6776287E-4</v>
      </c>
      <c r="X441" s="217">
        <v>2.5092142E-9</v>
      </c>
      <c r="Y441">
        <v>0.16267055</v>
      </c>
      <c r="Z441">
        <v>1.0560756000000001E-3</v>
      </c>
      <c r="AA441" s="217">
        <v>3.4315990999999999E-10</v>
      </c>
      <c r="AB441">
        <v>7.3134318999999997E-4</v>
      </c>
      <c r="AC441">
        <v>0.10962263999999999</v>
      </c>
      <c r="AD441" s="217">
        <v>3.6460766000000002E-12</v>
      </c>
      <c r="AE441" s="217">
        <v>8.1840583000000006E-11</v>
      </c>
      <c r="AF441">
        <v>2.5387724E-2</v>
      </c>
      <c r="AG441">
        <v>0</v>
      </c>
      <c r="AH441">
        <v>0</v>
      </c>
      <c r="AI441">
        <v>3.7321432999999999E-3</v>
      </c>
      <c r="AJ441">
        <v>0</v>
      </c>
      <c r="AK441">
        <v>0</v>
      </c>
      <c r="AL441">
        <v>0.17262786999999999</v>
      </c>
      <c r="AM441">
        <v>0</v>
      </c>
      <c r="AN441">
        <v>0</v>
      </c>
      <c r="AO441">
        <v>0</v>
      </c>
      <c r="AP441" s="217">
        <v>3.3308900000000002E-5</v>
      </c>
      <c r="AQ441" s="217">
        <v>9.5968610999999996E-8</v>
      </c>
      <c r="AR441">
        <v>2.5571961000000001E-4</v>
      </c>
      <c r="AS441" s="217">
        <v>1.0616999E-6</v>
      </c>
      <c r="AT441">
        <v>0</v>
      </c>
      <c r="AU441">
        <v>0</v>
      </c>
      <c r="AV441">
        <v>0</v>
      </c>
      <c r="AW441">
        <v>0</v>
      </c>
      <c r="AX441">
        <v>0</v>
      </c>
    </row>
    <row r="442" spans="1:50" x14ac:dyDescent="0.35">
      <c r="A442" t="s">
        <v>1156</v>
      </c>
      <c r="B442" s="249">
        <f t="shared" si="6"/>
        <v>1.0881934921351999E-2</v>
      </c>
      <c r="C442" s="217">
        <v>1.6826795000000001E-7</v>
      </c>
      <c r="D442">
        <v>6.8374319E-4</v>
      </c>
      <c r="E442">
        <v>8.9084038000000004E-2</v>
      </c>
      <c r="F442" s="217">
        <v>1.7241375999999999E-8</v>
      </c>
      <c r="G442" s="217">
        <v>5.5759822000000001E-5</v>
      </c>
      <c r="H442">
        <v>3.4963798000000001E-4</v>
      </c>
      <c r="I442" s="217">
        <v>6.8541188000000001E-5</v>
      </c>
      <c r="J442">
        <v>4.1268489999999998E-2</v>
      </c>
      <c r="K442">
        <v>1.1083848000000001E-3</v>
      </c>
      <c r="L442">
        <v>4.3578947000000001</v>
      </c>
      <c r="M442">
        <v>1.2737628E-4</v>
      </c>
      <c r="N442">
        <v>8.9886858E-2</v>
      </c>
      <c r="O442">
        <v>8.9819353000000005E-2</v>
      </c>
      <c r="P442" s="217">
        <v>4.4743539000000003E-5</v>
      </c>
      <c r="Q442" s="217">
        <v>2.2761055000000002E-5</v>
      </c>
      <c r="R442" s="217">
        <v>2.1652003999999999E-8</v>
      </c>
      <c r="S442">
        <v>4.6051271999999999E-4</v>
      </c>
      <c r="T442" s="217">
        <v>1.1772104999999999E-6</v>
      </c>
      <c r="U442">
        <v>1.5272338999999999E-4</v>
      </c>
      <c r="V442">
        <v>1.6971154E-3</v>
      </c>
      <c r="W442">
        <v>5.0321790000000001E-4</v>
      </c>
      <c r="X442" s="217">
        <v>1.6826751E-7</v>
      </c>
      <c r="Y442">
        <v>1.4352185</v>
      </c>
      <c r="Z442">
        <v>1.0648240999999999E-2</v>
      </c>
      <c r="AA442" s="217">
        <v>8.3290903000000003E-9</v>
      </c>
      <c r="AB442">
        <v>6.1917068000000002E-3</v>
      </c>
      <c r="AC442">
        <v>1.0002589</v>
      </c>
      <c r="AD442" s="217">
        <v>2.6150742E-11</v>
      </c>
      <c r="AE442" s="217">
        <v>1.2374308E-9</v>
      </c>
      <c r="AF442">
        <v>1.6009898</v>
      </c>
      <c r="AG442">
        <v>0</v>
      </c>
      <c r="AH442">
        <v>0</v>
      </c>
      <c r="AI442">
        <v>1.5202686999999999E-2</v>
      </c>
      <c r="AJ442">
        <v>0</v>
      </c>
      <c r="AK442">
        <v>0</v>
      </c>
      <c r="AL442">
        <v>1.5238095</v>
      </c>
      <c r="AM442">
        <v>0</v>
      </c>
      <c r="AN442">
        <v>0</v>
      </c>
      <c r="AO442">
        <v>0</v>
      </c>
      <c r="AP442">
        <v>2.8600617999999998E-4</v>
      </c>
      <c r="AQ442" s="217">
        <v>8.3171559000000003E-7</v>
      </c>
      <c r="AR442">
        <v>0.12210636</v>
      </c>
      <c r="AS442" s="217">
        <v>9.7538686000000004E-6</v>
      </c>
      <c r="AT442">
        <v>0</v>
      </c>
      <c r="AU442">
        <v>0</v>
      </c>
      <c r="AV442">
        <v>0</v>
      </c>
      <c r="AW442">
        <v>0</v>
      </c>
      <c r="AX442">
        <v>0</v>
      </c>
    </row>
    <row r="443" spans="1:50" x14ac:dyDescent="0.35">
      <c r="A443" t="s">
        <v>1156</v>
      </c>
      <c r="B443" s="249">
        <f t="shared" si="6"/>
        <v>1.0881934921351999E-2</v>
      </c>
      <c r="C443" s="217">
        <v>1.6826795000000001E-7</v>
      </c>
      <c r="D443">
        <v>6.8374319E-4</v>
      </c>
      <c r="E443">
        <v>8.9084038000000004E-2</v>
      </c>
      <c r="F443" s="217">
        <v>1.7241375999999999E-8</v>
      </c>
      <c r="G443" s="217">
        <v>5.5759822000000001E-5</v>
      </c>
      <c r="H443">
        <v>3.4963798000000001E-4</v>
      </c>
      <c r="I443" s="217">
        <v>6.8541188000000001E-5</v>
      </c>
      <c r="J443">
        <v>4.1268489999999998E-2</v>
      </c>
      <c r="K443">
        <v>1.1083848000000001E-3</v>
      </c>
      <c r="L443">
        <v>4.3578947000000001</v>
      </c>
      <c r="M443">
        <v>1.2737628E-4</v>
      </c>
      <c r="N443">
        <v>8.9886858E-2</v>
      </c>
      <c r="O443">
        <v>8.9819353000000005E-2</v>
      </c>
      <c r="P443" s="217">
        <v>4.4743539000000003E-5</v>
      </c>
      <c r="Q443" s="217">
        <v>2.2761055000000002E-5</v>
      </c>
      <c r="R443" s="217">
        <v>2.1652003999999999E-8</v>
      </c>
      <c r="S443">
        <v>4.6051271999999999E-4</v>
      </c>
      <c r="T443" s="217">
        <v>1.1772104999999999E-6</v>
      </c>
      <c r="U443">
        <v>1.5272338999999999E-4</v>
      </c>
      <c r="V443">
        <v>1.6971154E-3</v>
      </c>
      <c r="W443">
        <v>5.0321790000000001E-4</v>
      </c>
      <c r="X443" s="217">
        <v>1.6826751E-7</v>
      </c>
      <c r="Y443">
        <v>1.4352185</v>
      </c>
      <c r="Z443">
        <v>1.0648240999999999E-2</v>
      </c>
      <c r="AA443" s="217">
        <v>8.3290903000000003E-9</v>
      </c>
      <c r="AB443">
        <v>6.1917068000000002E-3</v>
      </c>
      <c r="AC443">
        <v>1.0002589</v>
      </c>
      <c r="AD443" s="217">
        <v>2.6150742E-11</v>
      </c>
      <c r="AE443" s="217">
        <v>1.2374308E-9</v>
      </c>
      <c r="AF443">
        <v>1.6009898</v>
      </c>
      <c r="AG443">
        <v>0</v>
      </c>
      <c r="AH443">
        <v>0</v>
      </c>
      <c r="AI443">
        <v>1.5202686999999999E-2</v>
      </c>
      <c r="AJ443">
        <v>0</v>
      </c>
      <c r="AK443">
        <v>0</v>
      </c>
      <c r="AL443">
        <v>1.5238095</v>
      </c>
      <c r="AM443">
        <v>0</v>
      </c>
      <c r="AN443">
        <v>0</v>
      </c>
      <c r="AO443">
        <v>0</v>
      </c>
      <c r="AP443">
        <v>2.8600617999999998E-4</v>
      </c>
      <c r="AQ443" s="217">
        <v>8.3171559000000003E-7</v>
      </c>
      <c r="AR443">
        <v>0.12210636</v>
      </c>
      <c r="AS443" s="217">
        <v>9.7538686000000004E-6</v>
      </c>
      <c r="AT443">
        <v>0</v>
      </c>
      <c r="AU443">
        <v>0</v>
      </c>
      <c r="AV443">
        <v>0</v>
      </c>
      <c r="AW443">
        <v>0</v>
      </c>
      <c r="AX443">
        <v>0</v>
      </c>
    </row>
    <row r="444" spans="1:50" x14ac:dyDescent="0.35">
      <c r="A444" t="s">
        <v>1157</v>
      </c>
      <c r="B444" s="249">
        <f t="shared" si="6"/>
        <v>9.570531843654799E-3</v>
      </c>
      <c r="C444" s="217">
        <v>1.6372377999999999E-7</v>
      </c>
      <c r="D444">
        <v>6.4556387000000003E-4</v>
      </c>
      <c r="E444">
        <v>8.5300170999999994E-2</v>
      </c>
      <c r="F444" s="217">
        <v>1.6958515000000001E-8</v>
      </c>
      <c r="G444" s="217">
        <v>5.3835397000000001E-5</v>
      </c>
      <c r="H444">
        <v>3.1109786000000001E-4</v>
      </c>
      <c r="I444" s="217">
        <v>6.3360997000000004E-5</v>
      </c>
      <c r="J444">
        <v>3.0039867000000001E-2</v>
      </c>
      <c r="K444">
        <v>1.9372401E-3</v>
      </c>
      <c r="L444">
        <v>5.0699978000000003</v>
      </c>
      <c r="M444">
        <v>1.7803172000000001E-4</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2.306414E-2</v>
      </c>
      <c r="AJ444">
        <v>0</v>
      </c>
      <c r="AK444">
        <v>0</v>
      </c>
      <c r="AL444">
        <v>1.4747178000000001</v>
      </c>
      <c r="AM444">
        <v>0</v>
      </c>
      <c r="AN444">
        <v>0</v>
      </c>
      <c r="AO444">
        <v>0</v>
      </c>
      <c r="AP444">
        <v>2.9937888E-4</v>
      </c>
      <c r="AQ444" s="217">
        <v>1.0447165999999999E-5</v>
      </c>
      <c r="AR444">
        <v>0.12177706000000001</v>
      </c>
      <c r="AS444">
        <v>0</v>
      </c>
      <c r="AT444">
        <v>0</v>
      </c>
      <c r="AU444">
        <v>0</v>
      </c>
      <c r="AV444">
        <v>0</v>
      </c>
      <c r="AW444">
        <v>0</v>
      </c>
      <c r="AX444">
        <v>0</v>
      </c>
    </row>
    <row r="445" spans="1:50" x14ac:dyDescent="0.35">
      <c r="A445" t="s">
        <v>1158</v>
      </c>
      <c r="B445" s="249">
        <f t="shared" si="6"/>
        <v>8.6972224437760013E-3</v>
      </c>
      <c r="C445" s="217">
        <v>2.0580955E-7</v>
      </c>
      <c r="D445">
        <v>2.8864768E-4</v>
      </c>
      <c r="E445">
        <v>3.8487441999999997E-2</v>
      </c>
      <c r="F445" s="217">
        <v>6.0631816000000002E-9</v>
      </c>
      <c r="G445" s="217">
        <v>5.2732806999999997E-5</v>
      </c>
      <c r="H445">
        <v>3.7579273000000002E-4</v>
      </c>
      <c r="I445">
        <v>1.4614608E-4</v>
      </c>
      <c r="J445">
        <v>2.8326627E-2</v>
      </c>
      <c r="K445">
        <v>1.4741120999999999E-2</v>
      </c>
      <c r="L445">
        <v>4.6234080000000004</v>
      </c>
      <c r="M445">
        <v>5.8088295999999999E-3</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0.19651880999999999</v>
      </c>
      <c r="AJ445">
        <v>0</v>
      </c>
      <c r="AK445">
        <v>0</v>
      </c>
      <c r="AL445">
        <v>0.65246647000000002</v>
      </c>
      <c r="AM445">
        <v>0</v>
      </c>
      <c r="AN445">
        <v>0</v>
      </c>
      <c r="AO445">
        <v>0</v>
      </c>
      <c r="AP445">
        <v>1.6025995999999999E-3</v>
      </c>
      <c r="AQ445" s="217">
        <v>4.3346448999999998E-6</v>
      </c>
      <c r="AR445">
        <v>0.11849893</v>
      </c>
      <c r="AS445">
        <v>0</v>
      </c>
      <c r="AT445">
        <v>0</v>
      </c>
      <c r="AU445">
        <v>0</v>
      </c>
      <c r="AV445">
        <v>0</v>
      </c>
      <c r="AW445">
        <v>0</v>
      </c>
      <c r="AX445">
        <v>0</v>
      </c>
    </row>
    <row r="446" spans="1:50" x14ac:dyDescent="0.35">
      <c r="A446" t="s">
        <v>1159</v>
      </c>
      <c r="B446" s="249">
        <f t="shared" si="6"/>
        <v>9.9376218954485979E-3</v>
      </c>
      <c r="C446" s="217">
        <v>2.6295830999999998E-7</v>
      </c>
      <c r="D446">
        <v>8.7118497000000003E-4</v>
      </c>
      <c r="E446">
        <v>9.8751410999999997E-2</v>
      </c>
      <c r="F446" s="217">
        <v>4.6151373000000002E-9</v>
      </c>
      <c r="G446" s="217">
        <v>4.8039842000000002E-5</v>
      </c>
      <c r="H446">
        <v>2.5925241000000001E-4</v>
      </c>
      <c r="I446" s="217">
        <v>5.7025024999999999E-5</v>
      </c>
      <c r="J446">
        <v>2.9898139000000001E-2</v>
      </c>
      <c r="K446">
        <v>1.7994833E-3</v>
      </c>
      <c r="L446">
        <v>4.5787960999999999</v>
      </c>
      <c r="M446">
        <v>1.9116757999999999E-4</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2.6280746000000001E-2</v>
      </c>
      <c r="AJ446">
        <v>0</v>
      </c>
      <c r="AK446">
        <v>0</v>
      </c>
      <c r="AL446">
        <v>1.9050187999999999</v>
      </c>
      <c r="AM446">
        <v>0</v>
      </c>
      <c r="AN446">
        <v>0</v>
      </c>
      <c r="AO446">
        <v>0</v>
      </c>
      <c r="AP446">
        <v>2.6988564999999999E-4</v>
      </c>
      <c r="AQ446" s="217">
        <v>4.7164403000000004E-6</v>
      </c>
      <c r="AR446">
        <v>0.13044144999999999</v>
      </c>
      <c r="AS446">
        <v>0</v>
      </c>
      <c r="AT446">
        <v>0</v>
      </c>
      <c r="AU446">
        <v>0</v>
      </c>
      <c r="AV446">
        <v>0</v>
      </c>
      <c r="AW446">
        <v>0</v>
      </c>
      <c r="AX446">
        <v>0</v>
      </c>
    </row>
    <row r="447" spans="1:50" x14ac:dyDescent="0.35">
      <c r="A447" t="s">
        <v>1160</v>
      </c>
      <c r="B447" s="249">
        <f t="shared" si="6"/>
        <v>8.1429332141587998E-3</v>
      </c>
      <c r="C447" s="217">
        <v>1.8756228000000001E-7</v>
      </c>
      <c r="D447">
        <v>2.4429161E-4</v>
      </c>
      <c r="E447">
        <v>4.0595556999999997E-2</v>
      </c>
      <c r="F447" s="217">
        <v>5.4322198E-9</v>
      </c>
      <c r="G447" s="217">
        <v>5.4208444999999997E-5</v>
      </c>
      <c r="H447">
        <v>2.7608341999999999E-4</v>
      </c>
      <c r="I447" s="217">
        <v>9.3144390000000001E-5</v>
      </c>
      <c r="J447">
        <v>3.0582972E-2</v>
      </c>
      <c r="K447">
        <v>1.4587809E-2</v>
      </c>
      <c r="L447">
        <v>4.8294813999999997</v>
      </c>
      <c r="M447">
        <v>5.8295960000000003E-3</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7.7688775000000002E-2</v>
      </c>
      <c r="AJ447">
        <v>0</v>
      </c>
      <c r="AK447">
        <v>0</v>
      </c>
      <c r="AL447">
        <v>0.56245235999999998</v>
      </c>
      <c r="AM447">
        <v>0</v>
      </c>
      <c r="AN447">
        <v>0</v>
      </c>
      <c r="AO447">
        <v>0</v>
      </c>
      <c r="AP447">
        <v>6.8960226999999999E-4</v>
      </c>
      <c r="AQ447" s="217">
        <v>3.7810967999999999E-6</v>
      </c>
      <c r="AR447">
        <v>0.13312119</v>
      </c>
      <c r="AS447">
        <v>0</v>
      </c>
      <c r="AT447">
        <v>0</v>
      </c>
      <c r="AU447">
        <v>0</v>
      </c>
      <c r="AV447">
        <v>0</v>
      </c>
      <c r="AW447">
        <v>0</v>
      </c>
      <c r="AX447">
        <v>0</v>
      </c>
    </row>
    <row r="448" spans="1:50" x14ac:dyDescent="0.35">
      <c r="A448" t="s">
        <v>1161</v>
      </c>
      <c r="B448" s="249">
        <f t="shared" si="6"/>
        <v>8.9943034961396003E-3</v>
      </c>
      <c r="C448" s="217">
        <v>1.6702081E-7</v>
      </c>
      <c r="D448">
        <v>6.5232881E-4</v>
      </c>
      <c r="E448">
        <v>8.5962616000000006E-2</v>
      </c>
      <c r="F448" s="217">
        <v>1.7083966999999999E-8</v>
      </c>
      <c r="G448" s="217">
        <v>5.284384E-5</v>
      </c>
      <c r="H448">
        <v>2.1481002000000001E-4</v>
      </c>
      <c r="I448" s="217">
        <v>3.7861546999999998E-5</v>
      </c>
      <c r="J448">
        <v>3.0083209E-2</v>
      </c>
      <c r="K448">
        <v>1.9381604000000001E-3</v>
      </c>
      <c r="L448">
        <v>5.0921386000000002</v>
      </c>
      <c r="M448">
        <v>1.7886131999999999E-4</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2.3331046000000001E-2</v>
      </c>
      <c r="AJ448">
        <v>0</v>
      </c>
      <c r="AK448">
        <v>0</v>
      </c>
      <c r="AL448">
        <v>1.4897218999999999</v>
      </c>
      <c r="AM448">
        <v>0</v>
      </c>
      <c r="AN448">
        <v>0</v>
      </c>
      <c r="AO448">
        <v>0</v>
      </c>
      <c r="AP448">
        <v>3.0090040000000002E-4</v>
      </c>
      <c r="AQ448" s="217">
        <v>1.0507747E-5</v>
      </c>
      <c r="AR448">
        <v>0.12178235</v>
      </c>
      <c r="AS448">
        <v>0</v>
      </c>
      <c r="AT448">
        <v>0</v>
      </c>
      <c r="AU448">
        <v>0</v>
      </c>
      <c r="AV448">
        <v>0</v>
      </c>
      <c r="AW448">
        <v>0</v>
      </c>
      <c r="AX448">
        <v>0</v>
      </c>
    </row>
    <row r="449" spans="1:50" x14ac:dyDescent="0.35">
      <c r="A449" t="s">
        <v>1162</v>
      </c>
      <c r="B449" s="249">
        <f t="shared" si="6"/>
        <v>8.0372191365746005E-3</v>
      </c>
      <c r="C449" s="217">
        <v>2.0893146000000001E-7</v>
      </c>
      <c r="D449">
        <v>2.9463088E-4</v>
      </c>
      <c r="E449">
        <v>3.9057548999999997E-2</v>
      </c>
      <c r="F449" s="217">
        <v>6.1700246999999996E-9</v>
      </c>
      <c r="G449" s="217">
        <v>5.221402E-5</v>
      </c>
      <c r="H449">
        <v>2.6658265000000002E-4</v>
      </c>
      <c r="I449">
        <v>1.1738054E-4</v>
      </c>
      <c r="J449">
        <v>2.8376611E-2</v>
      </c>
      <c r="K449">
        <v>1.4754562000000001E-2</v>
      </c>
      <c r="L449">
        <v>4.6436380000000002</v>
      </c>
      <c r="M449">
        <v>5.8150511000000004E-3</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0.19693630000000001</v>
      </c>
      <c r="AJ449">
        <v>0</v>
      </c>
      <c r="AK449">
        <v>0</v>
      </c>
      <c r="AL449">
        <v>0.66570890999999999</v>
      </c>
      <c r="AM449">
        <v>0</v>
      </c>
      <c r="AN449">
        <v>0</v>
      </c>
      <c r="AO449">
        <v>0</v>
      </c>
      <c r="AP449">
        <v>1.6052893999999999E-3</v>
      </c>
      <c r="AQ449" s="217">
        <v>4.385462E-6</v>
      </c>
      <c r="AR449">
        <v>0.11850985</v>
      </c>
      <c r="AS449">
        <v>0</v>
      </c>
      <c r="AT449">
        <v>0</v>
      </c>
      <c r="AU449">
        <v>0</v>
      </c>
      <c r="AV449">
        <v>0</v>
      </c>
      <c r="AW449">
        <v>0</v>
      </c>
      <c r="AX449">
        <v>0</v>
      </c>
    </row>
    <row r="450" spans="1:50" x14ac:dyDescent="0.35">
      <c r="A450" t="s">
        <v>1163</v>
      </c>
      <c r="B450" s="249">
        <f t="shared" si="6"/>
        <v>9.4494136142600008E-3</v>
      </c>
      <c r="C450" s="217">
        <v>2.6668959999999999E-7</v>
      </c>
      <c r="D450">
        <v>8.7900057999999997E-4</v>
      </c>
      <c r="E450">
        <v>9.9512105000000003E-2</v>
      </c>
      <c r="F450" s="217">
        <v>4.7373507999999998E-9</v>
      </c>
      <c r="G450" s="217">
        <v>4.7461594999999999E-5</v>
      </c>
      <c r="H450">
        <v>1.7417619999999999E-4</v>
      </c>
      <c r="I450" s="217">
        <v>3.4413087999999998E-5</v>
      </c>
      <c r="J450">
        <v>3.0063348E-2</v>
      </c>
      <c r="K450">
        <v>1.8013294999999999E-3</v>
      </c>
      <c r="L450">
        <v>4.6036590000000004</v>
      </c>
      <c r="M450">
        <v>1.9217656E-4</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2.6580808000000001E-2</v>
      </c>
      <c r="AJ450">
        <v>0</v>
      </c>
      <c r="AK450">
        <v>0</v>
      </c>
      <c r="AL450">
        <v>1.9222672999999999</v>
      </c>
      <c r="AM450">
        <v>0</v>
      </c>
      <c r="AN450">
        <v>0</v>
      </c>
      <c r="AO450">
        <v>0</v>
      </c>
      <c r="AP450">
        <v>2.7159984999999999E-4</v>
      </c>
      <c r="AQ450" s="217">
        <v>4.7767323000000002E-6</v>
      </c>
      <c r="AR450">
        <v>0.13051887000000001</v>
      </c>
      <c r="AS450">
        <v>0</v>
      </c>
      <c r="AT450">
        <v>0</v>
      </c>
      <c r="AU450">
        <v>0</v>
      </c>
      <c r="AV450">
        <v>0</v>
      </c>
      <c r="AW450">
        <v>0</v>
      </c>
      <c r="AX450">
        <v>0</v>
      </c>
    </row>
    <row r="451" spans="1:50" x14ac:dyDescent="0.35">
      <c r="A451" t="s">
        <v>1164</v>
      </c>
      <c r="B451" s="249">
        <f t="shared" si="6"/>
        <v>7.6477170353273999E-3</v>
      </c>
      <c r="C451" s="217">
        <v>1.9106609000000001E-7</v>
      </c>
      <c r="D451">
        <v>2.5100664000000001E-4</v>
      </c>
      <c r="E451">
        <v>4.1240776E-2</v>
      </c>
      <c r="F451" s="217">
        <v>5.5522451000000002E-9</v>
      </c>
      <c r="G451" s="217">
        <v>5.3616957000000001E-5</v>
      </c>
      <c r="H451">
        <v>1.9094034000000001E-4</v>
      </c>
      <c r="I451" s="217">
        <v>7.0555154999999995E-5</v>
      </c>
      <c r="J451">
        <v>3.0732099999999998E-2</v>
      </c>
      <c r="K451">
        <v>1.4601594000000001E-2</v>
      </c>
      <c r="L451">
        <v>4.8522202999999999</v>
      </c>
      <c r="M451">
        <v>5.8361586000000003E-3</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7.8025710999999998E-2</v>
      </c>
      <c r="AJ451">
        <v>0</v>
      </c>
      <c r="AK451">
        <v>0</v>
      </c>
      <c r="AL451">
        <v>0.57732152000000003</v>
      </c>
      <c r="AM451">
        <v>0</v>
      </c>
      <c r="AN451">
        <v>0</v>
      </c>
      <c r="AO451">
        <v>0</v>
      </c>
      <c r="AP451">
        <v>6.9159565000000004E-4</v>
      </c>
      <c r="AQ451" s="217">
        <v>3.8378014999999999E-6</v>
      </c>
      <c r="AR451">
        <v>0.13313775999999999</v>
      </c>
      <c r="AS451">
        <v>0</v>
      </c>
      <c r="AT451">
        <v>0</v>
      </c>
      <c r="AU451">
        <v>0</v>
      </c>
      <c r="AV451">
        <v>0</v>
      </c>
      <c r="AW451">
        <v>0</v>
      </c>
      <c r="AX451">
        <v>0</v>
      </c>
    </row>
    <row r="452" spans="1:50" x14ac:dyDescent="0.35">
      <c r="A452" t="s">
        <v>1165</v>
      </c>
      <c r="B452" s="249">
        <f t="shared" si="6"/>
        <v>7.75743048728764E-3</v>
      </c>
      <c r="C452" s="217">
        <v>7.8161528999999994E-8</v>
      </c>
      <c r="D452">
        <v>3.8079918000000001E-4</v>
      </c>
      <c r="E452">
        <v>5.6224804000000003E-2</v>
      </c>
      <c r="F452" s="217">
        <v>8.5502841E-9</v>
      </c>
      <c r="G452" s="217">
        <v>5.0418262999999997E-5</v>
      </c>
      <c r="H452">
        <v>4.4279365999999999E-4</v>
      </c>
      <c r="I452" s="217">
        <v>9.7803005000000006E-5</v>
      </c>
      <c r="J452">
        <v>2.2196409E-2</v>
      </c>
      <c r="K452">
        <v>3.3019594000000002E-4</v>
      </c>
      <c r="L452">
        <v>1.1918639</v>
      </c>
      <c r="M452" s="217">
        <v>9.9768582000000003E-5</v>
      </c>
      <c r="N452">
        <v>5.6956481000000003E-2</v>
      </c>
      <c r="O452">
        <v>5.7030520000000001E-2</v>
      </c>
      <c r="P452">
        <v>-1.0309805E-4</v>
      </c>
      <c r="Q452" s="217">
        <v>2.9059453999999999E-5</v>
      </c>
      <c r="R452" s="217">
        <v>1.0618878E-8</v>
      </c>
      <c r="S452">
        <v>6.1334501000000002E-4</v>
      </c>
      <c r="T452" s="217">
        <v>1.7318524999999999E-6</v>
      </c>
      <c r="U452">
        <v>2.5515373E-4</v>
      </c>
      <c r="V452">
        <v>2.8193112000000002E-3</v>
      </c>
      <c r="W452">
        <v>7.5533478999999996E-4</v>
      </c>
      <c r="X452" s="217">
        <v>7.8161510999999995E-8</v>
      </c>
      <c r="Y452">
        <v>0.77675362999999997</v>
      </c>
      <c r="Z452">
        <v>7.3939946000000003E-3</v>
      </c>
      <c r="AA452" s="217">
        <v>5.7747089000000003E-9</v>
      </c>
      <c r="AB452">
        <v>3.2537652000000001E-3</v>
      </c>
      <c r="AC452">
        <v>0.68286769000000003</v>
      </c>
      <c r="AD452" s="217">
        <v>4.2928982000000001E-11</v>
      </c>
      <c r="AE452" s="217">
        <v>8.2848483999999997E-10</v>
      </c>
      <c r="AF452">
        <v>0.44825063999999998</v>
      </c>
      <c r="AG452">
        <v>0</v>
      </c>
      <c r="AH452">
        <v>0</v>
      </c>
      <c r="AI452">
        <v>2.1048407000000002E-2</v>
      </c>
      <c r="AJ452">
        <v>0</v>
      </c>
      <c r="AK452">
        <v>0</v>
      </c>
      <c r="AL452">
        <v>0.82456271000000003</v>
      </c>
      <c r="AM452">
        <v>0</v>
      </c>
      <c r="AN452">
        <v>0</v>
      </c>
      <c r="AO452">
        <v>0</v>
      </c>
      <c r="AP452">
        <v>2.1070021999999999E-4</v>
      </c>
      <c r="AQ452" s="217">
        <v>7.9147115999999995E-7</v>
      </c>
      <c r="AR452">
        <v>7.9462457999999996E-3</v>
      </c>
      <c r="AS452" s="217">
        <v>4.8789884999999996E-6</v>
      </c>
      <c r="AT452">
        <v>0</v>
      </c>
      <c r="AU452">
        <v>0</v>
      </c>
      <c r="AV452">
        <v>0</v>
      </c>
      <c r="AW452">
        <v>0</v>
      </c>
      <c r="AX452">
        <v>0</v>
      </c>
    </row>
    <row r="453" spans="1:50" x14ac:dyDescent="0.35">
      <c r="A453" t="s">
        <v>1166</v>
      </c>
      <c r="B453" s="249">
        <f t="shared" si="6"/>
        <v>5.1160129944636005E-3</v>
      </c>
      <c r="C453" s="217">
        <v>7.9682560000000005E-8</v>
      </c>
      <c r="D453">
        <v>2.8286804999999999E-4</v>
      </c>
      <c r="E453">
        <v>4.0078098E-2</v>
      </c>
      <c r="F453" s="217">
        <v>3.8912117999999996E-9</v>
      </c>
      <c r="G453" s="217">
        <v>1.9259653999999999E-5</v>
      </c>
      <c r="H453">
        <v>2.2747810000000001E-4</v>
      </c>
      <c r="I453" s="217">
        <v>3.6050726999999997E-5</v>
      </c>
      <c r="J453">
        <v>1.8553081999999999E-2</v>
      </c>
      <c r="K453">
        <v>2.5735621000000001E-4</v>
      </c>
      <c r="L453">
        <v>1.0957703999999999</v>
      </c>
      <c r="M453">
        <v>1.1260606E-4</v>
      </c>
      <c r="N453">
        <v>4.1162529000000003E-2</v>
      </c>
      <c r="O453">
        <v>4.0594129999999999E-2</v>
      </c>
      <c r="P453">
        <v>4.9556660000000001E-4</v>
      </c>
      <c r="Q453" s="217">
        <v>7.2832267999999996E-5</v>
      </c>
      <c r="R453" s="217">
        <v>3.5515745000000002E-9</v>
      </c>
      <c r="S453">
        <v>2.9273419000000001E-4</v>
      </c>
      <c r="T453" s="217">
        <v>4.0164110000000003E-6</v>
      </c>
      <c r="U453" s="217">
        <v>5.1504129E-5</v>
      </c>
      <c r="V453">
        <v>7.5135915999999996E-4</v>
      </c>
      <c r="W453">
        <v>1.6348702999999999E-4</v>
      </c>
      <c r="X453" s="217">
        <v>7.9682555E-8</v>
      </c>
      <c r="Y453">
        <v>0.67238262000000004</v>
      </c>
      <c r="Z453">
        <v>1.0990573E-2</v>
      </c>
      <c r="AA453" s="217">
        <v>1.9875174000000002E-9</v>
      </c>
      <c r="AB453">
        <v>4.5901802999999998E-3</v>
      </c>
      <c r="AC453">
        <v>0.66422210000000004</v>
      </c>
      <c r="AD453" s="217">
        <v>4.6015957999999999E-11</v>
      </c>
      <c r="AE453" s="217">
        <v>7.7919936E-10</v>
      </c>
      <c r="AF453">
        <v>0.47262159999999998</v>
      </c>
      <c r="AG453">
        <v>0</v>
      </c>
      <c r="AH453">
        <v>0</v>
      </c>
      <c r="AI453">
        <v>8.6672086999999995E-2</v>
      </c>
      <c r="AJ453">
        <v>0</v>
      </c>
      <c r="AK453">
        <v>0</v>
      </c>
      <c r="AL453">
        <v>0.70710600999999995</v>
      </c>
      <c r="AM453">
        <v>0</v>
      </c>
      <c r="AN453">
        <v>0</v>
      </c>
      <c r="AO453">
        <v>0</v>
      </c>
      <c r="AP453">
        <v>4.8807013999999999E-4</v>
      </c>
      <c r="AQ453" s="217">
        <v>1.1193286999999999E-6</v>
      </c>
      <c r="AR453">
        <v>9.0623548000000002E-3</v>
      </c>
      <c r="AS453" s="217">
        <v>4.1639391E-6</v>
      </c>
      <c r="AT453">
        <v>0</v>
      </c>
      <c r="AU453">
        <v>0</v>
      </c>
      <c r="AV453">
        <v>0</v>
      </c>
      <c r="AW453">
        <v>0</v>
      </c>
      <c r="AX453">
        <v>0</v>
      </c>
    </row>
    <row r="454" spans="1:50" x14ac:dyDescent="0.35">
      <c r="A454" t="s">
        <v>1167</v>
      </c>
      <c r="B454" s="249">
        <f t="shared" ref="B454:B496" si="7">(C454*0.16)+(D454*0.16)+(E454*0.05)+(F454*30)+(G454*2)+(H454*4)+(I454*9)+(J454*0.09)+(K454*0.03)+(L454*0.0001)+(M454*0.06)</f>
        <v>7.6231664968300005E-3</v>
      </c>
      <c r="C454" s="217">
        <v>2.1002E-7</v>
      </c>
      <c r="D454">
        <v>7.9290527E-4</v>
      </c>
      <c r="E454">
        <v>5.3544318E-2</v>
      </c>
      <c r="F454" s="217">
        <v>1.0417200999999999E-8</v>
      </c>
      <c r="G454" s="217">
        <v>6.0528910999999999E-5</v>
      </c>
      <c r="H454">
        <v>2.0446835000000001E-4</v>
      </c>
      <c r="I454" s="217">
        <v>2.9608233999999999E-5</v>
      </c>
      <c r="J454">
        <v>3.5861622000000003E-2</v>
      </c>
      <c r="K454">
        <v>8.3284218000000002E-4</v>
      </c>
      <c r="L454">
        <v>3.5087780999999998</v>
      </c>
      <c r="M454">
        <v>1.6542084999999999E-4</v>
      </c>
      <c r="N454">
        <v>5.6251058E-2</v>
      </c>
      <c r="O454">
        <v>5.5989230000000001E-2</v>
      </c>
      <c r="P454">
        <v>2.2981440999999999E-4</v>
      </c>
      <c r="Q454" s="217">
        <v>3.2013106000000003E-5</v>
      </c>
      <c r="R454" s="217">
        <v>1.1174429999999999E-8</v>
      </c>
      <c r="S454">
        <v>2.5637979999999999E-4</v>
      </c>
      <c r="T454" s="217">
        <v>1.986341E-6</v>
      </c>
      <c r="U454" s="217">
        <v>5.5121392000000002E-5</v>
      </c>
      <c r="V454">
        <v>6.5495343000000002E-4</v>
      </c>
      <c r="W454">
        <v>2.6104732000000001E-4</v>
      </c>
      <c r="X454" s="217">
        <v>2.1002055999999999E-7</v>
      </c>
      <c r="Y454">
        <v>1.6265261</v>
      </c>
      <c r="Z454">
        <v>3.5607950999999999E-2</v>
      </c>
      <c r="AA454" s="217">
        <v>7.8334312999999999E-9</v>
      </c>
      <c r="AB454">
        <v>2.6098774000000002E-3</v>
      </c>
      <c r="AC454">
        <v>0.67273316999999999</v>
      </c>
      <c r="AD454" s="217">
        <v>2.7194946000000001E-11</v>
      </c>
      <c r="AE454" s="217">
        <v>1.3252671E-9</v>
      </c>
      <c r="AF454">
        <v>1.5086132999999999</v>
      </c>
      <c r="AG454">
        <v>0</v>
      </c>
      <c r="AH454">
        <v>0</v>
      </c>
      <c r="AI454">
        <v>3.3040409999999999E-2</v>
      </c>
      <c r="AJ454">
        <v>0</v>
      </c>
      <c r="AK454">
        <v>0</v>
      </c>
      <c r="AL454">
        <v>1.748356</v>
      </c>
      <c r="AM454">
        <v>0</v>
      </c>
      <c r="AN454">
        <v>0</v>
      </c>
      <c r="AO454">
        <v>0</v>
      </c>
      <c r="AP454">
        <v>9.0745938999999996E-4</v>
      </c>
      <c r="AQ454" s="217">
        <v>9.6300787999999993E-7</v>
      </c>
      <c r="AR454">
        <v>0.12303993000000001</v>
      </c>
      <c r="AS454" s="217">
        <v>3.180497E-6</v>
      </c>
      <c r="AT454">
        <v>0</v>
      </c>
      <c r="AU454">
        <v>0</v>
      </c>
      <c r="AV454">
        <v>0</v>
      </c>
      <c r="AW454">
        <v>0</v>
      </c>
      <c r="AX454">
        <v>0</v>
      </c>
    </row>
    <row r="455" spans="1:50" x14ac:dyDescent="0.35">
      <c r="A455" t="s">
        <v>1168</v>
      </c>
      <c r="B455" s="249">
        <f t="shared" si="7"/>
        <v>2.2603289539332239E-3</v>
      </c>
      <c r="C455" s="217">
        <v>2.5095139E-9</v>
      </c>
      <c r="D455" s="217">
        <v>7.7990184E-5</v>
      </c>
      <c r="E455">
        <v>1.127906E-2</v>
      </c>
      <c r="F455" s="217">
        <v>1.8000357E-9</v>
      </c>
      <c r="G455" s="217">
        <v>1.2281933E-5</v>
      </c>
      <c r="H455">
        <v>2.3698736E-4</v>
      </c>
      <c r="I455" s="217">
        <v>2.1345757000000001E-5</v>
      </c>
      <c r="J455">
        <v>5.2379567999999996E-3</v>
      </c>
      <c r="K455" s="217">
        <v>9.1719151999999996E-5</v>
      </c>
      <c r="L455">
        <v>0.44062722999999998</v>
      </c>
      <c r="M455" s="217">
        <v>1.6459889000000001E-5</v>
      </c>
      <c r="N455">
        <v>1.1403730000000001E-2</v>
      </c>
      <c r="O455">
        <v>1.1386220000000001E-2</v>
      </c>
      <c r="P455" s="217">
        <v>1.1488604E-5</v>
      </c>
      <c r="Q455" s="217">
        <v>6.0212601E-6</v>
      </c>
      <c r="R455" s="217">
        <v>2.2332724E-9</v>
      </c>
      <c r="S455">
        <v>2.8869736E-4</v>
      </c>
      <c r="T455" s="217">
        <v>1.9104787999999999E-7</v>
      </c>
      <c r="U455" s="217">
        <v>5.6576300999999998E-5</v>
      </c>
      <c r="V455">
        <v>6.3711531000000001E-4</v>
      </c>
      <c r="W455">
        <v>1.6776287E-4</v>
      </c>
      <c r="X455" s="217">
        <v>2.5092142E-9</v>
      </c>
      <c r="Y455">
        <v>0.16267055</v>
      </c>
      <c r="Z455">
        <v>1.0560756000000001E-3</v>
      </c>
      <c r="AA455" s="217">
        <v>3.4315990999999999E-10</v>
      </c>
      <c r="AB455">
        <v>7.3134318999999997E-4</v>
      </c>
      <c r="AC455">
        <v>0.10962263999999999</v>
      </c>
      <c r="AD455" s="217">
        <v>3.6460766000000002E-12</v>
      </c>
      <c r="AE455" s="217">
        <v>8.1840583000000006E-11</v>
      </c>
      <c r="AF455">
        <v>2.5387724E-2</v>
      </c>
      <c r="AG455">
        <v>0</v>
      </c>
      <c r="AH455">
        <v>0</v>
      </c>
      <c r="AI455">
        <v>3.7321432999999999E-3</v>
      </c>
      <c r="AJ455">
        <v>0</v>
      </c>
      <c r="AK455">
        <v>0</v>
      </c>
      <c r="AL455">
        <v>0.17262786999999999</v>
      </c>
      <c r="AM455">
        <v>0</v>
      </c>
      <c r="AN455">
        <v>0</v>
      </c>
      <c r="AO455">
        <v>0</v>
      </c>
      <c r="AP455" s="217">
        <v>3.3308900000000002E-5</v>
      </c>
      <c r="AQ455" s="217">
        <v>9.5968610999999996E-8</v>
      </c>
      <c r="AR455">
        <v>2.5571961000000001E-4</v>
      </c>
      <c r="AS455" s="217">
        <v>1.0616999E-6</v>
      </c>
      <c r="AT455">
        <v>0</v>
      </c>
      <c r="AU455">
        <v>0</v>
      </c>
      <c r="AV455">
        <v>0</v>
      </c>
      <c r="AW455">
        <v>0</v>
      </c>
      <c r="AX455">
        <v>0</v>
      </c>
    </row>
    <row r="456" spans="1:50" x14ac:dyDescent="0.35">
      <c r="A456" s="197" t="s">
        <v>1172</v>
      </c>
      <c r="B456" s="249">
        <f t="shared" si="7"/>
        <v>0</v>
      </c>
    </row>
    <row r="457" spans="1:50" x14ac:dyDescent="0.35">
      <c r="A457" t="s">
        <v>1173</v>
      </c>
      <c r="B457" s="249">
        <f t="shared" si="7"/>
        <v>0</v>
      </c>
      <c r="C457">
        <v>0</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67</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row>
    <row r="458" spans="1:50" x14ac:dyDescent="0.35">
      <c r="A458" t="s">
        <v>1174</v>
      </c>
      <c r="B458" s="249">
        <f t="shared" si="7"/>
        <v>0</v>
      </c>
      <c r="C458">
        <v>0</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73.2</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row>
    <row r="459" spans="1:50" x14ac:dyDescent="0.35">
      <c r="A459" t="s">
        <v>1175</v>
      </c>
      <c r="B459" s="249">
        <f t="shared" si="7"/>
        <v>30.826499999999999</v>
      </c>
      <c r="C459">
        <v>0</v>
      </c>
      <c r="D459">
        <v>0</v>
      </c>
      <c r="E459">
        <v>0</v>
      </c>
      <c r="F459">
        <v>0</v>
      </c>
      <c r="G459">
        <v>0</v>
      </c>
      <c r="H459">
        <v>0</v>
      </c>
      <c r="I459">
        <v>0</v>
      </c>
      <c r="J459">
        <v>1.25</v>
      </c>
      <c r="K459">
        <v>595</v>
      </c>
      <c r="L459">
        <v>120000</v>
      </c>
      <c r="M459">
        <v>14.4</v>
      </c>
      <c r="N459">
        <v>0</v>
      </c>
      <c r="O459">
        <v>0</v>
      </c>
      <c r="P459">
        <v>0</v>
      </c>
      <c r="Q459">
        <v>0</v>
      </c>
      <c r="R459">
        <v>0</v>
      </c>
      <c r="S459">
        <v>0</v>
      </c>
      <c r="T459">
        <v>0</v>
      </c>
      <c r="U459">
        <v>0</v>
      </c>
      <c r="V459">
        <v>0</v>
      </c>
      <c r="W459">
        <v>0</v>
      </c>
      <c r="X459">
        <v>0</v>
      </c>
      <c r="Y459">
        <v>0</v>
      </c>
      <c r="Z459">
        <v>0</v>
      </c>
      <c r="AA459">
        <v>0</v>
      </c>
      <c r="AB459">
        <v>0</v>
      </c>
      <c r="AC459">
        <v>52400</v>
      </c>
      <c r="AD459">
        <v>0</v>
      </c>
      <c r="AE459" s="217">
        <v>5.7051000000000004E-7</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row>
    <row r="460" spans="1:50" x14ac:dyDescent="0.35">
      <c r="A460" t="s">
        <v>1176</v>
      </c>
      <c r="B460" s="249">
        <f t="shared" si="7"/>
        <v>2.5938072000000001</v>
      </c>
      <c r="C460">
        <v>0</v>
      </c>
      <c r="D460">
        <v>0</v>
      </c>
      <c r="E460">
        <v>0</v>
      </c>
      <c r="F460">
        <v>0</v>
      </c>
      <c r="G460">
        <v>0</v>
      </c>
      <c r="H460">
        <v>0</v>
      </c>
      <c r="I460">
        <v>0</v>
      </c>
      <c r="J460">
        <v>0.36208000000000001</v>
      </c>
      <c r="K460">
        <v>56.853999999999999</v>
      </c>
      <c r="L460">
        <v>8556</v>
      </c>
      <c r="M460" s="217">
        <v>1.5686E-21</v>
      </c>
      <c r="N460">
        <v>0</v>
      </c>
      <c r="O460">
        <v>0</v>
      </c>
      <c r="P460">
        <v>0</v>
      </c>
      <c r="Q460">
        <v>0</v>
      </c>
      <c r="R460">
        <v>0</v>
      </c>
      <c r="S460">
        <v>0</v>
      </c>
      <c r="T460">
        <v>0</v>
      </c>
      <c r="U460">
        <v>0</v>
      </c>
      <c r="V460">
        <v>0</v>
      </c>
      <c r="W460">
        <v>0</v>
      </c>
      <c r="X460">
        <v>0</v>
      </c>
      <c r="Y460">
        <v>0</v>
      </c>
      <c r="Z460">
        <v>0</v>
      </c>
      <c r="AA460">
        <v>0</v>
      </c>
      <c r="AB460">
        <v>0</v>
      </c>
      <c r="AC460">
        <v>412.3</v>
      </c>
      <c r="AD460">
        <v>0</v>
      </c>
      <c r="AE460" s="217">
        <v>8.8709600000000004E-7</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row>
    <row r="461" spans="1:50" x14ac:dyDescent="0.35">
      <c r="A461" t="s">
        <v>1177</v>
      </c>
      <c r="B461" s="249">
        <f t="shared" si="7"/>
        <v>3.6659800000000002</v>
      </c>
      <c r="C461">
        <v>0</v>
      </c>
      <c r="D461">
        <v>0</v>
      </c>
      <c r="E461">
        <v>0</v>
      </c>
      <c r="F461">
        <v>0</v>
      </c>
      <c r="G461">
        <v>0</v>
      </c>
      <c r="H461">
        <v>0</v>
      </c>
      <c r="I461">
        <v>0</v>
      </c>
      <c r="J461">
        <v>0.42199999999999999</v>
      </c>
      <c r="K461">
        <v>47.7</v>
      </c>
      <c r="L461">
        <v>7210</v>
      </c>
      <c r="M461">
        <v>24.6</v>
      </c>
      <c r="N461">
        <v>0</v>
      </c>
      <c r="O461">
        <v>0</v>
      </c>
      <c r="P461">
        <v>0</v>
      </c>
      <c r="Q461">
        <v>0</v>
      </c>
      <c r="R461">
        <v>0</v>
      </c>
      <c r="S461">
        <v>0</v>
      </c>
      <c r="T461">
        <v>0</v>
      </c>
      <c r="U461">
        <v>0</v>
      </c>
      <c r="V461">
        <v>0</v>
      </c>
      <c r="W461">
        <v>0</v>
      </c>
      <c r="X461">
        <v>0</v>
      </c>
      <c r="Y461">
        <v>0</v>
      </c>
      <c r="Z461">
        <v>0</v>
      </c>
      <c r="AA461">
        <v>0</v>
      </c>
      <c r="AB461">
        <v>0</v>
      </c>
      <c r="AC461">
        <v>730</v>
      </c>
      <c r="AD461">
        <v>0</v>
      </c>
      <c r="AE461" s="217">
        <v>9.9195000000000001E-5</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row>
    <row r="462" spans="1:50" x14ac:dyDescent="0.35">
      <c r="A462" t="s">
        <v>1178</v>
      </c>
      <c r="B462" s="249">
        <f t="shared" si="7"/>
        <v>4.1835599999999999</v>
      </c>
      <c r="C462">
        <v>0</v>
      </c>
      <c r="D462">
        <v>0</v>
      </c>
      <c r="E462">
        <v>0</v>
      </c>
      <c r="F462">
        <v>0</v>
      </c>
      <c r="G462">
        <v>0</v>
      </c>
      <c r="H462">
        <v>0</v>
      </c>
      <c r="I462">
        <v>0</v>
      </c>
      <c r="J462">
        <v>0.58399999999999996</v>
      </c>
      <c r="K462">
        <v>91.7</v>
      </c>
      <c r="L462">
        <v>13800</v>
      </c>
      <c r="M462" s="217">
        <v>2.5299999999999999E-21</v>
      </c>
      <c r="N462">
        <v>0</v>
      </c>
      <c r="O462">
        <v>0</v>
      </c>
      <c r="P462">
        <v>0</v>
      </c>
      <c r="Q462">
        <v>0</v>
      </c>
      <c r="R462">
        <v>0</v>
      </c>
      <c r="S462">
        <v>0</v>
      </c>
      <c r="T462">
        <v>0</v>
      </c>
      <c r="U462">
        <v>0</v>
      </c>
      <c r="V462">
        <v>0</v>
      </c>
      <c r="W462">
        <v>0</v>
      </c>
      <c r="X462">
        <v>0</v>
      </c>
      <c r="Y462">
        <v>0</v>
      </c>
      <c r="Z462">
        <v>0</v>
      </c>
      <c r="AA462">
        <v>0</v>
      </c>
      <c r="AB462">
        <v>0</v>
      </c>
      <c r="AC462">
        <v>665</v>
      </c>
      <c r="AD462">
        <v>0</v>
      </c>
      <c r="AE462" s="217">
        <v>1.4307999999999999E-6</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row>
    <row r="463" spans="1:50" x14ac:dyDescent="0.35">
      <c r="A463" t="s">
        <v>1179</v>
      </c>
      <c r="B463" s="249">
        <f t="shared" si="7"/>
        <v>11.488000000000001</v>
      </c>
      <c r="C463">
        <v>0</v>
      </c>
      <c r="D463">
        <v>0</v>
      </c>
      <c r="E463">
        <v>0</v>
      </c>
      <c r="F463">
        <v>0</v>
      </c>
      <c r="G463">
        <v>0</v>
      </c>
      <c r="H463">
        <v>0</v>
      </c>
      <c r="I463">
        <v>0</v>
      </c>
      <c r="J463">
        <v>3.2</v>
      </c>
      <c r="K463" s="217">
        <v>1.76E-21</v>
      </c>
      <c r="L463">
        <v>112000</v>
      </c>
      <c r="M463" s="217">
        <v>1.95E-20</v>
      </c>
      <c r="N463">
        <v>0</v>
      </c>
      <c r="O463">
        <v>0</v>
      </c>
      <c r="P463">
        <v>0</v>
      </c>
      <c r="Q463">
        <v>0</v>
      </c>
      <c r="R463">
        <v>0</v>
      </c>
      <c r="S463">
        <v>0</v>
      </c>
      <c r="T463">
        <v>0</v>
      </c>
      <c r="U463">
        <v>0</v>
      </c>
      <c r="V463">
        <v>0</v>
      </c>
      <c r="W463">
        <v>0</v>
      </c>
      <c r="X463">
        <v>0</v>
      </c>
      <c r="Y463">
        <v>0</v>
      </c>
      <c r="Z463">
        <v>0</v>
      </c>
      <c r="AA463">
        <v>0</v>
      </c>
      <c r="AB463">
        <v>0</v>
      </c>
      <c r="AC463" s="217">
        <v>1.05E-17</v>
      </c>
      <c r="AD463">
        <v>0</v>
      </c>
      <c r="AE463" s="217">
        <v>2.2259000000000001E-7</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row>
    <row r="464" spans="1:50" x14ac:dyDescent="0.35">
      <c r="A464" t="s">
        <v>1180</v>
      </c>
      <c r="B464" s="249">
        <f t="shared" si="7"/>
        <v>-0.05</v>
      </c>
      <c r="C464">
        <v>0</v>
      </c>
      <c r="D464">
        <v>0</v>
      </c>
      <c r="E464">
        <v>-1</v>
      </c>
      <c r="F464">
        <v>0</v>
      </c>
      <c r="G464">
        <v>0</v>
      </c>
      <c r="H464">
        <v>0</v>
      </c>
      <c r="I464">
        <v>0</v>
      </c>
      <c r="J464">
        <v>0</v>
      </c>
      <c r="K464">
        <v>0</v>
      </c>
      <c r="L464">
        <v>0</v>
      </c>
      <c r="M464">
        <v>0</v>
      </c>
      <c r="N464">
        <v>-1</v>
      </c>
      <c r="O464">
        <v>-1</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row>
    <row r="465" spans="1:50" x14ac:dyDescent="0.35">
      <c r="A465" t="s">
        <v>1181</v>
      </c>
      <c r="B465" s="249">
        <f t="shared" si="7"/>
        <v>8.8693349000000001E-5</v>
      </c>
      <c r="C465">
        <v>0</v>
      </c>
      <c r="D465">
        <v>0</v>
      </c>
      <c r="E465">
        <v>0</v>
      </c>
      <c r="F465">
        <v>0</v>
      </c>
      <c r="G465">
        <v>0</v>
      </c>
      <c r="H465">
        <v>0</v>
      </c>
      <c r="I465">
        <v>0</v>
      </c>
      <c r="J465">
        <v>3.7361970000000002E-4</v>
      </c>
      <c r="K465">
        <v>1.6302836000000001E-4</v>
      </c>
      <c r="L465">
        <v>0.3578189</v>
      </c>
      <c r="M465">
        <v>2.3991392E-4</v>
      </c>
      <c r="N465">
        <v>0</v>
      </c>
      <c r="O465">
        <v>0</v>
      </c>
      <c r="P465">
        <v>0</v>
      </c>
      <c r="Q465">
        <v>0</v>
      </c>
      <c r="R465">
        <v>0</v>
      </c>
      <c r="S465">
        <v>0</v>
      </c>
      <c r="T465">
        <v>0</v>
      </c>
      <c r="U465">
        <v>0</v>
      </c>
      <c r="V465">
        <v>0</v>
      </c>
      <c r="W465">
        <v>0</v>
      </c>
      <c r="X465">
        <v>0</v>
      </c>
      <c r="Y465">
        <v>0</v>
      </c>
      <c r="Z465">
        <v>0</v>
      </c>
      <c r="AA465">
        <v>0</v>
      </c>
      <c r="AB465">
        <v>0</v>
      </c>
      <c r="AC465">
        <v>4.8333550000000001E-3</v>
      </c>
      <c r="AD465" s="217">
        <v>4.1972083999999999E-12</v>
      </c>
      <c r="AE465" s="217">
        <v>2.7238290999999998E-10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row>
    <row r="466" spans="1:50" x14ac:dyDescent="0.35">
      <c r="A466" s="197" t="s">
        <v>1182</v>
      </c>
      <c r="B466" s="249">
        <f t="shared" si="7"/>
        <v>0</v>
      </c>
    </row>
    <row r="467" spans="1:50" x14ac:dyDescent="0.35">
      <c r="A467" t="s">
        <v>1183</v>
      </c>
      <c r="B467" s="249">
        <f t="shared" si="7"/>
        <v>4.9705851329405998E-2</v>
      </c>
      <c r="C467" s="217">
        <v>5.9319634999999999E-7</v>
      </c>
      <c r="D467">
        <v>4.7468998999999996E-3</v>
      </c>
      <c r="E467">
        <v>0.6407796</v>
      </c>
      <c r="F467" s="217">
        <v>3.4545432999999998E-8</v>
      </c>
      <c r="G467" s="217">
        <v>9.7204000999999996E-5</v>
      </c>
      <c r="H467">
        <v>1.5986573E-3</v>
      </c>
      <c r="I467">
        <v>3.6569366000000002E-4</v>
      </c>
      <c r="J467">
        <v>6.6610056000000001E-2</v>
      </c>
      <c r="K467">
        <v>1.8418847E-3</v>
      </c>
      <c r="L467">
        <v>7.7961866000000004</v>
      </c>
      <c r="M467">
        <v>3.2695948000000001E-3</v>
      </c>
      <c r="N467">
        <v>0.65920179000000001</v>
      </c>
      <c r="O467">
        <v>0.64776049000000002</v>
      </c>
      <c r="P467">
        <v>1.1192840000000001E-2</v>
      </c>
      <c r="Q467">
        <v>2.4846404E-4</v>
      </c>
      <c r="R467" s="217">
        <v>3.3405015999999999E-8</v>
      </c>
      <c r="S467">
        <v>2.2555634000000001E-3</v>
      </c>
      <c r="T467" s="217">
        <v>4.8325061999999999E-5</v>
      </c>
      <c r="U467">
        <v>3.4546374999999999E-4</v>
      </c>
      <c r="V467">
        <v>7.1836395000000001E-3</v>
      </c>
      <c r="W467">
        <v>9.840425900000001E-4</v>
      </c>
      <c r="X467" s="217">
        <v>5.9321820999999998E-7</v>
      </c>
      <c r="Y467">
        <v>8.7226087000000003</v>
      </c>
      <c r="Z467">
        <v>8.0581591999999994E-2</v>
      </c>
      <c r="AA467" s="217">
        <v>1.0021631E-8</v>
      </c>
      <c r="AB467">
        <v>2.165489E-2</v>
      </c>
      <c r="AC467">
        <v>7.6218886000000001</v>
      </c>
      <c r="AD467" s="217">
        <v>1.4535204000000001E-10</v>
      </c>
      <c r="AE467" s="217">
        <v>4.1672435000000001E-9</v>
      </c>
      <c r="AF467">
        <v>2.2223250000000001</v>
      </c>
      <c r="AG467">
        <v>0</v>
      </c>
      <c r="AH467">
        <v>0</v>
      </c>
      <c r="AI467">
        <v>0.95786165999999995</v>
      </c>
      <c r="AJ467">
        <v>0</v>
      </c>
      <c r="AK467">
        <v>0</v>
      </c>
      <c r="AL467">
        <v>9.3339987999999998</v>
      </c>
      <c r="AM467">
        <v>0</v>
      </c>
      <c r="AN467">
        <v>0</v>
      </c>
      <c r="AO467">
        <v>0</v>
      </c>
      <c r="AP467">
        <v>7.0567488000000001E-3</v>
      </c>
      <c r="AQ467" s="217">
        <v>2.4816487E-5</v>
      </c>
      <c r="AR467">
        <v>2.4253667999999999E-2</v>
      </c>
      <c r="AS467" s="217">
        <v>2.2783133999999998E-5</v>
      </c>
      <c r="AT467">
        <v>0</v>
      </c>
      <c r="AU467">
        <v>0</v>
      </c>
      <c r="AV467">
        <v>0</v>
      </c>
      <c r="AW467">
        <v>0</v>
      </c>
      <c r="AX467">
        <v>0</v>
      </c>
    </row>
    <row r="468" spans="1:50" x14ac:dyDescent="0.35">
      <c r="A468" t="s">
        <v>1184</v>
      </c>
      <c r="B468" s="249">
        <f t="shared" si="7"/>
        <v>1.5748530337573001E-2</v>
      </c>
      <c r="C468" s="217">
        <v>3.7116983000000002E-6</v>
      </c>
      <c r="D468">
        <v>6.3149685000000002E-4</v>
      </c>
      <c r="E468">
        <v>9.1291805000000004E-2</v>
      </c>
      <c r="F468" s="217">
        <v>9.3096814999999997E-9</v>
      </c>
      <c r="G468" s="217">
        <v>7.6172075999999996E-5</v>
      </c>
      <c r="H468">
        <v>5.9648239999999999E-4</v>
      </c>
      <c r="I468">
        <v>1.228983E-4</v>
      </c>
      <c r="J468">
        <v>7.5041809000000001E-2</v>
      </c>
      <c r="K468">
        <v>1.2677828999999999E-3</v>
      </c>
      <c r="L468">
        <v>6.2869079000000001</v>
      </c>
      <c r="M468">
        <v>2.8636484E-4</v>
      </c>
      <c r="N468">
        <v>9.3488241E-2</v>
      </c>
      <c r="O468">
        <v>9.3080666000000006E-2</v>
      </c>
      <c r="P468">
        <v>2.4211265999999999E-4</v>
      </c>
      <c r="Q468">
        <v>1.6546261000000001E-4</v>
      </c>
      <c r="R468" s="217">
        <v>8.8575448999999995E-9</v>
      </c>
      <c r="S468">
        <v>7.1566510999999998E-4</v>
      </c>
      <c r="T468" s="217">
        <v>2.5905652E-5</v>
      </c>
      <c r="U468">
        <v>1.0194282E-4</v>
      </c>
      <c r="V468">
        <v>1.1835183E-3</v>
      </c>
      <c r="W468">
        <v>3.7342229999999998E-4</v>
      </c>
      <c r="X468" s="217">
        <v>3.7117429000000002E-6</v>
      </c>
      <c r="Y468">
        <v>1.143931</v>
      </c>
      <c r="Z468">
        <v>9.0453012999999999E-2</v>
      </c>
      <c r="AA468" s="217">
        <v>6.0362295999999998E-9</v>
      </c>
      <c r="AB468">
        <v>3.5799510000000001E-3</v>
      </c>
      <c r="AC468">
        <v>3.8344632000000001</v>
      </c>
      <c r="AD468" s="217">
        <v>1.0442323E-10</v>
      </c>
      <c r="AE468" s="217">
        <v>4.6098923E-9</v>
      </c>
      <c r="AF468">
        <v>0.34025835999999998</v>
      </c>
      <c r="AG468">
        <v>0</v>
      </c>
      <c r="AH468">
        <v>0</v>
      </c>
      <c r="AI468">
        <v>4.0587517000000002</v>
      </c>
      <c r="AJ468">
        <v>0</v>
      </c>
      <c r="AK468">
        <v>0</v>
      </c>
      <c r="AL468">
        <v>1.2206881000000001</v>
      </c>
      <c r="AM468">
        <v>0</v>
      </c>
      <c r="AN468">
        <v>0</v>
      </c>
      <c r="AO468">
        <v>0</v>
      </c>
      <c r="AP468">
        <v>3.0348437E-3</v>
      </c>
      <c r="AQ468" s="217">
        <v>7.1199941000000001E-5</v>
      </c>
      <c r="AR468">
        <v>1.1896824E-2</v>
      </c>
      <c r="AS468" s="217">
        <v>2.9809934000000001E-6</v>
      </c>
      <c r="AT468">
        <v>0</v>
      </c>
      <c r="AU468">
        <v>0</v>
      </c>
      <c r="AV468">
        <v>0</v>
      </c>
      <c r="AW468">
        <v>0</v>
      </c>
      <c r="AX468">
        <v>0</v>
      </c>
    </row>
    <row r="469" spans="1:50" x14ac:dyDescent="0.35">
      <c r="A469" t="s">
        <v>1185</v>
      </c>
      <c r="B469" s="249">
        <f t="shared" si="7"/>
        <v>1.7141999952880002E-2</v>
      </c>
      <c r="C469" s="217">
        <v>3.5989608999999998E-6</v>
      </c>
      <c r="D469">
        <v>7.4649495E-4</v>
      </c>
      <c r="E469">
        <v>0.10717305000000001</v>
      </c>
      <c r="F469" s="217">
        <v>9.6261511999999999E-9</v>
      </c>
      <c r="G469" s="217">
        <v>7.7216794999999995E-5</v>
      </c>
      <c r="H469">
        <v>6.5924538000000003E-4</v>
      </c>
      <c r="I469">
        <v>1.313939E-4</v>
      </c>
      <c r="J469">
        <v>7.7291571000000003E-2</v>
      </c>
      <c r="K469">
        <v>1.3514543999999999E-3</v>
      </c>
      <c r="L469">
        <v>6.7356704000000001</v>
      </c>
      <c r="M469">
        <v>3.1218951000000001E-4</v>
      </c>
      <c r="N469">
        <v>0.10961032</v>
      </c>
      <c r="O469">
        <v>0.10924229000000001</v>
      </c>
      <c r="P469">
        <v>1.7696935999999999E-4</v>
      </c>
      <c r="Q469">
        <v>1.9105918E-4</v>
      </c>
      <c r="R469" s="217">
        <v>9.2240210000000005E-9</v>
      </c>
      <c r="S469">
        <v>7.9115182E-4</v>
      </c>
      <c r="T469" s="217">
        <v>2.6548292999999999E-5</v>
      </c>
      <c r="U469">
        <v>1.1437308E-4</v>
      </c>
      <c r="V469">
        <v>1.3304422000000001E-3</v>
      </c>
      <c r="W469">
        <v>4.0789807000000001E-4</v>
      </c>
      <c r="X469" s="217">
        <v>3.5990064000000001E-6</v>
      </c>
      <c r="Y469">
        <v>1.3461388999999999</v>
      </c>
      <c r="Z469">
        <v>7.7677628999999998E-2</v>
      </c>
      <c r="AA469" s="217">
        <v>6.4869961E-9</v>
      </c>
      <c r="AB469">
        <v>4.4130094999999996E-3</v>
      </c>
      <c r="AC469">
        <v>4.0987431000000001</v>
      </c>
      <c r="AD469" s="217">
        <v>1.0391198E-10</v>
      </c>
      <c r="AE469" s="217">
        <v>4.6285843000000003E-9</v>
      </c>
      <c r="AF469">
        <v>0.35471651999999998</v>
      </c>
      <c r="AG469">
        <v>0</v>
      </c>
      <c r="AH469">
        <v>0</v>
      </c>
      <c r="AI469">
        <v>4.0609136000000001</v>
      </c>
      <c r="AJ469">
        <v>0</v>
      </c>
      <c r="AK469">
        <v>0</v>
      </c>
      <c r="AL469">
        <v>1.4360784</v>
      </c>
      <c r="AM469">
        <v>0</v>
      </c>
      <c r="AN469">
        <v>0</v>
      </c>
      <c r="AO469">
        <v>0</v>
      </c>
      <c r="AP469">
        <v>2.6538203E-3</v>
      </c>
      <c r="AQ469" s="217">
        <v>4.9092029000000003E-5</v>
      </c>
      <c r="AR469">
        <v>1.4965009E-2</v>
      </c>
      <c r="AS469" s="217">
        <v>3.5390226000000002E-6</v>
      </c>
      <c r="AT469">
        <v>0</v>
      </c>
      <c r="AU469">
        <v>0</v>
      </c>
      <c r="AV469">
        <v>0</v>
      </c>
      <c r="AW469">
        <v>0</v>
      </c>
      <c r="AX469">
        <v>0</v>
      </c>
    </row>
    <row r="470" spans="1:50" x14ac:dyDescent="0.35">
      <c r="A470" t="s">
        <v>718</v>
      </c>
      <c r="B470" s="249">
        <f t="shared" si="7"/>
        <v>0.10785686454623999</v>
      </c>
      <c r="C470" s="217">
        <v>1.245065E-7</v>
      </c>
      <c r="D470">
        <v>1.5633256000000002E-2</v>
      </c>
      <c r="E470">
        <v>1.7756257</v>
      </c>
      <c r="F470" s="217">
        <v>2.3090408000000001E-7</v>
      </c>
      <c r="G470">
        <v>2.7534656999999999E-4</v>
      </c>
      <c r="H470">
        <v>1.2687217E-3</v>
      </c>
      <c r="I470">
        <v>1.7665965E-4</v>
      </c>
      <c r="J470">
        <v>9.8442549000000004E-2</v>
      </c>
      <c r="K470">
        <v>1.0460565E-3</v>
      </c>
      <c r="L470">
        <v>4.4122506000000001</v>
      </c>
      <c r="M470">
        <v>3.2264312999999998E-4</v>
      </c>
      <c r="N470">
        <v>1.8001464</v>
      </c>
      <c r="O470">
        <v>1.7995079</v>
      </c>
      <c r="P470">
        <v>5.7534622999999997E-4</v>
      </c>
      <c r="Q470" s="217">
        <v>6.3199037000000004E-5</v>
      </c>
      <c r="R470" s="217">
        <v>2.6227839000000003E-7</v>
      </c>
      <c r="S470">
        <v>1.6240435000000001E-3</v>
      </c>
      <c r="T470" s="217">
        <v>3.9431727000000003E-6</v>
      </c>
      <c r="U470">
        <v>4.5227709000000003E-4</v>
      </c>
      <c r="V470">
        <v>5.0836587000000003E-3</v>
      </c>
      <c r="W470">
        <v>1.6881980999999999E-3</v>
      </c>
      <c r="X470" s="217">
        <v>1.2450641E-7</v>
      </c>
      <c r="Y470">
        <v>28.936954</v>
      </c>
      <c r="Z470">
        <v>3.1191377999999999E-2</v>
      </c>
      <c r="AA470" s="217">
        <v>5.312958E-9</v>
      </c>
      <c r="AB470">
        <v>1.1887656999999999E-2</v>
      </c>
      <c r="AC470">
        <v>1.7983628</v>
      </c>
      <c r="AD470" s="217">
        <v>1.3678420000000001E-10</v>
      </c>
      <c r="AE470" s="217">
        <v>1.7141949E-9</v>
      </c>
      <c r="AF470">
        <v>0.44055148</v>
      </c>
      <c r="AG470">
        <v>0</v>
      </c>
      <c r="AH470">
        <v>0</v>
      </c>
      <c r="AI470">
        <v>7.9972496000000004E-2</v>
      </c>
      <c r="AJ470">
        <v>0</v>
      </c>
      <c r="AK470">
        <v>0</v>
      </c>
      <c r="AL470">
        <v>32.090004</v>
      </c>
      <c r="AM470">
        <v>0</v>
      </c>
      <c r="AN470">
        <v>0</v>
      </c>
      <c r="AO470">
        <v>0</v>
      </c>
      <c r="AP470">
        <v>7.0033715000000004E-4</v>
      </c>
      <c r="AQ470" s="217">
        <v>3.7200346000000003E-5</v>
      </c>
      <c r="AR470">
        <v>1.0306684E-2</v>
      </c>
      <c r="AS470" s="217">
        <v>1.7299349999999999E-5</v>
      </c>
      <c r="AT470">
        <v>0</v>
      </c>
      <c r="AU470">
        <v>0</v>
      </c>
      <c r="AV470">
        <v>0</v>
      </c>
      <c r="AW470">
        <v>0</v>
      </c>
      <c r="AX470">
        <v>0</v>
      </c>
    </row>
    <row r="471" spans="1:50" x14ac:dyDescent="0.35">
      <c r="A471" t="s">
        <v>1186</v>
      </c>
      <c r="B471" s="249">
        <f t="shared" si="7"/>
        <v>0.35981156278945764</v>
      </c>
      <c r="C471" s="217">
        <v>5.3863161000000002E-7</v>
      </c>
      <c r="D471">
        <v>2.6523169999999999E-2</v>
      </c>
      <c r="E471">
        <v>3.9843375999999999</v>
      </c>
      <c r="F471" s="217">
        <v>7.0479327999999999E-7</v>
      </c>
      <c r="G471">
        <v>2.0467608000000002E-3</v>
      </c>
      <c r="H471">
        <v>7.4870290999999997E-3</v>
      </c>
      <c r="I471">
        <v>9.8327235999999996E-4</v>
      </c>
      <c r="J471">
        <v>1.1593823000000001</v>
      </c>
      <c r="K471">
        <v>2.4037356999999999E-2</v>
      </c>
      <c r="L471">
        <v>82.714012999999994</v>
      </c>
      <c r="M471">
        <v>1.6954559999999999E-3</v>
      </c>
      <c r="N471">
        <v>4.0156453000000001</v>
      </c>
      <c r="O471">
        <v>4.0135956000000004</v>
      </c>
      <c r="P471">
        <v>1.8223037E-3</v>
      </c>
      <c r="Q471">
        <v>2.2743584000000001E-4</v>
      </c>
      <c r="R471" s="217">
        <v>8.8878472000000002E-7</v>
      </c>
      <c r="S471">
        <v>8.7947574000000004E-3</v>
      </c>
      <c r="T471" s="217">
        <v>1.3582339E-5</v>
      </c>
      <c r="U471">
        <v>1.0660054E-3</v>
      </c>
      <c r="V471">
        <v>1.2535167E-2</v>
      </c>
      <c r="W471">
        <v>6.290459E-3</v>
      </c>
      <c r="X471" s="217">
        <v>5.3863584000000001E-7</v>
      </c>
      <c r="Y471">
        <v>56.642190999999997</v>
      </c>
      <c r="Z471">
        <v>0.25944458999999997</v>
      </c>
      <c r="AA471" s="217">
        <v>1.0080109E-7</v>
      </c>
      <c r="AB471">
        <v>0.24592974000000001</v>
      </c>
      <c r="AC471">
        <v>29.059197000000001</v>
      </c>
      <c r="AD471" s="217">
        <v>4.6930996999999998E-10</v>
      </c>
      <c r="AE471" s="217">
        <v>2.0761267999999999E-8</v>
      </c>
      <c r="AF471">
        <v>7.1271313000000003</v>
      </c>
      <c r="AG471">
        <v>0</v>
      </c>
      <c r="AH471">
        <v>0</v>
      </c>
      <c r="AI471">
        <v>0.29307948</v>
      </c>
      <c r="AJ471">
        <v>0</v>
      </c>
      <c r="AK471">
        <v>0</v>
      </c>
      <c r="AL471">
        <v>60.137407000000003</v>
      </c>
      <c r="AM471">
        <v>0</v>
      </c>
      <c r="AN471">
        <v>0</v>
      </c>
      <c r="AO471">
        <v>0</v>
      </c>
      <c r="AP471">
        <v>6.7799649999999998E-3</v>
      </c>
      <c r="AQ471" s="217">
        <v>1.8275163E-5</v>
      </c>
      <c r="AR471">
        <v>2.7606724999999999E-2</v>
      </c>
      <c r="AS471">
        <v>3.9749894999999998E-4</v>
      </c>
      <c r="AT471">
        <v>0</v>
      </c>
      <c r="AU471">
        <v>0</v>
      </c>
      <c r="AV471">
        <v>0</v>
      </c>
      <c r="AW471">
        <v>0</v>
      </c>
      <c r="AX471">
        <v>0</v>
      </c>
    </row>
    <row r="472" spans="1:50" x14ac:dyDescent="0.35">
      <c r="A472" t="s">
        <v>1055</v>
      </c>
      <c r="B472" s="249">
        <f t="shared" si="7"/>
        <v>2.3517095413548794E-2</v>
      </c>
      <c r="C472" s="217">
        <v>3.520468E-8</v>
      </c>
      <c r="D472">
        <v>1.7335404999999999E-3</v>
      </c>
      <c r="E472">
        <v>0.26041421999999997</v>
      </c>
      <c r="F472" s="217">
        <v>4.6064919999999997E-8</v>
      </c>
      <c r="G472">
        <v>1.3377520999999999E-4</v>
      </c>
      <c r="H472">
        <v>4.8934830999999997E-4</v>
      </c>
      <c r="I472" s="217">
        <v>6.4266166999999994E-5</v>
      </c>
      <c r="J472">
        <v>7.5776620000000003E-2</v>
      </c>
      <c r="K472">
        <v>1.5710691000000001E-3</v>
      </c>
      <c r="L472">
        <v>5.4061446999999996</v>
      </c>
      <c r="M472">
        <v>1.1081411999999999E-4</v>
      </c>
      <c r="N472">
        <v>0.26246048</v>
      </c>
      <c r="O472">
        <v>0.26232651000000001</v>
      </c>
      <c r="P472">
        <v>1.1910482000000001E-4</v>
      </c>
      <c r="Q472" s="217">
        <v>1.4865088E-5</v>
      </c>
      <c r="R472" s="217">
        <v>5.8090504000000001E-8</v>
      </c>
      <c r="S472">
        <v>5.7482074000000005E-4</v>
      </c>
      <c r="T472" s="217">
        <v>8.8773460000000003E-7</v>
      </c>
      <c r="U472" s="217">
        <v>6.9673552999999995E-5</v>
      </c>
      <c r="V472">
        <v>8.1929199000000004E-4</v>
      </c>
      <c r="W472">
        <v>4.1114111000000001E-4</v>
      </c>
      <c r="X472" s="217">
        <v>3.5204956999999999E-8</v>
      </c>
      <c r="Y472">
        <v>3.7021039999999998</v>
      </c>
      <c r="Z472">
        <v>1.6957163000000001E-2</v>
      </c>
      <c r="AA472" s="217">
        <v>6.5883062E-9</v>
      </c>
      <c r="AB472">
        <v>1.6073838999999999E-2</v>
      </c>
      <c r="AC472">
        <v>1.8992939</v>
      </c>
      <c r="AD472" s="217">
        <v>3.0673853999999998E-11</v>
      </c>
      <c r="AE472" s="217">
        <v>1.3569456E-9</v>
      </c>
      <c r="AF472">
        <v>0.46582558000000002</v>
      </c>
      <c r="AG472">
        <v>0</v>
      </c>
      <c r="AH472">
        <v>0</v>
      </c>
      <c r="AI472">
        <v>1.9155520999999998E-2</v>
      </c>
      <c r="AJ472">
        <v>0</v>
      </c>
      <c r="AK472">
        <v>0</v>
      </c>
      <c r="AL472">
        <v>3.9305495000000001</v>
      </c>
      <c r="AM472">
        <v>0</v>
      </c>
      <c r="AN472">
        <v>0</v>
      </c>
      <c r="AO472">
        <v>0</v>
      </c>
      <c r="AP472">
        <v>4.4313497E-4</v>
      </c>
      <c r="AQ472" s="217">
        <v>1.1944550999999999E-6</v>
      </c>
      <c r="AR472">
        <v>1.8043611E-3</v>
      </c>
      <c r="AS472" s="217">
        <v>2.5980322999999999E-5</v>
      </c>
      <c r="AT472">
        <v>0</v>
      </c>
      <c r="AU472">
        <v>0</v>
      </c>
      <c r="AV472">
        <v>0</v>
      </c>
      <c r="AW472">
        <v>0</v>
      </c>
      <c r="AX472">
        <v>0</v>
      </c>
    </row>
    <row r="473" spans="1:50" x14ac:dyDescent="0.35">
      <c r="A473" t="s">
        <v>1187</v>
      </c>
      <c r="B473" s="249">
        <f t="shared" si="7"/>
        <v>0.43724070296110806</v>
      </c>
      <c r="C473" s="217">
        <v>1.1074338E-6</v>
      </c>
      <c r="D473">
        <v>2.2732697999999999E-2</v>
      </c>
      <c r="E473">
        <v>3.2837936000000001</v>
      </c>
      <c r="F473" s="217">
        <v>5.9530639000000004E-7</v>
      </c>
      <c r="G473">
        <v>3.3272345999999999E-3</v>
      </c>
      <c r="H473">
        <v>2.491289E-2</v>
      </c>
      <c r="I473">
        <v>5.6057664E-3</v>
      </c>
      <c r="J473">
        <v>1.1829493</v>
      </c>
      <c r="K473">
        <v>1.6487343000000002E-2</v>
      </c>
      <c r="L473">
        <v>55.603316999999997</v>
      </c>
      <c r="M473">
        <v>1.9573185000000002E-3</v>
      </c>
      <c r="N473">
        <v>3.319347</v>
      </c>
      <c r="O473">
        <v>3.3185175</v>
      </c>
      <c r="P473">
        <v>5.4766508000000003E-4</v>
      </c>
      <c r="Q473">
        <v>2.8186360999999998E-4</v>
      </c>
      <c r="R473" s="217">
        <v>7.4971081999999996E-7</v>
      </c>
      <c r="S473">
        <v>3.4783792000000001E-2</v>
      </c>
      <c r="T473" s="217">
        <v>2.5346415999999999E-5</v>
      </c>
      <c r="U473">
        <v>1.507732E-2</v>
      </c>
      <c r="V473">
        <v>0.16569638</v>
      </c>
      <c r="W473">
        <v>4.5520353999999999E-2</v>
      </c>
      <c r="X473" s="217">
        <v>1.107448E-6</v>
      </c>
      <c r="Y473">
        <v>47.992516000000002</v>
      </c>
      <c r="Z473">
        <v>0.25872843000000001</v>
      </c>
      <c r="AA473" s="217">
        <v>9.1009035999999995E-7</v>
      </c>
      <c r="AB473">
        <v>0.2068439</v>
      </c>
      <c r="AC473">
        <v>27.130693000000001</v>
      </c>
      <c r="AD473" s="217">
        <v>9.3342673000000007E-10</v>
      </c>
      <c r="AE473" s="217">
        <v>2.3639015999999999E-8</v>
      </c>
      <c r="AF473">
        <v>6.0785792000000001</v>
      </c>
      <c r="AG473">
        <v>0</v>
      </c>
      <c r="AH473">
        <v>0</v>
      </c>
      <c r="AI473">
        <v>0.27802715</v>
      </c>
      <c r="AJ473">
        <v>0</v>
      </c>
      <c r="AK473">
        <v>0</v>
      </c>
      <c r="AL473">
        <v>50.962957000000003</v>
      </c>
      <c r="AM473">
        <v>0</v>
      </c>
      <c r="AN473">
        <v>0</v>
      </c>
      <c r="AO473">
        <v>0</v>
      </c>
      <c r="AP473">
        <v>6.5867963000000003E-3</v>
      </c>
      <c r="AQ473" s="217">
        <v>2.1401270999999999E-5</v>
      </c>
      <c r="AR473">
        <v>5.114722E-2</v>
      </c>
      <c r="AS473">
        <v>3.3336630999999999E-4</v>
      </c>
      <c r="AT473">
        <v>0</v>
      </c>
      <c r="AU473">
        <v>0</v>
      </c>
      <c r="AV473">
        <v>0</v>
      </c>
      <c r="AW473">
        <v>0</v>
      </c>
      <c r="AX473">
        <v>0</v>
      </c>
    </row>
    <row r="474" spans="1:50" x14ac:dyDescent="0.35">
      <c r="A474" t="s">
        <v>1188</v>
      </c>
      <c r="B474" s="249">
        <f t="shared" si="7"/>
        <v>1.22134276267848E-2</v>
      </c>
      <c r="C474" s="217">
        <v>3.0933904999999997E-8</v>
      </c>
      <c r="D474">
        <v>6.3499156000000005E-4</v>
      </c>
      <c r="E474">
        <v>9.1726079000000002E-2</v>
      </c>
      <c r="F474" s="217">
        <v>1.662867E-8</v>
      </c>
      <c r="G474" s="217">
        <v>9.2939512999999996E-5</v>
      </c>
      <c r="H474">
        <v>6.9589078999999999E-4</v>
      </c>
      <c r="I474">
        <v>1.5658565E-4</v>
      </c>
      <c r="J474">
        <v>3.3043278000000002E-2</v>
      </c>
      <c r="K474">
        <v>4.6054031999999997E-4</v>
      </c>
      <c r="L474">
        <v>1.5531653000000001</v>
      </c>
      <c r="M474" s="217">
        <v>5.4673701000000001E-5</v>
      </c>
      <c r="N474">
        <v>9.2719191000000006E-2</v>
      </c>
      <c r="O474">
        <v>9.2696020000000004E-2</v>
      </c>
      <c r="P474" s="217">
        <v>1.5297907000000001E-5</v>
      </c>
      <c r="Q474" s="217">
        <v>7.8732851000000002E-6</v>
      </c>
      <c r="R474" s="217">
        <v>2.0941642999999999E-8</v>
      </c>
      <c r="S474">
        <v>9.7161429000000002E-4</v>
      </c>
      <c r="T474" s="217">
        <v>7.0800044999999998E-7</v>
      </c>
      <c r="U474">
        <v>4.2115418000000001E-4</v>
      </c>
      <c r="V474">
        <v>4.6283905999999998E-3</v>
      </c>
      <c r="W474">
        <v>1.2715183E-3</v>
      </c>
      <c r="X474" s="217">
        <v>3.0934300999999998E-8</v>
      </c>
      <c r="Y474">
        <v>1.3405731000000001</v>
      </c>
      <c r="Z474">
        <v>7.227051E-3</v>
      </c>
      <c r="AA474" s="217">
        <v>2.5421517999999999E-8</v>
      </c>
      <c r="AB474">
        <v>5.7777623999999998E-3</v>
      </c>
      <c r="AC474">
        <v>0.75784057999999999</v>
      </c>
      <c r="AD474" s="217">
        <v>2.6073372000000002E-11</v>
      </c>
      <c r="AE474" s="217">
        <v>6.6030772000000005E-10</v>
      </c>
      <c r="AF474">
        <v>0.16979272000000001</v>
      </c>
      <c r="AG474">
        <v>0</v>
      </c>
      <c r="AH474">
        <v>0</v>
      </c>
      <c r="AI474">
        <v>7.7661216000000002E-3</v>
      </c>
      <c r="AJ474">
        <v>0</v>
      </c>
      <c r="AK474">
        <v>0</v>
      </c>
      <c r="AL474">
        <v>1.4235462999999999</v>
      </c>
      <c r="AM474">
        <v>0</v>
      </c>
      <c r="AN474">
        <v>0</v>
      </c>
      <c r="AO474">
        <v>0</v>
      </c>
      <c r="AP474">
        <v>1.8398872E-4</v>
      </c>
      <c r="AQ474" s="217">
        <v>5.9780088000000004E-7</v>
      </c>
      <c r="AR474">
        <v>1.4286933000000001E-3</v>
      </c>
      <c r="AS474" s="217">
        <v>9.3119081999999998E-6</v>
      </c>
      <c r="AT474">
        <v>0</v>
      </c>
      <c r="AU474">
        <v>0</v>
      </c>
      <c r="AV474">
        <v>0</v>
      </c>
      <c r="AW474">
        <v>0</v>
      </c>
      <c r="AX474">
        <v>0</v>
      </c>
    </row>
    <row r="475" spans="1:50" x14ac:dyDescent="0.35">
      <c r="A475" t="s">
        <v>1189</v>
      </c>
      <c r="B475" s="249">
        <f t="shared" si="7"/>
        <v>0.1177393852291448</v>
      </c>
      <c r="C475" s="217">
        <v>3.9146653000000001E-7</v>
      </c>
      <c r="D475">
        <v>2.5561006000000001E-2</v>
      </c>
      <c r="E475">
        <v>0.66452613999999999</v>
      </c>
      <c r="F475" s="217">
        <v>6.9733915000000001E-7</v>
      </c>
      <c r="G475">
        <v>8.9497776999999999E-4</v>
      </c>
      <c r="H475">
        <v>6.3564027000000004E-3</v>
      </c>
      <c r="I475">
        <v>8.1904614000000001E-4</v>
      </c>
      <c r="J475">
        <v>0.43569745999999998</v>
      </c>
      <c r="K475">
        <v>1.7431067000000001E-2</v>
      </c>
      <c r="L475">
        <v>60.161546000000001</v>
      </c>
      <c r="M475">
        <v>1.0582475E-3</v>
      </c>
      <c r="N475">
        <v>0.67791727999999996</v>
      </c>
      <c r="O475">
        <v>0.67696392999999999</v>
      </c>
      <c r="P475">
        <v>7.2684582999999999E-4</v>
      </c>
      <c r="Q475">
        <v>2.2650014000000001E-4</v>
      </c>
      <c r="R475" s="217">
        <v>8.7938959000000004E-7</v>
      </c>
      <c r="S475">
        <v>7.3439823000000003E-3</v>
      </c>
      <c r="T475" s="217">
        <v>1.0508106999999999E-5</v>
      </c>
      <c r="U475">
        <v>7.6137758999999996E-4</v>
      </c>
      <c r="V475">
        <v>8.5449848000000005E-3</v>
      </c>
      <c r="W475">
        <v>3.6351530999999999E-3</v>
      </c>
      <c r="X475" s="217">
        <v>3.9146733E-7</v>
      </c>
      <c r="Y475">
        <v>54.370145000000001</v>
      </c>
      <c r="Z475">
        <v>0.25551542999999999</v>
      </c>
      <c r="AA475" s="217">
        <v>4.2524734999999997E-8</v>
      </c>
      <c r="AB475">
        <v>0.23861810999999999</v>
      </c>
      <c r="AC475">
        <v>27.620374000000002</v>
      </c>
      <c r="AD475" s="217">
        <v>1.8941835999999999E-10</v>
      </c>
      <c r="AE475" s="217">
        <v>7.6432742000000007E-9</v>
      </c>
      <c r="AF475">
        <v>6.7211692000000003</v>
      </c>
      <c r="AG475">
        <v>0</v>
      </c>
      <c r="AH475">
        <v>0</v>
      </c>
      <c r="AI475">
        <v>0.18878155999999999</v>
      </c>
      <c r="AJ475">
        <v>0</v>
      </c>
      <c r="AK475">
        <v>0</v>
      </c>
      <c r="AL475">
        <v>57.720275999999998</v>
      </c>
      <c r="AM475">
        <v>0</v>
      </c>
      <c r="AN475">
        <v>0</v>
      </c>
      <c r="AO475">
        <v>0</v>
      </c>
      <c r="AP475">
        <v>6.3575009000000002E-3</v>
      </c>
      <c r="AQ475" s="217">
        <v>1.6976599999999999E-5</v>
      </c>
      <c r="AR475">
        <v>2.6356948000000002E-2</v>
      </c>
      <c r="AS475">
        <v>3.8824086999999998E-4</v>
      </c>
      <c r="AT475">
        <v>0</v>
      </c>
      <c r="AU475">
        <v>0</v>
      </c>
      <c r="AV475">
        <v>0</v>
      </c>
      <c r="AW475">
        <v>0</v>
      </c>
      <c r="AX475">
        <v>0</v>
      </c>
    </row>
    <row r="476" spans="1:50" x14ac:dyDescent="0.35">
      <c r="A476" t="s">
        <v>1190</v>
      </c>
      <c r="B476" s="249">
        <f t="shared" si="7"/>
        <v>4.2053784683667996E-5</v>
      </c>
      <c r="C476" s="217">
        <v>1.0400238000000001E-9</v>
      </c>
      <c r="D476" s="217">
        <v>2.5653695999999999E-6</v>
      </c>
      <c r="E476">
        <v>3.4992838E-4</v>
      </c>
      <c r="F476" s="217">
        <v>3.6040562E-11</v>
      </c>
      <c r="G476" s="217">
        <v>2.1133506000000001E-7</v>
      </c>
      <c r="H476" s="217">
        <v>1.9786307999999999E-6</v>
      </c>
      <c r="I476" s="217">
        <v>2.7637498999999998E-7</v>
      </c>
      <c r="J476">
        <v>1.337922E-4</v>
      </c>
      <c r="K476" s="217">
        <v>2.8637553000000001E-6</v>
      </c>
      <c r="L476">
        <v>9.5411482999999998E-3</v>
      </c>
      <c r="M476" s="217">
        <v>3.9960868000000001E-6</v>
      </c>
      <c r="N476">
        <v>3.6293993999999999E-4</v>
      </c>
      <c r="O476">
        <v>3.5579664000000001E-4</v>
      </c>
      <c r="P476" s="217">
        <v>6.6004581999999997E-6</v>
      </c>
      <c r="Q476" s="217">
        <v>5.4283518999999998E-7</v>
      </c>
      <c r="R476" s="217">
        <v>3.0634092999999999E-11</v>
      </c>
      <c r="S476" s="217">
        <v>2.5144767E-6</v>
      </c>
      <c r="T476" s="217">
        <v>3.2826150999999997E-8</v>
      </c>
      <c r="U476" s="217">
        <v>3.4303418999999997E-7</v>
      </c>
      <c r="V476" s="217">
        <v>5.5813346000000004E-6</v>
      </c>
      <c r="W476" s="217">
        <v>1.2158582000000001E-6</v>
      </c>
      <c r="X476" s="217">
        <v>1.0400349999999999E-9</v>
      </c>
      <c r="Y476">
        <v>6.1475658999999997E-3</v>
      </c>
      <c r="Z476">
        <v>4.3025417000000003E-2</v>
      </c>
      <c r="AA476" s="217">
        <v>1.948665E-11</v>
      </c>
      <c r="AB476" s="217">
        <v>4.2248817000000001E-5</v>
      </c>
      <c r="AC476">
        <v>6.4078965000000003E-3</v>
      </c>
      <c r="AD476" s="217">
        <v>9.4080661000000005E-13</v>
      </c>
      <c r="AE476" s="217">
        <v>2.1019740000000001E-11</v>
      </c>
      <c r="AF476">
        <v>1.6525171000000001E-3</v>
      </c>
      <c r="AG476">
        <v>0</v>
      </c>
      <c r="AH476">
        <v>0</v>
      </c>
      <c r="AI476">
        <v>7.7609781999999998E-4</v>
      </c>
      <c r="AJ476">
        <v>0</v>
      </c>
      <c r="AK476">
        <v>0</v>
      </c>
      <c r="AL476">
        <v>6.4620716999999996E-3</v>
      </c>
      <c r="AM476">
        <v>0</v>
      </c>
      <c r="AN476">
        <v>0</v>
      </c>
      <c r="AO476">
        <v>0</v>
      </c>
      <c r="AP476">
        <v>1.0059756999999999E-3</v>
      </c>
      <c r="AQ476" s="217">
        <v>1.3075730999999999E-8</v>
      </c>
      <c r="AR476" s="217">
        <v>6.7892826999999995E-5</v>
      </c>
      <c r="AS476" s="217">
        <v>3.7003244999999999E-8</v>
      </c>
      <c r="AT476">
        <v>0</v>
      </c>
      <c r="AU476">
        <v>0</v>
      </c>
      <c r="AV476">
        <v>0</v>
      </c>
      <c r="AW476">
        <v>0</v>
      </c>
      <c r="AX476">
        <v>0</v>
      </c>
    </row>
    <row r="477" spans="1:50" x14ac:dyDescent="0.35">
      <c r="A477" t="s">
        <v>1191</v>
      </c>
      <c r="B477" s="249">
        <f t="shared" si="7"/>
        <v>0.31869948840000001</v>
      </c>
      <c r="C477" s="217">
        <v>1.61E-6</v>
      </c>
      <c r="D477">
        <v>2.3499709000000001E-2</v>
      </c>
      <c r="E477">
        <v>3.4394198999999999</v>
      </c>
      <c r="F477" s="217">
        <v>5.99E-7</v>
      </c>
      <c r="G477">
        <v>1.1324060000000001E-3</v>
      </c>
      <c r="H477">
        <v>1.008739E-2</v>
      </c>
      <c r="I477">
        <v>1.930027E-3</v>
      </c>
      <c r="J477">
        <v>0.85150820999999999</v>
      </c>
      <c r="K477">
        <v>1.6863027999999999E-2</v>
      </c>
      <c r="L477">
        <v>56.423310999999998</v>
      </c>
      <c r="M477">
        <v>3.0289420000000002E-3</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0.38251135000000003</v>
      </c>
      <c r="AJ477">
        <v>0</v>
      </c>
      <c r="AK477">
        <v>0</v>
      </c>
      <c r="AL477">
        <v>52.453285999999999</v>
      </c>
      <c r="AM477">
        <v>0</v>
      </c>
      <c r="AN477">
        <v>0</v>
      </c>
      <c r="AO477">
        <v>0</v>
      </c>
      <c r="AP477">
        <v>4.9554630000000002E-3</v>
      </c>
      <c r="AQ477">
        <v>3.6210099999999998E-4</v>
      </c>
      <c r="AR477">
        <v>8.7994408999999996E-2</v>
      </c>
      <c r="AS477">
        <v>0</v>
      </c>
      <c r="AT477">
        <v>0</v>
      </c>
      <c r="AU477">
        <v>0</v>
      </c>
      <c r="AV477">
        <v>0</v>
      </c>
      <c r="AW477">
        <v>0</v>
      </c>
      <c r="AX477">
        <v>0</v>
      </c>
    </row>
    <row r="478" spans="1:50" x14ac:dyDescent="0.35">
      <c r="A478" t="s">
        <v>1192</v>
      </c>
      <c r="B478" s="249">
        <f t="shared" si="7"/>
        <v>0.28076039002679998</v>
      </c>
      <c r="C478" s="217">
        <v>3.7459800000000001E-6</v>
      </c>
      <c r="D478">
        <v>8.1911569999999993E-3</v>
      </c>
      <c r="E478">
        <v>1.4120326000000001</v>
      </c>
      <c r="F478" s="217">
        <v>1.3318500000000001E-7</v>
      </c>
      <c r="G478">
        <v>1.161933E-3</v>
      </c>
      <c r="H478">
        <v>1.2621103E-2</v>
      </c>
      <c r="I478">
        <v>5.4177339999999996E-3</v>
      </c>
      <c r="J478">
        <v>0.78706969999999998</v>
      </c>
      <c r="K478">
        <v>0.56908066999999996</v>
      </c>
      <c r="L478">
        <v>47.065843000000001</v>
      </c>
      <c r="M478">
        <v>0.24434031</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7.8425852000000003</v>
      </c>
      <c r="AJ478">
        <v>0</v>
      </c>
      <c r="AK478">
        <v>0</v>
      </c>
      <c r="AL478">
        <v>17.282464999999998</v>
      </c>
      <c r="AM478">
        <v>0</v>
      </c>
      <c r="AN478">
        <v>0</v>
      </c>
      <c r="AO478">
        <v>0</v>
      </c>
      <c r="AP478">
        <v>6.1195511000000001E-2</v>
      </c>
      <c r="AQ478">
        <v>1.01375E-4</v>
      </c>
      <c r="AR478">
        <v>0.28137313000000003</v>
      </c>
      <c r="AS478">
        <v>0</v>
      </c>
      <c r="AT478">
        <v>0</v>
      </c>
      <c r="AU478">
        <v>0</v>
      </c>
      <c r="AV478">
        <v>0</v>
      </c>
      <c r="AW478">
        <v>0</v>
      </c>
      <c r="AX478">
        <v>0</v>
      </c>
    </row>
    <row r="479" spans="1:50" x14ac:dyDescent="0.35">
      <c r="A479" t="s">
        <v>1193</v>
      </c>
      <c r="B479" s="249">
        <f t="shared" si="7"/>
        <v>0.30084471720160005</v>
      </c>
      <c r="C479" s="217">
        <v>4.9766099999999998E-6</v>
      </c>
      <c r="D479">
        <v>2.9557997999999999E-2</v>
      </c>
      <c r="E479">
        <v>3.6464679000000002</v>
      </c>
      <c r="F479" s="217">
        <v>4.8496800000000003E-8</v>
      </c>
      <c r="G479">
        <v>7.3272599999999995E-4</v>
      </c>
      <c r="H479">
        <v>7.5222819999999999E-3</v>
      </c>
      <c r="I479">
        <v>1.6170069999999999E-3</v>
      </c>
      <c r="J479">
        <v>0.72401855000000004</v>
      </c>
      <c r="K479">
        <v>5.7505819999999997E-3</v>
      </c>
      <c r="L479">
        <v>21.711936000000001</v>
      </c>
      <c r="M479">
        <v>2.9461299999999999E-3</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0.43101465</v>
      </c>
      <c r="AJ479">
        <v>0</v>
      </c>
      <c r="AK479">
        <v>0</v>
      </c>
      <c r="AL479">
        <v>63.038445000000003</v>
      </c>
      <c r="AM479">
        <v>0</v>
      </c>
      <c r="AN479">
        <v>0</v>
      </c>
      <c r="AO479">
        <v>0</v>
      </c>
      <c r="AP479">
        <v>2.815166E-3</v>
      </c>
      <c r="AQ479" s="217">
        <v>9.6151599999999996E-5</v>
      </c>
      <c r="AR479">
        <v>0.10683953</v>
      </c>
      <c r="AS479">
        <v>0</v>
      </c>
      <c r="AT479">
        <v>0</v>
      </c>
      <c r="AU479">
        <v>0</v>
      </c>
      <c r="AV479">
        <v>0</v>
      </c>
      <c r="AW479">
        <v>0</v>
      </c>
      <c r="AX479">
        <v>0</v>
      </c>
    </row>
    <row r="480" spans="1:50" x14ac:dyDescent="0.35">
      <c r="A480" t="s">
        <v>1194</v>
      </c>
      <c r="B480" s="249">
        <f t="shared" si="7"/>
        <v>0.2316278957258</v>
      </c>
      <c r="C480" s="217">
        <v>2.1015300000000001E-6</v>
      </c>
      <c r="D480">
        <v>5.2707159999999999E-3</v>
      </c>
      <c r="E480">
        <v>1.3518270999999999</v>
      </c>
      <c r="F480" s="217">
        <v>8.2030699999999999E-8</v>
      </c>
      <c r="G480">
        <v>9.9116999999999999E-4</v>
      </c>
      <c r="H480">
        <v>8.2648489999999995E-3</v>
      </c>
      <c r="I480">
        <v>3.0546729999999999E-3</v>
      </c>
      <c r="J480">
        <v>0.76225082</v>
      </c>
      <c r="K480">
        <v>0.50941270999999999</v>
      </c>
      <c r="L480">
        <v>32.793705000000003</v>
      </c>
      <c r="M480">
        <v>0.22487183999999999</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2.4626125999999999</v>
      </c>
      <c r="AJ480">
        <v>0</v>
      </c>
      <c r="AK480">
        <v>0</v>
      </c>
      <c r="AL480">
        <v>11.032173999999999</v>
      </c>
      <c r="AM480">
        <v>0</v>
      </c>
      <c r="AN480">
        <v>0</v>
      </c>
      <c r="AO480">
        <v>0</v>
      </c>
      <c r="AP480">
        <v>1.9411060000000001E-2</v>
      </c>
      <c r="AQ480" s="217">
        <v>6.1032700000000003E-5</v>
      </c>
      <c r="AR480">
        <v>0.24398971</v>
      </c>
      <c r="AS480">
        <v>0</v>
      </c>
      <c r="AT480">
        <v>0</v>
      </c>
      <c r="AU480">
        <v>0</v>
      </c>
      <c r="AV480">
        <v>0</v>
      </c>
      <c r="AW480">
        <v>0</v>
      </c>
      <c r="AX480">
        <v>0</v>
      </c>
    </row>
    <row r="481" spans="1:50" x14ac:dyDescent="0.35">
      <c r="A481" t="s">
        <v>1195</v>
      </c>
      <c r="B481" s="249">
        <f t="shared" si="7"/>
        <v>0.26030556364120006</v>
      </c>
      <c r="C481" s="217">
        <v>3.87857E-6</v>
      </c>
      <c r="D481">
        <v>8.4429610000000006E-3</v>
      </c>
      <c r="E481">
        <v>1.4396163</v>
      </c>
      <c r="F481" s="217">
        <v>1.3768700000000001E-7</v>
      </c>
      <c r="G481">
        <v>1.173456E-3</v>
      </c>
      <c r="H481">
        <v>8.9956229999999995E-3</v>
      </c>
      <c r="I481">
        <v>4.4612139999999998E-3</v>
      </c>
      <c r="J481">
        <v>0.79949965000000001</v>
      </c>
      <c r="K481">
        <v>0.56927326</v>
      </c>
      <c r="L481">
        <v>47.928832</v>
      </c>
      <c r="M481">
        <v>0.24437907</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7.8533024999999999</v>
      </c>
      <c r="AJ481">
        <v>0</v>
      </c>
      <c r="AK481">
        <v>0</v>
      </c>
      <c r="AL481">
        <v>17.840087</v>
      </c>
      <c r="AM481">
        <v>0</v>
      </c>
      <c r="AN481">
        <v>0</v>
      </c>
      <c r="AO481">
        <v>0</v>
      </c>
      <c r="AP481">
        <v>6.1255324999999999E-2</v>
      </c>
      <c r="AQ481">
        <v>1.03501E-4</v>
      </c>
      <c r="AR481">
        <v>0.28268589</v>
      </c>
      <c r="AS481">
        <v>0</v>
      </c>
      <c r="AT481">
        <v>0</v>
      </c>
      <c r="AU481">
        <v>0</v>
      </c>
      <c r="AV481">
        <v>0</v>
      </c>
      <c r="AW481">
        <v>0</v>
      </c>
      <c r="AX481">
        <v>0</v>
      </c>
    </row>
    <row r="482" spans="1:50" x14ac:dyDescent="0.35">
      <c r="A482" t="s">
        <v>1196</v>
      </c>
      <c r="B482" s="249">
        <f t="shared" si="7"/>
        <v>0.29875556898119998</v>
      </c>
      <c r="C482" s="217">
        <v>1.7565700000000001E-6</v>
      </c>
      <c r="D482">
        <v>2.3772814E-2</v>
      </c>
      <c r="E482">
        <v>3.4693345</v>
      </c>
      <c r="F482" s="217">
        <v>6.0382300000000005E-7</v>
      </c>
      <c r="G482">
        <v>1.141829E-3</v>
      </c>
      <c r="H482">
        <v>6.6512869999999997E-3</v>
      </c>
      <c r="I482">
        <v>1.0215700000000001E-3</v>
      </c>
      <c r="J482">
        <v>0.85502149999999999</v>
      </c>
      <c r="K482">
        <v>1.7058931999999999E-2</v>
      </c>
      <c r="L482">
        <v>57.359029999999997</v>
      </c>
      <c r="M482">
        <v>3.070934E-3</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0.39413535999999999</v>
      </c>
      <c r="AJ482">
        <v>0</v>
      </c>
      <c r="AK482">
        <v>0</v>
      </c>
      <c r="AL482">
        <v>53.058078999999999</v>
      </c>
      <c r="AM482">
        <v>0</v>
      </c>
      <c r="AN482">
        <v>0</v>
      </c>
      <c r="AO482">
        <v>0</v>
      </c>
      <c r="AP482">
        <v>5.0203380000000001E-3</v>
      </c>
      <c r="AQ482">
        <v>3.6440799999999998E-4</v>
      </c>
      <c r="AR482">
        <v>8.9418212999999996E-2</v>
      </c>
      <c r="AS482">
        <v>0</v>
      </c>
      <c r="AT482">
        <v>0</v>
      </c>
      <c r="AU482">
        <v>0</v>
      </c>
      <c r="AV482">
        <v>0</v>
      </c>
      <c r="AW482">
        <v>0</v>
      </c>
      <c r="AX482">
        <v>0</v>
      </c>
    </row>
    <row r="483" spans="1:50" x14ac:dyDescent="0.35">
      <c r="A483" t="s">
        <v>1197</v>
      </c>
      <c r="B483" s="249">
        <f t="shared" si="7"/>
        <v>0.28275466945459998</v>
      </c>
      <c r="C483" s="217">
        <v>5.1140100000000004E-6</v>
      </c>
      <c r="D483">
        <v>2.9818931E-2</v>
      </c>
      <c r="E483">
        <v>3.6750563000000001</v>
      </c>
      <c r="F483" s="217">
        <v>5.3162100000000002E-8</v>
      </c>
      <c r="G483">
        <v>7.4466599999999995E-4</v>
      </c>
      <c r="H483">
        <v>4.2393200000000004E-3</v>
      </c>
      <c r="I483">
        <v>7.4903800000000005E-4</v>
      </c>
      <c r="J483">
        <v>0.73802394000000004</v>
      </c>
      <c r="K483">
        <v>5.9501629999999996E-3</v>
      </c>
      <c r="L483">
        <v>22.606211999999999</v>
      </c>
      <c r="M483">
        <v>2.9862949999999999E-3</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0.44212059999999997</v>
      </c>
      <c r="AJ483">
        <v>0</v>
      </c>
      <c r="AK483">
        <v>0</v>
      </c>
      <c r="AL483">
        <v>63.616281999999998</v>
      </c>
      <c r="AM483">
        <v>0</v>
      </c>
      <c r="AN483">
        <v>0</v>
      </c>
      <c r="AO483">
        <v>0</v>
      </c>
      <c r="AP483">
        <v>2.8771489999999999E-3</v>
      </c>
      <c r="AQ483" s="217">
        <v>9.8355600000000004E-5</v>
      </c>
      <c r="AR483">
        <v>0.10819988</v>
      </c>
      <c r="AS483">
        <v>0</v>
      </c>
      <c r="AT483">
        <v>0</v>
      </c>
      <c r="AU483">
        <v>0</v>
      </c>
      <c r="AV483">
        <v>0</v>
      </c>
      <c r="AW483">
        <v>0</v>
      </c>
      <c r="AX483">
        <v>0</v>
      </c>
    </row>
    <row r="484" spans="1:50" x14ac:dyDescent="0.35">
      <c r="A484" t="s">
        <v>1198</v>
      </c>
      <c r="B484" s="249">
        <f t="shared" si="7"/>
        <v>0.21343236504980001</v>
      </c>
      <c r="C484" s="217">
        <v>2.2397299999999999E-6</v>
      </c>
      <c r="D484">
        <v>5.5331699999999996E-3</v>
      </c>
      <c r="E484">
        <v>1.3805822000000001</v>
      </c>
      <c r="F484" s="217">
        <v>8.6723099999999994E-8</v>
      </c>
      <c r="G484">
        <v>1.00318E-3</v>
      </c>
      <c r="H484">
        <v>4.9627439999999998E-3</v>
      </c>
      <c r="I484">
        <v>2.181643E-3</v>
      </c>
      <c r="J484">
        <v>0.77633786000000005</v>
      </c>
      <c r="K484">
        <v>0.50961345000000002</v>
      </c>
      <c r="L484">
        <v>33.693195000000003</v>
      </c>
      <c r="M484">
        <v>0.22491224000000001</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2.4737833</v>
      </c>
      <c r="AJ484">
        <v>0</v>
      </c>
      <c r="AK484">
        <v>0</v>
      </c>
      <c r="AL484">
        <v>11.613381</v>
      </c>
      <c r="AM484">
        <v>0</v>
      </c>
      <c r="AN484">
        <v>0</v>
      </c>
      <c r="AO484">
        <v>0</v>
      </c>
      <c r="AP484">
        <v>1.9473404E-2</v>
      </c>
      <c r="AQ484" s="217">
        <v>6.3249600000000005E-5</v>
      </c>
      <c r="AR484">
        <v>0.24535799</v>
      </c>
      <c r="AS484">
        <v>0</v>
      </c>
      <c r="AT484">
        <v>0</v>
      </c>
      <c r="AU484">
        <v>0</v>
      </c>
      <c r="AV484">
        <v>0</v>
      </c>
      <c r="AW484">
        <v>0</v>
      </c>
      <c r="AX484">
        <v>0</v>
      </c>
    </row>
    <row r="485" spans="1:50" x14ac:dyDescent="0.35">
      <c r="A485" t="s">
        <v>1199</v>
      </c>
      <c r="B485" s="249">
        <f t="shared" si="7"/>
        <v>0.26030390364120004</v>
      </c>
      <c r="C485" s="217">
        <v>3.87857E-6</v>
      </c>
      <c r="D485">
        <v>8.4429610000000006E-3</v>
      </c>
      <c r="E485">
        <v>1.4396209</v>
      </c>
      <c r="F485" s="217">
        <v>1.3768700000000001E-7</v>
      </c>
      <c r="G485">
        <v>1.173456E-3</v>
      </c>
      <c r="H485">
        <v>8.9956229999999995E-3</v>
      </c>
      <c r="I485">
        <v>4.4612139999999998E-3</v>
      </c>
      <c r="J485">
        <v>0.79947864999999996</v>
      </c>
      <c r="K485">
        <v>0.56927326</v>
      </c>
      <c r="L485">
        <v>47.928832</v>
      </c>
      <c r="M485">
        <v>0.24437907</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7.8533024999999999</v>
      </c>
      <c r="AJ485">
        <v>0</v>
      </c>
      <c r="AK485">
        <v>0</v>
      </c>
      <c r="AL485">
        <v>17.840087</v>
      </c>
      <c r="AM485">
        <v>0</v>
      </c>
      <c r="AN485">
        <v>0</v>
      </c>
      <c r="AO485">
        <v>0</v>
      </c>
      <c r="AP485">
        <v>6.1255324999999999E-2</v>
      </c>
      <c r="AQ485">
        <v>1.03501E-4</v>
      </c>
      <c r="AR485">
        <v>0.28268589</v>
      </c>
      <c r="AS485">
        <v>0</v>
      </c>
      <c r="AT485">
        <v>0</v>
      </c>
      <c r="AU485">
        <v>0</v>
      </c>
      <c r="AV485">
        <v>0</v>
      </c>
      <c r="AW485">
        <v>0</v>
      </c>
      <c r="AX485">
        <v>0</v>
      </c>
    </row>
    <row r="486" spans="1:50" x14ac:dyDescent="0.35">
      <c r="A486" t="s">
        <v>1200</v>
      </c>
      <c r="B486" s="249">
        <f t="shared" si="7"/>
        <v>0.29875315518119999</v>
      </c>
      <c r="C486" s="217">
        <v>1.7565700000000001E-6</v>
      </c>
      <c r="D486">
        <v>2.3772814E-2</v>
      </c>
      <c r="E486">
        <v>3.4693345</v>
      </c>
      <c r="F486" s="217">
        <v>6.0382300000000005E-7</v>
      </c>
      <c r="G486">
        <v>1.141829E-3</v>
      </c>
      <c r="H486">
        <v>6.6512869999999997E-3</v>
      </c>
      <c r="I486">
        <v>1.0215700000000001E-3</v>
      </c>
      <c r="J486">
        <v>0.85499468000000001</v>
      </c>
      <c r="K486">
        <v>1.7058931999999999E-2</v>
      </c>
      <c r="L486">
        <v>57.359029999999997</v>
      </c>
      <c r="M486">
        <v>3.070934E-3</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0.39413535999999999</v>
      </c>
      <c r="AJ486">
        <v>0</v>
      </c>
      <c r="AK486">
        <v>0</v>
      </c>
      <c r="AL486">
        <v>53.058078999999999</v>
      </c>
      <c r="AM486">
        <v>0</v>
      </c>
      <c r="AN486">
        <v>0</v>
      </c>
      <c r="AO486">
        <v>0</v>
      </c>
      <c r="AP486">
        <v>5.0203380000000001E-3</v>
      </c>
      <c r="AQ486">
        <v>3.6440799999999998E-4</v>
      </c>
      <c r="AR486">
        <v>8.9418212999999996E-2</v>
      </c>
      <c r="AS486">
        <v>0</v>
      </c>
      <c r="AT486">
        <v>0</v>
      </c>
      <c r="AU486">
        <v>0</v>
      </c>
      <c r="AV486">
        <v>0</v>
      </c>
      <c r="AW486">
        <v>0</v>
      </c>
      <c r="AX486">
        <v>0</v>
      </c>
    </row>
    <row r="487" spans="1:50" x14ac:dyDescent="0.35">
      <c r="A487" t="s">
        <v>1201</v>
      </c>
      <c r="B487" s="249">
        <f t="shared" si="7"/>
        <v>0.28275261115459999</v>
      </c>
      <c r="C487" s="217">
        <v>5.1140100000000004E-6</v>
      </c>
      <c r="D487">
        <v>2.9818931E-2</v>
      </c>
      <c r="E487">
        <v>3.6750563000000001</v>
      </c>
      <c r="F487" s="217">
        <v>5.3162100000000002E-8</v>
      </c>
      <c r="G487">
        <v>7.4466599999999995E-4</v>
      </c>
      <c r="H487">
        <v>4.2393200000000004E-3</v>
      </c>
      <c r="I487">
        <v>7.4903800000000005E-4</v>
      </c>
      <c r="J487">
        <v>0.73800107000000004</v>
      </c>
      <c r="K487">
        <v>5.9501629999999996E-3</v>
      </c>
      <c r="L487">
        <v>22.606211999999999</v>
      </c>
      <c r="M487">
        <v>2.9862949999999999E-3</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0.44212059999999997</v>
      </c>
      <c r="AJ487">
        <v>0</v>
      </c>
      <c r="AK487">
        <v>0</v>
      </c>
      <c r="AL487">
        <v>63.616281999999998</v>
      </c>
      <c r="AM487">
        <v>0</v>
      </c>
      <c r="AN487">
        <v>0</v>
      </c>
      <c r="AO487">
        <v>0</v>
      </c>
      <c r="AP487">
        <v>2.8771489999999999E-3</v>
      </c>
      <c r="AQ487" s="217">
        <v>9.8355600000000004E-5</v>
      </c>
      <c r="AR487">
        <v>0.10819988</v>
      </c>
      <c r="AS487">
        <v>0</v>
      </c>
      <c r="AT487">
        <v>0</v>
      </c>
      <c r="AU487">
        <v>0</v>
      </c>
      <c r="AV487">
        <v>0</v>
      </c>
      <c r="AW487">
        <v>0</v>
      </c>
      <c r="AX487">
        <v>0</v>
      </c>
    </row>
    <row r="488" spans="1:50" x14ac:dyDescent="0.35">
      <c r="A488" t="s">
        <v>1202</v>
      </c>
      <c r="B488" s="249">
        <f t="shared" si="7"/>
        <v>0.21343029504979999</v>
      </c>
      <c r="C488" s="217">
        <v>2.2397299999999999E-6</v>
      </c>
      <c r="D488">
        <v>5.5331699999999996E-3</v>
      </c>
      <c r="E488">
        <v>1.3805822000000001</v>
      </c>
      <c r="F488" s="217">
        <v>8.6723099999999994E-8</v>
      </c>
      <c r="G488">
        <v>1.00318E-3</v>
      </c>
      <c r="H488">
        <v>4.9627439999999998E-3</v>
      </c>
      <c r="I488">
        <v>2.181643E-3</v>
      </c>
      <c r="J488">
        <v>0.77631486000000005</v>
      </c>
      <c r="K488">
        <v>0.50961345000000002</v>
      </c>
      <c r="L488">
        <v>33.693195000000003</v>
      </c>
      <c r="M488">
        <v>0.22491224000000001</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2.4737833</v>
      </c>
      <c r="AJ488">
        <v>0</v>
      </c>
      <c r="AK488">
        <v>0</v>
      </c>
      <c r="AL488">
        <v>11.613381</v>
      </c>
      <c r="AM488">
        <v>0</v>
      </c>
      <c r="AN488">
        <v>0</v>
      </c>
      <c r="AO488">
        <v>0</v>
      </c>
      <c r="AP488">
        <v>1.9473404E-2</v>
      </c>
      <c r="AQ488" s="217">
        <v>6.3249600000000005E-5</v>
      </c>
      <c r="AR488">
        <v>0.24535799</v>
      </c>
      <c r="AS488">
        <v>0</v>
      </c>
      <c r="AT488">
        <v>0</v>
      </c>
      <c r="AU488">
        <v>0</v>
      </c>
      <c r="AV488">
        <v>0</v>
      </c>
      <c r="AW488">
        <v>0</v>
      </c>
      <c r="AX488">
        <v>0</v>
      </c>
    </row>
    <row r="489" spans="1:50" x14ac:dyDescent="0.35">
      <c r="A489" s="197" t="s">
        <v>1210</v>
      </c>
      <c r="B489" s="249">
        <f t="shared" si="7"/>
        <v>0</v>
      </c>
    </row>
    <row r="490" spans="1:50" x14ac:dyDescent="0.35">
      <c r="A490" t="s">
        <v>1203</v>
      </c>
      <c r="B490" s="249">
        <f t="shared" si="7"/>
        <v>3.0055386135771998E-3</v>
      </c>
      <c r="C490" s="217">
        <v>5.2475254000000004E-7</v>
      </c>
      <c r="D490" s="217">
        <v>3.5662391999999997E-5</v>
      </c>
      <c r="E490">
        <v>5.3891358999999996E-3</v>
      </c>
      <c r="F490" s="217">
        <v>7.6716835999999998E-10</v>
      </c>
      <c r="G490" s="217">
        <v>8.1536918999999994E-6</v>
      </c>
      <c r="H490">
        <v>1.0545104999999999E-4</v>
      </c>
      <c r="I490" s="217">
        <v>2.7334167E-5</v>
      </c>
      <c r="J490">
        <v>1.9115475E-2</v>
      </c>
      <c r="K490">
        <v>4.3812612000000001E-4</v>
      </c>
      <c r="L490">
        <v>1.3378764999999999</v>
      </c>
      <c r="M490">
        <v>2.9804265000000002E-3</v>
      </c>
      <c r="N490">
        <v>5.5794323999999998E-3</v>
      </c>
      <c r="O490">
        <v>5.5384197E-3</v>
      </c>
      <c r="P490" s="217">
        <v>3.4673559000000001E-5</v>
      </c>
      <c r="Q490" s="217">
        <v>6.3391986000000002E-6</v>
      </c>
      <c r="R490" s="217">
        <v>7.2390194000000001E-10</v>
      </c>
      <c r="S490">
        <v>1.2165119E-4</v>
      </c>
      <c r="T490" s="217">
        <v>7.6511355000000008E-6</v>
      </c>
      <c r="U490" s="217">
        <v>9.6606479E-6</v>
      </c>
      <c r="V490">
        <v>1.1871487E-4</v>
      </c>
      <c r="W490" s="217">
        <v>3.7390563E-5</v>
      </c>
      <c r="X490" s="217">
        <v>5.2478017E-7</v>
      </c>
      <c r="Y490">
        <v>6.3570291000000001E-2</v>
      </c>
      <c r="Z490">
        <v>2.4955789999999999E-3</v>
      </c>
      <c r="AA490" s="217">
        <v>8.3511822999999998E-10</v>
      </c>
      <c r="AB490">
        <v>1.6055156999999999E-4</v>
      </c>
      <c r="AC490">
        <v>0.80270330000000001</v>
      </c>
      <c r="AD490" s="217">
        <v>5.5614463E-11</v>
      </c>
      <c r="AE490" s="217">
        <v>1.0221040000000001E-9</v>
      </c>
      <c r="AF490">
        <v>9.8264719E-2</v>
      </c>
      <c r="AG490">
        <v>0</v>
      </c>
      <c r="AH490">
        <v>0</v>
      </c>
      <c r="AI490">
        <v>2.0495118E-2</v>
      </c>
      <c r="AJ490">
        <v>0</v>
      </c>
      <c r="AK490">
        <v>0</v>
      </c>
      <c r="AL490">
        <v>6.7568101000000005E-2</v>
      </c>
      <c r="AM490">
        <v>0</v>
      </c>
      <c r="AN490">
        <v>0</v>
      </c>
      <c r="AO490">
        <v>0</v>
      </c>
      <c r="AP490" s="217">
        <v>7.1606929000000007E-5</v>
      </c>
      <c r="AQ490" s="217">
        <v>5.3469550000000002E-7</v>
      </c>
      <c r="AR490">
        <v>1.0823856E-2</v>
      </c>
      <c r="AS490" s="217">
        <v>1.7727090999999999E-7</v>
      </c>
      <c r="AT490">
        <v>0</v>
      </c>
      <c r="AU490">
        <v>0</v>
      </c>
      <c r="AV490">
        <v>0</v>
      </c>
      <c r="AW490">
        <v>0</v>
      </c>
      <c r="AX490">
        <v>0</v>
      </c>
    </row>
    <row r="491" spans="1:50" x14ac:dyDescent="0.35">
      <c r="A491" t="s">
        <v>1204</v>
      </c>
      <c r="B491" s="249">
        <f t="shared" si="7"/>
        <v>8.4305249430185001E-3</v>
      </c>
      <c r="C491" s="217">
        <v>6.7247584999999998E-7</v>
      </c>
      <c r="D491">
        <v>1.0975861E-4</v>
      </c>
      <c r="E491">
        <v>1.619E-2</v>
      </c>
      <c r="F491" s="217">
        <v>8.9037275000000005E-10</v>
      </c>
      <c r="G491" s="217">
        <v>1.7811914999999999E-5</v>
      </c>
      <c r="H491">
        <v>1.6139546E-4</v>
      </c>
      <c r="I491" s="217">
        <v>3.8640119000000002E-5</v>
      </c>
      <c r="J491">
        <v>6.8719173999999994E-2</v>
      </c>
      <c r="K491">
        <v>6.1619877000000005E-4</v>
      </c>
      <c r="L491">
        <v>1.8407213</v>
      </c>
      <c r="M491">
        <v>3.1179794E-3</v>
      </c>
      <c r="N491">
        <v>1.672301E-2</v>
      </c>
      <c r="O491">
        <v>1.6681656999999999E-2</v>
      </c>
      <c r="P491" s="217">
        <v>2.8222481000000001E-5</v>
      </c>
      <c r="Q491" s="217">
        <v>1.3130529E-5</v>
      </c>
      <c r="R491" s="217">
        <v>9.5220918000000003E-10</v>
      </c>
      <c r="S491">
        <v>1.8902483999999999E-4</v>
      </c>
      <c r="T491" s="217">
        <v>9.7499459000000005E-6</v>
      </c>
      <c r="U491" s="217">
        <v>2.1659437999999999E-5</v>
      </c>
      <c r="V491">
        <v>2.4226978000000001E-4</v>
      </c>
      <c r="W491" s="217">
        <v>8.1350358000000005E-5</v>
      </c>
      <c r="X491" s="217">
        <v>6.7250567999999998E-7</v>
      </c>
      <c r="Y491">
        <v>0.19621525000000001</v>
      </c>
      <c r="Z491">
        <v>8.6850685000000004E-3</v>
      </c>
      <c r="AA491" s="217">
        <v>1.7141521E-9</v>
      </c>
      <c r="AB491">
        <v>4.4010894999999998E-4</v>
      </c>
      <c r="AC491">
        <v>1.1623176</v>
      </c>
      <c r="AD491" s="217">
        <v>1.3345818000000001E-10</v>
      </c>
      <c r="AE491" s="217">
        <v>1.7221779000000001E-9</v>
      </c>
      <c r="AF491">
        <v>0.52728257999999995</v>
      </c>
      <c r="AG491">
        <v>0</v>
      </c>
      <c r="AH491">
        <v>0</v>
      </c>
      <c r="AI491">
        <v>3.2781721999999999E-2</v>
      </c>
      <c r="AJ491">
        <v>0</v>
      </c>
      <c r="AK491">
        <v>0</v>
      </c>
      <c r="AL491">
        <v>0.20903857000000001</v>
      </c>
      <c r="AM491">
        <v>0</v>
      </c>
      <c r="AN491">
        <v>0</v>
      </c>
      <c r="AO491">
        <v>0</v>
      </c>
      <c r="AP491">
        <v>2.2688909E-4</v>
      </c>
      <c r="AQ491" s="217">
        <v>1.5773386999999999E-6</v>
      </c>
      <c r="AR491">
        <v>2.0187729000000001E-2</v>
      </c>
      <c r="AS491" s="217">
        <v>4.4863363999999998E-7</v>
      </c>
      <c r="AT491">
        <v>0</v>
      </c>
      <c r="AU491">
        <v>0</v>
      </c>
      <c r="AV491">
        <v>0</v>
      </c>
      <c r="AW491">
        <v>0</v>
      </c>
      <c r="AX491">
        <v>0</v>
      </c>
    </row>
    <row r="492" spans="1:50" x14ac:dyDescent="0.35">
      <c r="A492" t="s">
        <v>1205</v>
      </c>
      <c r="B492" s="249">
        <f t="shared" si="7"/>
        <v>1.699252409387E-2</v>
      </c>
      <c r="C492" s="217">
        <v>3.2988564000000001E-6</v>
      </c>
      <c r="D492">
        <v>6.6820891000000005E-4</v>
      </c>
      <c r="E492">
        <v>9.7286418E-2</v>
      </c>
      <c r="F492" s="217">
        <v>9.5596082000000001E-9</v>
      </c>
      <c r="G492" s="217">
        <v>8.0768640000000001E-5</v>
      </c>
      <c r="H492">
        <v>6.0635634999999996E-4</v>
      </c>
      <c r="I492">
        <v>1.1183952999999999E-4</v>
      </c>
      <c r="J492">
        <v>8.4408649000000002E-2</v>
      </c>
      <c r="K492">
        <v>1.3911111E-3</v>
      </c>
      <c r="L492">
        <v>5.9387996999999997</v>
      </c>
      <c r="M492">
        <v>3.24275E-3</v>
      </c>
      <c r="N492">
        <v>9.9770937000000004E-2</v>
      </c>
      <c r="O492">
        <v>9.9345892000000005E-2</v>
      </c>
      <c r="P492">
        <v>2.2759287000000001E-4</v>
      </c>
      <c r="Q492">
        <v>1.9745232999999999E-4</v>
      </c>
      <c r="R492" s="217">
        <v>9.1825005999999999E-9</v>
      </c>
      <c r="S492">
        <v>7.3296332000000002E-4</v>
      </c>
      <c r="T492" s="217">
        <v>2.1392962999999999E-5</v>
      </c>
      <c r="U492">
        <v>1.063866E-4</v>
      </c>
      <c r="V492">
        <v>1.2794223E-3</v>
      </c>
      <c r="W492">
        <v>3.9497898000000003E-4</v>
      </c>
      <c r="X492" s="217">
        <v>3.2988833999999998E-6</v>
      </c>
      <c r="Y492">
        <v>1.1968684999999999</v>
      </c>
      <c r="Z492">
        <v>9.1813117E-2</v>
      </c>
      <c r="AA492" s="217">
        <v>6.8245120999999999E-9</v>
      </c>
      <c r="AB492">
        <v>3.6093581E-3</v>
      </c>
      <c r="AC492">
        <v>3.6679789</v>
      </c>
      <c r="AD492" s="217">
        <v>1.6597162999999999E-10</v>
      </c>
      <c r="AE492" s="217">
        <v>4.6137003000000004E-9</v>
      </c>
      <c r="AF492">
        <v>14.666233</v>
      </c>
      <c r="AG492">
        <v>0</v>
      </c>
      <c r="AH492">
        <v>0</v>
      </c>
      <c r="AI492">
        <v>0.22530378000000001</v>
      </c>
      <c r="AJ492">
        <v>0</v>
      </c>
      <c r="AK492">
        <v>0</v>
      </c>
      <c r="AL492">
        <v>1.2764945000000001</v>
      </c>
      <c r="AM492">
        <v>0</v>
      </c>
      <c r="AN492">
        <v>0</v>
      </c>
      <c r="AO492">
        <v>0</v>
      </c>
      <c r="AP492">
        <v>3.0748161999999998E-3</v>
      </c>
      <c r="AQ492" s="217">
        <v>6.7941663999999995E-5</v>
      </c>
      <c r="AR492">
        <v>2.5008744999999999E-2</v>
      </c>
      <c r="AS492" s="217">
        <v>3.1085721000000002E-6</v>
      </c>
      <c r="AT492">
        <v>0</v>
      </c>
      <c r="AU492">
        <v>0</v>
      </c>
      <c r="AV492">
        <v>0</v>
      </c>
      <c r="AW492">
        <v>0</v>
      </c>
      <c r="AX492">
        <v>0</v>
      </c>
    </row>
    <row r="493" spans="1:50" x14ac:dyDescent="0.35">
      <c r="A493" t="s">
        <v>1206</v>
      </c>
      <c r="B493" s="249">
        <f t="shared" si="7"/>
        <v>2.9092681899566004E-3</v>
      </c>
      <c r="C493" s="217">
        <v>5.4428024999999995E-7</v>
      </c>
      <c r="D493" s="217">
        <v>3.7564346000000001E-5</v>
      </c>
      <c r="E493">
        <v>5.6715719999999997E-3</v>
      </c>
      <c r="F493" s="217">
        <v>3.7709521999999998E-10</v>
      </c>
      <c r="G493" s="217">
        <v>8.4491898999999997E-6</v>
      </c>
      <c r="H493">
        <v>1.148273E-4</v>
      </c>
      <c r="I493" s="217">
        <v>2.9366948999999999E-5</v>
      </c>
      <c r="J493">
        <v>1.7164341999999999E-2</v>
      </c>
      <c r="K493">
        <v>4.4295126999999997E-4</v>
      </c>
      <c r="L493">
        <v>1.4254256000000001</v>
      </c>
      <c r="M493">
        <v>2.9741482999999999E-3</v>
      </c>
      <c r="N493">
        <v>5.8670084000000001E-3</v>
      </c>
      <c r="O493">
        <v>5.8199323000000004E-3</v>
      </c>
      <c r="P493" s="217">
        <v>4.0593857E-5</v>
      </c>
      <c r="Q493" s="217">
        <v>6.4823077000000002E-6</v>
      </c>
      <c r="R493" s="217">
        <v>4.2600315E-10</v>
      </c>
      <c r="S493">
        <v>1.3273319999999999E-4</v>
      </c>
      <c r="T493" s="217">
        <v>8.1476850000000006E-6</v>
      </c>
      <c r="U493" s="217">
        <v>1.1078464000000001E-5</v>
      </c>
      <c r="V493">
        <v>1.3582935999999999E-4</v>
      </c>
      <c r="W493" s="217">
        <v>4.1629555000000002E-5</v>
      </c>
      <c r="X493" s="217">
        <v>5.4430785999999995E-7</v>
      </c>
      <c r="Y493">
        <v>6.7291349E-2</v>
      </c>
      <c r="Z493">
        <v>2.3270757999999999E-3</v>
      </c>
      <c r="AA493" s="217">
        <v>9.2044013999999998E-10</v>
      </c>
      <c r="AB493">
        <v>1.6304097000000001E-4</v>
      </c>
      <c r="AC493">
        <v>0.85265142000000005</v>
      </c>
      <c r="AD493" s="217">
        <v>5.1736329000000001E-11</v>
      </c>
      <c r="AE493" s="217">
        <v>1.0560155000000001E-9</v>
      </c>
      <c r="AF493">
        <v>0.13949078000000001</v>
      </c>
      <c r="AG493">
        <v>0</v>
      </c>
      <c r="AH493">
        <v>0</v>
      </c>
      <c r="AI493">
        <v>2.0616817999999999E-2</v>
      </c>
      <c r="AJ493">
        <v>0</v>
      </c>
      <c r="AK493">
        <v>0</v>
      </c>
      <c r="AL493">
        <v>7.1502992000000001E-2</v>
      </c>
      <c r="AM493">
        <v>0</v>
      </c>
      <c r="AN493">
        <v>0</v>
      </c>
      <c r="AO493">
        <v>0</v>
      </c>
      <c r="AP493" s="217">
        <v>6.8793932000000006E-5</v>
      </c>
      <c r="AQ493" s="217">
        <v>4.7616702999999998E-7</v>
      </c>
      <c r="AR493">
        <v>9.5278351999999993E-3</v>
      </c>
      <c r="AS493" s="217">
        <v>1.9094064000000001E-7</v>
      </c>
      <c r="AT493">
        <v>0</v>
      </c>
      <c r="AU493">
        <v>0</v>
      </c>
      <c r="AV493">
        <v>0</v>
      </c>
      <c r="AW493">
        <v>0</v>
      </c>
      <c r="AX493">
        <v>0</v>
      </c>
    </row>
    <row r="494" spans="1:50" x14ac:dyDescent="0.35">
      <c r="A494" t="s">
        <v>1207</v>
      </c>
      <c r="B494" s="249">
        <f t="shared" si="7"/>
        <v>6.27098112920456E-5</v>
      </c>
      <c r="C494" s="217">
        <v>6.4638216E-10</v>
      </c>
      <c r="D494" s="217">
        <v>3.3919433E-6</v>
      </c>
      <c r="E494">
        <v>4.6509721000000001E-4</v>
      </c>
      <c r="F494" s="217">
        <v>1.2892373E-10</v>
      </c>
      <c r="G494" s="217">
        <v>3.2179903000000001E-7</v>
      </c>
      <c r="H494" s="217">
        <v>3.1102026E-6</v>
      </c>
      <c r="I494" s="217">
        <v>6.3978793000000005E-7</v>
      </c>
      <c r="J494">
        <v>2.0770658000000001E-4</v>
      </c>
      <c r="K494" s="217">
        <v>3.3768829E-6</v>
      </c>
      <c r="L494">
        <v>1.071047E-2</v>
      </c>
      <c r="M494" s="217">
        <v>3.3303868999999998E-6</v>
      </c>
      <c r="N494">
        <v>5.3050723999999996E-4</v>
      </c>
      <c r="O494">
        <v>4.7080423999999998E-4</v>
      </c>
      <c r="P494" s="217">
        <v>5.9343618000000001E-5</v>
      </c>
      <c r="Q494" s="217">
        <v>3.5937499000000002E-7</v>
      </c>
      <c r="R494" s="217">
        <v>7.7724656000000003E-11</v>
      </c>
      <c r="S494" s="217">
        <v>4.8983548999999999E-6</v>
      </c>
      <c r="T494" s="217">
        <v>4.4775427000000003E-8</v>
      </c>
      <c r="U494" s="217">
        <v>4.3222948000000002E-7</v>
      </c>
      <c r="V494" s="217">
        <v>1.7682681000000001E-5</v>
      </c>
      <c r="W494" s="217">
        <v>1.4122506999999999E-6</v>
      </c>
      <c r="X494" s="217">
        <v>6.4639484000000003E-10</v>
      </c>
      <c r="Y494">
        <v>2.0226707999999999E-2</v>
      </c>
      <c r="Z494">
        <v>2.6500720000000001E-4</v>
      </c>
      <c r="AA494" s="217">
        <v>4.0964438999999997E-11</v>
      </c>
      <c r="AB494">
        <v>3.5748055E-4</v>
      </c>
      <c r="AC494">
        <v>1.0331254999999999E-2</v>
      </c>
      <c r="AD494" s="217">
        <v>9.5674829000000008E-13</v>
      </c>
      <c r="AE494" s="217">
        <v>1.2019907000000001E-11</v>
      </c>
      <c r="AF494">
        <v>1.6031575E-3</v>
      </c>
      <c r="AG494">
        <v>0</v>
      </c>
      <c r="AH494">
        <v>0</v>
      </c>
      <c r="AI494">
        <v>6.1785603999999997E-3</v>
      </c>
      <c r="AJ494">
        <v>0</v>
      </c>
      <c r="AK494">
        <v>0</v>
      </c>
      <c r="AL494">
        <v>2.0657360999999999E-2</v>
      </c>
      <c r="AM494">
        <v>0</v>
      </c>
      <c r="AN494">
        <v>0</v>
      </c>
      <c r="AO494">
        <v>0</v>
      </c>
      <c r="AP494" s="217">
        <v>2.5151201E-5</v>
      </c>
      <c r="AQ494" s="217">
        <v>2.3104956E-8</v>
      </c>
      <c r="AR494" s="217">
        <v>7.7215087999999999E-5</v>
      </c>
      <c r="AS494" s="217">
        <v>2.2309034999999999E-7</v>
      </c>
      <c r="AT494">
        <v>0</v>
      </c>
      <c r="AU494">
        <v>0</v>
      </c>
      <c r="AV494">
        <v>0</v>
      </c>
      <c r="AW494">
        <v>0</v>
      </c>
      <c r="AX494">
        <v>0</v>
      </c>
    </row>
    <row r="495" spans="1:50" x14ac:dyDescent="0.35">
      <c r="A495" t="s">
        <v>1208</v>
      </c>
      <c r="B495" s="249">
        <f t="shared" si="7"/>
        <v>1.8628950627447999E-4</v>
      </c>
      <c r="C495" s="217">
        <v>1.9428943E-8</v>
      </c>
      <c r="D495" s="217">
        <v>5.3237611999999996E-6</v>
      </c>
      <c r="E495">
        <v>7.5238184999999996E-4</v>
      </c>
      <c r="F495" s="217">
        <v>1.4485952000000001E-10</v>
      </c>
      <c r="G495" s="217">
        <v>6.1803595000000002E-7</v>
      </c>
      <c r="H495" s="217">
        <v>5.8583869E-6</v>
      </c>
      <c r="I495" s="217">
        <v>1.2982166999999999E-6</v>
      </c>
      <c r="J495">
        <v>1.1829395E-3</v>
      </c>
      <c r="K495" s="217">
        <v>1.1749677000000001E-5</v>
      </c>
      <c r="L495">
        <v>4.2337608999999998E-2</v>
      </c>
      <c r="M495" s="217">
        <v>6.7796925999999999E-6</v>
      </c>
      <c r="N495">
        <v>8.2547637000000005E-4</v>
      </c>
      <c r="O495">
        <v>7.6510021999999999E-4</v>
      </c>
      <c r="P495" s="217">
        <v>5.8322209E-5</v>
      </c>
      <c r="Q495" s="217">
        <v>2.0539461999999998E-6</v>
      </c>
      <c r="R495" s="217">
        <v>9.4540466999999996E-11</v>
      </c>
      <c r="S495" s="217">
        <v>8.1240894000000004E-6</v>
      </c>
      <c r="T495" s="217">
        <v>2.1499385999999999E-7</v>
      </c>
      <c r="U495" s="217">
        <v>7.7386512000000001E-7</v>
      </c>
      <c r="V495" s="217">
        <v>2.1868982000000001E-5</v>
      </c>
      <c r="W495" s="217">
        <v>2.7697069999999999E-6</v>
      </c>
      <c r="X495" s="217">
        <v>1.9429101000000001E-8</v>
      </c>
      <c r="Y495">
        <v>2.3514502999999999E-2</v>
      </c>
      <c r="Z495">
        <v>3.6377563999999998E-4</v>
      </c>
      <c r="AA495" s="217">
        <v>6.4803864000000006E-11</v>
      </c>
      <c r="AB495">
        <v>3.6549993E-4</v>
      </c>
      <c r="AC495">
        <v>3.1371621000000002E-2</v>
      </c>
      <c r="AD495" s="217">
        <v>2.5411455999999998E-12</v>
      </c>
      <c r="AE495" s="217">
        <v>4.1145781000000002E-11</v>
      </c>
      <c r="AF495">
        <v>2.9419735999999998E-3</v>
      </c>
      <c r="AG495">
        <v>0</v>
      </c>
      <c r="AH495">
        <v>0</v>
      </c>
      <c r="AI495">
        <v>6.5611554000000001E-3</v>
      </c>
      <c r="AJ495">
        <v>0</v>
      </c>
      <c r="AK495">
        <v>0</v>
      </c>
      <c r="AL495">
        <v>2.4167417E-2</v>
      </c>
      <c r="AM495">
        <v>0</v>
      </c>
      <c r="AN495">
        <v>0</v>
      </c>
      <c r="AO495">
        <v>0</v>
      </c>
      <c r="AP495" s="217">
        <v>2.7889463E-5</v>
      </c>
      <c r="AQ495" s="217">
        <v>5.0078597999999999E-8</v>
      </c>
      <c r="AR495">
        <v>1.7183243999999999E-4</v>
      </c>
      <c r="AS495" s="217">
        <v>2.3056347000000001E-7</v>
      </c>
      <c r="AT495">
        <v>0</v>
      </c>
      <c r="AU495">
        <v>0</v>
      </c>
      <c r="AV495">
        <v>0</v>
      </c>
      <c r="AW495">
        <v>0</v>
      </c>
      <c r="AX495">
        <v>0</v>
      </c>
    </row>
    <row r="496" spans="1:50" x14ac:dyDescent="0.35">
      <c r="A496" t="s">
        <v>1209</v>
      </c>
      <c r="B496" s="249">
        <f t="shared" si="7"/>
        <v>1.3178493714033601E-2</v>
      </c>
      <c r="C496" s="217">
        <v>1.7499146000000001E-7</v>
      </c>
      <c r="D496">
        <v>1.0068951000000001E-3</v>
      </c>
      <c r="E496">
        <v>0.16181872999999999</v>
      </c>
      <c r="F496" s="217">
        <v>1.6033192000000001E-7</v>
      </c>
      <c r="G496" s="217">
        <v>6.9655917000000005E-5</v>
      </c>
      <c r="H496">
        <v>3.6137342999999997E-4</v>
      </c>
      <c r="I496" s="217">
        <v>6.3433428999999994E-5</v>
      </c>
      <c r="J496">
        <v>2.7190742E-2</v>
      </c>
      <c r="K496">
        <v>4.4193092E-4</v>
      </c>
      <c r="L496">
        <v>2.9373159000000002</v>
      </c>
      <c r="M496">
        <v>1.9588882E-4</v>
      </c>
      <c r="N496">
        <v>0.17626913999999999</v>
      </c>
      <c r="O496">
        <v>0.17661589999999999</v>
      </c>
      <c r="P496">
        <v>-3.8494804999999999E-4</v>
      </c>
      <c r="Q496" s="217">
        <v>3.8188415000000003E-5</v>
      </c>
      <c r="R496" s="217">
        <v>1.8257522999999999E-7</v>
      </c>
      <c r="S496">
        <v>4.7116068999999999E-4</v>
      </c>
      <c r="T496" s="217">
        <v>3.0429393E-6</v>
      </c>
      <c r="U496">
        <v>1.4971504E-4</v>
      </c>
      <c r="V496">
        <v>1.6563457000000001E-3</v>
      </c>
      <c r="W496">
        <v>5.1617291999999997E-4</v>
      </c>
      <c r="X496" s="217">
        <v>1.7499140999999999E-7</v>
      </c>
      <c r="Y496">
        <v>1.8645493</v>
      </c>
      <c r="Z496">
        <v>1.2923298999999999E-2</v>
      </c>
      <c r="AA496" s="217">
        <v>2.5722671000000002E-9</v>
      </c>
      <c r="AB496">
        <v>1.0026435000000001E-3</v>
      </c>
      <c r="AC496">
        <v>0.86075972999999995</v>
      </c>
      <c r="AD496" s="217">
        <v>7.7087468999999995E-11</v>
      </c>
      <c r="AE496" s="217">
        <v>1.2168747E-9</v>
      </c>
      <c r="AF496">
        <v>0.23315564999999999</v>
      </c>
      <c r="AG496">
        <v>0</v>
      </c>
      <c r="AH496">
        <v>0</v>
      </c>
      <c r="AI496">
        <v>1.9106287999999999E-2</v>
      </c>
      <c r="AJ496">
        <v>0</v>
      </c>
      <c r="AK496">
        <v>0</v>
      </c>
      <c r="AL496">
        <v>2.0537440999999999</v>
      </c>
      <c r="AM496">
        <v>0</v>
      </c>
      <c r="AN496">
        <v>0</v>
      </c>
      <c r="AO496">
        <v>0</v>
      </c>
      <c r="AP496">
        <v>3.2735163000000001E-4</v>
      </c>
      <c r="AQ496" s="217">
        <v>4.2339020999999998E-6</v>
      </c>
      <c r="AR496">
        <v>1.2017273E-2</v>
      </c>
      <c r="AS496" s="217">
        <v>1.3451540000000001E-6</v>
      </c>
      <c r="AT496">
        <v>0</v>
      </c>
      <c r="AU496">
        <v>0</v>
      </c>
      <c r="AV496">
        <v>0</v>
      </c>
      <c r="AW496">
        <v>0</v>
      </c>
      <c r="AX496">
        <v>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5BE7-66B7-496B-AC6E-E48988DC3804}">
  <sheetPr codeName="Blad9"/>
  <dimension ref="A1:AA127"/>
  <sheetViews>
    <sheetView topLeftCell="A136" zoomScale="70" zoomScaleNormal="70" workbookViewId="0">
      <selection activeCell="G4" sqref="G4"/>
    </sheetView>
  </sheetViews>
  <sheetFormatPr defaultColWidth="8.81640625" defaultRowHeight="14.5" x14ac:dyDescent="0.35"/>
  <cols>
    <col min="1" max="1" width="34.26953125" customWidth="1"/>
    <col min="2" max="2" width="43.26953125" customWidth="1"/>
    <col min="3" max="3" width="25.26953125" customWidth="1"/>
    <col min="4" max="4" width="25.453125" bestFit="1" customWidth="1"/>
    <col min="5" max="7" width="32.54296875" customWidth="1"/>
    <col min="8" max="8" width="32.54296875" style="289" customWidth="1"/>
    <col min="9" max="10" width="27.453125" customWidth="1"/>
    <col min="13" max="13" width="33.81640625" bestFit="1" customWidth="1"/>
    <col min="15" max="15" width="32.7265625" bestFit="1" customWidth="1"/>
    <col min="25" max="25" width="13.1796875" customWidth="1"/>
    <col min="27" max="27" width="10.81640625" customWidth="1"/>
  </cols>
  <sheetData>
    <row r="1" spans="1:27" x14ac:dyDescent="0.35">
      <c r="A1" s="4" t="s">
        <v>5</v>
      </c>
      <c r="B1" t="s">
        <v>444</v>
      </c>
      <c r="C1" s="13" t="s">
        <v>131</v>
      </c>
      <c r="D1" s="12" t="s">
        <v>136</v>
      </c>
      <c r="E1" s="13" t="s">
        <v>445</v>
      </c>
      <c r="F1" s="13" t="s">
        <v>544</v>
      </c>
      <c r="G1" s="13" t="s">
        <v>464</v>
      </c>
      <c r="H1" s="13" t="s">
        <v>465</v>
      </c>
      <c r="I1" t="s">
        <v>137</v>
      </c>
      <c r="J1" t="s">
        <v>138</v>
      </c>
      <c r="M1" t="s">
        <v>64</v>
      </c>
      <c r="O1" s="9" t="s">
        <v>119</v>
      </c>
      <c r="Q1" t="s">
        <v>120</v>
      </c>
      <c r="U1" t="s">
        <v>158</v>
      </c>
      <c r="W1" t="s">
        <v>346</v>
      </c>
      <c r="Y1" s="199" t="s">
        <v>57</v>
      </c>
      <c r="AA1" t="s">
        <v>1286</v>
      </c>
    </row>
    <row r="2" spans="1:27" x14ac:dyDescent="0.35">
      <c r="A2" t="s">
        <v>444</v>
      </c>
      <c r="B2" s="41" t="s">
        <v>1356</v>
      </c>
      <c r="C2" s="13" t="s">
        <v>139</v>
      </c>
      <c r="D2" s="13" t="s">
        <v>133</v>
      </c>
      <c r="E2" s="13" t="s">
        <v>543</v>
      </c>
      <c r="F2" s="13" t="s">
        <v>617</v>
      </c>
      <c r="G2" s="45" t="s">
        <v>600</v>
      </c>
      <c r="H2" s="45" t="s">
        <v>1600</v>
      </c>
      <c r="I2" s="14" t="str">
        <f>'Inschrijf LCA''s'!A4</f>
        <v>Voorbeeld: AC Surf 11 30% PR</v>
      </c>
      <c r="J2" s="14" t="e">
        <f>'Inschrijf LCA''s'!#REF!</f>
        <v>#REF!</v>
      </c>
      <c r="M2" s="41" t="s">
        <v>62</v>
      </c>
      <c r="O2" s="41" t="s">
        <v>114</v>
      </c>
      <c r="Q2" t="s">
        <v>155</v>
      </c>
      <c r="U2" t="s">
        <v>159</v>
      </c>
      <c r="W2" t="s">
        <v>155</v>
      </c>
      <c r="Y2" t="s">
        <v>538</v>
      </c>
      <c r="AA2" t="s">
        <v>1328</v>
      </c>
    </row>
    <row r="3" spans="1:27" x14ac:dyDescent="0.35">
      <c r="A3" t="s">
        <v>140</v>
      </c>
      <c r="B3" s="41" t="s">
        <v>1357</v>
      </c>
      <c r="C3" s="41" t="s">
        <v>1616</v>
      </c>
      <c r="D3" s="13" t="s">
        <v>134</v>
      </c>
      <c r="E3" s="13" t="s">
        <v>607</v>
      </c>
      <c r="F3" s="13" t="s">
        <v>545</v>
      </c>
      <c r="G3" s="13" t="s">
        <v>1272</v>
      </c>
      <c r="H3" s="45" t="s">
        <v>1601</v>
      </c>
      <c r="I3" s="14" t="str">
        <f>'Inschrijf LCA''s'!A5</f>
        <v>Voorbeeld: AC Bin Base 80% PR</v>
      </c>
      <c r="J3" s="14" t="e">
        <f>'Inschrijf LCA''s'!#REF!</f>
        <v>#REF!</v>
      </c>
      <c r="M3" s="41" t="s">
        <v>67</v>
      </c>
      <c r="O3" s="41" t="s">
        <v>110</v>
      </c>
      <c r="U3" t="s">
        <v>160</v>
      </c>
      <c r="W3" t="s">
        <v>347</v>
      </c>
      <c r="Y3" t="s">
        <v>539</v>
      </c>
      <c r="AA3" t="s">
        <v>1329</v>
      </c>
    </row>
    <row r="4" spans="1:27" x14ac:dyDescent="0.35">
      <c r="B4" s="41" t="s">
        <v>1359</v>
      </c>
      <c r="C4" s="41" t="s">
        <v>1615</v>
      </c>
      <c r="D4" s="13" t="s">
        <v>135</v>
      </c>
      <c r="E4" s="13"/>
      <c r="F4" s="13" t="s">
        <v>620</v>
      </c>
      <c r="G4" s="13" t="s">
        <v>1273</v>
      </c>
      <c r="H4" s="45" t="s">
        <v>1602</v>
      </c>
      <c r="I4" s="14">
        <f>'Inschrijf LCA''s'!A6</f>
        <v>0</v>
      </c>
      <c r="J4" s="14" t="e">
        <f>'Inschrijf LCA''s'!#REF!</f>
        <v>#REF!</v>
      </c>
      <c r="M4" s="41" t="s">
        <v>70</v>
      </c>
      <c r="O4" s="41" t="s">
        <v>111</v>
      </c>
      <c r="Y4" t="s">
        <v>540</v>
      </c>
      <c r="AA4" t="s">
        <v>1331</v>
      </c>
    </row>
    <row r="5" spans="1:27" x14ac:dyDescent="0.35">
      <c r="B5" s="41" t="s">
        <v>1360</v>
      </c>
      <c r="C5" s="13" t="s">
        <v>161</v>
      </c>
      <c r="D5" s="13"/>
      <c r="E5" s="13"/>
      <c r="F5" s="13"/>
      <c r="G5" s="13" t="s">
        <v>549</v>
      </c>
      <c r="H5" s="45" t="s">
        <v>1606</v>
      </c>
      <c r="I5" s="14">
        <f>'Inschrijf LCA''s'!A7</f>
        <v>0</v>
      </c>
      <c r="J5" s="14" t="e">
        <f>'Inschrijf LCA''s'!#REF!</f>
        <v>#REF!</v>
      </c>
      <c r="M5" s="41" t="s">
        <v>73</v>
      </c>
      <c r="O5" s="41" t="s">
        <v>115</v>
      </c>
      <c r="Y5" t="s">
        <v>541</v>
      </c>
      <c r="AA5" t="s">
        <v>1330</v>
      </c>
    </row>
    <row r="6" spans="1:27" x14ac:dyDescent="0.35">
      <c r="B6" s="45" t="s">
        <v>1361</v>
      </c>
      <c r="C6" s="13" t="s">
        <v>162</v>
      </c>
      <c r="D6" s="13"/>
      <c r="E6" s="13"/>
      <c r="F6" s="13"/>
      <c r="G6" s="45" t="s">
        <v>1594</v>
      </c>
      <c r="H6" s="45" t="s">
        <v>1607</v>
      </c>
      <c r="I6" s="14">
        <f>'Inschrijf LCA''s'!A8</f>
        <v>0</v>
      </c>
      <c r="J6" s="14" t="e">
        <f>'Inschrijf LCA''s'!#REF!</f>
        <v>#REF!</v>
      </c>
      <c r="M6" s="41" t="s">
        <v>76</v>
      </c>
      <c r="O6" s="41" t="s">
        <v>112</v>
      </c>
      <c r="Y6" t="s">
        <v>93</v>
      </c>
      <c r="AA6" t="s">
        <v>1327</v>
      </c>
    </row>
    <row r="7" spans="1:27" x14ac:dyDescent="0.35">
      <c r="B7" s="45" t="s">
        <v>1362</v>
      </c>
      <c r="C7" s="13"/>
      <c r="D7" s="13"/>
      <c r="E7" s="13"/>
      <c r="F7" s="13"/>
      <c r="G7" s="45" t="s">
        <v>1595</v>
      </c>
      <c r="H7" s="45" t="s">
        <v>1613</v>
      </c>
      <c r="I7" s="14">
        <f>'Inschrijf LCA''s'!A9</f>
        <v>0</v>
      </c>
      <c r="J7" s="14" t="e">
        <f>'Inschrijf LCA''s'!#REF!</f>
        <v>#REF!</v>
      </c>
      <c r="M7" s="41" t="s">
        <v>79</v>
      </c>
      <c r="O7" s="41" t="s">
        <v>113</v>
      </c>
    </row>
    <row r="8" spans="1:27" ht="15.5" x14ac:dyDescent="0.45">
      <c r="B8" s="41" t="s">
        <v>1366</v>
      </c>
      <c r="C8" s="13"/>
      <c r="D8" s="13"/>
      <c r="E8" s="13"/>
      <c r="F8" s="13"/>
      <c r="G8" s="45" t="s">
        <v>1271</v>
      </c>
      <c r="H8" s="13"/>
      <c r="I8" s="14">
        <f>'Inschrijf LCA''s'!A10</f>
        <v>0</v>
      </c>
      <c r="J8" s="14" t="e">
        <f>'Inschrijf LCA''s'!#REF!</f>
        <v>#REF!</v>
      </c>
      <c r="M8" s="41" t="s">
        <v>82</v>
      </c>
      <c r="O8" s="45" t="s">
        <v>259</v>
      </c>
      <c r="P8" s="8"/>
    </row>
    <row r="9" spans="1:27" ht="15.5" x14ac:dyDescent="0.45">
      <c r="B9" s="41" t="s">
        <v>1377</v>
      </c>
      <c r="C9" s="13"/>
      <c r="D9" s="13"/>
      <c r="E9" s="13"/>
      <c r="F9" s="13"/>
      <c r="G9" s="13" t="s">
        <v>547</v>
      </c>
      <c r="H9" s="13"/>
      <c r="I9" s="14">
        <f>'Inschrijf LCA''s'!A11</f>
        <v>0</v>
      </c>
      <c r="J9" s="14" t="e">
        <f>'Inschrijf LCA''s'!#REF!</f>
        <v>#REF!</v>
      </c>
      <c r="M9" s="41" t="s">
        <v>85</v>
      </c>
      <c r="O9" s="45" t="s">
        <v>260</v>
      </c>
      <c r="P9" s="8"/>
    </row>
    <row r="10" spans="1:27" ht="15.5" x14ac:dyDescent="0.45">
      <c r="B10" s="45" t="s">
        <v>1375</v>
      </c>
      <c r="C10" s="13"/>
      <c r="D10" s="13"/>
      <c r="E10" s="13"/>
      <c r="F10" s="230"/>
      <c r="G10" s="13" t="s">
        <v>595</v>
      </c>
      <c r="H10" s="13"/>
      <c r="I10" s="14">
        <f>'Inschrijf LCA''s'!A12</f>
        <v>0</v>
      </c>
      <c r="J10" s="14" t="e">
        <f>'Inschrijf LCA''s'!#REF!</f>
        <v>#REF!</v>
      </c>
      <c r="M10" s="41" t="s">
        <v>88</v>
      </c>
      <c r="O10" s="45" t="s">
        <v>261</v>
      </c>
      <c r="P10" s="8"/>
    </row>
    <row r="11" spans="1:27" ht="15.5" x14ac:dyDescent="0.45">
      <c r="B11" s="45" t="s">
        <v>1367</v>
      </c>
      <c r="C11" s="13"/>
      <c r="D11" s="13"/>
      <c r="E11" s="13"/>
      <c r="F11" s="13"/>
      <c r="G11" s="13" t="s">
        <v>1264</v>
      </c>
      <c r="H11" s="13"/>
      <c r="I11" s="14">
        <f>'Inschrijf LCA''s'!A13</f>
        <v>0</v>
      </c>
      <c r="J11" s="14" t="e">
        <f>'Inschrijf LCA''s'!#REF!</f>
        <v>#REF!</v>
      </c>
      <c r="O11" s="45" t="s">
        <v>262</v>
      </c>
      <c r="P11" s="8"/>
    </row>
    <row r="12" spans="1:27" ht="15.5" x14ac:dyDescent="0.45">
      <c r="B12" s="45" t="s">
        <v>1368</v>
      </c>
      <c r="C12" s="13"/>
      <c r="D12" s="13"/>
      <c r="E12" s="13"/>
      <c r="F12" s="13"/>
      <c r="G12" s="13" t="s">
        <v>1265</v>
      </c>
      <c r="H12" s="13"/>
      <c r="O12" s="45" t="s">
        <v>263</v>
      </c>
      <c r="P12" s="8"/>
    </row>
    <row r="13" spans="1:27" ht="15.5" x14ac:dyDescent="0.45">
      <c r="B13" s="45" t="s">
        <v>1365</v>
      </c>
      <c r="C13" s="13"/>
      <c r="D13" s="13"/>
      <c r="E13" s="13"/>
      <c r="F13" s="13"/>
      <c r="G13" s="45" t="s">
        <v>1591</v>
      </c>
      <c r="H13" s="13"/>
      <c r="O13" s="45" t="s">
        <v>264</v>
      </c>
      <c r="P13" s="8"/>
    </row>
    <row r="14" spans="1:27" x14ac:dyDescent="0.35">
      <c r="B14" s="45" t="s">
        <v>1363</v>
      </c>
      <c r="C14" s="13"/>
      <c r="D14" s="13"/>
      <c r="E14" s="13"/>
      <c r="F14" s="13"/>
      <c r="G14" s="45"/>
      <c r="H14" s="13"/>
      <c r="O14" s="45" t="s">
        <v>265</v>
      </c>
    </row>
    <row r="15" spans="1:27" x14ac:dyDescent="0.35">
      <c r="B15" s="45" t="s">
        <v>1364</v>
      </c>
      <c r="C15" s="13"/>
      <c r="D15" s="13"/>
      <c r="E15" s="13"/>
      <c r="F15" s="13"/>
      <c r="G15" s="13"/>
      <c r="H15" s="13"/>
      <c r="O15" s="45" t="s">
        <v>266</v>
      </c>
    </row>
    <row r="16" spans="1:27" x14ac:dyDescent="0.35">
      <c r="B16" s="45" t="s">
        <v>1376</v>
      </c>
      <c r="C16" s="13"/>
      <c r="D16" s="13"/>
      <c r="E16" s="13"/>
      <c r="F16" s="13"/>
      <c r="G16" s="13"/>
      <c r="H16" s="13"/>
      <c r="O16" s="45" t="s">
        <v>267</v>
      </c>
    </row>
    <row r="17" spans="2:15" ht="15.5" x14ac:dyDescent="0.45">
      <c r="B17" s="45" t="s">
        <v>1378</v>
      </c>
      <c r="C17" s="13"/>
      <c r="D17" s="13"/>
      <c r="E17" s="13"/>
      <c r="F17" s="13"/>
      <c r="G17" s="13"/>
      <c r="H17" s="13"/>
      <c r="O17" s="62" t="s">
        <v>285</v>
      </c>
    </row>
    <row r="18" spans="2:15" ht="15.5" x14ac:dyDescent="0.45">
      <c r="B18" s="45" t="s">
        <v>1370</v>
      </c>
      <c r="C18" s="13"/>
      <c r="D18" s="13"/>
      <c r="E18" s="13"/>
      <c r="F18" s="13"/>
      <c r="G18" s="13"/>
      <c r="H18" s="13"/>
      <c r="O18" s="62" t="s">
        <v>286</v>
      </c>
    </row>
    <row r="19" spans="2:15" ht="15.5" x14ac:dyDescent="0.45">
      <c r="B19" s="45" t="s">
        <v>1371</v>
      </c>
      <c r="C19" s="13"/>
      <c r="D19" s="13"/>
      <c r="E19" s="13"/>
      <c r="F19" s="13"/>
      <c r="G19" s="13"/>
      <c r="H19" s="13"/>
      <c r="O19" s="62" t="s">
        <v>287</v>
      </c>
    </row>
    <row r="20" spans="2:15" ht="15.5" x14ac:dyDescent="0.45">
      <c r="B20" s="45" t="s">
        <v>1372</v>
      </c>
      <c r="C20" s="13"/>
      <c r="D20" s="13"/>
      <c r="E20" s="13"/>
      <c r="F20" s="13"/>
      <c r="G20" s="13"/>
      <c r="H20" s="13"/>
      <c r="O20" s="62" t="s">
        <v>282</v>
      </c>
    </row>
    <row r="21" spans="2:15" ht="15.5" x14ac:dyDescent="0.45">
      <c r="B21" s="45" t="s">
        <v>1369</v>
      </c>
      <c r="O21" s="62" t="s">
        <v>283</v>
      </c>
    </row>
    <row r="22" spans="2:15" ht="15.5" x14ac:dyDescent="0.45">
      <c r="B22" s="45" t="s">
        <v>1374</v>
      </c>
      <c r="O22" s="62" t="s">
        <v>284</v>
      </c>
    </row>
    <row r="23" spans="2:15" ht="15.5" x14ac:dyDescent="0.45">
      <c r="B23" s="45" t="s">
        <v>1373</v>
      </c>
      <c r="O23" s="62"/>
    </row>
    <row r="24" spans="2:15" ht="15.5" x14ac:dyDescent="0.45">
      <c r="B24" s="357" t="s">
        <v>1342</v>
      </c>
      <c r="O24" s="62"/>
    </row>
    <row r="25" spans="2:15" ht="15.5" x14ac:dyDescent="0.45">
      <c r="B25" s="358" t="s">
        <v>1343</v>
      </c>
      <c r="O25" s="62"/>
    </row>
    <row r="26" spans="2:15" x14ac:dyDescent="0.35">
      <c r="B26" s="357" t="s">
        <v>1344</v>
      </c>
    </row>
    <row r="27" spans="2:15" s="289" customFormat="1" x14ac:dyDescent="0.35">
      <c r="B27" s="358" t="s">
        <v>1355</v>
      </c>
    </row>
    <row r="28" spans="2:15" s="289" customFormat="1" x14ac:dyDescent="0.35">
      <c r="B28" s="357" t="s">
        <v>1340</v>
      </c>
    </row>
    <row r="29" spans="2:15" s="289" customFormat="1" x14ac:dyDescent="0.35">
      <c r="B29" s="358" t="s">
        <v>1341</v>
      </c>
    </row>
    <row r="30" spans="2:15" s="289" customFormat="1" x14ac:dyDescent="0.35">
      <c r="B30" s="357" t="s">
        <v>1354</v>
      </c>
    </row>
    <row r="31" spans="2:15" s="289" customFormat="1" x14ac:dyDescent="0.35">
      <c r="B31" s="358" t="s">
        <v>1345</v>
      </c>
    </row>
    <row r="32" spans="2:15" s="289" customFormat="1" x14ac:dyDescent="0.35">
      <c r="B32" s="357" t="s">
        <v>1346</v>
      </c>
    </row>
    <row r="33" spans="2:2" s="289" customFormat="1" x14ac:dyDescent="0.35">
      <c r="B33" s="358" t="s">
        <v>1339</v>
      </c>
    </row>
    <row r="34" spans="2:2" s="289" customFormat="1" x14ac:dyDescent="0.35">
      <c r="B34" s="357" t="s">
        <v>1337</v>
      </c>
    </row>
    <row r="35" spans="2:2" s="289" customFormat="1" x14ac:dyDescent="0.35">
      <c r="B35" s="358" t="s">
        <v>1338</v>
      </c>
    </row>
    <row r="36" spans="2:2" s="289" customFormat="1" x14ac:dyDescent="0.35">
      <c r="B36" s="357" t="s">
        <v>1349</v>
      </c>
    </row>
    <row r="37" spans="2:2" s="289" customFormat="1" x14ac:dyDescent="0.35">
      <c r="B37" s="358" t="s">
        <v>1348</v>
      </c>
    </row>
    <row r="38" spans="2:2" s="289" customFormat="1" x14ac:dyDescent="0.35">
      <c r="B38" s="357" t="s">
        <v>1350</v>
      </c>
    </row>
    <row r="39" spans="2:2" s="289" customFormat="1" x14ac:dyDescent="0.35">
      <c r="B39" s="358" t="s">
        <v>1351</v>
      </c>
    </row>
    <row r="40" spans="2:2" s="289" customFormat="1" x14ac:dyDescent="0.35">
      <c r="B40" s="357" t="s">
        <v>1347</v>
      </c>
    </row>
    <row r="41" spans="2:2" s="289" customFormat="1" x14ac:dyDescent="0.35">
      <c r="B41" s="358" t="s">
        <v>1353</v>
      </c>
    </row>
    <row r="42" spans="2:2" s="289" customFormat="1" x14ac:dyDescent="0.35">
      <c r="B42" s="357" t="s">
        <v>1352</v>
      </c>
    </row>
    <row r="43" spans="2:2" s="289" customFormat="1" x14ac:dyDescent="0.35">
      <c r="B43" s="358" t="s">
        <v>546</v>
      </c>
    </row>
    <row r="44" spans="2:2" s="289" customFormat="1" x14ac:dyDescent="0.35">
      <c r="B44" s="359" t="s">
        <v>557</v>
      </c>
    </row>
    <row r="45" spans="2:2" s="289" customFormat="1" x14ac:dyDescent="0.35">
      <c r="B45" s="360" t="s">
        <v>558</v>
      </c>
    </row>
    <row r="46" spans="2:2" s="289" customFormat="1" x14ac:dyDescent="0.35">
      <c r="B46" s="361" t="s">
        <v>1262</v>
      </c>
    </row>
    <row r="47" spans="2:2" s="289" customFormat="1" x14ac:dyDescent="0.35">
      <c r="B47" s="357"/>
    </row>
    <row r="48" spans="2:2" s="289" customFormat="1" x14ac:dyDescent="0.35">
      <c r="B48" s="358"/>
    </row>
    <row r="49" spans="1:15" s="289" customFormat="1" x14ac:dyDescent="0.35">
      <c r="B49" s="359"/>
    </row>
    <row r="50" spans="1:15" s="289" customFormat="1" x14ac:dyDescent="0.35">
      <c r="B50" s="360"/>
    </row>
    <row r="51" spans="1:15" s="289" customFormat="1" x14ac:dyDescent="0.35">
      <c r="B51" s="359"/>
    </row>
    <row r="52" spans="1:15" s="289" customFormat="1" x14ac:dyDescent="0.35"/>
    <row r="53" spans="1:15" s="289" customFormat="1" x14ac:dyDescent="0.35"/>
    <row r="54" spans="1:15" s="289" customFormat="1" x14ac:dyDescent="0.35"/>
    <row r="58" spans="1:15" x14ac:dyDescent="0.35">
      <c r="B58" s="229"/>
      <c r="O58" s="276" t="s">
        <v>268</v>
      </c>
    </row>
    <row r="59" spans="1:15" x14ac:dyDescent="0.35">
      <c r="B59" s="230"/>
      <c r="O59" s="277" t="s">
        <v>269</v>
      </c>
    </row>
    <row r="60" spans="1:15" x14ac:dyDescent="0.35">
      <c r="O60" s="276" t="s">
        <v>270</v>
      </c>
    </row>
    <row r="62" spans="1:15" x14ac:dyDescent="0.35">
      <c r="A62" s="268" t="s">
        <v>131</v>
      </c>
    </row>
    <row r="63" spans="1:15" x14ac:dyDescent="0.35">
      <c r="A63" s="267" t="s">
        <v>136</v>
      </c>
    </row>
    <row r="64" spans="1:15" x14ac:dyDescent="0.35">
      <c r="A64" s="278" t="s">
        <v>445</v>
      </c>
    </row>
    <row r="65" spans="1:13" x14ac:dyDescent="0.35">
      <c r="A65" s="267" t="s">
        <v>464</v>
      </c>
      <c r="M65" s="276" t="s">
        <v>174</v>
      </c>
    </row>
    <row r="66" spans="1:13" x14ac:dyDescent="0.35">
      <c r="A66" s="268" t="s">
        <v>528</v>
      </c>
      <c r="B66" t="s">
        <v>1326</v>
      </c>
      <c r="C66" t="s">
        <v>139</v>
      </c>
      <c r="D66" t="s">
        <v>134</v>
      </c>
      <c r="M66" s="267" t="s">
        <v>183</v>
      </c>
    </row>
    <row r="67" spans="1:13" x14ac:dyDescent="0.35">
      <c r="A67" s="267" t="s">
        <v>465</v>
      </c>
      <c r="B67" t="s">
        <v>1407</v>
      </c>
      <c r="C67" t="s">
        <v>54</v>
      </c>
      <c r="D67" t="s">
        <v>476</v>
      </c>
      <c r="M67" s="268" t="s">
        <v>184</v>
      </c>
    </row>
    <row r="68" spans="1:13" x14ac:dyDescent="0.35">
      <c r="A68" s="268" t="s">
        <v>466</v>
      </c>
      <c r="B68" t="s">
        <v>470</v>
      </c>
      <c r="C68" t="s">
        <v>503</v>
      </c>
      <c r="D68" t="s">
        <v>506</v>
      </c>
      <c r="M68" s="267" t="s">
        <v>185</v>
      </c>
    </row>
    <row r="69" spans="1:13" x14ac:dyDescent="0.35">
      <c r="A69" s="267" t="s">
        <v>467</v>
      </c>
      <c r="B69" t="s">
        <v>1427</v>
      </c>
      <c r="C69" t="s">
        <v>504</v>
      </c>
      <c r="D69" t="s">
        <v>507</v>
      </c>
      <c r="M69" s="268" t="s">
        <v>186</v>
      </c>
    </row>
    <row r="70" spans="1:13" x14ac:dyDescent="0.35">
      <c r="B70" s="289" t="s">
        <v>1428</v>
      </c>
      <c r="C70" t="s">
        <v>505</v>
      </c>
      <c r="D70" t="s">
        <v>508</v>
      </c>
      <c r="M70" s="267" t="s">
        <v>187</v>
      </c>
    </row>
    <row r="71" spans="1:13" x14ac:dyDescent="0.35">
      <c r="B71" s="289" t="s">
        <v>39</v>
      </c>
      <c r="M71" s="268" t="s">
        <v>188</v>
      </c>
    </row>
    <row r="72" spans="1:13" x14ac:dyDescent="0.35">
      <c r="B72" s="289" t="s">
        <v>472</v>
      </c>
      <c r="M72" s="267" t="s">
        <v>189</v>
      </c>
    </row>
    <row r="73" spans="1:13" x14ac:dyDescent="0.35">
      <c r="B73" s="289" t="s">
        <v>502</v>
      </c>
      <c r="M73" s="268" t="s">
        <v>190</v>
      </c>
    </row>
    <row r="74" spans="1:13" x14ac:dyDescent="0.35">
      <c r="M74" s="267" t="s">
        <v>191</v>
      </c>
    </row>
    <row r="75" spans="1:13" x14ac:dyDescent="0.35">
      <c r="M75" s="268" t="s">
        <v>192</v>
      </c>
    </row>
    <row r="76" spans="1:13" x14ac:dyDescent="0.35">
      <c r="M76" s="277" t="s">
        <v>175</v>
      </c>
    </row>
    <row r="77" spans="1:13" x14ac:dyDescent="0.35">
      <c r="M77" s="276" t="s">
        <v>194</v>
      </c>
    </row>
    <row r="78" spans="1:13" x14ac:dyDescent="0.35">
      <c r="M78" s="277" t="s">
        <v>195</v>
      </c>
    </row>
    <row r="79" spans="1:13" x14ac:dyDescent="0.35">
      <c r="M79" s="276" t="s">
        <v>196</v>
      </c>
    </row>
    <row r="80" spans="1:13" x14ac:dyDescent="0.35">
      <c r="M80" s="277" t="s">
        <v>197</v>
      </c>
    </row>
    <row r="81" spans="13:13" x14ac:dyDescent="0.35">
      <c r="M81" s="276" t="s">
        <v>198</v>
      </c>
    </row>
    <row r="82" spans="13:13" x14ac:dyDescent="0.35">
      <c r="M82" s="277" t="s">
        <v>199</v>
      </c>
    </row>
    <row r="83" spans="13:13" x14ac:dyDescent="0.35">
      <c r="M83" s="276" t="s">
        <v>200</v>
      </c>
    </row>
    <row r="84" spans="13:13" x14ac:dyDescent="0.35">
      <c r="M84" s="277" t="s">
        <v>201</v>
      </c>
    </row>
    <row r="85" spans="13:13" x14ac:dyDescent="0.35">
      <c r="M85" s="276" t="s">
        <v>202</v>
      </c>
    </row>
    <row r="86" spans="13:13" x14ac:dyDescent="0.35">
      <c r="M86" s="277" t="s">
        <v>203</v>
      </c>
    </row>
    <row r="87" spans="13:13" x14ac:dyDescent="0.35">
      <c r="M87" s="276" t="s">
        <v>288</v>
      </c>
    </row>
    <row r="88" spans="13:13" x14ac:dyDescent="0.35">
      <c r="M88" s="277" t="s">
        <v>289</v>
      </c>
    </row>
    <row r="109" spans="1:3" ht="18" x14ac:dyDescent="0.55000000000000004">
      <c r="A109" s="243" t="s">
        <v>1211</v>
      </c>
      <c r="B109" s="244" t="s">
        <v>57</v>
      </c>
      <c r="C109" s="243" t="s">
        <v>1212</v>
      </c>
    </row>
    <row r="110" spans="1:3" ht="18" x14ac:dyDescent="0.55000000000000004">
      <c r="A110" s="245" t="s">
        <v>1213</v>
      </c>
      <c r="B110" s="246" t="s">
        <v>1214</v>
      </c>
      <c r="C110" s="247">
        <v>0.16</v>
      </c>
    </row>
    <row r="111" spans="1:3" ht="18" x14ac:dyDescent="0.55000000000000004">
      <c r="A111" s="245" t="s">
        <v>1215</v>
      </c>
      <c r="B111" s="245" t="s">
        <v>1214</v>
      </c>
      <c r="C111" s="247">
        <v>0.16</v>
      </c>
    </row>
    <row r="112" spans="1:3" ht="18" x14ac:dyDescent="0.55000000000000004">
      <c r="A112" s="245" t="s">
        <v>1216</v>
      </c>
      <c r="B112" s="245" t="s">
        <v>1217</v>
      </c>
      <c r="C112" s="247">
        <v>0.05</v>
      </c>
    </row>
    <row r="113" spans="1:3" ht="18" x14ac:dyDescent="0.55000000000000004">
      <c r="A113" s="245" t="s">
        <v>1218</v>
      </c>
      <c r="B113" s="245" t="s">
        <v>1219</v>
      </c>
      <c r="C113" s="247">
        <v>30</v>
      </c>
    </row>
    <row r="114" spans="1:3" ht="18" x14ac:dyDescent="0.55000000000000004">
      <c r="A114" s="245" t="s">
        <v>1220</v>
      </c>
      <c r="B114" s="1" t="s">
        <v>678</v>
      </c>
      <c r="C114" s="247">
        <v>2</v>
      </c>
    </row>
    <row r="115" spans="1:3" ht="18" x14ac:dyDescent="0.55000000000000004">
      <c r="A115" s="245" t="s">
        <v>1221</v>
      </c>
      <c r="B115" s="245" t="s">
        <v>1222</v>
      </c>
      <c r="C115" s="247">
        <v>4</v>
      </c>
    </row>
    <row r="116" spans="1:3" ht="18" x14ac:dyDescent="0.55000000000000004">
      <c r="A116" s="245" t="s">
        <v>1223</v>
      </c>
      <c r="B116" s="1" t="s">
        <v>1224</v>
      </c>
      <c r="C116" s="247">
        <v>9</v>
      </c>
    </row>
    <row r="117" spans="1:3" ht="18" x14ac:dyDescent="0.55000000000000004">
      <c r="A117" s="245" t="s">
        <v>1225</v>
      </c>
      <c r="B117" s="1" t="s">
        <v>681</v>
      </c>
      <c r="C117" s="247">
        <v>0.09</v>
      </c>
    </row>
    <row r="118" spans="1:3" ht="18" x14ac:dyDescent="0.55000000000000004">
      <c r="A118" s="245" t="s">
        <v>1226</v>
      </c>
      <c r="B118" s="1" t="s">
        <v>681</v>
      </c>
      <c r="C118" s="247">
        <v>0.03</v>
      </c>
    </row>
    <row r="119" spans="1:3" ht="18" x14ac:dyDescent="0.55000000000000004">
      <c r="A119" s="245" t="s">
        <v>1227</v>
      </c>
      <c r="B119" s="1" t="s">
        <v>681</v>
      </c>
      <c r="C119" s="248">
        <v>1E-4</v>
      </c>
    </row>
    <row r="120" spans="1:3" ht="18" x14ac:dyDescent="0.55000000000000004">
      <c r="A120" s="245" t="s">
        <v>1228</v>
      </c>
      <c r="B120" s="1" t="s">
        <v>681</v>
      </c>
      <c r="C120" s="247">
        <v>0.06</v>
      </c>
    </row>
    <row r="121" spans="1:3" ht="18" x14ac:dyDescent="0.55000000000000004">
      <c r="A121" s="245" t="s">
        <v>1229</v>
      </c>
      <c r="B121" s="245" t="s">
        <v>688</v>
      </c>
      <c r="C121" s="247">
        <v>0</v>
      </c>
    </row>
    <row r="122" spans="1:3" ht="18" x14ac:dyDescent="0.55000000000000004">
      <c r="A122" s="245" t="s">
        <v>1230</v>
      </c>
      <c r="B122" s="245" t="s">
        <v>688</v>
      </c>
      <c r="C122" s="247">
        <v>0</v>
      </c>
    </row>
    <row r="123" spans="1:3" ht="18" x14ac:dyDescent="0.55000000000000004">
      <c r="A123" s="245" t="s">
        <v>1231</v>
      </c>
      <c r="B123" s="245" t="s">
        <v>688</v>
      </c>
      <c r="C123" s="247">
        <v>0</v>
      </c>
    </row>
    <row r="124" spans="1:3" ht="18" x14ac:dyDescent="0.55000000000000004">
      <c r="A124" s="245" t="s">
        <v>1232</v>
      </c>
      <c r="B124" s="245" t="s">
        <v>1233</v>
      </c>
      <c r="C124" s="247">
        <v>0</v>
      </c>
    </row>
    <row r="125" spans="1:3" ht="18" x14ac:dyDescent="0.55000000000000004">
      <c r="A125" s="245" t="s">
        <v>1234</v>
      </c>
      <c r="B125" s="245" t="s">
        <v>695</v>
      </c>
      <c r="C125" s="247">
        <v>0</v>
      </c>
    </row>
    <row r="126" spans="1:3" ht="18" x14ac:dyDescent="0.55000000000000004">
      <c r="A126" s="245" t="s">
        <v>1235</v>
      </c>
      <c r="B126" s="245" t="s">
        <v>695</v>
      </c>
      <c r="C126" s="247">
        <v>0</v>
      </c>
    </row>
    <row r="127" spans="1:3" ht="18" x14ac:dyDescent="0.55000000000000004">
      <c r="A127" s="245" t="s">
        <v>1236</v>
      </c>
      <c r="B127" s="245" t="s">
        <v>695</v>
      </c>
      <c r="C127" s="247">
        <v>0</v>
      </c>
    </row>
  </sheetData>
  <conditionalFormatting sqref="P8:P13">
    <cfRule type="expression" dxfId="100" priority="11">
      <formula>IF($D$2:$D$517=Transport,#REF!=0)</formula>
    </cfRule>
  </conditionalFormatting>
  <conditionalFormatting sqref="D1">
    <cfRule type="expression" dxfId="99" priority="10">
      <formula>NULL</formula>
    </cfRule>
  </conditionalFormatting>
  <conditionalFormatting sqref="D1">
    <cfRule type="containsText" dxfId="98" priority="9" operator="containsText" text="NULL">
      <formula>NOT(ISERROR(SEARCH("NULL",D1)))</formula>
    </cfRule>
  </conditionalFormatting>
  <conditionalFormatting sqref="A63">
    <cfRule type="containsText" dxfId="97" priority="7" operator="containsText" text="NULL">
      <formula>NOT(ISERROR(SEARCH("NULL",A63)))</formula>
    </cfRule>
  </conditionalFormatting>
  <conditionalFormatting sqref="A63">
    <cfRule type="expression" dxfId="96" priority="8">
      <formula>NULL</formula>
    </cfRule>
  </conditionalFormatting>
  <conditionalFormatting sqref="O2:O22 O58:O60">
    <cfRule type="expression" dxfId="95" priority="5">
      <formula>IF($D$2:$D$676=Transport,#REF!=0)</formula>
    </cfRule>
  </conditionalFormatting>
  <conditionalFormatting sqref="O14:O16 O58:O60">
    <cfRule type="expression" dxfId="94" priority="4">
      <formula>IF($D$2:$D$676=Transport,#REF!=0)</formula>
    </cfRule>
  </conditionalFormatting>
  <conditionalFormatting sqref="M65 M2:M10 M76">
    <cfRule type="expression" dxfId="93" priority="3">
      <formula>IF($D$2:$D$700=Transport,#REF!=0)</formula>
    </cfRule>
  </conditionalFormatting>
  <conditionalFormatting sqref="O17:O22">
    <cfRule type="expression" dxfId="92" priority="2">
      <formula>IF($D$2:$D$700=Transport,#REF!=0)</formula>
    </cfRule>
  </conditionalFormatting>
  <pageMargins left="0.7" right="0.7" top="0.75" bottom="0.75" header="0.3" footer="0.3"/>
  <tableParts count="1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34FE9-495D-477D-892F-98494F2D0EF3}">
  <sheetPr codeName="Blad11"/>
  <dimension ref="A1:S34"/>
  <sheetViews>
    <sheetView zoomScale="85" zoomScaleNormal="85" workbookViewId="0">
      <selection activeCell="G4" sqref="G4"/>
    </sheetView>
  </sheetViews>
  <sheetFormatPr defaultColWidth="8.81640625" defaultRowHeight="14.5" x14ac:dyDescent="0.35"/>
  <cols>
    <col min="1" max="1" width="34.26953125" customWidth="1"/>
    <col min="2" max="2" width="43.26953125" customWidth="1"/>
    <col min="3" max="3" width="25.26953125" customWidth="1"/>
    <col min="4" max="4" width="25.453125" bestFit="1" customWidth="1"/>
    <col min="5" max="5" width="20.7265625" bestFit="1" customWidth="1"/>
    <col min="6" max="7" width="27.453125" customWidth="1"/>
    <col min="10" max="10" width="33.81640625" bestFit="1" customWidth="1"/>
    <col min="12" max="12" width="32.7265625" bestFit="1" customWidth="1"/>
  </cols>
  <sheetData>
    <row r="1" spans="1:19" x14ac:dyDescent="0.35">
      <c r="A1" s="4" t="s">
        <v>5</v>
      </c>
      <c r="B1" t="s">
        <v>444</v>
      </c>
      <c r="C1" s="13" t="s">
        <v>131</v>
      </c>
      <c r="D1" s="12" t="s">
        <v>136</v>
      </c>
      <c r="E1" s="13" t="s">
        <v>445</v>
      </c>
      <c r="F1" t="s">
        <v>137</v>
      </c>
      <c r="G1" t="s">
        <v>138</v>
      </c>
      <c r="J1" t="s">
        <v>64</v>
      </c>
      <c r="L1" s="9" t="s">
        <v>119</v>
      </c>
      <c r="Q1" t="s">
        <v>513</v>
      </c>
      <c r="S1" t="s">
        <v>346</v>
      </c>
    </row>
    <row r="2" spans="1:19" x14ac:dyDescent="0.35">
      <c r="A2" t="s">
        <v>444</v>
      </c>
      <c r="B2" t="s">
        <v>29</v>
      </c>
      <c r="C2" s="13" t="s">
        <v>139</v>
      </c>
      <c r="D2" s="13" t="s">
        <v>133</v>
      </c>
      <c r="E2" s="13"/>
      <c r="F2" s="14" t="str">
        <f>'Inschrijf LCA''s'!A4</f>
        <v>Voorbeeld: AC Surf 11 30% PR</v>
      </c>
      <c r="G2" s="14" t="e">
        <f>'Inschrijf LCA''s'!#REF!</f>
        <v>#REF!</v>
      </c>
      <c r="J2" s="41" t="s">
        <v>62</v>
      </c>
      <c r="L2" s="41" t="s">
        <v>114</v>
      </c>
      <c r="Q2" t="s">
        <v>509</v>
      </c>
      <c r="S2" t="s">
        <v>155</v>
      </c>
    </row>
    <row r="3" spans="1:19" x14ac:dyDescent="0.35">
      <c r="A3" t="s">
        <v>131</v>
      </c>
      <c r="B3" t="s">
        <v>30</v>
      </c>
      <c r="C3" s="13" t="s">
        <v>54</v>
      </c>
      <c r="D3" s="13" t="s">
        <v>134</v>
      </c>
      <c r="E3" s="13"/>
      <c r="F3" s="14" t="str">
        <f>'Inschrijf LCA''s'!A5</f>
        <v>Voorbeeld: AC Bin Base 80% PR</v>
      </c>
      <c r="G3" s="14" t="e">
        <f>'Inschrijf LCA''s'!#REF!</f>
        <v>#REF!</v>
      </c>
      <c r="J3" s="41" t="s">
        <v>67</v>
      </c>
      <c r="L3" s="41" t="s">
        <v>110</v>
      </c>
      <c r="Q3" t="s">
        <v>510</v>
      </c>
      <c r="S3" t="s">
        <v>347</v>
      </c>
    </row>
    <row r="4" spans="1:19" x14ac:dyDescent="0.35">
      <c r="A4" t="s">
        <v>136</v>
      </c>
      <c r="B4" t="s">
        <v>31</v>
      </c>
      <c r="C4" s="13" t="s">
        <v>161</v>
      </c>
      <c r="D4" s="13" t="s">
        <v>135</v>
      </c>
      <c r="E4" s="13"/>
      <c r="F4" s="14">
        <f>'Inschrijf LCA''s'!A6</f>
        <v>0</v>
      </c>
      <c r="G4" s="14" t="e">
        <f>'Inschrijf LCA''s'!#REF!</f>
        <v>#REF!</v>
      </c>
      <c r="J4" s="41" t="s">
        <v>70</v>
      </c>
      <c r="L4" s="41" t="s">
        <v>111</v>
      </c>
      <c r="Q4" t="s">
        <v>511</v>
      </c>
    </row>
    <row r="5" spans="1:19" x14ac:dyDescent="0.35">
      <c r="A5" s="169" t="s">
        <v>445</v>
      </c>
      <c r="B5" t="s">
        <v>32</v>
      </c>
      <c r="C5" s="13" t="s">
        <v>162</v>
      </c>
      <c r="D5" s="13"/>
      <c r="E5" s="13"/>
      <c r="F5" s="14">
        <f>'Inschrijf LCA''s'!A7</f>
        <v>0</v>
      </c>
      <c r="G5" s="14" t="e">
        <f>'Inschrijf LCA''s'!#REF!</f>
        <v>#REF!</v>
      </c>
      <c r="J5" s="41" t="s">
        <v>73</v>
      </c>
      <c r="L5" s="41" t="s">
        <v>115</v>
      </c>
      <c r="Q5" t="s">
        <v>512</v>
      </c>
    </row>
    <row r="6" spans="1:19" x14ac:dyDescent="0.35">
      <c r="A6" t="s">
        <v>464</v>
      </c>
      <c r="B6" t="s">
        <v>33</v>
      </c>
      <c r="C6" s="13"/>
      <c r="D6" s="13"/>
      <c r="E6" s="13"/>
      <c r="F6" s="14">
        <f>'Inschrijf LCA''s'!A8</f>
        <v>0</v>
      </c>
      <c r="G6" s="14" t="e">
        <f>'Inschrijf LCA''s'!#REF!</f>
        <v>#REF!</v>
      </c>
      <c r="J6" s="41" t="s">
        <v>76</v>
      </c>
      <c r="L6" s="41" t="s">
        <v>112</v>
      </c>
    </row>
    <row r="7" spans="1:19" x14ac:dyDescent="0.35">
      <c r="A7" t="s">
        <v>465</v>
      </c>
      <c r="B7" t="s">
        <v>34</v>
      </c>
      <c r="C7" s="13"/>
      <c r="D7" s="13"/>
      <c r="E7" s="13"/>
      <c r="F7" s="14">
        <f>'Inschrijf LCA''s'!A9</f>
        <v>0</v>
      </c>
      <c r="G7" s="14" t="e">
        <f>'Inschrijf LCA''s'!#REF!</f>
        <v>#REF!</v>
      </c>
      <c r="J7" s="41" t="s">
        <v>174</v>
      </c>
      <c r="L7" s="41" t="s">
        <v>113</v>
      </c>
    </row>
    <row r="8" spans="1:19" ht="15.5" x14ac:dyDescent="0.45">
      <c r="A8" t="s">
        <v>466</v>
      </c>
      <c r="B8" t="s">
        <v>35</v>
      </c>
      <c r="C8" s="13"/>
      <c r="D8" s="13"/>
      <c r="E8" s="13"/>
      <c r="F8" s="14">
        <f>'Inschrijf LCA''s'!A10</f>
        <v>0</v>
      </c>
      <c r="G8" s="14" t="e">
        <f>'Inschrijf LCA''s'!#REF!</f>
        <v>#REF!</v>
      </c>
      <c r="J8" t="s">
        <v>183</v>
      </c>
      <c r="L8" s="45" t="s">
        <v>259</v>
      </c>
      <c r="M8" s="8"/>
    </row>
    <row r="9" spans="1:19" ht="15.5" x14ac:dyDescent="0.45">
      <c r="A9" t="s">
        <v>467</v>
      </c>
      <c r="B9" t="s">
        <v>36</v>
      </c>
      <c r="C9" s="13"/>
      <c r="D9" s="13"/>
      <c r="E9" s="13"/>
      <c r="F9" s="14">
        <f>'Inschrijf LCA''s'!A11</f>
        <v>0</v>
      </c>
      <c r="G9" s="14" t="e">
        <f>'Inschrijf LCA''s'!#REF!</f>
        <v>#REF!</v>
      </c>
      <c r="J9" t="s">
        <v>184</v>
      </c>
      <c r="L9" s="45" t="s">
        <v>260</v>
      </c>
      <c r="M9" s="8"/>
    </row>
    <row r="10" spans="1:19" ht="15.5" x14ac:dyDescent="0.45">
      <c r="A10" t="s">
        <v>140</v>
      </c>
      <c r="B10" t="s">
        <v>37</v>
      </c>
      <c r="C10" s="13"/>
      <c r="D10" s="13"/>
      <c r="E10" s="13"/>
      <c r="F10" s="14">
        <f>'Inschrijf LCA''s'!A12</f>
        <v>0</v>
      </c>
      <c r="G10" s="14" t="e">
        <f>'Inschrijf LCA''s'!#REF!</f>
        <v>#REF!</v>
      </c>
      <c r="J10" t="s">
        <v>185</v>
      </c>
      <c r="L10" s="45" t="s">
        <v>261</v>
      </c>
      <c r="M10" s="8"/>
    </row>
    <row r="11" spans="1:19" ht="15.5" x14ac:dyDescent="0.45">
      <c r="B11" t="s">
        <v>38</v>
      </c>
      <c r="C11" s="13"/>
      <c r="D11" s="13"/>
      <c r="E11" s="13"/>
      <c r="F11" s="14">
        <f>'Inschrijf LCA''s'!A13</f>
        <v>0</v>
      </c>
      <c r="G11" s="14" t="e">
        <f>'Inschrijf LCA''s'!#REF!</f>
        <v>#REF!</v>
      </c>
      <c r="J11" t="s">
        <v>186</v>
      </c>
      <c r="L11" s="45" t="s">
        <v>262</v>
      </c>
      <c r="M11" s="8"/>
    </row>
    <row r="12" spans="1:19" ht="15.5" x14ac:dyDescent="0.45">
      <c r="B12" t="s">
        <v>39</v>
      </c>
      <c r="C12" s="13"/>
      <c r="D12" s="13"/>
      <c r="E12" s="13"/>
      <c r="J12" t="s">
        <v>187</v>
      </c>
      <c r="L12" s="45" t="s">
        <v>263</v>
      </c>
      <c r="M12" s="8"/>
    </row>
    <row r="13" spans="1:19" ht="15.5" x14ac:dyDescent="0.45">
      <c r="B13" t="s">
        <v>40</v>
      </c>
      <c r="C13" s="13"/>
      <c r="D13" s="13"/>
      <c r="E13" s="13"/>
      <c r="J13" t="s">
        <v>188</v>
      </c>
      <c r="L13" s="45" t="s">
        <v>264</v>
      </c>
      <c r="M13" s="8"/>
    </row>
    <row r="14" spans="1:19" x14ac:dyDescent="0.35">
      <c r="B14" t="s">
        <v>41</v>
      </c>
      <c r="C14" s="13"/>
      <c r="D14" s="13"/>
      <c r="E14" s="13"/>
      <c r="J14" t="s">
        <v>189</v>
      </c>
      <c r="L14" s="45" t="s">
        <v>265</v>
      </c>
    </row>
    <row r="15" spans="1:19" x14ac:dyDescent="0.35">
      <c r="B15" t="s">
        <v>42</v>
      </c>
      <c r="C15" s="13"/>
      <c r="D15" s="13"/>
      <c r="E15" s="13"/>
      <c r="J15" t="s">
        <v>190</v>
      </c>
      <c r="L15" s="45" t="s">
        <v>266</v>
      </c>
    </row>
    <row r="16" spans="1:19" x14ac:dyDescent="0.35">
      <c r="B16" t="s">
        <v>43</v>
      </c>
      <c r="C16" s="13"/>
      <c r="D16" s="13"/>
      <c r="E16" s="13"/>
      <c r="J16" t="s">
        <v>191</v>
      </c>
      <c r="L16" s="45" t="s">
        <v>267</v>
      </c>
    </row>
    <row r="17" spans="2:12" x14ac:dyDescent="0.35">
      <c r="B17" t="s">
        <v>44</v>
      </c>
      <c r="C17" s="13"/>
      <c r="D17" s="13"/>
      <c r="E17" s="13"/>
      <c r="J17" t="s">
        <v>192</v>
      </c>
      <c r="L17" s="45" t="s">
        <v>268</v>
      </c>
    </row>
    <row r="18" spans="2:12" x14ac:dyDescent="0.35">
      <c r="B18" t="s">
        <v>45</v>
      </c>
      <c r="C18" s="13"/>
      <c r="D18" s="13"/>
      <c r="E18" s="13"/>
      <c r="J18" s="41" t="s">
        <v>79</v>
      </c>
      <c r="L18" s="45" t="s">
        <v>269</v>
      </c>
    </row>
    <row r="19" spans="2:12" x14ac:dyDescent="0.35">
      <c r="B19" t="s">
        <v>46</v>
      </c>
      <c r="C19" s="13"/>
      <c r="D19" s="13"/>
      <c r="E19" s="13"/>
      <c r="J19" s="41" t="s">
        <v>82</v>
      </c>
      <c r="L19" s="45" t="s">
        <v>270</v>
      </c>
    </row>
    <row r="20" spans="2:12" x14ac:dyDescent="0.35">
      <c r="B20" t="s">
        <v>47</v>
      </c>
      <c r="C20" s="13"/>
      <c r="D20" s="13"/>
      <c r="E20" s="13"/>
      <c r="J20" s="41" t="s">
        <v>85</v>
      </c>
      <c r="L20" s="172" t="s">
        <v>285</v>
      </c>
    </row>
    <row r="21" spans="2:12" x14ac:dyDescent="0.35">
      <c r="J21" s="41" t="s">
        <v>88</v>
      </c>
      <c r="L21" s="172" t="s">
        <v>286</v>
      </c>
    </row>
    <row r="22" spans="2:12" x14ac:dyDescent="0.35">
      <c r="J22" s="41" t="s">
        <v>175</v>
      </c>
      <c r="L22" s="172" t="s">
        <v>287</v>
      </c>
    </row>
    <row r="23" spans="2:12" x14ac:dyDescent="0.35">
      <c r="J23" s="45" t="s">
        <v>194</v>
      </c>
      <c r="L23" s="172" t="s">
        <v>282</v>
      </c>
    </row>
    <row r="24" spans="2:12" x14ac:dyDescent="0.35">
      <c r="J24" s="45" t="s">
        <v>195</v>
      </c>
      <c r="L24" s="172" t="s">
        <v>283</v>
      </c>
    </row>
    <row r="25" spans="2:12" x14ac:dyDescent="0.35">
      <c r="J25" s="45" t="s">
        <v>196</v>
      </c>
      <c r="L25" s="172" t="s">
        <v>284</v>
      </c>
    </row>
    <row r="26" spans="2:12" x14ac:dyDescent="0.35">
      <c r="J26" s="45" t="s">
        <v>197</v>
      </c>
    </row>
    <row r="27" spans="2:12" x14ac:dyDescent="0.35">
      <c r="J27" s="45" t="s">
        <v>198</v>
      </c>
    </row>
    <row r="28" spans="2:12" x14ac:dyDescent="0.35">
      <c r="J28" s="45" t="s">
        <v>199</v>
      </c>
    </row>
    <row r="29" spans="2:12" x14ac:dyDescent="0.35">
      <c r="J29" s="45" t="s">
        <v>200</v>
      </c>
    </row>
    <row r="30" spans="2:12" x14ac:dyDescent="0.35">
      <c r="J30" s="45" t="s">
        <v>201</v>
      </c>
    </row>
    <row r="31" spans="2:12" x14ac:dyDescent="0.35">
      <c r="J31" s="45" t="s">
        <v>202</v>
      </c>
    </row>
    <row r="32" spans="2:12" x14ac:dyDescent="0.35">
      <c r="J32" s="45" t="s">
        <v>203</v>
      </c>
    </row>
    <row r="33" spans="10:10" x14ac:dyDescent="0.35">
      <c r="J33" s="45" t="s">
        <v>288</v>
      </c>
    </row>
    <row r="34" spans="10:10" x14ac:dyDescent="0.35">
      <c r="J34" s="45" t="s">
        <v>289</v>
      </c>
    </row>
  </sheetData>
  <conditionalFormatting sqref="M8:M13">
    <cfRule type="expression" dxfId="54" priority="10">
      <formula>IF($D$2:$D$489=Transport,#REF!=0)</formula>
    </cfRule>
  </conditionalFormatting>
  <conditionalFormatting sqref="D1">
    <cfRule type="expression" dxfId="53" priority="9">
      <formula>NULL</formula>
    </cfRule>
  </conditionalFormatting>
  <conditionalFormatting sqref="D1">
    <cfRule type="containsText" dxfId="52" priority="8" operator="containsText" text="NULL">
      <formula>NOT(ISERROR(SEARCH("NULL",D1)))</formula>
    </cfRule>
  </conditionalFormatting>
  <conditionalFormatting sqref="A4">
    <cfRule type="containsText" dxfId="51" priority="6" operator="containsText" text="NULL">
      <formula>NOT(ISERROR(SEARCH("NULL",A4)))</formula>
    </cfRule>
  </conditionalFormatting>
  <conditionalFormatting sqref="A4">
    <cfRule type="expression" dxfId="50" priority="7">
      <formula>NULL</formula>
    </cfRule>
  </conditionalFormatting>
  <conditionalFormatting sqref="L2:L25">
    <cfRule type="expression" dxfId="49" priority="5">
      <formula>IF($D$2:$D$648=Transport,#REF!=0)</formula>
    </cfRule>
  </conditionalFormatting>
  <conditionalFormatting sqref="L14:L19">
    <cfRule type="expression" dxfId="48" priority="4">
      <formula>IF($D$2:$D$648=Transport,#REF!=0)</formula>
    </cfRule>
  </conditionalFormatting>
  <conditionalFormatting sqref="J18:J22 J2:J7">
    <cfRule type="expression" dxfId="47" priority="3">
      <formula>IF($D$2:$D$672=Transport,#REF!=0)</formula>
    </cfRule>
  </conditionalFormatting>
  <conditionalFormatting sqref="L20:L22">
    <cfRule type="expression" dxfId="46" priority="2">
      <formula>IF($D$2:$D$672=Transport,#REF!=0)</formula>
    </cfRule>
  </conditionalFormatting>
  <conditionalFormatting sqref="L23:L25">
    <cfRule type="expression" dxfId="45" priority="1">
      <formula>IF($D$2:$D$672=Transport,#REF!=0)</formula>
    </cfRule>
  </conditionalFormatting>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5EAD-CA76-4F50-99DF-E307CD605F6E}">
  <sheetPr codeName="Blad12"/>
  <dimension ref="A1:DW49"/>
  <sheetViews>
    <sheetView zoomScale="55" zoomScaleNormal="55" workbookViewId="0">
      <selection activeCell="I18" sqref="I18"/>
    </sheetView>
  </sheetViews>
  <sheetFormatPr defaultRowHeight="14.5" x14ac:dyDescent="0.35"/>
  <cols>
    <col min="1" max="1" width="21.1796875" bestFit="1" customWidth="1"/>
    <col min="2" max="2" width="19.453125" bestFit="1" customWidth="1"/>
    <col min="3" max="3" width="19.1796875" bestFit="1" customWidth="1"/>
    <col min="4" max="4" width="26.1796875" bestFit="1" customWidth="1"/>
    <col min="5" max="5" width="22" bestFit="1" customWidth="1"/>
    <col min="6" max="6" width="15.453125" bestFit="1" customWidth="1"/>
    <col min="7" max="7" width="16.54296875" bestFit="1" customWidth="1"/>
    <col min="8" max="8" width="19.54296875" bestFit="1" customWidth="1"/>
    <col min="9" max="9" width="12.26953125" bestFit="1" customWidth="1"/>
    <col min="10" max="10" width="30.26953125" bestFit="1" customWidth="1"/>
    <col min="11" max="11" width="52.81640625" bestFit="1" customWidth="1"/>
    <col min="12" max="12" width="20.81640625" bestFit="1" customWidth="1"/>
    <col min="13" max="13" width="20.7265625" bestFit="1" customWidth="1"/>
    <col min="14" max="14" width="22" bestFit="1" customWidth="1"/>
    <col min="15" max="15" width="36.54296875" bestFit="1" customWidth="1"/>
    <col min="16" max="16" width="20.7265625" bestFit="1" customWidth="1"/>
    <col min="17" max="17" width="21.1796875" bestFit="1" customWidth="1"/>
    <col min="18" max="18" width="22.7265625" bestFit="1" customWidth="1"/>
    <col min="19" max="19" width="68" bestFit="1" customWidth="1"/>
    <col min="20" max="20" width="57" bestFit="1" customWidth="1"/>
    <col min="21" max="21" width="42.26953125" bestFit="1" customWidth="1"/>
    <col min="22" max="22" width="48.453125" bestFit="1" customWidth="1"/>
    <col min="23" max="23" width="39.81640625" bestFit="1" customWidth="1"/>
    <col min="24" max="24" width="42.26953125" bestFit="1" customWidth="1"/>
    <col min="25" max="25" width="57" bestFit="1" customWidth="1"/>
    <col min="26" max="26" width="47.7265625" bestFit="1" customWidth="1"/>
    <col min="27" max="27" width="39.81640625" bestFit="1" customWidth="1"/>
    <col min="28" max="28" width="35" bestFit="1" customWidth="1"/>
    <col min="29" max="29" width="21.453125" bestFit="1" customWidth="1"/>
    <col min="30" max="32" width="22.26953125" bestFit="1" customWidth="1"/>
    <col min="33" max="33" width="22" bestFit="1" customWidth="1"/>
    <col min="34" max="34" width="21.453125" bestFit="1" customWidth="1"/>
    <col min="35" max="35" width="22.26953125" bestFit="1" customWidth="1"/>
    <col min="36" max="36" width="21.453125" bestFit="1" customWidth="1"/>
    <col min="37" max="39" width="22.26953125" bestFit="1" customWidth="1"/>
    <col min="40" max="40" width="21.453125" bestFit="1" customWidth="1"/>
    <col min="41" max="41" width="22.26953125" bestFit="1" customWidth="1"/>
    <col min="42" max="42" width="24.54296875" bestFit="1" customWidth="1"/>
    <col min="43" max="43" width="22.7265625" bestFit="1" customWidth="1"/>
    <col min="44" max="46" width="23.26953125" bestFit="1" customWidth="1"/>
    <col min="47" max="47" width="23" bestFit="1" customWidth="1"/>
    <col min="48" max="48" width="22.7265625" bestFit="1" customWidth="1"/>
    <col min="49" max="49" width="23.26953125" bestFit="1" customWidth="1"/>
    <col min="50" max="50" width="22.7265625" bestFit="1" customWidth="1"/>
    <col min="51" max="53" width="23.26953125" bestFit="1" customWidth="1"/>
    <col min="54" max="54" width="22.7265625" bestFit="1" customWidth="1"/>
    <col min="55" max="55" width="23.26953125" bestFit="1" customWidth="1"/>
    <col min="56" max="56" width="25.54296875" bestFit="1" customWidth="1"/>
    <col min="57" max="57" width="39.54296875" bestFit="1" customWidth="1"/>
    <col min="58" max="58" width="38.54296875" bestFit="1" customWidth="1"/>
    <col min="59" max="59" width="40.1796875" bestFit="1" customWidth="1"/>
    <col min="60" max="60" width="43" bestFit="1" customWidth="1"/>
    <col min="61" max="61" width="57.26953125" bestFit="1" customWidth="1"/>
    <col min="62" max="62" width="57.81640625" bestFit="1" customWidth="1"/>
    <col min="63" max="63" width="60.81640625" bestFit="1" customWidth="1"/>
    <col min="64" max="64" width="47.7265625" bestFit="1" customWidth="1"/>
    <col min="65" max="65" width="50.81640625" bestFit="1" customWidth="1"/>
    <col min="66" max="66" width="36.7265625" bestFit="1" customWidth="1"/>
    <col min="67" max="67" width="40.1796875" bestFit="1" customWidth="1"/>
    <col min="68" max="70" width="40.7265625" bestFit="1" customWidth="1"/>
    <col min="71" max="71" width="40.453125" bestFit="1" customWidth="1"/>
    <col min="72" max="72" width="40.1796875" bestFit="1" customWidth="1"/>
    <col min="73" max="73" width="40.7265625" bestFit="1" customWidth="1"/>
    <col min="74" max="74" width="40.1796875" bestFit="1" customWidth="1"/>
    <col min="75" max="77" width="40.7265625" bestFit="1" customWidth="1"/>
    <col min="78" max="78" width="40.1796875" bestFit="1" customWidth="1"/>
    <col min="79" max="79" width="40.7265625" bestFit="1" customWidth="1"/>
    <col min="80" max="80" width="43" bestFit="1" customWidth="1"/>
    <col min="81" max="81" width="34.7265625" bestFit="1" customWidth="1"/>
    <col min="82" max="84" width="35.1796875" bestFit="1" customWidth="1"/>
    <col min="85" max="85" width="35" bestFit="1" customWidth="1"/>
    <col min="86" max="86" width="34.7265625" bestFit="1" customWidth="1"/>
    <col min="87" max="87" width="35.1796875" bestFit="1" customWidth="1"/>
    <col min="88" max="88" width="34.7265625" bestFit="1" customWidth="1"/>
    <col min="89" max="91" width="35.1796875" bestFit="1" customWidth="1"/>
    <col min="92" max="92" width="34.7265625" bestFit="1" customWidth="1"/>
    <col min="93" max="93" width="35.1796875" bestFit="1" customWidth="1"/>
    <col min="94" max="94" width="37.54296875" bestFit="1" customWidth="1"/>
    <col min="95" max="95" width="72.54296875" bestFit="1" customWidth="1"/>
    <col min="96" max="96" width="63.26953125" bestFit="1" customWidth="1"/>
    <col min="97" max="97" width="81.1796875" bestFit="1" customWidth="1"/>
    <col min="98" max="98" width="75.453125" bestFit="1" customWidth="1"/>
    <col min="99" max="99" width="57" bestFit="1" customWidth="1"/>
    <col min="100" max="100" width="81.1796875" bestFit="1" customWidth="1"/>
    <col min="101" max="101" width="80.81640625" bestFit="1" customWidth="1"/>
    <col min="102" max="102" width="81.1796875" bestFit="1" customWidth="1"/>
    <col min="103" max="103" width="64.54296875" bestFit="1" customWidth="1"/>
    <col min="104" max="104" width="70.54296875" bestFit="1" customWidth="1"/>
    <col min="105" max="105" width="45.81640625" bestFit="1" customWidth="1"/>
    <col min="106" max="106" width="72.81640625" bestFit="1" customWidth="1"/>
    <col min="107" max="107" width="66.81640625" bestFit="1" customWidth="1"/>
    <col min="108" max="108" width="71" bestFit="1" customWidth="1"/>
    <col min="109" max="109" width="64.81640625" bestFit="1" customWidth="1"/>
    <col min="110" max="110" width="77.26953125" bestFit="1" customWidth="1"/>
    <col min="111" max="111" width="81.1796875" bestFit="1" customWidth="1"/>
    <col min="112" max="113" width="81.1796875" style="289" bestFit="1" customWidth="1"/>
    <col min="114" max="114" width="66.1796875" style="289" bestFit="1" customWidth="1"/>
    <col min="115" max="115" width="33.81640625" style="289" bestFit="1" customWidth="1"/>
    <col min="116" max="116" width="33.453125" style="289" bestFit="1" customWidth="1"/>
    <col min="117" max="117" width="34.453125" style="289" bestFit="1" customWidth="1"/>
    <col min="118" max="118" width="33.81640625" style="289" customWidth="1"/>
    <col min="119" max="119" width="28.1796875" style="289" bestFit="1" customWidth="1"/>
    <col min="120" max="120" width="28.7265625" style="289" bestFit="1" customWidth="1"/>
    <col min="121" max="121" width="33.81640625" style="289" bestFit="1" customWidth="1"/>
    <col min="122" max="122" width="34.453125" style="289" customWidth="1"/>
    <col min="123" max="123" width="36.26953125" style="289" bestFit="1" customWidth="1"/>
    <col min="124" max="124" width="35.1796875" style="289" bestFit="1" customWidth="1"/>
    <col min="125" max="125" width="36.7265625" style="289" bestFit="1" customWidth="1"/>
    <col min="126" max="126" width="35.7265625" style="289" bestFit="1" customWidth="1"/>
    <col min="127" max="127" width="67.7265625" style="289" bestFit="1" customWidth="1"/>
    <col min="128" max="128" width="67.7265625" bestFit="1" customWidth="1"/>
    <col min="129" max="129" width="20.7265625" bestFit="1" customWidth="1"/>
    <col min="130" max="130" width="21.1796875" bestFit="1" customWidth="1"/>
    <col min="131" max="131" width="22.7265625" bestFit="1" customWidth="1"/>
    <col min="132" max="132" width="65.81640625" bestFit="1" customWidth="1"/>
    <col min="133" max="133" width="55.453125" bestFit="1" customWidth="1"/>
    <col min="134" max="134" width="41.1796875" bestFit="1" customWidth="1"/>
    <col min="135" max="135" width="47.1796875" bestFit="1" customWidth="1"/>
    <col min="136" max="136" width="40.7265625" bestFit="1" customWidth="1"/>
    <col min="137" max="137" width="40.81640625" bestFit="1" customWidth="1"/>
    <col min="138" max="138" width="56" bestFit="1" customWidth="1"/>
    <col min="139" max="139" width="46.54296875" bestFit="1" customWidth="1"/>
    <col min="140" max="140" width="39.81640625" bestFit="1" customWidth="1"/>
    <col min="141" max="142" width="21.453125" bestFit="1" customWidth="1"/>
    <col min="143" max="145" width="22.26953125" bestFit="1" customWidth="1"/>
    <col min="146" max="146" width="22" bestFit="1" customWidth="1"/>
    <col min="147" max="147" width="21.453125" bestFit="1" customWidth="1"/>
    <col min="148" max="148" width="22.26953125" bestFit="1" customWidth="1"/>
    <col min="149" max="149" width="21.453125" bestFit="1" customWidth="1"/>
    <col min="150" max="152" width="22.26953125" bestFit="1" customWidth="1"/>
    <col min="153" max="153" width="21.453125" bestFit="1" customWidth="1"/>
    <col min="154" max="154" width="22.26953125" bestFit="1" customWidth="1"/>
    <col min="155" max="155" width="25.1796875" bestFit="1" customWidth="1"/>
    <col min="156" max="156" width="22.7265625" bestFit="1" customWidth="1"/>
    <col min="157" max="159" width="23.26953125" bestFit="1" customWidth="1"/>
    <col min="160" max="160" width="23" bestFit="1" customWidth="1"/>
    <col min="161" max="161" width="22.7265625" bestFit="1" customWidth="1"/>
    <col min="162" max="162" width="23.26953125" bestFit="1" customWidth="1"/>
    <col min="163" max="163" width="22.7265625" bestFit="1" customWidth="1"/>
    <col min="164" max="166" width="23.26953125" bestFit="1" customWidth="1"/>
    <col min="167" max="167" width="22.7265625" bestFit="1" customWidth="1"/>
    <col min="168" max="168" width="23.26953125" bestFit="1" customWidth="1"/>
    <col min="169" max="169" width="26.1796875" bestFit="1" customWidth="1"/>
    <col min="170" max="170" width="40.1796875" bestFit="1" customWidth="1"/>
    <col min="171" max="171" width="38.81640625" bestFit="1" customWidth="1"/>
    <col min="172" max="172" width="40.1796875" bestFit="1" customWidth="1"/>
    <col min="173" max="173" width="43.26953125" bestFit="1" customWidth="1"/>
    <col min="174" max="175" width="58" bestFit="1" customWidth="1"/>
    <col min="176" max="176" width="61.453125" bestFit="1" customWidth="1"/>
    <col min="177" max="177" width="47.7265625" bestFit="1" customWidth="1"/>
    <col min="178" max="178" width="51" bestFit="1" customWidth="1"/>
    <col min="179" max="179" width="37.26953125" bestFit="1" customWidth="1"/>
    <col min="180" max="180" width="39.81640625" bestFit="1" customWidth="1"/>
    <col min="181" max="183" width="40.453125" bestFit="1" customWidth="1"/>
    <col min="184" max="184" width="40.1796875" bestFit="1" customWidth="1"/>
    <col min="185" max="185" width="39.81640625" bestFit="1" customWidth="1"/>
    <col min="186" max="186" width="40.453125" bestFit="1" customWidth="1"/>
    <col min="187" max="187" width="39.81640625" bestFit="1" customWidth="1"/>
    <col min="188" max="190" width="40.453125" bestFit="1" customWidth="1"/>
    <col min="191" max="191" width="39.81640625" bestFit="1" customWidth="1"/>
    <col min="192" max="192" width="40.453125" bestFit="1" customWidth="1"/>
    <col min="193" max="193" width="43.26953125" bestFit="1" customWidth="1"/>
    <col min="194" max="194" width="34.453125" bestFit="1" customWidth="1"/>
    <col min="195" max="197" width="35" bestFit="1" customWidth="1"/>
    <col min="198" max="198" width="34.7265625" bestFit="1" customWidth="1"/>
    <col min="199" max="199" width="34.453125" bestFit="1" customWidth="1"/>
    <col min="200" max="200" width="35" bestFit="1" customWidth="1"/>
    <col min="201" max="201" width="34.453125" bestFit="1" customWidth="1"/>
    <col min="202" max="204" width="35" bestFit="1" customWidth="1"/>
    <col min="205" max="205" width="34.453125" bestFit="1" customWidth="1"/>
    <col min="206" max="206" width="35" bestFit="1" customWidth="1"/>
    <col min="207" max="207" width="37.81640625" bestFit="1" customWidth="1"/>
    <col min="208" max="208" width="71.54296875" bestFit="1" customWidth="1"/>
    <col min="209" max="209" width="62.7265625" bestFit="1" customWidth="1"/>
    <col min="210" max="210" width="81.1796875" bestFit="1" customWidth="1"/>
    <col min="211" max="211" width="74.1796875" bestFit="1" customWidth="1"/>
    <col min="212" max="212" width="56.7265625" bestFit="1" customWidth="1"/>
    <col min="213" max="213" width="81.1796875" bestFit="1" customWidth="1"/>
    <col min="214" max="214" width="79.81640625" bestFit="1" customWidth="1"/>
    <col min="215" max="215" width="80.453125" bestFit="1" customWidth="1"/>
    <col min="216" max="216" width="64.26953125" bestFit="1" customWidth="1"/>
    <col min="217" max="217" width="70.26953125" bestFit="1" customWidth="1"/>
    <col min="218" max="218" width="46.453125" bestFit="1" customWidth="1"/>
    <col min="219" max="219" width="72.1796875" bestFit="1" customWidth="1"/>
    <col min="220" max="220" width="66.453125" bestFit="1" customWidth="1"/>
    <col min="221" max="221" width="70" bestFit="1" customWidth="1"/>
    <col min="222" max="222" width="64.26953125" bestFit="1" customWidth="1"/>
    <col min="223" max="223" width="76" bestFit="1" customWidth="1"/>
    <col min="224" max="224" width="81.1796875" customWidth="1"/>
    <col min="225" max="225" width="81.1796875" bestFit="1" customWidth="1"/>
    <col min="226" max="226" width="81.1796875" customWidth="1"/>
    <col min="227" max="227" width="65.54296875" bestFit="1" customWidth="1"/>
    <col min="228" max="230" width="81.1796875" bestFit="1" customWidth="1"/>
    <col min="231" max="231" width="74.1796875" bestFit="1" customWidth="1"/>
    <col min="232" max="232" width="52.54296875" bestFit="1" customWidth="1"/>
    <col min="233" max="233" width="38.81640625" bestFit="1" customWidth="1"/>
    <col min="234" max="234" width="45.453125" bestFit="1" customWidth="1"/>
    <col min="235" max="235" width="38.54296875" bestFit="1" customWidth="1"/>
    <col min="236" max="236" width="39.1796875" bestFit="1" customWidth="1"/>
    <col min="237" max="237" width="52.453125" bestFit="1" customWidth="1"/>
    <col min="238" max="238" width="43.1796875" bestFit="1" customWidth="1"/>
    <col min="239" max="239" width="38.26953125" bestFit="1" customWidth="1"/>
    <col min="240" max="241" width="19.26953125" bestFit="1" customWidth="1"/>
    <col min="242" max="245" width="20" bestFit="1" customWidth="1"/>
    <col min="246" max="246" width="19.26953125" bestFit="1" customWidth="1"/>
    <col min="247" max="247" width="20" bestFit="1" customWidth="1"/>
    <col min="248" max="248" width="19.26953125" bestFit="1" customWidth="1"/>
    <col min="249" max="251" width="20" bestFit="1" customWidth="1"/>
    <col min="252" max="252" width="19.26953125" bestFit="1" customWidth="1"/>
    <col min="253" max="253" width="20" bestFit="1" customWidth="1"/>
    <col min="254" max="254" width="22.54296875" bestFit="1" customWidth="1"/>
    <col min="255" max="255" width="20.7265625" bestFit="1" customWidth="1"/>
    <col min="256" max="259" width="21.1796875" bestFit="1" customWidth="1"/>
    <col min="260" max="260" width="20.7265625" bestFit="1" customWidth="1"/>
    <col min="261" max="261" width="21.1796875" bestFit="1" customWidth="1"/>
    <col min="262" max="262" width="20.7265625" bestFit="1" customWidth="1"/>
    <col min="263" max="265" width="21.1796875" bestFit="1" customWidth="1"/>
    <col min="266" max="266" width="20.7265625" bestFit="1" customWidth="1"/>
    <col min="267" max="267" width="21.1796875" bestFit="1" customWidth="1"/>
    <col min="268" max="268" width="23.81640625" bestFit="1" customWidth="1"/>
    <col min="269" max="269" width="36.7265625" bestFit="1" customWidth="1"/>
    <col min="270" max="270" width="37.1796875" bestFit="1" customWidth="1"/>
    <col min="271" max="271" width="36.453125" bestFit="1" customWidth="1"/>
    <col min="272" max="272" width="40.54296875" bestFit="1" customWidth="1"/>
    <col min="273" max="273" width="54.81640625" bestFit="1" customWidth="1"/>
    <col min="274" max="274" width="54.54296875" bestFit="1" customWidth="1"/>
    <col min="275" max="275" width="58.7265625" bestFit="1" customWidth="1"/>
    <col min="276" max="276" width="43.81640625" bestFit="1" customWidth="1"/>
    <col min="277" max="277" width="47.81640625" bestFit="1" customWidth="1"/>
    <col min="278" max="278" width="33.54296875" bestFit="1" customWidth="1"/>
    <col min="279" max="279" width="38.1796875" bestFit="1" customWidth="1"/>
    <col min="280" max="283" width="38.54296875" bestFit="1" customWidth="1"/>
    <col min="284" max="284" width="38.1796875" bestFit="1" customWidth="1"/>
    <col min="285" max="285" width="38.54296875" bestFit="1" customWidth="1"/>
    <col min="286" max="286" width="38.1796875" bestFit="1" customWidth="1"/>
    <col min="287" max="289" width="38.54296875" bestFit="1" customWidth="1"/>
    <col min="290" max="290" width="38.1796875" bestFit="1" customWidth="1"/>
    <col min="291" max="291" width="38.54296875" bestFit="1" customWidth="1"/>
    <col min="292" max="292" width="41.453125" bestFit="1" customWidth="1"/>
    <col min="293" max="293" width="32" bestFit="1" customWidth="1"/>
    <col min="294" max="297" width="32.453125" bestFit="1" customWidth="1"/>
    <col min="298" max="298" width="32" bestFit="1" customWidth="1"/>
    <col min="299" max="299" width="32.453125" bestFit="1" customWidth="1"/>
    <col min="300" max="300" width="32" bestFit="1" customWidth="1"/>
    <col min="301" max="303" width="32.453125" bestFit="1" customWidth="1"/>
    <col min="304" max="304" width="32" bestFit="1" customWidth="1"/>
    <col min="305" max="305" width="32.453125" bestFit="1" customWidth="1"/>
    <col min="306" max="306" width="35.26953125" bestFit="1" customWidth="1"/>
    <col min="307" max="307" width="66.453125" bestFit="1" customWidth="1"/>
    <col min="308" max="308" width="57.7265625" bestFit="1" customWidth="1"/>
    <col min="309" max="309" width="78.26953125" bestFit="1" customWidth="1"/>
    <col min="310" max="310" width="69.54296875" bestFit="1" customWidth="1"/>
    <col min="311" max="311" width="53" bestFit="1" customWidth="1"/>
    <col min="312" max="312" width="81.1796875" bestFit="1" customWidth="1"/>
    <col min="313" max="313" width="74.81640625" bestFit="1" customWidth="1"/>
    <col min="314" max="314" width="76.26953125" bestFit="1" customWidth="1"/>
    <col min="315" max="315" width="60.54296875" bestFit="1" customWidth="1"/>
    <col min="316" max="316" width="66.453125" bestFit="1" customWidth="1"/>
    <col min="317" max="317" width="42.81640625" bestFit="1" customWidth="1"/>
    <col min="318" max="318" width="78.7265625" bestFit="1" customWidth="1"/>
    <col min="319" max="319" width="76.453125" bestFit="1" customWidth="1"/>
    <col min="320" max="320" width="73.54296875" bestFit="1" customWidth="1"/>
    <col min="321" max="321" width="71.453125" bestFit="1" customWidth="1"/>
    <col min="322" max="323" width="81.1796875" bestFit="1" customWidth="1"/>
    <col min="324" max="324" width="76.453125" bestFit="1" customWidth="1"/>
    <col min="325" max="325" width="81.1796875" bestFit="1" customWidth="1"/>
    <col min="326" max="326" width="72.1796875" bestFit="1" customWidth="1"/>
    <col min="327" max="331" width="81.1796875" bestFit="1" customWidth="1"/>
    <col min="332" max="332" width="79.1796875" bestFit="1" customWidth="1"/>
    <col min="333" max="333" width="81.1796875" bestFit="1" customWidth="1"/>
    <col min="334" max="334" width="61.54296875" bestFit="1" customWidth="1"/>
    <col min="335" max="335" width="34.54296875" bestFit="1" customWidth="1"/>
    <col min="336" max="338" width="35.1796875" bestFit="1" customWidth="1"/>
    <col min="339" max="339" width="34.81640625" bestFit="1" customWidth="1"/>
    <col min="340" max="340" width="34.54296875" bestFit="1" customWidth="1"/>
    <col min="341" max="341" width="35.1796875" bestFit="1" customWidth="1"/>
    <col min="342" max="342" width="34.54296875" bestFit="1" customWidth="1"/>
    <col min="343" max="345" width="35.1796875" bestFit="1" customWidth="1"/>
    <col min="346" max="346" width="34.54296875" bestFit="1" customWidth="1"/>
    <col min="347" max="347" width="35.1796875" bestFit="1" customWidth="1"/>
    <col min="348" max="348" width="38" bestFit="1" customWidth="1"/>
    <col min="349" max="349" width="35.54296875" bestFit="1" customWidth="1"/>
    <col min="350" max="352" width="36.1796875" bestFit="1" customWidth="1"/>
    <col min="353" max="353" width="35.81640625" bestFit="1" customWidth="1"/>
    <col min="354" max="354" width="35.54296875" bestFit="1" customWidth="1"/>
    <col min="355" max="355" width="36.1796875" bestFit="1" customWidth="1"/>
    <col min="356" max="356" width="35.54296875" bestFit="1" customWidth="1"/>
    <col min="357" max="359" width="36.1796875" bestFit="1" customWidth="1"/>
    <col min="360" max="360" width="35.54296875" bestFit="1" customWidth="1"/>
    <col min="361" max="361" width="36.1796875" bestFit="1" customWidth="1"/>
    <col min="362" max="362" width="39.26953125" bestFit="1" customWidth="1"/>
    <col min="363" max="363" width="53" bestFit="1" customWidth="1"/>
    <col min="364" max="364" width="51.7265625" bestFit="1" customWidth="1"/>
    <col min="365" max="365" width="53" bestFit="1" customWidth="1"/>
    <col min="366" max="366" width="56.453125" bestFit="1" customWidth="1"/>
    <col min="367" max="368" width="71.7265625" bestFit="1" customWidth="1"/>
    <col min="369" max="369" width="74.81640625" bestFit="1" customWidth="1"/>
    <col min="370" max="370" width="61.26953125" bestFit="1" customWidth="1"/>
    <col min="371" max="371" width="64.453125" bestFit="1" customWidth="1"/>
    <col min="372" max="372" width="50.453125" bestFit="1" customWidth="1"/>
    <col min="373" max="373" width="53.26953125" bestFit="1" customWidth="1"/>
    <col min="374" max="376" width="53.81640625" bestFit="1" customWidth="1"/>
    <col min="377" max="377" width="53.54296875" bestFit="1" customWidth="1"/>
    <col min="378" max="378" width="53.26953125" bestFit="1" customWidth="1"/>
    <col min="379" max="379" width="53.81640625" bestFit="1" customWidth="1"/>
    <col min="380" max="380" width="53.26953125" bestFit="1" customWidth="1"/>
    <col min="381" max="383" width="53.81640625" bestFit="1" customWidth="1"/>
    <col min="384" max="384" width="53.26953125" bestFit="1" customWidth="1"/>
    <col min="385" max="385" width="53.81640625" bestFit="1" customWidth="1"/>
    <col min="386" max="386" width="56.81640625" bestFit="1" customWidth="1"/>
    <col min="387" max="387" width="47.81640625" bestFit="1" customWidth="1"/>
    <col min="388" max="390" width="48.26953125" bestFit="1" customWidth="1"/>
    <col min="391" max="391" width="48.1796875" bestFit="1" customWidth="1"/>
    <col min="392" max="392" width="47.81640625" bestFit="1" customWidth="1"/>
    <col min="393" max="393" width="48.26953125" bestFit="1" customWidth="1"/>
    <col min="394" max="394" width="47.81640625" bestFit="1" customWidth="1"/>
    <col min="395" max="397" width="48.26953125" bestFit="1" customWidth="1"/>
    <col min="398" max="398" width="47.81640625" bestFit="1" customWidth="1"/>
    <col min="399" max="399" width="48.26953125" bestFit="1" customWidth="1"/>
    <col min="400" max="400" width="51.453125" bestFit="1" customWidth="1"/>
    <col min="401" max="401" width="81.1796875" bestFit="1" customWidth="1"/>
    <col min="402" max="402" width="75.54296875" bestFit="1" customWidth="1"/>
    <col min="403" max="404" width="81.1796875" bestFit="1" customWidth="1"/>
    <col min="405" max="405" width="70.1796875" bestFit="1" customWidth="1"/>
    <col min="406" max="408" width="81.1796875" bestFit="1" customWidth="1"/>
    <col min="409" max="409" width="78.453125" bestFit="1" customWidth="1"/>
    <col min="410" max="410" width="81.1796875" bestFit="1" customWidth="1"/>
    <col min="411" max="411" width="59.7265625" bestFit="1" customWidth="1"/>
    <col min="412" max="427" width="81.1796875" bestFit="1" customWidth="1"/>
    <col min="428" max="429" width="79" bestFit="1" customWidth="1"/>
    <col min="430" max="430" width="16.7265625" bestFit="1" customWidth="1"/>
    <col min="431" max="431" width="36.453125" bestFit="1" customWidth="1"/>
    <col min="432" max="432" width="9.26953125" bestFit="1" customWidth="1"/>
    <col min="433" max="433" width="11" bestFit="1" customWidth="1"/>
    <col min="434" max="434" width="21.54296875" bestFit="1" customWidth="1"/>
    <col min="435" max="435" width="27.26953125" bestFit="1" customWidth="1"/>
    <col min="436" max="436" width="30.26953125" bestFit="1" customWidth="1"/>
    <col min="437" max="437" width="27.7265625" bestFit="1" customWidth="1"/>
    <col min="438" max="438" width="37.1796875" bestFit="1" customWidth="1"/>
    <col min="439" max="439" width="25.453125" bestFit="1" customWidth="1"/>
    <col min="440" max="440" width="25" bestFit="1" customWidth="1"/>
    <col min="441" max="441" width="21" bestFit="1" customWidth="1"/>
    <col min="442" max="442" width="56" bestFit="1" customWidth="1"/>
    <col min="443" max="443" width="49.1796875" bestFit="1" customWidth="1"/>
    <col min="444" max="444" width="38.54296875" bestFit="1" customWidth="1"/>
    <col min="445" max="445" width="42.54296875" bestFit="1" customWidth="1"/>
    <col min="446" max="446" width="38.54296875" bestFit="1" customWidth="1"/>
    <col min="447" max="447" width="47.7265625" bestFit="1" customWidth="1"/>
    <col min="448" max="448" width="53.81640625" bestFit="1" customWidth="1"/>
    <col min="449" max="449" width="47.1796875" bestFit="1" customWidth="1"/>
    <col min="450" max="450" width="38.26953125" bestFit="1" customWidth="1"/>
    <col min="451" max="451" width="23.1796875" bestFit="1" customWidth="1"/>
    <col min="452" max="452" width="32.1796875" bestFit="1" customWidth="1"/>
    <col min="453" max="456" width="32.54296875" bestFit="1" customWidth="1"/>
    <col min="457" max="457" width="32.1796875" bestFit="1" customWidth="1"/>
    <col min="458" max="458" width="32.54296875" bestFit="1" customWidth="1"/>
    <col min="459" max="459" width="32.1796875" bestFit="1" customWidth="1"/>
    <col min="460" max="462" width="32.54296875" bestFit="1" customWidth="1"/>
    <col min="463" max="463" width="32.1796875" bestFit="1" customWidth="1"/>
    <col min="464" max="464" width="32.54296875" bestFit="1" customWidth="1"/>
    <col min="465" max="465" width="36.81640625" bestFit="1" customWidth="1"/>
    <col min="466" max="466" width="33" bestFit="1" customWidth="1"/>
    <col min="467" max="470" width="33.453125" bestFit="1" customWidth="1"/>
    <col min="471" max="471" width="33" bestFit="1" customWidth="1"/>
    <col min="472" max="472" width="33.453125" bestFit="1" customWidth="1"/>
    <col min="473" max="473" width="33" bestFit="1" customWidth="1"/>
    <col min="474" max="476" width="33.453125" bestFit="1" customWidth="1"/>
    <col min="477" max="477" width="33" bestFit="1" customWidth="1"/>
    <col min="478" max="478" width="33.453125" bestFit="1" customWidth="1"/>
    <col min="479" max="479" width="37.7265625" bestFit="1" customWidth="1"/>
    <col min="480" max="480" width="56.81640625" bestFit="1" customWidth="1"/>
    <col min="481" max="481" width="51" bestFit="1" customWidth="1"/>
    <col min="482" max="482" width="64.81640625" bestFit="1" customWidth="1"/>
    <col min="483" max="483" width="68.81640625" bestFit="1" customWidth="1"/>
    <col min="484" max="484" width="73.81640625" bestFit="1" customWidth="1"/>
    <col min="485" max="486" width="81.1796875" bestFit="1" customWidth="1"/>
    <col min="487" max="487" width="72.453125" bestFit="1" customWidth="1"/>
    <col min="488" max="488" width="76.453125" bestFit="1" customWidth="1"/>
    <col min="489" max="489" width="63.54296875" bestFit="1" customWidth="1"/>
    <col min="490" max="490" width="54.453125" bestFit="1" customWidth="1"/>
    <col min="491" max="494" width="54.81640625" bestFit="1" customWidth="1"/>
    <col min="495" max="495" width="54.453125" bestFit="1" customWidth="1"/>
    <col min="496" max="496" width="54.81640625" bestFit="1" customWidth="1"/>
    <col min="497" max="497" width="54.453125" bestFit="1" customWidth="1"/>
    <col min="498" max="500" width="54.81640625" bestFit="1" customWidth="1"/>
    <col min="501" max="501" width="54.453125" bestFit="1" customWidth="1"/>
    <col min="502" max="502" width="54.81640625" bestFit="1" customWidth="1"/>
    <col min="503" max="503" width="59.1796875" bestFit="1" customWidth="1"/>
    <col min="504" max="504" width="48.1796875" bestFit="1" customWidth="1"/>
    <col min="505" max="508" width="48.54296875" bestFit="1" customWidth="1"/>
    <col min="509" max="509" width="48.1796875" bestFit="1" customWidth="1"/>
    <col min="510" max="510" width="48.54296875" bestFit="1" customWidth="1"/>
    <col min="511" max="511" width="48.1796875" bestFit="1" customWidth="1"/>
    <col min="512" max="514" width="48.54296875" bestFit="1" customWidth="1"/>
    <col min="515" max="515" width="48.1796875" bestFit="1" customWidth="1"/>
    <col min="516" max="516" width="48.54296875" bestFit="1" customWidth="1"/>
    <col min="517" max="517" width="52.81640625" bestFit="1" customWidth="1"/>
    <col min="518" max="518" width="74" bestFit="1" customWidth="1"/>
    <col min="519" max="519" width="72" bestFit="1" customWidth="1"/>
    <col min="520" max="521" width="81.1796875" bestFit="1" customWidth="1"/>
    <col min="522" max="522" width="62" bestFit="1" customWidth="1"/>
    <col min="523" max="524" width="81.1796875" bestFit="1" customWidth="1"/>
    <col min="525" max="525" width="78.81640625" bestFit="1" customWidth="1"/>
    <col min="526" max="526" width="70" bestFit="1" customWidth="1"/>
    <col min="527" max="527" width="75.26953125" bestFit="1" customWidth="1"/>
    <col min="528" max="528" width="55.81640625" bestFit="1" customWidth="1"/>
    <col min="529" max="529" width="64.54296875" bestFit="1" customWidth="1"/>
    <col min="530" max="530" width="65.7265625" bestFit="1" customWidth="1"/>
    <col min="531" max="531" width="69.1796875" bestFit="1" customWidth="1"/>
    <col min="532" max="532" width="70" bestFit="1" customWidth="1"/>
    <col min="533" max="533" width="72.453125" bestFit="1" customWidth="1"/>
    <col min="534" max="534" width="70.1796875" bestFit="1" customWidth="1"/>
    <col min="535" max="535" width="74.81640625" bestFit="1" customWidth="1"/>
    <col min="536" max="536" width="70.7265625" bestFit="1" customWidth="1"/>
    <col min="537" max="537" width="66.453125" bestFit="1" customWidth="1"/>
    <col min="538" max="542" width="81.1796875" bestFit="1" customWidth="1"/>
    <col min="543" max="543" width="74.54296875" bestFit="1" customWidth="1"/>
    <col min="544" max="544" width="80" bestFit="1" customWidth="1"/>
    <col min="545" max="545" width="60.54296875" bestFit="1" customWidth="1"/>
    <col min="546" max="546" width="64.26953125" bestFit="1" customWidth="1"/>
  </cols>
  <sheetData>
    <row r="1" spans="1:127" x14ac:dyDescent="0.35">
      <c r="A1" t="s">
        <v>524</v>
      </c>
      <c r="B1" t="s">
        <v>1551</v>
      </c>
      <c r="C1" t="s">
        <v>1333</v>
      </c>
      <c r="D1" t="s">
        <v>1334</v>
      </c>
      <c r="E1" t="s">
        <v>1335</v>
      </c>
      <c r="F1" t="s">
        <v>1549</v>
      </c>
      <c r="G1" t="s">
        <v>1336</v>
      </c>
      <c r="H1" t="s">
        <v>517</v>
      </c>
      <c r="I1" t="s">
        <v>518</v>
      </c>
      <c r="J1" t="s">
        <v>519</v>
      </c>
      <c r="K1" t="s">
        <v>4</v>
      </c>
      <c r="L1" t="s">
        <v>442</v>
      </c>
      <c r="M1" t="s">
        <v>525</v>
      </c>
      <c r="N1" t="s">
        <v>526</v>
      </c>
      <c r="O1" t="s">
        <v>1449</v>
      </c>
      <c r="P1" t="s">
        <v>521</v>
      </c>
      <c r="Q1" t="s">
        <v>520</v>
      </c>
      <c r="R1" t="s">
        <v>522</v>
      </c>
      <c r="S1" t="s">
        <v>1540</v>
      </c>
      <c r="T1" t="s">
        <v>1541</v>
      </c>
      <c r="U1" t="s">
        <v>1542</v>
      </c>
      <c r="V1" t="s">
        <v>1543</v>
      </c>
      <c r="W1" t="s">
        <v>1544</v>
      </c>
      <c r="X1" t="s">
        <v>1545</v>
      </c>
      <c r="Y1" t="s">
        <v>1546</v>
      </c>
      <c r="Z1" t="s">
        <v>1547</v>
      </c>
      <c r="AA1" t="s">
        <v>1548</v>
      </c>
      <c r="AB1" t="s">
        <v>523</v>
      </c>
      <c r="AC1" t="s">
        <v>1450</v>
      </c>
      <c r="AD1" t="s">
        <v>1451</v>
      </c>
      <c r="AE1" t="s">
        <v>1452</v>
      </c>
      <c r="AF1" t="s">
        <v>1453</v>
      </c>
      <c r="AG1" t="s">
        <v>1454</v>
      </c>
      <c r="AH1" t="s">
        <v>1455</v>
      </c>
      <c r="AI1" t="s">
        <v>1456</v>
      </c>
      <c r="AJ1" t="s">
        <v>1457</v>
      </c>
      <c r="AK1" t="s">
        <v>1458</v>
      </c>
      <c r="AL1" t="s">
        <v>1459</v>
      </c>
      <c r="AM1" t="s">
        <v>1460</v>
      </c>
      <c r="AN1" t="s">
        <v>1461</v>
      </c>
      <c r="AO1" t="s">
        <v>1462</v>
      </c>
      <c r="AP1" t="s">
        <v>1463</v>
      </c>
      <c r="AQ1" t="s">
        <v>1464</v>
      </c>
      <c r="AR1" t="s">
        <v>1465</v>
      </c>
      <c r="AS1" t="s">
        <v>1466</v>
      </c>
      <c r="AT1" t="s">
        <v>1467</v>
      </c>
      <c r="AU1" t="s">
        <v>1468</v>
      </c>
      <c r="AV1" t="s">
        <v>1469</v>
      </c>
      <c r="AW1" t="s">
        <v>1470</v>
      </c>
      <c r="AX1" t="s">
        <v>1471</v>
      </c>
      <c r="AY1" t="s">
        <v>1472</v>
      </c>
      <c r="AZ1" t="s">
        <v>1473</v>
      </c>
      <c r="BA1" t="s">
        <v>1474</v>
      </c>
      <c r="BB1" t="s">
        <v>1475</v>
      </c>
      <c r="BC1" t="s">
        <v>1476</v>
      </c>
      <c r="BD1" t="s">
        <v>1477</v>
      </c>
      <c r="BE1" t="s">
        <v>1478</v>
      </c>
      <c r="BF1" t="s">
        <v>1479</v>
      </c>
      <c r="BG1" t="s">
        <v>1480</v>
      </c>
      <c r="BH1" t="s">
        <v>1481</v>
      </c>
      <c r="BI1" t="s">
        <v>1482</v>
      </c>
      <c r="BJ1" t="s">
        <v>1483</v>
      </c>
      <c r="BK1" t="s">
        <v>1484</v>
      </c>
      <c r="BL1" t="s">
        <v>1485</v>
      </c>
      <c r="BM1" t="s">
        <v>1486</v>
      </c>
      <c r="BN1" t="s">
        <v>1487</v>
      </c>
      <c r="BO1" t="s">
        <v>1488</v>
      </c>
      <c r="BP1" t="s">
        <v>1489</v>
      </c>
      <c r="BQ1" t="s">
        <v>1490</v>
      </c>
      <c r="BR1" t="s">
        <v>1491</v>
      </c>
      <c r="BS1" t="s">
        <v>1492</v>
      </c>
      <c r="BT1" t="s">
        <v>1493</v>
      </c>
      <c r="BU1" t="s">
        <v>1494</v>
      </c>
      <c r="BV1" t="s">
        <v>1495</v>
      </c>
      <c r="BW1" t="s">
        <v>1496</v>
      </c>
      <c r="BX1" t="s">
        <v>1497</v>
      </c>
      <c r="BY1" t="s">
        <v>1498</v>
      </c>
      <c r="BZ1" t="s">
        <v>1499</v>
      </c>
      <c r="CA1" t="s">
        <v>1500</v>
      </c>
      <c r="CB1" t="s">
        <v>1501</v>
      </c>
      <c r="CC1" t="s">
        <v>1502</v>
      </c>
      <c r="CD1" t="s">
        <v>1503</v>
      </c>
      <c r="CE1" t="s">
        <v>1504</v>
      </c>
      <c r="CF1" t="s">
        <v>1505</v>
      </c>
      <c r="CG1" t="s">
        <v>1506</v>
      </c>
      <c r="CH1" t="s">
        <v>1507</v>
      </c>
      <c r="CI1" t="s">
        <v>1508</v>
      </c>
      <c r="CJ1" t="s">
        <v>1509</v>
      </c>
      <c r="CK1" t="s">
        <v>1510</v>
      </c>
      <c r="CL1" t="s">
        <v>1511</v>
      </c>
      <c r="CM1" t="s">
        <v>1512</v>
      </c>
      <c r="CN1" t="s">
        <v>1513</v>
      </c>
      <c r="CO1" t="s">
        <v>1514</v>
      </c>
      <c r="CP1" t="s">
        <v>1515</v>
      </c>
      <c r="CQ1" t="s">
        <v>1516</v>
      </c>
      <c r="CR1" t="s">
        <v>1517</v>
      </c>
      <c r="CS1" t="s">
        <v>1518</v>
      </c>
      <c r="CT1" t="s">
        <v>1519</v>
      </c>
      <c r="CU1" t="s">
        <v>1520</v>
      </c>
      <c r="CV1" t="s">
        <v>1521</v>
      </c>
      <c r="CW1" t="s">
        <v>1522</v>
      </c>
      <c r="CX1" t="s">
        <v>1523</v>
      </c>
      <c r="CY1" t="s">
        <v>1524</v>
      </c>
      <c r="CZ1" t="s">
        <v>1525</v>
      </c>
      <c r="DA1" t="s">
        <v>1526</v>
      </c>
      <c r="DB1" t="s">
        <v>1527</v>
      </c>
      <c r="DC1" t="s">
        <v>1528</v>
      </c>
      <c r="DD1" t="s">
        <v>1529</v>
      </c>
      <c r="DE1" t="s">
        <v>1530</v>
      </c>
      <c r="DF1" t="s">
        <v>1531</v>
      </c>
      <c r="DG1" t="s">
        <v>1532</v>
      </c>
      <c r="DH1" t="s">
        <v>1533</v>
      </c>
      <c r="DI1" t="s">
        <v>1534</v>
      </c>
      <c r="DJ1" t="s">
        <v>1535</v>
      </c>
      <c r="DK1" t="s">
        <v>1536</v>
      </c>
      <c r="DL1" t="s">
        <v>1537</v>
      </c>
      <c r="DM1" t="s">
        <v>1538</v>
      </c>
      <c r="DN1" t="s">
        <v>1539</v>
      </c>
      <c r="DO1" t="s">
        <v>1552</v>
      </c>
      <c r="DP1" t="s">
        <v>1553</v>
      </c>
      <c r="DQ1"/>
      <c r="DR1"/>
      <c r="DS1"/>
      <c r="DT1"/>
      <c r="DU1"/>
      <c r="DV1"/>
      <c r="DW1"/>
    </row>
    <row r="2" spans="1:127" x14ac:dyDescent="0.35">
      <c r="A2" s="171" t="s">
        <v>1446</v>
      </c>
      <c r="B2" s="171" t="s">
        <v>1554</v>
      </c>
      <c r="C2" s="171" t="s">
        <v>1447</v>
      </c>
      <c r="D2">
        <v>1</v>
      </c>
      <c r="E2" s="259">
        <v>44600</v>
      </c>
      <c r="F2">
        <v>1</v>
      </c>
      <c r="G2">
        <v>422410</v>
      </c>
      <c r="H2" s="171" t="s">
        <v>160</v>
      </c>
      <c r="J2" s="171" t="s">
        <v>140</v>
      </c>
      <c r="K2" s="171" t="s">
        <v>1436</v>
      </c>
      <c r="L2" t="s">
        <v>470</v>
      </c>
      <c r="M2">
        <v>561.18143459915609</v>
      </c>
      <c r="N2">
        <v>0.2</v>
      </c>
      <c r="O2">
        <v>2.37</v>
      </c>
      <c r="P2">
        <v>112</v>
      </c>
      <c r="Q2">
        <v>266</v>
      </c>
      <c r="R2">
        <v>0</v>
      </c>
      <c r="S2">
        <v>50</v>
      </c>
      <c r="T2" s="171" t="s">
        <v>67</v>
      </c>
      <c r="U2" s="171" t="s">
        <v>114</v>
      </c>
      <c r="V2" s="171" t="s">
        <v>141</v>
      </c>
      <c r="W2" s="171" t="s">
        <v>114</v>
      </c>
      <c r="X2" s="171"/>
      <c r="Y2">
        <v>50</v>
      </c>
      <c r="Z2" s="171" t="s">
        <v>67</v>
      </c>
      <c r="AA2" s="171" t="s">
        <v>299</v>
      </c>
      <c r="AB2" t="s">
        <v>1448</v>
      </c>
      <c r="AC2">
        <v>427.46199999999999</v>
      </c>
      <c r="AD2">
        <v>75.543999999999997</v>
      </c>
      <c r="AE2">
        <v>301.91000000000003</v>
      </c>
      <c r="AF2">
        <v>126.07580635241227</v>
      </c>
      <c r="AG2">
        <v>77.355356801608025</v>
      </c>
      <c r="AH2">
        <v>0</v>
      </c>
      <c r="AI2">
        <v>0</v>
      </c>
      <c r="AJ2">
        <v>0</v>
      </c>
      <c r="AK2">
        <v>0</v>
      </c>
      <c r="AL2">
        <v>0</v>
      </c>
      <c r="AM2">
        <v>0</v>
      </c>
      <c r="AN2">
        <v>0</v>
      </c>
      <c r="AO2">
        <v>0</v>
      </c>
      <c r="AP2">
        <v>1008.3471631540203</v>
      </c>
      <c r="AQ2">
        <v>3197.8519999999999</v>
      </c>
      <c r="AR2">
        <v>633.61200000000008</v>
      </c>
      <c r="AS2">
        <v>2193.1699999999996</v>
      </c>
      <c r="AT2">
        <v>1123.6875937</v>
      </c>
      <c r="AU2">
        <v>791.31553391983118</v>
      </c>
      <c r="AV2">
        <v>0</v>
      </c>
      <c r="AW2">
        <v>0</v>
      </c>
      <c r="AX2">
        <v>0</v>
      </c>
      <c r="AY2">
        <v>0</v>
      </c>
      <c r="AZ2">
        <v>0</v>
      </c>
      <c r="BA2">
        <v>0</v>
      </c>
      <c r="BB2">
        <v>0</v>
      </c>
      <c r="BC2">
        <v>0</v>
      </c>
      <c r="BD2">
        <v>7939.6371276198315</v>
      </c>
      <c r="BE2">
        <v>266</v>
      </c>
      <c r="BF2">
        <v>0.6</v>
      </c>
      <c r="BG2">
        <v>106.4</v>
      </c>
      <c r="BH2">
        <v>159.6</v>
      </c>
      <c r="BI2">
        <v>0</v>
      </c>
      <c r="BJ2">
        <v>0</v>
      </c>
      <c r="BK2">
        <v>0</v>
      </c>
      <c r="BL2">
        <v>106.4</v>
      </c>
      <c r="BM2">
        <v>159.6</v>
      </c>
      <c r="BN2">
        <v>266</v>
      </c>
      <c r="BO2">
        <v>1155.5040000000001</v>
      </c>
      <c r="BP2">
        <v>178.91159999999999</v>
      </c>
      <c r="BQ2">
        <v>9450.98</v>
      </c>
      <c r="BR2">
        <v>303.8315973</v>
      </c>
      <c r="BS2">
        <v>155.89328687983124</v>
      </c>
      <c r="BT2">
        <v>0</v>
      </c>
      <c r="BU2">
        <v>0</v>
      </c>
      <c r="BV2">
        <v>0</v>
      </c>
      <c r="BW2">
        <v>0</v>
      </c>
      <c r="BX2">
        <v>0</v>
      </c>
      <c r="BY2">
        <v>0</v>
      </c>
      <c r="BZ2">
        <v>0</v>
      </c>
      <c r="CA2">
        <v>0</v>
      </c>
      <c r="CB2">
        <v>11245.120484179832</v>
      </c>
      <c r="CC2">
        <v>195111</v>
      </c>
      <c r="CD2">
        <v>9802.1</v>
      </c>
      <c r="CE2">
        <v>35644</v>
      </c>
      <c r="CF2">
        <v>0</v>
      </c>
      <c r="CG2">
        <v>7997.3325409198305</v>
      </c>
      <c r="CH2">
        <v>0</v>
      </c>
      <c r="CI2">
        <v>0</v>
      </c>
      <c r="CJ2">
        <v>0</v>
      </c>
      <c r="CK2">
        <v>0</v>
      </c>
      <c r="CL2">
        <v>0</v>
      </c>
      <c r="CM2">
        <v>0</v>
      </c>
      <c r="CN2">
        <v>0</v>
      </c>
      <c r="CO2">
        <v>0</v>
      </c>
      <c r="CP2">
        <v>248554.43254091984</v>
      </c>
      <c r="CQ2">
        <v>13300</v>
      </c>
      <c r="CR2">
        <v>13300</v>
      </c>
      <c r="CS2" t="s">
        <v>347</v>
      </c>
      <c r="CT2" t="s">
        <v>347</v>
      </c>
      <c r="CU2">
        <v>0</v>
      </c>
      <c r="CV2">
        <v>0</v>
      </c>
      <c r="CW2">
        <v>0</v>
      </c>
      <c r="CX2">
        <v>0</v>
      </c>
      <c r="CY2">
        <v>0</v>
      </c>
      <c r="CZ2">
        <v>26600</v>
      </c>
      <c r="DA2">
        <v>26600</v>
      </c>
      <c r="DB2">
        <v>0</v>
      </c>
      <c r="DC2">
        <v>0</v>
      </c>
      <c r="DD2" t="s">
        <v>347</v>
      </c>
      <c r="DE2" t="s">
        <v>347</v>
      </c>
      <c r="DF2">
        <v>0</v>
      </c>
      <c r="DG2">
        <v>0</v>
      </c>
      <c r="DH2">
        <v>0</v>
      </c>
      <c r="DI2">
        <v>0</v>
      </c>
      <c r="DJ2">
        <v>0</v>
      </c>
      <c r="DK2">
        <v>3.0259999999999998</v>
      </c>
      <c r="DL2">
        <v>7.1867499999999991</v>
      </c>
      <c r="DM2">
        <v>22.649000000000001</v>
      </c>
      <c r="DN2">
        <v>53.791375000000002</v>
      </c>
      <c r="DO2">
        <v>804.91599999999994</v>
      </c>
      <c r="DP2">
        <v>6024.634</v>
      </c>
      <c r="DQ2"/>
      <c r="DR2"/>
      <c r="DS2"/>
      <c r="DT2"/>
      <c r="DU2"/>
      <c r="DV2"/>
      <c r="DW2"/>
    </row>
    <row r="3" spans="1:127" x14ac:dyDescent="0.35">
      <c r="A3" s="171" t="s">
        <v>1446</v>
      </c>
      <c r="B3" s="171" t="s">
        <v>1554</v>
      </c>
      <c r="C3" s="171" t="s">
        <v>1447</v>
      </c>
      <c r="D3">
        <v>1</v>
      </c>
      <c r="E3" s="259">
        <v>44600</v>
      </c>
      <c r="F3">
        <v>1</v>
      </c>
      <c r="G3">
        <v>422510</v>
      </c>
      <c r="H3" s="171" t="s">
        <v>160</v>
      </c>
      <c r="J3" s="171" t="s">
        <v>444</v>
      </c>
      <c r="K3" s="171" t="s">
        <v>1262</v>
      </c>
      <c r="L3" t="s">
        <v>471</v>
      </c>
      <c r="M3">
        <v>34.574468085106382</v>
      </c>
      <c r="N3">
        <v>0.08</v>
      </c>
      <c r="O3">
        <v>2.35</v>
      </c>
      <c r="P3">
        <v>3</v>
      </c>
      <c r="Q3">
        <v>6.5</v>
      </c>
      <c r="R3">
        <v>0</v>
      </c>
      <c r="S3">
        <v>50</v>
      </c>
      <c r="T3" s="171" t="s">
        <v>67</v>
      </c>
      <c r="U3" s="171" t="s">
        <v>114</v>
      </c>
      <c r="V3" s="171" t="s">
        <v>141</v>
      </c>
      <c r="W3" s="171" t="s">
        <v>114</v>
      </c>
      <c r="X3" s="171"/>
      <c r="Y3">
        <v>50</v>
      </c>
      <c r="Z3" s="171" t="s">
        <v>67</v>
      </c>
      <c r="AA3" s="171" t="s">
        <v>299</v>
      </c>
      <c r="AC3">
        <v>89.234284834500002</v>
      </c>
      <c r="AD3">
        <v>26.709011119293756</v>
      </c>
      <c r="AE3">
        <v>16.906813285037057</v>
      </c>
      <c r="AF3">
        <v>3.0807997792882698</v>
      </c>
      <c r="AG3">
        <v>1.8918965558209542</v>
      </c>
      <c r="AH3">
        <v>0.80027858624999992</v>
      </c>
      <c r="AI3">
        <v>0</v>
      </c>
      <c r="AJ3">
        <v>0</v>
      </c>
      <c r="AK3">
        <v>0</v>
      </c>
      <c r="AL3">
        <v>0</v>
      </c>
      <c r="AM3">
        <v>0</v>
      </c>
      <c r="AN3">
        <v>0</v>
      </c>
      <c r="AO3">
        <v>0</v>
      </c>
      <c r="AP3">
        <v>138.62308416019002</v>
      </c>
      <c r="AQ3">
        <v>696.04852996574994</v>
      </c>
      <c r="AR3">
        <v>181.61975002450498</v>
      </c>
      <c r="AS3">
        <v>234.77935906557838</v>
      </c>
      <c r="AT3">
        <v>27.458531424999997</v>
      </c>
      <c r="AU3">
        <v>19.359999196808509</v>
      </c>
      <c r="AV3">
        <v>0</v>
      </c>
      <c r="AW3">
        <v>0</v>
      </c>
      <c r="AX3">
        <v>0</v>
      </c>
      <c r="AY3">
        <v>0</v>
      </c>
      <c r="AZ3">
        <v>0</v>
      </c>
      <c r="BA3">
        <v>0</v>
      </c>
      <c r="BB3">
        <v>0</v>
      </c>
      <c r="BC3">
        <v>0</v>
      </c>
      <c r="BD3">
        <v>1159.2661696776418</v>
      </c>
      <c r="BE3">
        <v>6.5</v>
      </c>
      <c r="BF3">
        <v>0</v>
      </c>
      <c r="BG3">
        <v>6.5</v>
      </c>
      <c r="BH3">
        <v>0</v>
      </c>
      <c r="BI3">
        <v>0</v>
      </c>
      <c r="BJ3">
        <v>0</v>
      </c>
      <c r="BK3">
        <v>0</v>
      </c>
      <c r="BL3">
        <v>6.5</v>
      </c>
      <c r="BM3">
        <v>0</v>
      </c>
      <c r="BN3">
        <v>6.5</v>
      </c>
      <c r="BO3">
        <v>393.13035980400002</v>
      </c>
      <c r="BP3">
        <v>50.361389015973749</v>
      </c>
      <c r="BQ3">
        <v>71.271649218997325</v>
      </c>
      <c r="BR3">
        <v>7.4244563249999995</v>
      </c>
      <c r="BS3">
        <v>3.8327638368085104</v>
      </c>
      <c r="BT3">
        <v>0</v>
      </c>
      <c r="BU3">
        <v>0</v>
      </c>
      <c r="BV3">
        <v>0</v>
      </c>
      <c r="BW3">
        <v>0</v>
      </c>
      <c r="BX3">
        <v>0</v>
      </c>
      <c r="BY3">
        <v>0</v>
      </c>
      <c r="BZ3">
        <v>0</v>
      </c>
      <c r="CA3">
        <v>0</v>
      </c>
      <c r="CB3">
        <v>526.02061820077961</v>
      </c>
      <c r="CC3">
        <v>33058.611734187005</v>
      </c>
      <c r="CD3">
        <v>2754.710936326976</v>
      </c>
      <c r="CE3">
        <v>4080.3379517345074</v>
      </c>
      <c r="CF3">
        <v>0</v>
      </c>
      <c r="CG3">
        <v>195.44688094680848</v>
      </c>
      <c r="CH3">
        <v>0</v>
      </c>
      <c r="CI3">
        <v>0</v>
      </c>
      <c r="CJ3">
        <v>0</v>
      </c>
      <c r="CK3">
        <v>0</v>
      </c>
      <c r="CL3">
        <v>0</v>
      </c>
      <c r="CM3">
        <v>0</v>
      </c>
      <c r="CN3">
        <v>0</v>
      </c>
      <c r="CO3">
        <v>0</v>
      </c>
      <c r="CP3">
        <v>40089.107503195301</v>
      </c>
      <c r="CQ3">
        <v>325</v>
      </c>
      <c r="CR3">
        <v>325</v>
      </c>
      <c r="CS3" t="s">
        <v>347</v>
      </c>
      <c r="CT3" t="s">
        <v>347</v>
      </c>
      <c r="CU3">
        <v>0</v>
      </c>
      <c r="CV3">
        <v>0</v>
      </c>
      <c r="CW3">
        <v>0</v>
      </c>
      <c r="CX3">
        <v>0</v>
      </c>
      <c r="CY3">
        <v>0</v>
      </c>
      <c r="CZ3">
        <v>650</v>
      </c>
      <c r="DA3">
        <v>650</v>
      </c>
      <c r="DB3">
        <v>0.13</v>
      </c>
      <c r="DC3">
        <v>0.13</v>
      </c>
      <c r="DD3" t="s">
        <v>347</v>
      </c>
      <c r="DE3" t="s">
        <v>347</v>
      </c>
      <c r="DF3">
        <v>0</v>
      </c>
      <c r="DG3">
        <v>0</v>
      </c>
      <c r="DH3">
        <v>0</v>
      </c>
      <c r="DI3">
        <v>0.26</v>
      </c>
      <c r="DJ3">
        <v>0.26</v>
      </c>
      <c r="DK3">
        <v>20.438478344435509</v>
      </c>
      <c r="DL3">
        <v>44.283369746276939</v>
      </c>
      <c r="DM3">
        <v>171.14579062397434</v>
      </c>
      <c r="DN3">
        <v>370.81587968527771</v>
      </c>
      <c r="DO3">
        <v>132.85010923883081</v>
      </c>
      <c r="DP3">
        <v>1112.4476390558332</v>
      </c>
      <c r="DQ3"/>
      <c r="DR3"/>
      <c r="DS3"/>
      <c r="DT3"/>
      <c r="DU3"/>
      <c r="DV3"/>
      <c r="DW3"/>
    </row>
    <row r="4" spans="1:127" x14ac:dyDescent="0.35">
      <c r="A4" s="171" t="s">
        <v>1446</v>
      </c>
      <c r="B4" s="171" t="s">
        <v>1554</v>
      </c>
      <c r="C4" s="171" t="s">
        <v>1447</v>
      </c>
      <c r="D4">
        <v>1</v>
      </c>
      <c r="E4" s="259">
        <v>44600</v>
      </c>
      <c r="F4">
        <v>1</v>
      </c>
      <c r="G4">
        <v>422520</v>
      </c>
      <c r="H4" s="171" t="s">
        <v>160</v>
      </c>
      <c r="J4" s="171" t="s">
        <v>140</v>
      </c>
      <c r="K4" s="171" t="s">
        <v>1437</v>
      </c>
      <c r="L4" t="s">
        <v>472</v>
      </c>
      <c r="M4">
        <v>9042.5531914893618</v>
      </c>
      <c r="N4">
        <v>0.08</v>
      </c>
      <c r="O4">
        <v>2.35</v>
      </c>
      <c r="P4">
        <v>723</v>
      </c>
      <c r="Q4">
        <v>1700</v>
      </c>
      <c r="R4">
        <v>0</v>
      </c>
      <c r="S4">
        <v>50</v>
      </c>
      <c r="T4" s="171" t="s">
        <v>67</v>
      </c>
      <c r="U4" s="171" t="s">
        <v>114</v>
      </c>
      <c r="V4" s="171" t="s">
        <v>141</v>
      </c>
      <c r="W4" s="171" t="s">
        <v>114</v>
      </c>
      <c r="X4" s="171"/>
      <c r="Y4">
        <v>50</v>
      </c>
      <c r="Z4" s="171" t="s">
        <v>67</v>
      </c>
      <c r="AA4" s="171" t="s">
        <v>299</v>
      </c>
      <c r="AC4">
        <v>11026.199999999999</v>
      </c>
      <c r="AD4">
        <v>1723.8</v>
      </c>
      <c r="AE4">
        <v>1722.1</v>
      </c>
      <c r="AF4">
        <v>805.74763458308598</v>
      </c>
      <c r="AG4">
        <v>494.8037145993265</v>
      </c>
      <c r="AH4">
        <v>0</v>
      </c>
      <c r="AI4">
        <v>0</v>
      </c>
      <c r="AJ4">
        <v>0</v>
      </c>
      <c r="AK4">
        <v>0</v>
      </c>
      <c r="AL4">
        <v>0</v>
      </c>
      <c r="AM4">
        <v>0</v>
      </c>
      <c r="AN4">
        <v>0</v>
      </c>
      <c r="AO4">
        <v>0</v>
      </c>
      <c r="AP4">
        <v>15772.65134918241</v>
      </c>
      <c r="AQ4">
        <v>81192</v>
      </c>
      <c r="AR4">
        <v>14439.8</v>
      </c>
      <c r="AS4">
        <v>12132.9</v>
      </c>
      <c r="AT4">
        <v>7181.4620649999997</v>
      </c>
      <c r="AU4">
        <v>5063.3844053191478</v>
      </c>
      <c r="AV4">
        <v>0</v>
      </c>
      <c r="AW4">
        <v>0</v>
      </c>
      <c r="AX4">
        <v>0</v>
      </c>
      <c r="AY4">
        <v>0</v>
      </c>
      <c r="AZ4">
        <v>0</v>
      </c>
      <c r="BA4">
        <v>0</v>
      </c>
      <c r="BB4">
        <v>0</v>
      </c>
      <c r="BC4">
        <v>0</v>
      </c>
      <c r="BD4">
        <v>120009.54647031914</v>
      </c>
      <c r="BE4">
        <v>1700</v>
      </c>
      <c r="BF4">
        <v>0</v>
      </c>
      <c r="BG4">
        <v>1700</v>
      </c>
      <c r="BH4">
        <v>0</v>
      </c>
      <c r="BI4">
        <v>0</v>
      </c>
      <c r="BJ4">
        <v>0</v>
      </c>
      <c r="BK4">
        <v>0</v>
      </c>
      <c r="BL4">
        <v>1700</v>
      </c>
      <c r="BM4">
        <v>0</v>
      </c>
      <c r="BN4">
        <v>1700</v>
      </c>
      <c r="BO4">
        <v>39542</v>
      </c>
      <c r="BP4">
        <v>4105.5</v>
      </c>
      <c r="BQ4">
        <v>57715.000000000007</v>
      </c>
      <c r="BR4">
        <v>1941.7808849999999</v>
      </c>
      <c r="BS4">
        <v>1002.4151573191489</v>
      </c>
      <c r="BT4">
        <v>0</v>
      </c>
      <c r="BU4">
        <v>0</v>
      </c>
      <c r="BV4">
        <v>0</v>
      </c>
      <c r="BW4">
        <v>0</v>
      </c>
      <c r="BX4">
        <v>0</v>
      </c>
      <c r="BY4">
        <v>0</v>
      </c>
      <c r="BZ4">
        <v>0</v>
      </c>
      <c r="CA4">
        <v>0</v>
      </c>
      <c r="CB4">
        <v>104306.69604231915</v>
      </c>
      <c r="CC4">
        <v>5861600</v>
      </c>
      <c r="CD4">
        <v>223039.99999999997</v>
      </c>
      <c r="CE4">
        <v>196860</v>
      </c>
      <c r="CF4">
        <v>0</v>
      </c>
      <c r="CG4">
        <v>51116.876555319141</v>
      </c>
      <c r="CH4">
        <v>0</v>
      </c>
      <c r="CI4">
        <v>0</v>
      </c>
      <c r="CJ4">
        <v>0</v>
      </c>
      <c r="CK4">
        <v>0</v>
      </c>
      <c r="CL4">
        <v>0</v>
      </c>
      <c r="CM4">
        <v>0</v>
      </c>
      <c r="CN4">
        <v>0</v>
      </c>
      <c r="CO4">
        <v>0</v>
      </c>
      <c r="CP4">
        <v>6332616.8765553189</v>
      </c>
      <c r="CQ4">
        <v>85000</v>
      </c>
      <c r="CR4">
        <v>85000</v>
      </c>
      <c r="CS4" t="s">
        <v>347</v>
      </c>
      <c r="CT4" t="s">
        <v>347</v>
      </c>
      <c r="CU4">
        <v>0</v>
      </c>
      <c r="CV4">
        <v>0</v>
      </c>
      <c r="CW4">
        <v>0</v>
      </c>
      <c r="CX4">
        <v>0</v>
      </c>
      <c r="CY4">
        <v>0</v>
      </c>
      <c r="CZ4">
        <v>170000</v>
      </c>
      <c r="DA4">
        <v>170000</v>
      </c>
      <c r="DB4">
        <v>0</v>
      </c>
      <c r="DC4">
        <v>0</v>
      </c>
      <c r="DD4" t="s">
        <v>347</v>
      </c>
      <c r="DE4" t="s">
        <v>347</v>
      </c>
      <c r="DF4">
        <v>0</v>
      </c>
      <c r="DG4">
        <v>0</v>
      </c>
      <c r="DH4">
        <v>0</v>
      </c>
      <c r="DI4">
        <v>0</v>
      </c>
      <c r="DJ4">
        <v>0</v>
      </c>
      <c r="DK4">
        <v>8.5129999999999999</v>
      </c>
      <c r="DL4">
        <v>20.016735822959888</v>
      </c>
      <c r="DM4">
        <v>63.390999999999998</v>
      </c>
      <c r="DN4">
        <v>149.05214384508989</v>
      </c>
      <c r="DO4">
        <v>14472.099999999999</v>
      </c>
      <c r="DP4">
        <v>107764.7</v>
      </c>
      <c r="DQ4"/>
      <c r="DR4"/>
      <c r="DS4"/>
      <c r="DT4"/>
      <c r="DU4"/>
      <c r="DV4"/>
      <c r="DW4"/>
    </row>
    <row r="5" spans="1:127" x14ac:dyDescent="0.35">
      <c r="A5" s="171" t="s">
        <v>1446</v>
      </c>
      <c r="B5" s="171" t="s">
        <v>1554</v>
      </c>
      <c r="C5" s="171" t="s">
        <v>1447</v>
      </c>
      <c r="D5">
        <v>1</v>
      </c>
      <c r="E5" s="259">
        <v>44600</v>
      </c>
      <c r="F5">
        <v>1</v>
      </c>
      <c r="G5">
        <v>601230</v>
      </c>
      <c r="H5" s="171" t="s">
        <v>160</v>
      </c>
      <c r="J5" s="171" t="s">
        <v>140</v>
      </c>
      <c r="K5" s="171" t="s">
        <v>1435</v>
      </c>
      <c r="L5" t="s">
        <v>470</v>
      </c>
      <c r="M5">
        <v>1.8284106891701828</v>
      </c>
      <c r="N5">
        <v>0.3</v>
      </c>
      <c r="O5">
        <v>2.37</v>
      </c>
      <c r="P5">
        <v>1</v>
      </c>
      <c r="Q5">
        <v>1.3</v>
      </c>
      <c r="R5">
        <v>0</v>
      </c>
      <c r="S5">
        <v>50</v>
      </c>
      <c r="T5" s="171" t="s">
        <v>67</v>
      </c>
      <c r="U5" s="171" t="s">
        <v>114</v>
      </c>
      <c r="V5" s="171" t="s">
        <v>141</v>
      </c>
      <c r="W5" s="171" t="s">
        <v>114</v>
      </c>
      <c r="X5" s="171"/>
      <c r="Y5">
        <v>50</v>
      </c>
      <c r="Z5" s="171" t="s">
        <v>67</v>
      </c>
      <c r="AA5" s="171" t="s">
        <v>299</v>
      </c>
      <c r="AC5">
        <v>2.08</v>
      </c>
      <c r="AD5">
        <v>0.36919999999999997</v>
      </c>
      <c r="AE5">
        <v>1.4663999999999999</v>
      </c>
      <c r="AF5">
        <v>0.61615995585765393</v>
      </c>
      <c r="AG5">
        <v>0.37805249564695653</v>
      </c>
      <c r="AH5">
        <v>0</v>
      </c>
      <c r="AI5">
        <v>0</v>
      </c>
      <c r="AJ5">
        <v>0</v>
      </c>
      <c r="AK5">
        <v>0</v>
      </c>
      <c r="AL5">
        <v>0</v>
      </c>
      <c r="AM5">
        <v>0</v>
      </c>
      <c r="AN5">
        <v>0</v>
      </c>
      <c r="AO5">
        <v>0</v>
      </c>
      <c r="AP5">
        <v>4.9098124515046111</v>
      </c>
      <c r="AQ5">
        <v>15.554500000000001</v>
      </c>
      <c r="AR5">
        <v>3.0914000000000001</v>
      </c>
      <c r="AS5">
        <v>10.634</v>
      </c>
      <c r="AT5">
        <v>5.4917062849999994</v>
      </c>
      <c r="AU5">
        <v>3.8673315567510547</v>
      </c>
      <c r="AV5">
        <v>0</v>
      </c>
      <c r="AW5">
        <v>0</v>
      </c>
      <c r="AX5">
        <v>0</v>
      </c>
      <c r="AY5">
        <v>0</v>
      </c>
      <c r="AZ5">
        <v>0</v>
      </c>
      <c r="BA5">
        <v>0</v>
      </c>
      <c r="BB5">
        <v>0</v>
      </c>
      <c r="BC5">
        <v>0</v>
      </c>
      <c r="BD5">
        <v>38.638937841751058</v>
      </c>
      <c r="BE5">
        <v>1.3</v>
      </c>
      <c r="BF5">
        <v>0.6</v>
      </c>
      <c r="BG5">
        <v>0.52</v>
      </c>
      <c r="BH5">
        <v>0.78</v>
      </c>
      <c r="BI5">
        <v>0</v>
      </c>
      <c r="BJ5">
        <v>0</v>
      </c>
      <c r="BK5">
        <v>0</v>
      </c>
      <c r="BL5">
        <v>0.52</v>
      </c>
      <c r="BM5">
        <v>0.78</v>
      </c>
      <c r="BN5">
        <v>1.3</v>
      </c>
      <c r="BO5">
        <v>5.6212</v>
      </c>
      <c r="BP5">
        <v>0.87256</v>
      </c>
      <c r="BQ5">
        <v>46.085000000000008</v>
      </c>
      <c r="BR5">
        <v>1.4848912649999999</v>
      </c>
      <c r="BS5">
        <v>0.76188448475105486</v>
      </c>
      <c r="BT5">
        <v>0</v>
      </c>
      <c r="BU5">
        <v>0</v>
      </c>
      <c r="BV5">
        <v>0</v>
      </c>
      <c r="BW5">
        <v>0</v>
      </c>
      <c r="BX5">
        <v>0</v>
      </c>
      <c r="BY5">
        <v>0</v>
      </c>
      <c r="BZ5">
        <v>0</v>
      </c>
      <c r="CA5">
        <v>0</v>
      </c>
      <c r="CB5">
        <v>54.825535749751069</v>
      </c>
      <c r="CC5">
        <v>952.5100000000001</v>
      </c>
      <c r="CD5">
        <v>47.853000000000002</v>
      </c>
      <c r="CE5">
        <v>172.77</v>
      </c>
      <c r="CF5">
        <v>0</v>
      </c>
      <c r="CG5">
        <v>39.084707906751056</v>
      </c>
      <c r="CH5">
        <v>0</v>
      </c>
      <c r="CI5">
        <v>0</v>
      </c>
      <c r="CJ5">
        <v>0</v>
      </c>
      <c r="CK5">
        <v>0</v>
      </c>
      <c r="CL5">
        <v>0</v>
      </c>
      <c r="CM5">
        <v>0</v>
      </c>
      <c r="CN5">
        <v>0</v>
      </c>
      <c r="CO5">
        <v>0</v>
      </c>
      <c r="CP5">
        <v>1212.217707906751</v>
      </c>
      <c r="CQ5">
        <v>65</v>
      </c>
      <c r="CR5">
        <v>65</v>
      </c>
      <c r="CS5" t="s">
        <v>347</v>
      </c>
      <c r="CT5" t="s">
        <v>347</v>
      </c>
      <c r="CU5">
        <v>0</v>
      </c>
      <c r="CV5">
        <v>0</v>
      </c>
      <c r="CW5">
        <v>0</v>
      </c>
      <c r="CX5">
        <v>0</v>
      </c>
      <c r="CY5">
        <v>0</v>
      </c>
      <c r="CZ5">
        <v>130</v>
      </c>
      <c r="DA5">
        <v>130</v>
      </c>
      <c r="DB5">
        <v>0</v>
      </c>
      <c r="DC5">
        <v>0</v>
      </c>
      <c r="DD5" t="s">
        <v>347</v>
      </c>
      <c r="DE5" t="s">
        <v>347</v>
      </c>
      <c r="DF5">
        <v>0</v>
      </c>
      <c r="DG5">
        <v>0</v>
      </c>
      <c r="DH5">
        <v>0</v>
      </c>
      <c r="DI5">
        <v>0</v>
      </c>
      <c r="DJ5">
        <v>0</v>
      </c>
      <c r="DK5">
        <v>3.012</v>
      </c>
      <c r="DL5">
        <v>3.9156000000000004</v>
      </c>
      <c r="DM5">
        <v>22.523</v>
      </c>
      <c r="DN5">
        <v>29.279900000000001</v>
      </c>
      <c r="DO5">
        <v>3.9156000000000004</v>
      </c>
      <c r="DP5">
        <v>29.279900000000001</v>
      </c>
      <c r="DQ5"/>
      <c r="DR5"/>
      <c r="DS5"/>
      <c r="DT5"/>
      <c r="DU5"/>
      <c r="DV5"/>
      <c r="DW5"/>
    </row>
    <row r="6" spans="1:127" x14ac:dyDescent="0.35">
      <c r="A6" s="171" t="s">
        <v>1446</v>
      </c>
      <c r="B6" s="171" t="s">
        <v>1554</v>
      </c>
      <c r="C6" s="171" t="s">
        <v>1447</v>
      </c>
      <c r="D6">
        <v>1</v>
      </c>
      <c r="E6" s="259">
        <v>44600</v>
      </c>
      <c r="F6">
        <v>1</v>
      </c>
      <c r="G6">
        <v>601240</v>
      </c>
      <c r="H6" s="171" t="s">
        <v>160</v>
      </c>
      <c r="J6" s="171" t="s">
        <v>140</v>
      </c>
      <c r="K6" s="171" t="s">
        <v>1435</v>
      </c>
      <c r="L6" t="s">
        <v>470</v>
      </c>
      <c r="M6">
        <v>13.71308016877637</v>
      </c>
      <c r="N6">
        <v>0.4</v>
      </c>
      <c r="O6">
        <v>2.37</v>
      </c>
      <c r="P6">
        <v>5</v>
      </c>
      <c r="Q6">
        <v>13</v>
      </c>
      <c r="R6">
        <v>0</v>
      </c>
      <c r="S6">
        <v>50</v>
      </c>
      <c r="T6" s="171" t="s">
        <v>67</v>
      </c>
      <c r="U6" s="171" t="s">
        <v>114</v>
      </c>
      <c r="V6" s="171" t="s">
        <v>141</v>
      </c>
      <c r="W6" s="171" t="s">
        <v>114</v>
      </c>
      <c r="X6" s="171"/>
      <c r="Y6">
        <v>50</v>
      </c>
      <c r="Z6" s="171" t="s">
        <v>67</v>
      </c>
      <c r="AA6" s="171" t="s">
        <v>299</v>
      </c>
      <c r="AC6">
        <v>20.8</v>
      </c>
      <c r="AD6">
        <v>3.6919999999999997</v>
      </c>
      <c r="AE6">
        <v>14.663999999999998</v>
      </c>
      <c r="AF6">
        <v>6.1615995585765395</v>
      </c>
      <c r="AG6">
        <v>3.7805249564695651</v>
      </c>
      <c r="AH6">
        <v>0</v>
      </c>
      <c r="AI6">
        <v>0</v>
      </c>
      <c r="AJ6">
        <v>0</v>
      </c>
      <c r="AK6">
        <v>0</v>
      </c>
      <c r="AL6">
        <v>0</v>
      </c>
      <c r="AM6">
        <v>0</v>
      </c>
      <c r="AN6">
        <v>0</v>
      </c>
      <c r="AO6">
        <v>0</v>
      </c>
      <c r="AP6">
        <v>49.098124515046102</v>
      </c>
      <c r="AQ6">
        <v>155.54499999999999</v>
      </c>
      <c r="AR6">
        <v>30.914000000000001</v>
      </c>
      <c r="AS6">
        <v>106.34</v>
      </c>
      <c r="AT6">
        <v>54.917062849999994</v>
      </c>
      <c r="AU6">
        <v>38.673315567510542</v>
      </c>
      <c r="AV6">
        <v>0</v>
      </c>
      <c r="AW6">
        <v>0</v>
      </c>
      <c r="AX6">
        <v>0</v>
      </c>
      <c r="AY6">
        <v>0</v>
      </c>
      <c r="AZ6">
        <v>0</v>
      </c>
      <c r="BA6">
        <v>0</v>
      </c>
      <c r="BB6">
        <v>0</v>
      </c>
      <c r="BC6">
        <v>0</v>
      </c>
      <c r="BD6">
        <v>386.3893784175105</v>
      </c>
      <c r="BE6">
        <v>13</v>
      </c>
      <c r="BF6">
        <v>0.6</v>
      </c>
      <c r="BG6">
        <v>5.2</v>
      </c>
      <c r="BH6">
        <v>7.8</v>
      </c>
      <c r="BI6">
        <v>0</v>
      </c>
      <c r="BJ6">
        <v>0</v>
      </c>
      <c r="BK6">
        <v>0</v>
      </c>
      <c r="BL6">
        <v>5.2</v>
      </c>
      <c r="BM6">
        <v>7.8</v>
      </c>
      <c r="BN6">
        <v>13</v>
      </c>
      <c r="BO6">
        <v>56.211999999999996</v>
      </c>
      <c r="BP6">
        <v>8.7256</v>
      </c>
      <c r="BQ6">
        <v>460.85</v>
      </c>
      <c r="BR6">
        <v>14.848912649999999</v>
      </c>
      <c r="BS6">
        <v>7.6188448475105481</v>
      </c>
      <c r="BT6">
        <v>0</v>
      </c>
      <c r="BU6">
        <v>0</v>
      </c>
      <c r="BV6">
        <v>0</v>
      </c>
      <c r="BW6">
        <v>0</v>
      </c>
      <c r="BX6">
        <v>0</v>
      </c>
      <c r="BY6">
        <v>0</v>
      </c>
      <c r="BZ6">
        <v>0</v>
      </c>
      <c r="CA6">
        <v>0</v>
      </c>
      <c r="CB6">
        <v>548.25535749751054</v>
      </c>
      <c r="CC6">
        <v>9525.1</v>
      </c>
      <c r="CD6">
        <v>478.53000000000003</v>
      </c>
      <c r="CE6">
        <v>1727.7</v>
      </c>
      <c r="CF6">
        <v>0</v>
      </c>
      <c r="CG6">
        <v>390.84707906751049</v>
      </c>
      <c r="CH6">
        <v>0</v>
      </c>
      <c r="CI6">
        <v>0</v>
      </c>
      <c r="CJ6">
        <v>0</v>
      </c>
      <c r="CK6">
        <v>0</v>
      </c>
      <c r="CL6">
        <v>0</v>
      </c>
      <c r="CM6">
        <v>0</v>
      </c>
      <c r="CN6">
        <v>0</v>
      </c>
      <c r="CO6">
        <v>0</v>
      </c>
      <c r="CP6">
        <v>12122.177079067513</v>
      </c>
      <c r="CQ6">
        <v>650</v>
      </c>
      <c r="CR6">
        <v>650</v>
      </c>
      <c r="CS6" t="s">
        <v>347</v>
      </c>
      <c r="CT6" t="s">
        <v>347</v>
      </c>
      <c r="CU6">
        <v>0</v>
      </c>
      <c r="CV6">
        <v>0</v>
      </c>
      <c r="CW6">
        <v>0</v>
      </c>
      <c r="CX6">
        <v>0</v>
      </c>
      <c r="CY6">
        <v>0</v>
      </c>
      <c r="CZ6">
        <v>1300</v>
      </c>
      <c r="DA6">
        <v>1300</v>
      </c>
      <c r="DB6">
        <v>0</v>
      </c>
      <c r="DC6">
        <v>0</v>
      </c>
      <c r="DD6" t="s">
        <v>347</v>
      </c>
      <c r="DE6" t="s">
        <v>347</v>
      </c>
      <c r="DF6">
        <v>0</v>
      </c>
      <c r="DG6">
        <v>0</v>
      </c>
      <c r="DH6">
        <v>0</v>
      </c>
      <c r="DI6">
        <v>0</v>
      </c>
      <c r="DJ6">
        <v>0</v>
      </c>
      <c r="DK6">
        <v>3.012</v>
      </c>
      <c r="DL6">
        <v>7.8311999999999999</v>
      </c>
      <c r="DM6">
        <v>22.523</v>
      </c>
      <c r="DN6">
        <v>58.559799999999996</v>
      </c>
      <c r="DO6">
        <v>39.155999999999999</v>
      </c>
      <c r="DP6">
        <v>292.79899999999998</v>
      </c>
      <c r="DQ6"/>
      <c r="DR6"/>
      <c r="DS6"/>
      <c r="DT6"/>
      <c r="DU6"/>
      <c r="DV6"/>
      <c r="DW6"/>
    </row>
    <row r="7" spans="1:127" x14ac:dyDescent="0.35">
      <c r="A7" s="171" t="s">
        <v>1446</v>
      </c>
      <c r="B7" s="171" t="s">
        <v>1554</v>
      </c>
      <c r="C7" s="171" t="s">
        <v>1447</v>
      </c>
      <c r="D7">
        <v>1</v>
      </c>
      <c r="E7" s="259">
        <v>44600</v>
      </c>
      <c r="F7">
        <v>1</v>
      </c>
      <c r="G7">
        <v>601250</v>
      </c>
      <c r="H7" s="171" t="s">
        <v>160</v>
      </c>
      <c r="J7" s="171" t="s">
        <v>140</v>
      </c>
      <c r="K7" s="171" t="s">
        <v>1436</v>
      </c>
      <c r="L7" t="s">
        <v>470</v>
      </c>
      <c r="M7">
        <v>32.348804500703238</v>
      </c>
      <c r="N7">
        <v>0.3</v>
      </c>
      <c r="O7">
        <v>2.37</v>
      </c>
      <c r="P7">
        <v>10</v>
      </c>
      <c r="Q7">
        <v>23</v>
      </c>
      <c r="R7">
        <v>0</v>
      </c>
      <c r="S7">
        <v>50</v>
      </c>
      <c r="T7" s="171" t="s">
        <v>67</v>
      </c>
      <c r="U7" s="171" t="s">
        <v>114</v>
      </c>
      <c r="V7" s="171" t="s">
        <v>141</v>
      </c>
      <c r="W7" s="171" t="s">
        <v>114</v>
      </c>
      <c r="X7" s="171"/>
      <c r="Y7">
        <v>50</v>
      </c>
      <c r="Z7" s="171" t="s">
        <v>67</v>
      </c>
      <c r="AA7" s="171" t="s">
        <v>299</v>
      </c>
      <c r="AC7">
        <v>36.960999999999999</v>
      </c>
      <c r="AD7">
        <v>6.5319999999999991</v>
      </c>
      <c r="AE7">
        <v>26.105</v>
      </c>
      <c r="AF7">
        <v>10.90129152671234</v>
      </c>
      <c r="AG7">
        <v>6.6886210768307688</v>
      </c>
      <c r="AH7">
        <v>0</v>
      </c>
      <c r="AI7">
        <v>0</v>
      </c>
      <c r="AJ7">
        <v>0</v>
      </c>
      <c r="AK7">
        <v>0</v>
      </c>
      <c r="AL7">
        <v>0</v>
      </c>
      <c r="AM7">
        <v>0</v>
      </c>
      <c r="AN7">
        <v>0</v>
      </c>
      <c r="AO7">
        <v>0</v>
      </c>
      <c r="AP7">
        <v>87.187912603543111</v>
      </c>
      <c r="AQ7">
        <v>276.50600000000003</v>
      </c>
      <c r="AR7">
        <v>54.786000000000001</v>
      </c>
      <c r="AS7">
        <v>189.63499999999999</v>
      </c>
      <c r="AT7">
        <v>97.16095734999999</v>
      </c>
      <c r="AU7">
        <v>68.422019850210972</v>
      </c>
      <c r="AV7">
        <v>0</v>
      </c>
      <c r="AW7">
        <v>0</v>
      </c>
      <c r="AX7">
        <v>0</v>
      </c>
      <c r="AY7">
        <v>0</v>
      </c>
      <c r="AZ7">
        <v>0</v>
      </c>
      <c r="BA7">
        <v>0</v>
      </c>
      <c r="BB7">
        <v>0</v>
      </c>
      <c r="BC7">
        <v>0</v>
      </c>
      <c r="BD7">
        <v>686.50997720021098</v>
      </c>
      <c r="BE7">
        <v>23</v>
      </c>
      <c r="BF7">
        <v>0.6</v>
      </c>
      <c r="BG7">
        <v>9.2000000000000011</v>
      </c>
      <c r="BH7">
        <v>13.799999999999999</v>
      </c>
      <c r="BI7">
        <v>0</v>
      </c>
      <c r="BJ7">
        <v>0</v>
      </c>
      <c r="BK7">
        <v>0</v>
      </c>
      <c r="BL7">
        <v>9.2000000000000011</v>
      </c>
      <c r="BM7">
        <v>13.799999999999999</v>
      </c>
      <c r="BN7">
        <v>23</v>
      </c>
      <c r="BO7">
        <v>99.912000000000006</v>
      </c>
      <c r="BP7">
        <v>15.469799999999999</v>
      </c>
      <c r="BQ7">
        <v>817.19</v>
      </c>
      <c r="BR7">
        <v>26.27115315</v>
      </c>
      <c r="BS7">
        <v>13.47949473021097</v>
      </c>
      <c r="BT7">
        <v>0</v>
      </c>
      <c r="BU7">
        <v>0</v>
      </c>
      <c r="BV7">
        <v>0</v>
      </c>
      <c r="BW7">
        <v>0</v>
      </c>
      <c r="BX7">
        <v>0</v>
      </c>
      <c r="BY7">
        <v>0</v>
      </c>
      <c r="BZ7">
        <v>0</v>
      </c>
      <c r="CA7">
        <v>0</v>
      </c>
      <c r="CB7">
        <v>972.32244788021103</v>
      </c>
      <c r="CC7">
        <v>16870.5</v>
      </c>
      <c r="CD7">
        <v>847.55000000000007</v>
      </c>
      <c r="CE7">
        <v>3082</v>
      </c>
      <c r="CF7">
        <v>0</v>
      </c>
      <c r="CG7">
        <v>691.49867835021098</v>
      </c>
      <c r="CH7">
        <v>0</v>
      </c>
      <c r="CI7">
        <v>0</v>
      </c>
      <c r="CJ7">
        <v>0</v>
      </c>
      <c r="CK7">
        <v>0</v>
      </c>
      <c r="CL7">
        <v>0</v>
      </c>
      <c r="CM7">
        <v>0</v>
      </c>
      <c r="CN7">
        <v>0</v>
      </c>
      <c r="CO7">
        <v>0</v>
      </c>
      <c r="CP7">
        <v>21491.548678350209</v>
      </c>
      <c r="CQ7">
        <v>1150</v>
      </c>
      <c r="CR7">
        <v>1150</v>
      </c>
      <c r="CS7" t="s">
        <v>347</v>
      </c>
      <c r="CT7" t="s">
        <v>347</v>
      </c>
      <c r="CU7">
        <v>0</v>
      </c>
      <c r="CV7">
        <v>0</v>
      </c>
      <c r="CW7">
        <v>0</v>
      </c>
      <c r="CX7">
        <v>0</v>
      </c>
      <c r="CY7">
        <v>0</v>
      </c>
      <c r="CZ7">
        <v>2300</v>
      </c>
      <c r="DA7">
        <v>2300</v>
      </c>
      <c r="DB7">
        <v>0</v>
      </c>
      <c r="DC7">
        <v>0</v>
      </c>
      <c r="DD7" t="s">
        <v>347</v>
      </c>
      <c r="DE7" t="s">
        <v>347</v>
      </c>
      <c r="DF7">
        <v>0</v>
      </c>
      <c r="DG7">
        <v>0</v>
      </c>
      <c r="DH7">
        <v>0</v>
      </c>
      <c r="DI7">
        <v>0</v>
      </c>
      <c r="DJ7">
        <v>0</v>
      </c>
      <c r="DK7">
        <v>3.0259999999999998</v>
      </c>
      <c r="DL7">
        <v>6.9597999999999995</v>
      </c>
      <c r="DM7">
        <v>22.649000000000001</v>
      </c>
      <c r="DN7">
        <v>52.092700000000001</v>
      </c>
      <c r="DO7">
        <v>69.597999999999999</v>
      </c>
      <c r="DP7">
        <v>520.92700000000002</v>
      </c>
      <c r="DQ7"/>
      <c r="DR7"/>
      <c r="DS7"/>
      <c r="DT7"/>
      <c r="DU7"/>
      <c r="DV7"/>
      <c r="DW7"/>
    </row>
    <row r="8" spans="1:127" x14ac:dyDescent="0.35">
      <c r="A8" s="171" t="s">
        <v>1446</v>
      </c>
      <c r="B8" s="171" t="s">
        <v>1554</v>
      </c>
      <c r="C8" s="171" t="s">
        <v>1447</v>
      </c>
      <c r="D8">
        <v>1</v>
      </c>
      <c r="E8" s="259">
        <v>44600</v>
      </c>
      <c r="F8">
        <v>1</v>
      </c>
      <c r="G8">
        <v>601260</v>
      </c>
      <c r="H8" s="171" t="s">
        <v>160</v>
      </c>
      <c r="J8" s="171" t="s">
        <v>140</v>
      </c>
      <c r="K8" s="171" t="s">
        <v>1437</v>
      </c>
      <c r="L8" t="s">
        <v>472</v>
      </c>
      <c r="M8">
        <v>111.70212765957446</v>
      </c>
      <c r="N8">
        <v>0.08</v>
      </c>
      <c r="O8">
        <v>2.35</v>
      </c>
      <c r="P8">
        <v>9</v>
      </c>
      <c r="Q8">
        <v>21</v>
      </c>
      <c r="R8">
        <v>0</v>
      </c>
      <c r="S8">
        <v>50</v>
      </c>
      <c r="T8" s="171" t="s">
        <v>67</v>
      </c>
      <c r="U8" s="171" t="s">
        <v>114</v>
      </c>
      <c r="V8" s="171" t="s">
        <v>141</v>
      </c>
      <c r="W8" s="171" t="s">
        <v>114</v>
      </c>
      <c r="X8" s="171"/>
      <c r="Y8">
        <v>50</v>
      </c>
      <c r="Z8" s="171" t="s">
        <v>67</v>
      </c>
      <c r="AA8" s="171" t="s">
        <v>299</v>
      </c>
      <c r="AC8">
        <v>136.20599999999999</v>
      </c>
      <c r="AD8">
        <v>21.294</v>
      </c>
      <c r="AE8">
        <v>21.272999999999996</v>
      </c>
      <c r="AF8">
        <v>9.9533531330851801</v>
      </c>
      <c r="AG8">
        <v>6.1122811803446222</v>
      </c>
      <c r="AH8">
        <v>0</v>
      </c>
      <c r="AI8">
        <v>0</v>
      </c>
      <c r="AJ8">
        <v>0</v>
      </c>
      <c r="AK8">
        <v>0</v>
      </c>
      <c r="AL8">
        <v>0</v>
      </c>
      <c r="AM8">
        <v>0</v>
      </c>
      <c r="AN8">
        <v>0</v>
      </c>
      <c r="AO8">
        <v>0</v>
      </c>
      <c r="AP8">
        <v>194.83863431342979</v>
      </c>
      <c r="AQ8">
        <v>1002.9599999999999</v>
      </c>
      <c r="AR8">
        <v>178.374</v>
      </c>
      <c r="AS8">
        <v>149.87699999999998</v>
      </c>
      <c r="AT8">
        <v>88.712178449999996</v>
      </c>
      <c r="AU8">
        <v>62.547689712765958</v>
      </c>
      <c r="AV8">
        <v>0</v>
      </c>
      <c r="AW8">
        <v>0</v>
      </c>
      <c r="AX8">
        <v>0</v>
      </c>
      <c r="AY8">
        <v>0</v>
      </c>
      <c r="AZ8">
        <v>0</v>
      </c>
      <c r="BA8">
        <v>0</v>
      </c>
      <c r="BB8">
        <v>0</v>
      </c>
      <c r="BC8">
        <v>0</v>
      </c>
      <c r="BD8">
        <v>1482.4708681627658</v>
      </c>
      <c r="BE8">
        <v>21</v>
      </c>
      <c r="BF8">
        <v>0</v>
      </c>
      <c r="BG8">
        <v>21</v>
      </c>
      <c r="BH8">
        <v>0</v>
      </c>
      <c r="BI8">
        <v>0</v>
      </c>
      <c r="BJ8">
        <v>0</v>
      </c>
      <c r="BK8">
        <v>0</v>
      </c>
      <c r="BL8">
        <v>21</v>
      </c>
      <c r="BM8">
        <v>0</v>
      </c>
      <c r="BN8">
        <v>21</v>
      </c>
      <c r="BO8">
        <v>488.46000000000004</v>
      </c>
      <c r="BP8">
        <v>50.715000000000003</v>
      </c>
      <c r="BQ8">
        <v>712.95</v>
      </c>
      <c r="BR8">
        <v>23.986705050000001</v>
      </c>
      <c r="BS8">
        <v>12.382775472765957</v>
      </c>
      <c r="BT8">
        <v>0</v>
      </c>
      <c r="BU8">
        <v>0</v>
      </c>
      <c r="BV8">
        <v>0</v>
      </c>
      <c r="BW8">
        <v>0</v>
      </c>
      <c r="BX8">
        <v>0</v>
      </c>
      <c r="BY8">
        <v>0</v>
      </c>
      <c r="BZ8">
        <v>0</v>
      </c>
      <c r="CA8">
        <v>0</v>
      </c>
      <c r="CB8">
        <v>1288.494480522766</v>
      </c>
      <c r="CC8">
        <v>72408</v>
      </c>
      <c r="CD8">
        <v>2755.2</v>
      </c>
      <c r="CE8">
        <v>2431.7999999999997</v>
      </c>
      <c r="CF8">
        <v>0</v>
      </c>
      <c r="CG8">
        <v>631.44376921276591</v>
      </c>
      <c r="CH8">
        <v>0</v>
      </c>
      <c r="CI8">
        <v>0</v>
      </c>
      <c r="CJ8">
        <v>0</v>
      </c>
      <c r="CK8">
        <v>0</v>
      </c>
      <c r="CL8">
        <v>0</v>
      </c>
      <c r="CM8">
        <v>0</v>
      </c>
      <c r="CN8">
        <v>0</v>
      </c>
      <c r="CO8">
        <v>0</v>
      </c>
      <c r="CP8">
        <v>78226.443769212769</v>
      </c>
      <c r="CQ8">
        <v>1050</v>
      </c>
      <c r="CR8">
        <v>1050</v>
      </c>
      <c r="CS8" t="s">
        <v>347</v>
      </c>
      <c r="CT8" t="s">
        <v>347</v>
      </c>
      <c r="CU8">
        <v>0</v>
      </c>
      <c r="CV8">
        <v>0</v>
      </c>
      <c r="CW8">
        <v>0</v>
      </c>
      <c r="CX8">
        <v>0</v>
      </c>
      <c r="CY8">
        <v>0</v>
      </c>
      <c r="CZ8">
        <v>2100</v>
      </c>
      <c r="DA8">
        <v>2100</v>
      </c>
      <c r="DB8">
        <v>0</v>
      </c>
      <c r="DC8">
        <v>0</v>
      </c>
      <c r="DD8" t="s">
        <v>347</v>
      </c>
      <c r="DE8" t="s">
        <v>347</v>
      </c>
      <c r="DF8">
        <v>0</v>
      </c>
      <c r="DG8">
        <v>0</v>
      </c>
      <c r="DH8">
        <v>0</v>
      </c>
      <c r="DI8">
        <v>0</v>
      </c>
      <c r="DJ8">
        <v>0</v>
      </c>
      <c r="DK8">
        <v>8.5129999999999999</v>
      </c>
      <c r="DL8">
        <v>19.863666666666667</v>
      </c>
      <c r="DM8">
        <v>63.390999999999991</v>
      </c>
      <c r="DN8">
        <v>147.91233333333332</v>
      </c>
      <c r="DO8">
        <v>178.773</v>
      </c>
      <c r="DP8">
        <v>1331.2109999999998</v>
      </c>
      <c r="DQ8"/>
      <c r="DR8"/>
      <c r="DS8"/>
      <c r="DT8"/>
      <c r="DU8"/>
      <c r="DV8"/>
      <c r="DW8"/>
    </row>
    <row r="9" spans="1:127" x14ac:dyDescent="0.35">
      <c r="A9" s="171" t="s">
        <v>1446</v>
      </c>
      <c r="B9" s="171" t="s">
        <v>1554</v>
      </c>
      <c r="C9" s="171" t="s">
        <v>1447</v>
      </c>
      <c r="D9" s="289">
        <v>1</v>
      </c>
      <c r="E9" s="259">
        <v>44600</v>
      </c>
      <c r="F9" s="289">
        <v>1</v>
      </c>
      <c r="G9" s="289">
        <v>601270</v>
      </c>
      <c r="H9" s="171" t="s">
        <v>160</v>
      </c>
      <c r="I9" s="289"/>
      <c r="J9" s="171" t="s">
        <v>140</v>
      </c>
      <c r="K9" s="171" t="s">
        <v>1437</v>
      </c>
      <c r="L9" s="289" t="s">
        <v>472</v>
      </c>
      <c r="M9" s="289">
        <v>95.744680851063819</v>
      </c>
      <c r="N9" s="289">
        <v>0.08</v>
      </c>
      <c r="O9" s="289">
        <v>2.35</v>
      </c>
      <c r="P9" s="289">
        <v>8</v>
      </c>
      <c r="Q9" s="289">
        <v>18</v>
      </c>
      <c r="R9" s="289">
        <v>0</v>
      </c>
      <c r="S9" s="289">
        <v>50</v>
      </c>
      <c r="T9" s="171" t="s">
        <v>67</v>
      </c>
      <c r="U9" s="171" t="s">
        <v>114</v>
      </c>
      <c r="V9" s="171" t="s">
        <v>141</v>
      </c>
      <c r="W9" s="171" t="s">
        <v>114</v>
      </c>
      <c r="X9" s="171"/>
      <c r="Y9" s="289">
        <v>50</v>
      </c>
      <c r="Z9" s="171" t="s">
        <v>67</v>
      </c>
      <c r="AA9" s="171" t="s">
        <v>299</v>
      </c>
      <c r="AB9" s="289"/>
      <c r="AC9" s="289">
        <v>116.74799999999999</v>
      </c>
      <c r="AD9" s="289">
        <v>18.251999999999999</v>
      </c>
      <c r="AE9" s="289">
        <v>18.233999999999998</v>
      </c>
      <c r="AF9" s="289">
        <v>8.5314455426444393</v>
      </c>
      <c r="AG9" s="289">
        <v>5.2390981545811046</v>
      </c>
      <c r="AH9" s="289">
        <v>0</v>
      </c>
      <c r="AI9" s="289">
        <v>0</v>
      </c>
      <c r="AJ9" s="289">
        <v>0</v>
      </c>
      <c r="AK9" s="289">
        <v>0</v>
      </c>
      <c r="AL9" s="289">
        <v>0</v>
      </c>
      <c r="AM9" s="289">
        <v>0</v>
      </c>
      <c r="AN9" s="289">
        <v>0</v>
      </c>
      <c r="AO9" s="289">
        <v>0</v>
      </c>
      <c r="AP9" s="289">
        <v>167.00454369722556</v>
      </c>
      <c r="AQ9" s="289">
        <v>859.68</v>
      </c>
      <c r="AR9" s="289">
        <v>152.892</v>
      </c>
      <c r="AS9" s="289">
        <v>128.46599999999998</v>
      </c>
      <c r="AT9" s="289">
        <v>76.039010099999999</v>
      </c>
      <c r="AU9" s="289">
        <v>53.612305468085104</v>
      </c>
      <c r="AV9" s="289">
        <v>0</v>
      </c>
      <c r="AW9" s="289">
        <v>0</v>
      </c>
      <c r="AX9" s="289">
        <v>0</v>
      </c>
      <c r="AY9" s="289">
        <v>0</v>
      </c>
      <c r="AZ9" s="289">
        <v>0</v>
      </c>
      <c r="BA9" s="289">
        <v>0</v>
      </c>
      <c r="BB9" s="289">
        <v>0</v>
      </c>
      <c r="BC9" s="289">
        <v>0</v>
      </c>
      <c r="BD9" s="289">
        <v>1270.689315568085</v>
      </c>
      <c r="BE9" s="289">
        <v>18</v>
      </c>
      <c r="BF9" s="289">
        <v>0</v>
      </c>
      <c r="BG9" s="289">
        <v>18</v>
      </c>
      <c r="BH9" s="289">
        <v>0</v>
      </c>
      <c r="BI9" s="289">
        <v>0</v>
      </c>
      <c r="BJ9" s="289">
        <v>0</v>
      </c>
      <c r="BK9" s="289">
        <v>0</v>
      </c>
      <c r="BL9" s="289">
        <v>18</v>
      </c>
      <c r="BM9" s="289">
        <v>0</v>
      </c>
      <c r="BN9" s="289">
        <v>18</v>
      </c>
      <c r="BO9" s="289">
        <v>418.68</v>
      </c>
      <c r="BP9" s="289">
        <v>43.47</v>
      </c>
      <c r="BQ9" s="289">
        <v>611.1</v>
      </c>
      <c r="BR9" s="289">
        <v>20.5600329</v>
      </c>
      <c r="BS9" s="289">
        <v>10.613807548085106</v>
      </c>
      <c r="BT9" s="289">
        <v>0</v>
      </c>
      <c r="BU9" s="289">
        <v>0</v>
      </c>
      <c r="BV9" s="289">
        <v>0</v>
      </c>
      <c r="BW9" s="289">
        <v>0</v>
      </c>
      <c r="BX9" s="289">
        <v>0</v>
      </c>
      <c r="BY9" s="289">
        <v>0</v>
      </c>
      <c r="BZ9" s="289">
        <v>0</v>
      </c>
      <c r="CA9" s="289">
        <v>0</v>
      </c>
      <c r="CB9" s="289">
        <v>1104.423840448085</v>
      </c>
      <c r="CC9" s="289">
        <v>62064</v>
      </c>
      <c r="CD9" s="289">
        <v>2361.6</v>
      </c>
      <c r="CE9" s="289">
        <v>2084.4</v>
      </c>
      <c r="CF9" s="289">
        <v>0</v>
      </c>
      <c r="CG9" s="289">
        <v>541.23751646808512</v>
      </c>
      <c r="CH9" s="289">
        <v>0</v>
      </c>
      <c r="CI9" s="289">
        <v>0</v>
      </c>
      <c r="CJ9" s="289">
        <v>0</v>
      </c>
      <c r="CK9" s="289">
        <v>0</v>
      </c>
      <c r="CL9" s="289">
        <v>0</v>
      </c>
      <c r="CM9" s="289">
        <v>0</v>
      </c>
      <c r="CN9" s="289">
        <v>0</v>
      </c>
      <c r="CO9" s="289">
        <v>0</v>
      </c>
      <c r="CP9" s="289">
        <v>67051.237516468085</v>
      </c>
      <c r="CQ9" s="289">
        <v>900</v>
      </c>
      <c r="CR9" s="289">
        <v>900</v>
      </c>
      <c r="CS9" s="289" t="s">
        <v>347</v>
      </c>
      <c r="CT9" s="289" t="s">
        <v>347</v>
      </c>
      <c r="CU9" s="289">
        <v>0</v>
      </c>
      <c r="CV9" s="289">
        <v>0</v>
      </c>
      <c r="CW9" s="289">
        <v>0</v>
      </c>
      <c r="CX9" s="289">
        <v>0</v>
      </c>
      <c r="CY9" s="289">
        <v>0</v>
      </c>
      <c r="CZ9" s="289">
        <v>1800</v>
      </c>
      <c r="DA9" s="289">
        <v>1800</v>
      </c>
      <c r="DB9" s="289">
        <v>0</v>
      </c>
      <c r="DC9" s="289">
        <v>0</v>
      </c>
      <c r="DD9" s="289" t="s">
        <v>347</v>
      </c>
      <c r="DE9" s="289" t="s">
        <v>347</v>
      </c>
      <c r="DF9" s="289">
        <v>0</v>
      </c>
      <c r="DG9" s="289">
        <v>0</v>
      </c>
      <c r="DH9" s="289">
        <v>0</v>
      </c>
      <c r="DI9" s="289">
        <v>0</v>
      </c>
      <c r="DJ9" s="289">
        <v>0</v>
      </c>
      <c r="DK9" s="289">
        <v>8.5129999999999999</v>
      </c>
      <c r="DL9" s="289">
        <v>19.154250000000001</v>
      </c>
      <c r="DM9" s="289">
        <v>63.390999999999991</v>
      </c>
      <c r="DN9" s="289">
        <v>142.62974999999997</v>
      </c>
      <c r="DO9" s="289">
        <v>153.23400000000001</v>
      </c>
      <c r="DP9" s="289">
        <v>1141.0379999999998</v>
      </c>
      <c r="DQ9"/>
      <c r="DR9"/>
      <c r="DS9"/>
      <c r="DT9"/>
      <c r="DU9"/>
      <c r="DV9"/>
      <c r="DW9"/>
    </row>
    <row r="10" spans="1:127" x14ac:dyDescent="0.35">
      <c r="DU10"/>
      <c r="DV10"/>
      <c r="DW10"/>
    </row>
    <row r="11" spans="1:127" x14ac:dyDescent="0.35">
      <c r="DU11"/>
      <c r="DV11"/>
      <c r="DW11"/>
    </row>
    <row r="43" spans="1:1" x14ac:dyDescent="0.35">
      <c r="A43" s="197"/>
    </row>
    <row r="49" spans="1:1" x14ac:dyDescent="0.35">
      <c r="A49" s="197"/>
    </row>
  </sheetData>
  <phoneticPr fontId="11" type="noConversion"/>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DCA21-83F6-4902-AF3B-959079FFA578}">
  <sheetPr codeName="Blad13"/>
  <dimension ref="A1:DU11"/>
  <sheetViews>
    <sheetView zoomScale="55" zoomScaleNormal="55" workbookViewId="0">
      <selection activeCell="I18" sqref="I18"/>
    </sheetView>
  </sheetViews>
  <sheetFormatPr defaultRowHeight="14.5" x14ac:dyDescent="0.35"/>
  <cols>
    <col min="1" max="1" width="21.1796875" bestFit="1" customWidth="1"/>
    <col min="2" max="2" width="19.453125" bestFit="1" customWidth="1"/>
    <col min="3" max="3" width="19.1796875" bestFit="1" customWidth="1"/>
    <col min="4" max="4" width="26.1796875" bestFit="1" customWidth="1"/>
    <col min="5" max="5" width="22" bestFit="1" customWidth="1"/>
    <col min="6" max="6" width="15.453125" bestFit="1" customWidth="1"/>
    <col min="7" max="7" width="16.54296875" bestFit="1" customWidth="1"/>
    <col min="8" max="8" width="19.54296875" bestFit="1" customWidth="1"/>
    <col min="9" max="9" width="12.26953125" bestFit="1" customWidth="1"/>
    <col min="10" max="10" width="26.54296875" bestFit="1" customWidth="1"/>
    <col min="11" max="11" width="31" bestFit="1" customWidth="1"/>
    <col min="12" max="12" width="20.81640625" bestFit="1" customWidth="1"/>
    <col min="13" max="13" width="20.7265625" bestFit="1" customWidth="1"/>
    <col min="14" max="14" width="22" bestFit="1" customWidth="1"/>
    <col min="15" max="15" width="36.54296875" bestFit="1" customWidth="1"/>
    <col min="16" max="16" width="20.7265625" bestFit="1" customWidth="1"/>
    <col min="17" max="17" width="21.1796875" bestFit="1" customWidth="1"/>
    <col min="18" max="18" width="22.7265625" bestFit="1" customWidth="1"/>
    <col min="19" max="19" width="68" bestFit="1" customWidth="1"/>
    <col min="20" max="20" width="57" bestFit="1" customWidth="1"/>
    <col min="21" max="21" width="42.26953125" bestFit="1" customWidth="1"/>
    <col min="22" max="22" width="48.453125" bestFit="1" customWidth="1"/>
    <col min="23" max="23" width="36" bestFit="1" customWidth="1"/>
    <col min="24" max="24" width="42.26953125" bestFit="1" customWidth="1"/>
    <col min="25" max="25" width="57" bestFit="1" customWidth="1"/>
    <col min="26" max="26" width="47.7265625" bestFit="1" customWidth="1"/>
    <col min="27" max="27" width="28.453125" bestFit="1" customWidth="1"/>
    <col min="28" max="29" width="21.453125" bestFit="1" customWidth="1"/>
    <col min="30" max="32" width="22.26953125" bestFit="1" customWidth="1"/>
    <col min="33" max="33" width="22" bestFit="1" customWidth="1"/>
    <col min="34" max="34" width="21.453125" bestFit="1" customWidth="1"/>
    <col min="35" max="35" width="22.26953125" bestFit="1" customWidth="1"/>
    <col min="36" max="36" width="21.453125" bestFit="1" customWidth="1"/>
    <col min="37" max="39" width="22.26953125" bestFit="1" customWidth="1"/>
    <col min="40" max="40" width="21.453125" bestFit="1" customWidth="1"/>
    <col min="41" max="41" width="22.26953125" bestFit="1" customWidth="1"/>
    <col min="42" max="42" width="24.54296875" bestFit="1" customWidth="1"/>
    <col min="43" max="43" width="22.7265625" bestFit="1" customWidth="1"/>
    <col min="44" max="46" width="23.26953125" bestFit="1" customWidth="1"/>
    <col min="47" max="47" width="23" bestFit="1" customWidth="1"/>
    <col min="48" max="48" width="22.7265625" bestFit="1" customWidth="1"/>
    <col min="49" max="49" width="23.26953125" bestFit="1" customWidth="1"/>
    <col min="50" max="50" width="22.7265625" bestFit="1" customWidth="1"/>
    <col min="51" max="53" width="23.26953125" bestFit="1" customWidth="1"/>
    <col min="54" max="54" width="22.7265625" bestFit="1" customWidth="1"/>
    <col min="55" max="55" width="23.26953125" bestFit="1" customWidth="1"/>
    <col min="56" max="56" width="25.54296875" bestFit="1" customWidth="1"/>
    <col min="57" max="57" width="39.54296875" bestFit="1" customWidth="1"/>
    <col min="58" max="58" width="38.54296875" bestFit="1" customWidth="1"/>
    <col min="59" max="59" width="40.1796875" bestFit="1" customWidth="1"/>
    <col min="60" max="60" width="43" bestFit="1" customWidth="1"/>
    <col min="61" max="61" width="57.26953125" bestFit="1" customWidth="1"/>
    <col min="62" max="62" width="57.81640625" bestFit="1" customWidth="1"/>
    <col min="63" max="63" width="60.81640625" bestFit="1" customWidth="1"/>
    <col min="64" max="64" width="47.7265625" bestFit="1" customWidth="1"/>
    <col min="65" max="65" width="50.81640625" bestFit="1" customWidth="1"/>
    <col min="66" max="66" width="36.7265625" bestFit="1" customWidth="1"/>
    <col min="67" max="67" width="40.1796875" bestFit="1" customWidth="1"/>
    <col min="68" max="70" width="40.7265625" bestFit="1" customWidth="1"/>
    <col min="71" max="71" width="40.453125" bestFit="1" customWidth="1"/>
    <col min="72" max="72" width="40.1796875" bestFit="1" customWidth="1"/>
    <col min="73" max="73" width="40.7265625" bestFit="1" customWidth="1"/>
    <col min="74" max="74" width="40.1796875" bestFit="1" customWidth="1"/>
    <col min="75" max="77" width="40.7265625" bestFit="1" customWidth="1"/>
    <col min="78" max="78" width="40.1796875" bestFit="1" customWidth="1"/>
    <col min="79" max="79" width="40.7265625" bestFit="1" customWidth="1"/>
    <col min="80" max="80" width="43" bestFit="1" customWidth="1"/>
    <col min="81" max="81" width="34.7265625" bestFit="1" customWidth="1"/>
    <col min="82" max="84" width="35.1796875" bestFit="1" customWidth="1"/>
    <col min="85" max="85" width="35" bestFit="1" customWidth="1"/>
    <col min="86" max="86" width="34.7265625" bestFit="1" customWidth="1"/>
    <col min="87" max="87" width="35.1796875" bestFit="1" customWidth="1"/>
    <col min="88" max="88" width="34.7265625" bestFit="1" customWidth="1"/>
    <col min="89" max="91" width="35.1796875" bestFit="1" customWidth="1"/>
    <col min="92" max="92" width="34.7265625" bestFit="1" customWidth="1"/>
    <col min="93" max="93" width="35.1796875" bestFit="1" customWidth="1"/>
    <col min="94" max="94" width="37.54296875" bestFit="1" customWidth="1"/>
    <col min="95" max="95" width="72.54296875" bestFit="1" customWidth="1"/>
    <col min="96" max="96" width="63.26953125" bestFit="1" customWidth="1"/>
    <col min="97" max="97" width="81.1796875" bestFit="1" customWidth="1"/>
    <col min="98" max="98" width="75.453125" bestFit="1" customWidth="1"/>
    <col min="99" max="99" width="57" bestFit="1" customWidth="1"/>
    <col min="100" max="100" width="81.1796875" bestFit="1" customWidth="1"/>
    <col min="101" max="101" width="80.81640625" bestFit="1" customWidth="1"/>
    <col min="102" max="102" width="81.1796875" bestFit="1" customWidth="1"/>
    <col min="103" max="103" width="64.54296875" bestFit="1" customWidth="1"/>
    <col min="104" max="104" width="70.54296875" bestFit="1" customWidth="1"/>
    <col min="105" max="105" width="45.81640625" bestFit="1" customWidth="1"/>
    <col min="106" max="106" width="72.81640625" bestFit="1" customWidth="1"/>
    <col min="107" max="107" width="66.81640625" bestFit="1" customWidth="1"/>
    <col min="108" max="108" width="71" bestFit="1" customWidth="1"/>
    <col min="109" max="109" width="64.81640625" bestFit="1" customWidth="1"/>
    <col min="110" max="110" width="77.26953125" bestFit="1" customWidth="1"/>
    <col min="111" max="111" width="81.1796875" bestFit="1" customWidth="1"/>
    <col min="112" max="113" width="81.1796875" style="289" bestFit="1" customWidth="1"/>
    <col min="114" max="114" width="66.1796875" style="289" bestFit="1" customWidth="1"/>
    <col min="115" max="115" width="33.81640625" style="289" bestFit="1" customWidth="1"/>
    <col min="116" max="116" width="33.453125" style="289" bestFit="1" customWidth="1"/>
    <col min="117" max="117" width="34.453125" style="289" bestFit="1" customWidth="1"/>
    <col min="118" max="118" width="33.81640625" style="289" bestFit="1" customWidth="1"/>
    <col min="119" max="119" width="28.1796875" style="289" bestFit="1" customWidth="1"/>
    <col min="120" max="120" width="28.7265625" style="289" bestFit="1" customWidth="1"/>
    <col min="121" max="121" width="30.26953125" style="289" bestFit="1" customWidth="1"/>
    <col min="122" max="122" width="32.54296875" style="289" bestFit="1" customWidth="1"/>
    <col min="123" max="123" width="31.54296875" style="289" bestFit="1" customWidth="1"/>
    <col min="124" max="124" width="33.453125" style="289" bestFit="1" customWidth="1"/>
    <col min="125" max="125" width="32.453125" style="289" bestFit="1" customWidth="1"/>
    <col min="126" max="126" width="80.1796875" bestFit="1" customWidth="1"/>
    <col min="127" max="127" width="81.1796875" bestFit="1" customWidth="1"/>
    <col min="128" max="129" width="62.453125" bestFit="1" customWidth="1"/>
    <col min="130" max="130" width="33.453125" bestFit="1" customWidth="1"/>
    <col min="131" max="131" width="18.54296875" bestFit="1" customWidth="1"/>
    <col min="132" max="132" width="18.81640625" bestFit="1" customWidth="1"/>
    <col min="133" max="133" width="21.453125" bestFit="1" customWidth="1"/>
    <col min="134" max="134" width="62.1796875" bestFit="1" customWidth="1"/>
    <col min="135" max="135" width="52.1796875" bestFit="1" customWidth="1"/>
    <col min="136" max="136" width="39.1796875" bestFit="1" customWidth="1"/>
    <col min="137" max="137" width="45.7265625" bestFit="1" customWidth="1"/>
    <col min="138" max="138" width="32.81640625" bestFit="1" customWidth="1"/>
    <col min="139" max="139" width="39.1796875" bestFit="1" customWidth="1"/>
    <col min="140" max="140" width="52" bestFit="1" customWidth="1"/>
    <col min="141" max="141" width="43.1796875" bestFit="1" customWidth="1"/>
    <col min="142" max="142" width="25.81640625" bestFit="1" customWidth="1"/>
    <col min="143" max="143" width="19.26953125" bestFit="1" customWidth="1"/>
    <col min="144" max="144" width="19.1796875" bestFit="1" customWidth="1"/>
    <col min="145" max="148" width="19.7265625" bestFit="1" customWidth="1"/>
    <col min="149" max="149" width="19.1796875" bestFit="1" customWidth="1"/>
    <col min="150" max="150" width="19.7265625" bestFit="1" customWidth="1"/>
    <col min="151" max="151" width="19.1796875" bestFit="1" customWidth="1"/>
    <col min="152" max="154" width="19.7265625" bestFit="1" customWidth="1"/>
    <col min="155" max="155" width="19.1796875" bestFit="1" customWidth="1"/>
    <col min="156" max="156" width="19.7265625" bestFit="1" customWidth="1"/>
    <col min="157" max="157" width="22.453125" bestFit="1" customWidth="1"/>
    <col min="158" max="158" width="20.54296875" bestFit="1" customWidth="1"/>
    <col min="159" max="162" width="21" bestFit="1" customWidth="1"/>
    <col min="163" max="163" width="20.54296875" bestFit="1" customWidth="1"/>
    <col min="164" max="164" width="21" bestFit="1" customWidth="1"/>
    <col min="165" max="165" width="20.54296875" bestFit="1" customWidth="1"/>
    <col min="166" max="168" width="21" bestFit="1" customWidth="1"/>
    <col min="169" max="169" width="20.54296875" bestFit="1" customWidth="1"/>
    <col min="170" max="170" width="21" bestFit="1" customWidth="1"/>
    <col min="171" max="171" width="23.54296875" bestFit="1" customWidth="1"/>
    <col min="172" max="172" width="36.453125" bestFit="1" customWidth="1"/>
    <col min="173" max="173" width="36.81640625" bestFit="1" customWidth="1"/>
    <col min="174" max="174" width="36.26953125" bestFit="1" customWidth="1"/>
    <col min="175" max="175" width="40.26953125" bestFit="1" customWidth="1"/>
    <col min="176" max="176" width="54.453125" bestFit="1" customWidth="1"/>
    <col min="177" max="177" width="54.26953125" bestFit="1" customWidth="1"/>
    <col min="178" max="178" width="58.26953125" bestFit="1" customWidth="1"/>
    <col min="179" max="179" width="43.453125" bestFit="1" customWidth="1"/>
    <col min="180" max="180" width="47.453125" bestFit="1" customWidth="1"/>
    <col min="181" max="181" width="33.453125" bestFit="1" customWidth="1"/>
    <col min="182" max="182" width="37.7265625" bestFit="1" customWidth="1"/>
    <col min="183" max="186" width="38.1796875" bestFit="1" customWidth="1"/>
    <col min="187" max="187" width="37.7265625" bestFit="1" customWidth="1"/>
    <col min="188" max="188" width="38.1796875" bestFit="1" customWidth="1"/>
    <col min="189" max="189" width="37.7265625" bestFit="1" customWidth="1"/>
    <col min="190" max="192" width="38.1796875" bestFit="1" customWidth="1"/>
    <col min="193" max="193" width="37.7265625" bestFit="1" customWidth="1"/>
    <col min="194" max="194" width="38.1796875" bestFit="1" customWidth="1"/>
    <col min="195" max="195" width="41" bestFit="1" customWidth="1"/>
    <col min="196" max="196" width="31.54296875" bestFit="1" customWidth="1"/>
    <col min="197" max="200" width="32" bestFit="1" customWidth="1"/>
    <col min="201" max="201" width="31.54296875" bestFit="1" customWidth="1"/>
    <col min="202" max="202" width="32" bestFit="1" customWidth="1"/>
    <col min="203" max="203" width="31.54296875" bestFit="1" customWidth="1"/>
    <col min="204" max="206" width="32" bestFit="1" customWidth="1"/>
    <col min="207" max="207" width="31.54296875" bestFit="1" customWidth="1"/>
    <col min="208" max="208" width="32" bestFit="1" customWidth="1"/>
    <col min="209" max="209" width="34.54296875" bestFit="1" customWidth="1"/>
    <col min="210" max="210" width="66.453125" bestFit="1" customWidth="1"/>
    <col min="211" max="211" width="57.7265625" bestFit="1" customWidth="1"/>
    <col min="212" max="212" width="78.1796875" bestFit="1" customWidth="1"/>
    <col min="213" max="213" width="69.26953125" bestFit="1" customWidth="1"/>
    <col min="214" max="214" width="52.54296875" bestFit="1" customWidth="1"/>
    <col min="215" max="215" width="81.1796875" bestFit="1" customWidth="1"/>
    <col min="216" max="216" width="75.81640625" bestFit="1" customWidth="1"/>
    <col min="217" max="217" width="76.453125" bestFit="1" customWidth="1"/>
    <col min="218" max="218" width="59.7265625" bestFit="1" customWidth="1"/>
    <col min="219" max="219" width="65.81640625" bestFit="1" customWidth="1"/>
    <col min="220" max="220" width="42.453125" bestFit="1" customWidth="1"/>
    <col min="221" max="221" width="67.81640625" bestFit="1" customWidth="1"/>
    <col min="222" max="222" width="62.81640625" bestFit="1" customWidth="1"/>
    <col min="223" max="223" width="65.81640625" bestFit="1" customWidth="1"/>
    <col min="224" max="224" width="60.7265625" bestFit="1" customWidth="1"/>
    <col min="225" max="225" width="71.7265625" bestFit="1" customWidth="1"/>
    <col min="226" max="226" width="81.1796875" bestFit="1" customWidth="1"/>
    <col min="227" max="227" width="78.81640625" bestFit="1" customWidth="1"/>
    <col min="228" max="228" width="81.1796875" customWidth="1"/>
    <col min="229" max="229" width="61.54296875" bestFit="1" customWidth="1"/>
    <col min="230" max="230" width="81.1796875" bestFit="1" customWidth="1"/>
    <col min="231" max="231" width="78.81640625" bestFit="1" customWidth="1"/>
    <col min="232" max="232" width="81.1796875" bestFit="1" customWidth="1"/>
    <col min="233" max="234" width="61.54296875" bestFit="1" customWidth="1"/>
    <col min="235" max="235" width="21.453125" bestFit="1" customWidth="1"/>
    <col min="236" max="236" width="63" bestFit="1" customWidth="1"/>
    <col min="237" max="237" width="52.81640625" bestFit="1" customWidth="1"/>
    <col min="238" max="238" width="39.26953125" bestFit="1" customWidth="1"/>
    <col min="239" max="239" width="46" bestFit="1" customWidth="1"/>
    <col min="240" max="240" width="32.81640625" bestFit="1" customWidth="1"/>
    <col min="241" max="241" width="39.1796875" bestFit="1" customWidth="1"/>
    <col min="242" max="242" width="52.453125" bestFit="1" customWidth="1"/>
    <col min="243" max="243" width="43.54296875" bestFit="1" customWidth="1"/>
    <col min="244" max="244" width="25.81640625" bestFit="1" customWidth="1"/>
    <col min="245" max="246" width="19.26953125" bestFit="1" customWidth="1"/>
    <col min="247" max="250" width="20" bestFit="1" customWidth="1"/>
    <col min="251" max="251" width="19.26953125" bestFit="1" customWidth="1"/>
    <col min="252" max="252" width="20" bestFit="1" customWidth="1"/>
    <col min="253" max="253" width="19.26953125" bestFit="1" customWidth="1"/>
    <col min="254" max="256" width="20" bestFit="1" customWidth="1"/>
    <col min="257" max="257" width="19.26953125" bestFit="1" customWidth="1"/>
    <col min="258" max="258" width="20" bestFit="1" customWidth="1"/>
    <col min="259" max="259" width="22.54296875" bestFit="1" customWidth="1"/>
    <col min="260" max="260" width="20.7265625" bestFit="1" customWidth="1"/>
    <col min="261" max="264" width="21.1796875" bestFit="1" customWidth="1"/>
    <col min="265" max="265" width="20.7265625" bestFit="1" customWidth="1"/>
    <col min="266" max="266" width="21.1796875" bestFit="1" customWidth="1"/>
    <col min="267" max="267" width="20.7265625" bestFit="1" customWidth="1"/>
    <col min="268" max="270" width="21.1796875" bestFit="1" customWidth="1"/>
    <col min="271" max="271" width="20.7265625" bestFit="1" customWidth="1"/>
    <col min="272" max="272" width="21.1796875" bestFit="1" customWidth="1"/>
    <col min="273" max="273" width="23.81640625" bestFit="1" customWidth="1"/>
    <col min="274" max="274" width="36.7265625" bestFit="1" customWidth="1"/>
    <col min="275" max="275" width="37.1796875" bestFit="1" customWidth="1"/>
    <col min="276" max="276" width="36.453125" bestFit="1" customWidth="1"/>
    <col min="277" max="277" width="40.54296875" bestFit="1" customWidth="1"/>
    <col min="278" max="278" width="54.81640625" bestFit="1" customWidth="1"/>
    <col min="279" max="279" width="54.54296875" bestFit="1" customWidth="1"/>
    <col min="280" max="280" width="58.7265625" bestFit="1" customWidth="1"/>
    <col min="281" max="281" width="43.81640625" bestFit="1" customWidth="1"/>
    <col min="282" max="282" width="47.81640625" bestFit="1" customWidth="1"/>
    <col min="283" max="283" width="33.54296875" bestFit="1" customWidth="1"/>
    <col min="284" max="284" width="38.1796875" bestFit="1" customWidth="1"/>
    <col min="285" max="288" width="38.54296875" bestFit="1" customWidth="1"/>
    <col min="289" max="289" width="38.1796875" bestFit="1" customWidth="1"/>
    <col min="290" max="290" width="38.54296875" bestFit="1" customWidth="1"/>
    <col min="291" max="291" width="38.1796875" bestFit="1" customWidth="1"/>
    <col min="292" max="294" width="38.54296875" bestFit="1" customWidth="1"/>
    <col min="295" max="295" width="38.1796875" bestFit="1" customWidth="1"/>
    <col min="296" max="296" width="38.54296875" bestFit="1" customWidth="1"/>
    <col min="297" max="297" width="41.453125" bestFit="1" customWidth="1"/>
    <col min="298" max="298" width="32" bestFit="1" customWidth="1"/>
    <col min="299" max="302" width="32.453125" bestFit="1" customWidth="1"/>
    <col min="303" max="303" width="32" bestFit="1" customWidth="1"/>
    <col min="304" max="304" width="32.453125" bestFit="1" customWidth="1"/>
    <col min="305" max="305" width="32" bestFit="1" customWidth="1"/>
    <col min="306" max="308" width="32.453125" bestFit="1" customWidth="1"/>
    <col min="309" max="309" width="32" bestFit="1" customWidth="1"/>
    <col min="310" max="310" width="32.453125" bestFit="1" customWidth="1"/>
    <col min="311" max="311" width="35.26953125" bestFit="1" customWidth="1"/>
    <col min="312" max="312" width="66.7265625" bestFit="1" customWidth="1"/>
    <col min="313" max="313" width="57.81640625" bestFit="1" customWidth="1"/>
    <col min="314" max="314" width="78.54296875" bestFit="1" customWidth="1"/>
    <col min="315" max="315" width="69.7265625" bestFit="1" customWidth="1"/>
    <col min="316" max="316" width="53" bestFit="1" customWidth="1"/>
    <col min="317" max="317" width="81.1796875" bestFit="1" customWidth="1"/>
    <col min="318" max="318" width="76.26953125" bestFit="1" customWidth="1"/>
    <col min="319" max="319" width="76.81640625" bestFit="1" customWidth="1"/>
    <col min="320" max="320" width="58.54296875" bestFit="1" customWidth="1"/>
    <col min="321" max="321" width="64.453125" bestFit="1" customWidth="1"/>
    <col min="322" max="322" width="41.1796875" bestFit="1" customWidth="1"/>
    <col min="323" max="323" width="68.26953125" bestFit="1" customWidth="1"/>
    <col min="324" max="324" width="63.1796875" bestFit="1" customWidth="1"/>
    <col min="325" max="325" width="66.26953125" bestFit="1" customWidth="1"/>
    <col min="326" max="326" width="61.1796875" bestFit="1" customWidth="1"/>
    <col min="327" max="327" width="81.1796875" bestFit="1" customWidth="1"/>
    <col min="328" max="328" width="81" bestFit="1" customWidth="1"/>
    <col min="329" max="330" width="81.1796875" bestFit="1" customWidth="1"/>
    <col min="331" max="331" width="79.54296875" bestFit="1" customWidth="1"/>
    <col min="332" max="332" width="81.1796875" bestFit="1" customWidth="1"/>
    <col min="333" max="333" width="62" bestFit="1" customWidth="1"/>
    <col min="334" max="338" width="25" bestFit="1" customWidth="1"/>
    <col min="339" max="344" width="24.81640625" bestFit="1" customWidth="1"/>
    <col min="345" max="346" width="25" bestFit="1" customWidth="1"/>
    <col min="347" max="347" width="27.1796875" bestFit="1" customWidth="1"/>
    <col min="348" max="352" width="25.81640625" bestFit="1" customWidth="1"/>
    <col min="353" max="358" width="25.7265625" bestFit="1" customWidth="1"/>
    <col min="359" max="360" width="25.81640625" bestFit="1" customWidth="1"/>
    <col min="361" max="361" width="28.1796875" bestFit="1" customWidth="1"/>
    <col min="362" max="362" width="39.54296875" bestFit="1" customWidth="1"/>
    <col min="363" max="363" width="38.7265625" bestFit="1" customWidth="1"/>
    <col min="364" max="364" width="39.26953125" bestFit="1" customWidth="1"/>
    <col min="365" max="365" width="41.7265625" bestFit="1" customWidth="1"/>
    <col min="366" max="366" width="53.7265625" bestFit="1" customWidth="1"/>
    <col min="367" max="367" width="53.453125" bestFit="1" customWidth="1"/>
    <col min="368" max="368" width="55.7265625" bestFit="1" customWidth="1"/>
    <col min="369" max="369" width="45" bestFit="1" customWidth="1"/>
    <col min="370" max="370" width="47.26953125" bestFit="1" customWidth="1"/>
    <col min="371" max="371" width="36.81640625" bestFit="1" customWidth="1"/>
    <col min="372" max="376" width="39.7265625" bestFit="1" customWidth="1"/>
    <col min="377" max="382" width="39.54296875" bestFit="1" customWidth="1"/>
    <col min="383" max="384" width="39.7265625" bestFit="1" customWidth="1"/>
    <col min="385" max="385" width="42" bestFit="1" customWidth="1"/>
    <col min="386" max="390" width="34.54296875" bestFit="1" customWidth="1"/>
    <col min="391" max="396" width="34.453125" bestFit="1" customWidth="1"/>
    <col min="397" max="398" width="34.54296875" bestFit="1" customWidth="1"/>
    <col min="399" max="399" width="36.81640625" bestFit="1" customWidth="1"/>
    <col min="400" max="400" width="61.54296875" bestFit="1" customWidth="1"/>
    <col min="401" max="401" width="54.54296875" bestFit="1" customWidth="1"/>
    <col min="402" max="402" width="70.26953125" bestFit="1" customWidth="1"/>
    <col min="403" max="403" width="63.26953125" bestFit="1" customWidth="1"/>
    <col min="404" max="404" width="51" bestFit="1" customWidth="1"/>
    <col min="405" max="405" width="75.26953125" bestFit="1" customWidth="1"/>
    <col min="406" max="406" width="68.54296875" bestFit="1" customWidth="1"/>
    <col min="407" max="407" width="69.81640625" bestFit="1" customWidth="1"/>
    <col min="408" max="408" width="55.7265625" bestFit="1" customWidth="1"/>
    <col min="409" max="409" width="60.26953125" bestFit="1" customWidth="1"/>
    <col min="410" max="410" width="42.26953125" bestFit="1" customWidth="1"/>
    <col min="411" max="411" width="62.7265625" bestFit="1" customWidth="1"/>
    <col min="412" max="412" width="59" bestFit="1" customWidth="1"/>
    <col min="413" max="413" width="61.1796875" bestFit="1" customWidth="1"/>
    <col min="414" max="414" width="57.453125" bestFit="1" customWidth="1"/>
    <col min="415" max="415" width="76.453125" bestFit="1" customWidth="1"/>
    <col min="416" max="416" width="72.7265625" bestFit="1" customWidth="1"/>
    <col min="417" max="418" width="81.1796875" bestFit="1" customWidth="1"/>
    <col min="419" max="419" width="71" bestFit="1" customWidth="1"/>
    <col min="420" max="420" width="75.54296875" bestFit="1" customWidth="1"/>
    <col min="421" max="421" width="57.26953125" bestFit="1" customWidth="1"/>
    <col min="422" max="423" width="46.453125" bestFit="1" customWidth="1"/>
    <col min="424" max="425" width="57.26953125" bestFit="1" customWidth="1"/>
    <col min="426" max="426" width="53.7265625" bestFit="1" customWidth="1"/>
    <col min="427" max="428" width="59.54296875" bestFit="1" customWidth="1"/>
    <col min="429" max="429" width="66.81640625" bestFit="1" customWidth="1"/>
    <col min="430" max="430" width="59.7265625" bestFit="1" customWidth="1"/>
    <col min="431" max="431" width="64.1796875" bestFit="1" customWidth="1"/>
    <col min="432" max="432" width="48.54296875" bestFit="1" customWidth="1"/>
    <col min="433" max="434" width="46.453125" bestFit="1" customWidth="1"/>
    <col min="435" max="436" width="57.26953125" bestFit="1" customWidth="1"/>
    <col min="437" max="437" width="53.7265625" bestFit="1" customWidth="1"/>
    <col min="438" max="439" width="59.54296875" bestFit="1" customWidth="1"/>
    <col min="440" max="440" width="66.81640625" bestFit="1" customWidth="1"/>
    <col min="441" max="441" width="59.7265625" bestFit="1" customWidth="1"/>
    <col min="442" max="442" width="64.1796875" bestFit="1" customWidth="1"/>
    <col min="443" max="443" width="48.54296875" bestFit="1" customWidth="1"/>
    <col min="444" max="448" width="39" bestFit="1" customWidth="1"/>
    <col min="449" max="454" width="38.81640625" bestFit="1" customWidth="1"/>
    <col min="455" max="456" width="39" bestFit="1" customWidth="1"/>
    <col min="457" max="457" width="42.26953125" bestFit="1" customWidth="1"/>
    <col min="458" max="458" width="59.54296875" bestFit="1" customWidth="1"/>
    <col min="459" max="459" width="58.453125" bestFit="1" customWidth="1"/>
    <col min="460" max="460" width="66.453125" bestFit="1" customWidth="1"/>
    <col min="461" max="461" width="65.26953125" bestFit="1" customWidth="1"/>
    <col min="462" max="462" width="49.81640625" bestFit="1" customWidth="1"/>
    <col min="463" max="463" width="72.7265625" bestFit="1" customWidth="1"/>
    <col min="464" max="464" width="71.54296875" bestFit="1" customWidth="1"/>
    <col min="465" max="465" width="63" bestFit="1" customWidth="1"/>
    <col min="466" max="466" width="55.81640625" bestFit="1" customWidth="1"/>
    <col min="467" max="467" width="60.26953125" bestFit="1" customWidth="1"/>
    <col min="468" max="468" width="44.7265625" bestFit="1" customWidth="1"/>
    <col min="469" max="470" width="46.453125" bestFit="1" customWidth="1"/>
    <col min="471" max="472" width="57.26953125" bestFit="1" customWidth="1"/>
    <col min="473" max="473" width="53.7265625" bestFit="1" customWidth="1"/>
    <col min="474" max="475" width="59.54296875" bestFit="1" customWidth="1"/>
    <col min="476" max="476" width="66.81640625" bestFit="1" customWidth="1"/>
    <col min="477" max="477" width="59.7265625" bestFit="1" customWidth="1"/>
    <col min="478" max="478" width="64.1796875" bestFit="1" customWidth="1"/>
    <col min="479" max="479" width="48.54296875" bestFit="1" customWidth="1"/>
    <col min="480" max="481" width="44.7265625" bestFit="1" customWidth="1"/>
    <col min="482" max="482" width="47.81640625" bestFit="1" customWidth="1"/>
    <col min="483" max="487" width="39" bestFit="1" customWidth="1"/>
    <col min="488" max="493" width="38.81640625" bestFit="1" customWidth="1"/>
    <col min="494" max="495" width="39" bestFit="1" customWidth="1"/>
    <col min="496" max="496" width="42.26953125" bestFit="1" customWidth="1"/>
    <col min="497" max="497" width="59.54296875" bestFit="1" customWidth="1"/>
    <col min="498" max="498" width="58.453125" bestFit="1" customWidth="1"/>
    <col min="499" max="499" width="66.453125" bestFit="1" customWidth="1"/>
    <col min="500" max="500" width="65.26953125" bestFit="1" customWidth="1"/>
    <col min="501" max="501" width="49.81640625" bestFit="1" customWidth="1"/>
    <col min="502" max="502" width="72.7265625" bestFit="1" customWidth="1"/>
    <col min="503" max="503" width="71.54296875" bestFit="1" customWidth="1"/>
    <col min="504" max="504" width="63" bestFit="1" customWidth="1"/>
    <col min="505" max="505" width="55.81640625" bestFit="1" customWidth="1"/>
    <col min="506" max="506" width="60.26953125" bestFit="1" customWidth="1"/>
    <col min="507" max="507" width="44.7265625" bestFit="1" customWidth="1"/>
    <col min="508" max="509" width="46.453125" bestFit="1" customWidth="1"/>
    <col min="510" max="511" width="57.26953125" bestFit="1" customWidth="1"/>
    <col min="512" max="512" width="53.7265625" bestFit="1" customWidth="1"/>
    <col min="513" max="514" width="59.54296875" bestFit="1" customWidth="1"/>
    <col min="515" max="515" width="66.81640625" bestFit="1" customWidth="1"/>
    <col min="516" max="516" width="59.7265625" bestFit="1" customWidth="1"/>
    <col min="517" max="517" width="64.1796875" bestFit="1" customWidth="1"/>
    <col min="518" max="518" width="48.54296875" bestFit="1" customWidth="1"/>
    <col min="519" max="519" width="55.81640625" bestFit="1" customWidth="1"/>
    <col min="520" max="520" width="60.26953125" bestFit="1" customWidth="1"/>
    <col min="521" max="521" width="44.7265625" bestFit="1" customWidth="1"/>
    <col min="522" max="523" width="46.453125" bestFit="1" customWidth="1"/>
    <col min="524" max="525" width="57.26953125" bestFit="1" customWidth="1"/>
    <col min="526" max="526" width="53.7265625" bestFit="1" customWidth="1"/>
    <col min="527" max="528" width="59.54296875" bestFit="1" customWidth="1"/>
    <col min="529" max="529" width="66.81640625" bestFit="1" customWidth="1"/>
    <col min="530" max="530" width="59.7265625" bestFit="1" customWidth="1"/>
    <col min="531" max="531" width="64.1796875" bestFit="1" customWidth="1"/>
    <col min="532" max="532" width="48.54296875" bestFit="1" customWidth="1"/>
    <col min="533" max="533" width="64.1796875" bestFit="1" customWidth="1"/>
    <col min="534" max="534" width="48.54296875" customWidth="1"/>
    <col min="535" max="535" width="17.54296875" bestFit="1" customWidth="1"/>
  </cols>
  <sheetData>
    <row r="1" spans="1:125" x14ac:dyDescent="0.35">
      <c r="A1" t="s">
        <v>524</v>
      </c>
      <c r="B1" t="s">
        <v>1551</v>
      </c>
      <c r="C1" t="s">
        <v>1333</v>
      </c>
      <c r="D1" t="s">
        <v>1334</v>
      </c>
      <c r="E1" t="s">
        <v>1335</v>
      </c>
      <c r="F1" t="s">
        <v>1549</v>
      </c>
      <c r="G1" t="s">
        <v>1336</v>
      </c>
      <c r="H1" t="s">
        <v>517</v>
      </c>
      <c r="I1" t="s">
        <v>518</v>
      </c>
      <c r="J1" t="s">
        <v>519</v>
      </c>
      <c r="K1" t="s">
        <v>4</v>
      </c>
      <c r="L1" t="s">
        <v>442</v>
      </c>
      <c r="M1" t="s">
        <v>525</v>
      </c>
      <c r="N1" t="s">
        <v>526</v>
      </c>
      <c r="O1" t="s">
        <v>1449</v>
      </c>
      <c r="P1" t="s">
        <v>521</v>
      </c>
      <c r="Q1" t="s">
        <v>520</v>
      </c>
      <c r="R1" t="s">
        <v>522</v>
      </c>
      <c r="S1" t="s">
        <v>1540</v>
      </c>
      <c r="T1" t="s">
        <v>1541</v>
      </c>
      <c r="U1" t="s">
        <v>1542</v>
      </c>
      <c r="V1" t="s">
        <v>1543</v>
      </c>
      <c r="W1" t="s">
        <v>1544</v>
      </c>
      <c r="X1" t="s">
        <v>1545</v>
      </c>
      <c r="Y1" t="s">
        <v>1546</v>
      </c>
      <c r="Z1" t="s">
        <v>1547</v>
      </c>
      <c r="AA1" t="s">
        <v>1548</v>
      </c>
      <c r="AB1" t="s">
        <v>523</v>
      </c>
      <c r="AC1" t="s">
        <v>1450</v>
      </c>
      <c r="AD1" t="s">
        <v>1451</v>
      </c>
      <c r="AE1" t="s">
        <v>1452</v>
      </c>
      <c r="AF1" t="s">
        <v>1453</v>
      </c>
      <c r="AG1" t="s">
        <v>1454</v>
      </c>
      <c r="AH1" t="s">
        <v>1455</v>
      </c>
      <c r="AI1" t="s">
        <v>1456</v>
      </c>
      <c r="AJ1" t="s">
        <v>1457</v>
      </c>
      <c r="AK1" t="s">
        <v>1458</v>
      </c>
      <c r="AL1" t="s">
        <v>1459</v>
      </c>
      <c r="AM1" t="s">
        <v>1460</v>
      </c>
      <c r="AN1" t="s">
        <v>1461</v>
      </c>
      <c r="AO1" t="s">
        <v>1462</v>
      </c>
      <c r="AP1" t="s">
        <v>1463</v>
      </c>
      <c r="AQ1" t="s">
        <v>1464</v>
      </c>
      <c r="AR1" t="s">
        <v>1465</v>
      </c>
      <c r="AS1" t="s">
        <v>1466</v>
      </c>
      <c r="AT1" t="s">
        <v>1467</v>
      </c>
      <c r="AU1" t="s">
        <v>1468</v>
      </c>
      <c r="AV1" t="s">
        <v>1469</v>
      </c>
      <c r="AW1" t="s">
        <v>1470</v>
      </c>
      <c r="AX1" t="s">
        <v>1471</v>
      </c>
      <c r="AY1" t="s">
        <v>1472</v>
      </c>
      <c r="AZ1" t="s">
        <v>1473</v>
      </c>
      <c r="BA1" t="s">
        <v>1474</v>
      </c>
      <c r="BB1" t="s">
        <v>1475</v>
      </c>
      <c r="BC1" t="s">
        <v>1476</v>
      </c>
      <c r="BD1" t="s">
        <v>1477</v>
      </c>
      <c r="BE1" t="s">
        <v>1478</v>
      </c>
      <c r="BF1" t="s">
        <v>1479</v>
      </c>
      <c r="BG1" t="s">
        <v>1480</v>
      </c>
      <c r="BH1" t="s">
        <v>1481</v>
      </c>
      <c r="BI1" t="s">
        <v>1482</v>
      </c>
      <c r="BJ1" t="s">
        <v>1483</v>
      </c>
      <c r="BK1" t="s">
        <v>1484</v>
      </c>
      <c r="BL1" t="s">
        <v>1485</v>
      </c>
      <c r="BM1" t="s">
        <v>1486</v>
      </c>
      <c r="BN1" t="s">
        <v>1487</v>
      </c>
      <c r="BO1" t="s">
        <v>1488</v>
      </c>
      <c r="BP1" t="s">
        <v>1489</v>
      </c>
      <c r="BQ1" t="s">
        <v>1490</v>
      </c>
      <c r="BR1" t="s">
        <v>1491</v>
      </c>
      <c r="BS1" t="s">
        <v>1492</v>
      </c>
      <c r="BT1" t="s">
        <v>1493</v>
      </c>
      <c r="BU1" t="s">
        <v>1494</v>
      </c>
      <c r="BV1" t="s">
        <v>1495</v>
      </c>
      <c r="BW1" t="s">
        <v>1496</v>
      </c>
      <c r="BX1" t="s">
        <v>1497</v>
      </c>
      <c r="BY1" t="s">
        <v>1498</v>
      </c>
      <c r="BZ1" t="s">
        <v>1499</v>
      </c>
      <c r="CA1" t="s">
        <v>1500</v>
      </c>
      <c r="CB1" t="s">
        <v>1501</v>
      </c>
      <c r="CC1" t="s">
        <v>1502</v>
      </c>
      <c r="CD1" t="s">
        <v>1503</v>
      </c>
      <c r="CE1" t="s">
        <v>1504</v>
      </c>
      <c r="CF1" t="s">
        <v>1505</v>
      </c>
      <c r="CG1" t="s">
        <v>1506</v>
      </c>
      <c r="CH1" t="s">
        <v>1507</v>
      </c>
      <c r="CI1" t="s">
        <v>1508</v>
      </c>
      <c r="CJ1" t="s">
        <v>1509</v>
      </c>
      <c r="CK1" t="s">
        <v>1510</v>
      </c>
      <c r="CL1" t="s">
        <v>1511</v>
      </c>
      <c r="CM1" t="s">
        <v>1512</v>
      </c>
      <c r="CN1" t="s">
        <v>1513</v>
      </c>
      <c r="CO1" t="s">
        <v>1514</v>
      </c>
      <c r="CP1" t="s">
        <v>1515</v>
      </c>
      <c r="CQ1" t="s">
        <v>1516</v>
      </c>
      <c r="CR1" t="s">
        <v>1517</v>
      </c>
      <c r="CS1" t="s">
        <v>1518</v>
      </c>
      <c r="CT1" t="s">
        <v>1519</v>
      </c>
      <c r="CU1" t="s">
        <v>1520</v>
      </c>
      <c r="CV1" t="s">
        <v>1521</v>
      </c>
      <c r="CW1" t="s">
        <v>1522</v>
      </c>
      <c r="CX1" t="s">
        <v>1523</v>
      </c>
      <c r="CY1" t="s">
        <v>1524</v>
      </c>
      <c r="CZ1" t="s">
        <v>1525</v>
      </c>
      <c r="DA1" t="s">
        <v>1526</v>
      </c>
      <c r="DB1" t="s">
        <v>1527</v>
      </c>
      <c r="DC1" t="s">
        <v>1528</v>
      </c>
      <c r="DD1" t="s">
        <v>1529</v>
      </c>
      <c r="DE1" t="s">
        <v>1530</v>
      </c>
      <c r="DF1" t="s">
        <v>1531</v>
      </c>
      <c r="DG1" t="s">
        <v>1532</v>
      </c>
      <c r="DH1" t="s">
        <v>1533</v>
      </c>
      <c r="DI1" t="s">
        <v>1534</v>
      </c>
      <c r="DJ1" t="s">
        <v>1535</v>
      </c>
      <c r="DK1" t="s">
        <v>1536</v>
      </c>
      <c r="DL1" t="s">
        <v>1537</v>
      </c>
      <c r="DM1" t="s">
        <v>1538</v>
      </c>
      <c r="DN1" t="s">
        <v>1539</v>
      </c>
      <c r="DO1" t="s">
        <v>1552</v>
      </c>
      <c r="DP1" t="s">
        <v>1553</v>
      </c>
      <c r="DQ1"/>
      <c r="DR1"/>
      <c r="DS1"/>
      <c r="DT1"/>
      <c r="DU1"/>
    </row>
    <row r="2" spans="1:125" x14ac:dyDescent="0.35">
      <c r="A2" t="s">
        <v>1446</v>
      </c>
      <c r="C2" s="171" t="s">
        <v>1447</v>
      </c>
      <c r="D2">
        <v>1</v>
      </c>
      <c r="E2" s="259">
        <v>44546</v>
      </c>
      <c r="F2">
        <v>1</v>
      </c>
      <c r="G2" s="171" t="s">
        <v>1438</v>
      </c>
      <c r="H2" t="s">
        <v>160</v>
      </c>
      <c r="J2" t="s">
        <v>444</v>
      </c>
      <c r="K2" s="171" t="s">
        <v>1340</v>
      </c>
      <c r="L2" t="s">
        <v>470</v>
      </c>
      <c r="O2">
        <v>2.37</v>
      </c>
      <c r="P2">
        <v>112</v>
      </c>
      <c r="Q2">
        <v>266.10000000000002</v>
      </c>
      <c r="AC2">
        <v>744.64396987050009</v>
      </c>
      <c r="AD2">
        <v>301.56276697593751</v>
      </c>
      <c r="AE2">
        <v>448.23302910864413</v>
      </c>
      <c r="AF2">
        <v>167.35739487000001</v>
      </c>
      <c r="AG2">
        <v>37.979612123999999</v>
      </c>
      <c r="AH2">
        <v>0</v>
      </c>
      <c r="AI2">
        <v>0</v>
      </c>
      <c r="AJ2">
        <v>0</v>
      </c>
      <c r="AK2">
        <v>0</v>
      </c>
      <c r="AL2">
        <v>0</v>
      </c>
      <c r="AM2">
        <v>0</v>
      </c>
      <c r="AN2">
        <v>0</v>
      </c>
      <c r="AO2">
        <v>0</v>
      </c>
      <c r="AP2">
        <v>1699.7767729490818</v>
      </c>
      <c r="AQ2">
        <v>5567.2668537774016</v>
      </c>
      <c r="AR2">
        <v>2383.1515607419446</v>
      </c>
      <c r="AS2">
        <v>6295.3280609918738</v>
      </c>
      <c r="AT2">
        <v>1517.3369260500001</v>
      </c>
      <c r="AU2">
        <v>374.99429352000004</v>
      </c>
      <c r="AV2">
        <v>0</v>
      </c>
      <c r="AW2">
        <v>0</v>
      </c>
      <c r="AX2">
        <v>0</v>
      </c>
      <c r="AY2">
        <v>0</v>
      </c>
      <c r="AZ2">
        <v>0</v>
      </c>
      <c r="BA2">
        <v>0</v>
      </c>
      <c r="BB2">
        <v>0</v>
      </c>
      <c r="BC2">
        <v>0</v>
      </c>
      <c r="BD2">
        <v>16138.07769508122</v>
      </c>
      <c r="BE2">
        <v>266.10000000000002</v>
      </c>
      <c r="BF2">
        <v>0.5</v>
      </c>
      <c r="BG2">
        <v>133.05000000000001</v>
      </c>
      <c r="BH2">
        <v>133.05000000000001</v>
      </c>
      <c r="BI2">
        <v>0</v>
      </c>
      <c r="BJ2">
        <v>0</v>
      </c>
      <c r="BK2">
        <v>0</v>
      </c>
      <c r="BO2">
        <v>2046.6262899231001</v>
      </c>
      <c r="BP2">
        <v>648.52272428518359</v>
      </c>
      <c r="BQ2">
        <v>1394.7213556160298</v>
      </c>
      <c r="BR2">
        <v>0</v>
      </c>
      <c r="BS2">
        <v>23.740310808900002</v>
      </c>
      <c r="BT2">
        <v>0</v>
      </c>
      <c r="BU2">
        <v>0</v>
      </c>
      <c r="BV2">
        <v>0</v>
      </c>
      <c r="BW2">
        <v>0</v>
      </c>
      <c r="BX2">
        <v>0</v>
      </c>
      <c r="BY2">
        <v>0</v>
      </c>
      <c r="BZ2">
        <v>0</v>
      </c>
      <c r="CA2">
        <v>0</v>
      </c>
      <c r="CB2">
        <v>4113.6106806332136</v>
      </c>
      <c r="CC2">
        <v>293376.86070888815</v>
      </c>
      <c r="CD2">
        <v>35369.453813164953</v>
      </c>
      <c r="CE2">
        <v>110641.31559323684</v>
      </c>
      <c r="CF2">
        <v>0</v>
      </c>
      <c r="CG2">
        <v>4351.6833803999998</v>
      </c>
      <c r="CH2">
        <v>0</v>
      </c>
      <c r="CI2">
        <v>0</v>
      </c>
      <c r="CJ2">
        <v>0</v>
      </c>
      <c r="CK2">
        <v>0</v>
      </c>
      <c r="CL2">
        <v>0</v>
      </c>
      <c r="CM2">
        <v>0</v>
      </c>
      <c r="CN2">
        <v>0</v>
      </c>
      <c r="CO2">
        <v>0</v>
      </c>
      <c r="CP2">
        <v>443739.31349568994</v>
      </c>
      <c r="CQ2">
        <v>13305.000000000002</v>
      </c>
      <c r="CR2">
        <v>13305.000000000002</v>
      </c>
      <c r="CS2" t="s">
        <v>347</v>
      </c>
      <c r="CT2" t="s">
        <v>347</v>
      </c>
      <c r="CU2">
        <v>0</v>
      </c>
      <c r="CV2">
        <v>0</v>
      </c>
      <c r="CW2">
        <v>0</v>
      </c>
      <c r="CX2">
        <v>0</v>
      </c>
      <c r="DB2">
        <v>2.1288</v>
      </c>
      <c r="DC2">
        <v>2.1288</v>
      </c>
      <c r="DD2" t="s">
        <v>347</v>
      </c>
      <c r="DE2" t="s">
        <v>347</v>
      </c>
      <c r="DF2" s="171">
        <v>0</v>
      </c>
      <c r="DG2">
        <v>0</v>
      </c>
      <c r="DH2">
        <v>0</v>
      </c>
      <c r="DI2">
        <v>4.2576000000000001</v>
      </c>
      <c r="DJ2">
        <v>4.2576000000000001</v>
      </c>
      <c r="DK2">
        <v>5.6160832993426597</v>
      </c>
      <c r="DL2">
        <v>13.343212196027517</v>
      </c>
      <c r="DM2">
        <v>53.535311820786241</v>
      </c>
      <c r="DN2">
        <v>127.19416495992161</v>
      </c>
      <c r="DO2">
        <v>1494.4397659550818</v>
      </c>
      <c r="DP2">
        <v>14245.74647551122</v>
      </c>
      <c r="DQ2"/>
      <c r="DR2"/>
      <c r="DS2"/>
      <c r="DT2"/>
      <c r="DU2"/>
    </row>
    <row r="3" spans="1:125" x14ac:dyDescent="0.35">
      <c r="A3" t="s">
        <v>1446</v>
      </c>
      <c r="C3" s="171" t="s">
        <v>1447</v>
      </c>
      <c r="D3">
        <v>1</v>
      </c>
      <c r="E3" s="259">
        <v>44546</v>
      </c>
      <c r="F3">
        <v>1</v>
      </c>
      <c r="G3" s="171" t="s">
        <v>1439</v>
      </c>
      <c r="H3" t="s">
        <v>160</v>
      </c>
      <c r="J3" t="s">
        <v>444</v>
      </c>
      <c r="K3" s="171" t="s">
        <v>1262</v>
      </c>
      <c r="L3" t="s">
        <v>471</v>
      </c>
      <c r="O3">
        <v>2.35</v>
      </c>
      <c r="P3">
        <v>4</v>
      </c>
      <c r="Q3">
        <v>8.8800000000000008</v>
      </c>
      <c r="AC3">
        <v>121.90776143544001</v>
      </c>
      <c r="AD3">
        <v>36.488618267589011</v>
      </c>
      <c r="AE3">
        <v>23.097307995558317</v>
      </c>
      <c r="AF3">
        <v>8.3773036439999995</v>
      </c>
      <c r="AG3">
        <v>3.4822468008000009</v>
      </c>
      <c r="AH3">
        <v>1.0933036686000002</v>
      </c>
      <c r="AI3">
        <v>0</v>
      </c>
      <c r="AJ3">
        <v>0</v>
      </c>
      <c r="AK3">
        <v>0</v>
      </c>
      <c r="AL3">
        <v>0</v>
      </c>
      <c r="AM3">
        <v>0</v>
      </c>
      <c r="AN3">
        <v>0</v>
      </c>
      <c r="AO3">
        <v>0</v>
      </c>
      <c r="AP3">
        <v>194.44654181198732</v>
      </c>
      <c r="AQ3">
        <v>950.90937632244004</v>
      </c>
      <c r="AR3">
        <v>248.12052003347759</v>
      </c>
      <c r="AS3">
        <v>320.7447243849748</v>
      </c>
      <c r="AT3">
        <v>75.952378260000017</v>
      </c>
      <c r="AU3">
        <v>34.022170440000004</v>
      </c>
      <c r="AV3">
        <v>0</v>
      </c>
      <c r="AW3">
        <v>0</v>
      </c>
      <c r="AX3">
        <v>0</v>
      </c>
      <c r="AY3">
        <v>0</v>
      </c>
      <c r="AZ3">
        <v>0</v>
      </c>
      <c r="BA3">
        <v>0</v>
      </c>
      <c r="BB3">
        <v>0</v>
      </c>
      <c r="BC3">
        <v>0</v>
      </c>
      <c r="BD3">
        <v>1629.7491694408923</v>
      </c>
      <c r="BE3">
        <v>8.8800000000000008</v>
      </c>
      <c r="BF3">
        <v>0</v>
      </c>
      <c r="BG3">
        <v>8.8800000000000008</v>
      </c>
      <c r="BH3">
        <v>0</v>
      </c>
      <c r="BI3">
        <v>0</v>
      </c>
      <c r="BJ3">
        <v>0</v>
      </c>
      <c r="BK3">
        <v>0</v>
      </c>
      <c r="BO3">
        <v>537.07655308608003</v>
      </c>
      <c r="BP3">
        <v>68.801405301822598</v>
      </c>
      <c r="BQ3">
        <v>97.368037702260978</v>
      </c>
      <c r="BR3">
        <v>0</v>
      </c>
      <c r="BS3">
        <v>2.1538912859999999</v>
      </c>
      <c r="BT3">
        <v>0</v>
      </c>
      <c r="BU3">
        <v>0</v>
      </c>
      <c r="BV3">
        <v>0</v>
      </c>
      <c r="BW3">
        <v>0</v>
      </c>
      <c r="BX3">
        <v>0</v>
      </c>
      <c r="BY3">
        <v>0</v>
      </c>
      <c r="BZ3">
        <v>0</v>
      </c>
      <c r="CA3">
        <v>0</v>
      </c>
      <c r="CB3">
        <v>705.39988737616352</v>
      </c>
      <c r="CC3">
        <v>45163.149569166249</v>
      </c>
      <c r="CD3">
        <v>3763.3589407051613</v>
      </c>
      <c r="CE3">
        <v>5574.3693863696044</v>
      </c>
      <c r="CF3">
        <v>0</v>
      </c>
      <c r="CG3">
        <v>394.81592220000005</v>
      </c>
      <c r="CH3">
        <v>0</v>
      </c>
      <c r="CI3">
        <v>0</v>
      </c>
      <c r="CJ3">
        <v>0</v>
      </c>
      <c r="CK3">
        <v>0</v>
      </c>
      <c r="CL3">
        <v>0</v>
      </c>
      <c r="CM3">
        <v>0</v>
      </c>
      <c r="CN3">
        <v>0</v>
      </c>
      <c r="CO3">
        <v>0</v>
      </c>
      <c r="CP3">
        <v>54895.693818441017</v>
      </c>
      <c r="CQ3">
        <v>444.00000000000006</v>
      </c>
      <c r="CR3">
        <v>444.00000000000006</v>
      </c>
      <c r="CS3" t="s">
        <v>347</v>
      </c>
      <c r="CT3" t="s">
        <v>347</v>
      </c>
      <c r="CU3">
        <v>0</v>
      </c>
      <c r="CV3">
        <v>0</v>
      </c>
      <c r="CW3">
        <v>0</v>
      </c>
      <c r="CX3">
        <v>0</v>
      </c>
      <c r="DB3">
        <v>7.1040000000000006E-2</v>
      </c>
      <c r="DC3">
        <v>7.1040000000000006E-2</v>
      </c>
      <c r="DD3" t="s">
        <v>347</v>
      </c>
      <c r="DE3" t="s">
        <v>347</v>
      </c>
      <c r="DF3" s="171">
        <v>0</v>
      </c>
      <c r="DG3">
        <v>0</v>
      </c>
      <c r="DH3">
        <v>0</v>
      </c>
      <c r="DI3">
        <v>0.14208000000000001</v>
      </c>
      <c r="DJ3">
        <v>0.14208000000000001</v>
      </c>
      <c r="DK3">
        <v>20.438478344435509</v>
      </c>
      <c r="DL3">
        <v>45.373421924646834</v>
      </c>
      <c r="DM3">
        <v>171.14579062397434</v>
      </c>
      <c r="DN3">
        <v>379.94365518522307</v>
      </c>
      <c r="DO3">
        <v>181.49368769858734</v>
      </c>
      <c r="DP3">
        <v>1519.7746207408923</v>
      </c>
      <c r="DQ3"/>
      <c r="DR3"/>
      <c r="DS3"/>
      <c r="DT3"/>
      <c r="DU3"/>
    </row>
    <row r="4" spans="1:125" x14ac:dyDescent="0.35">
      <c r="A4" t="s">
        <v>1446</v>
      </c>
      <c r="C4" s="171" t="s">
        <v>1447</v>
      </c>
      <c r="D4">
        <v>1</v>
      </c>
      <c r="E4" s="259">
        <v>44546</v>
      </c>
      <c r="F4">
        <v>1</v>
      </c>
      <c r="G4" s="171" t="s">
        <v>1440</v>
      </c>
      <c r="H4" t="s">
        <v>160</v>
      </c>
      <c r="J4" t="s">
        <v>444</v>
      </c>
      <c r="K4" s="171" t="s">
        <v>1349</v>
      </c>
      <c r="L4" t="s">
        <v>472</v>
      </c>
      <c r="O4">
        <v>2.35</v>
      </c>
      <c r="P4">
        <v>606</v>
      </c>
      <c r="Q4">
        <v>1425.2</v>
      </c>
      <c r="AC4">
        <v>12237.383305408797</v>
      </c>
      <c r="AD4">
        <v>3464.3710854542587</v>
      </c>
      <c r="AE4">
        <v>2356.6448054322132</v>
      </c>
      <c r="AF4">
        <v>896.34633283999995</v>
      </c>
      <c r="AG4">
        <v>372.58995048800006</v>
      </c>
      <c r="AH4">
        <v>168.536840724</v>
      </c>
      <c r="AI4">
        <v>0</v>
      </c>
      <c r="AJ4">
        <v>0</v>
      </c>
      <c r="AK4">
        <v>0</v>
      </c>
      <c r="AL4">
        <v>0</v>
      </c>
      <c r="AM4">
        <v>0</v>
      </c>
      <c r="AN4">
        <v>0</v>
      </c>
      <c r="AO4">
        <v>0</v>
      </c>
      <c r="AP4">
        <v>19495.872320347265</v>
      </c>
      <c r="AQ4">
        <v>88701.506267483201</v>
      </c>
      <c r="AR4">
        <v>21382.415035319926</v>
      </c>
      <c r="AS4">
        <v>32308.508135297718</v>
      </c>
      <c r="AT4">
        <v>8126.6763885999999</v>
      </c>
      <c r="AU4">
        <v>3640.2700684000001</v>
      </c>
      <c r="AV4">
        <v>0</v>
      </c>
      <c r="AW4">
        <v>0</v>
      </c>
      <c r="AX4">
        <v>0</v>
      </c>
      <c r="AY4">
        <v>0</v>
      </c>
      <c r="AZ4">
        <v>0</v>
      </c>
      <c r="BA4">
        <v>0</v>
      </c>
      <c r="BB4">
        <v>0</v>
      </c>
      <c r="BC4">
        <v>0</v>
      </c>
      <c r="BD4">
        <v>154159.37589510082</v>
      </c>
      <c r="BE4">
        <v>1425.2</v>
      </c>
      <c r="BF4">
        <v>0</v>
      </c>
      <c r="BG4">
        <v>1425.2</v>
      </c>
      <c r="BH4">
        <v>0</v>
      </c>
      <c r="BI4">
        <v>0</v>
      </c>
      <c r="BJ4">
        <v>0</v>
      </c>
      <c r="BK4">
        <v>0</v>
      </c>
      <c r="BO4">
        <v>44339.927920251605</v>
      </c>
      <c r="BP4">
        <v>5963.7238984560136</v>
      </c>
      <c r="BQ4">
        <v>10935.242430046055</v>
      </c>
      <c r="BR4">
        <v>0</v>
      </c>
      <c r="BS4">
        <v>230.45989946</v>
      </c>
      <c r="BT4">
        <v>0</v>
      </c>
      <c r="BU4">
        <v>0</v>
      </c>
      <c r="BV4">
        <v>0</v>
      </c>
      <c r="BW4">
        <v>0</v>
      </c>
      <c r="BX4">
        <v>0</v>
      </c>
      <c r="BY4">
        <v>0</v>
      </c>
      <c r="BZ4">
        <v>0</v>
      </c>
      <c r="CA4">
        <v>0</v>
      </c>
      <c r="CB4">
        <v>61469.354148213672</v>
      </c>
      <c r="CC4">
        <v>5049938.1111719152</v>
      </c>
      <c r="CD4">
        <v>330208.93535375915</v>
      </c>
      <c r="CE4">
        <v>558725.07680578891</v>
      </c>
      <c r="CF4">
        <v>0</v>
      </c>
      <c r="CG4">
        <v>42244.118042000002</v>
      </c>
      <c r="CH4">
        <v>0</v>
      </c>
      <c r="CI4">
        <v>0</v>
      </c>
      <c r="CJ4">
        <v>0</v>
      </c>
      <c r="CK4">
        <v>0</v>
      </c>
      <c r="CL4">
        <v>0</v>
      </c>
      <c r="CM4">
        <v>0</v>
      </c>
      <c r="CN4">
        <v>0</v>
      </c>
      <c r="CO4">
        <v>0</v>
      </c>
      <c r="CP4">
        <v>5981116.2413734626</v>
      </c>
      <c r="CQ4">
        <v>71260</v>
      </c>
      <c r="CR4">
        <v>71260</v>
      </c>
      <c r="CS4" t="s">
        <v>347</v>
      </c>
      <c r="CT4" t="s">
        <v>347</v>
      </c>
      <c r="CU4">
        <v>0</v>
      </c>
      <c r="CV4">
        <v>0</v>
      </c>
      <c r="CW4">
        <v>0</v>
      </c>
      <c r="CX4">
        <v>0</v>
      </c>
      <c r="DB4">
        <v>11.4016</v>
      </c>
      <c r="DC4">
        <v>11.4016</v>
      </c>
      <c r="DD4" t="s">
        <v>347</v>
      </c>
      <c r="DE4" t="s">
        <v>347</v>
      </c>
      <c r="DF4" s="171">
        <v>0</v>
      </c>
      <c r="DG4">
        <v>0</v>
      </c>
      <c r="DH4">
        <v>0</v>
      </c>
      <c r="DI4">
        <v>22.8032</v>
      </c>
      <c r="DJ4">
        <v>22.8032</v>
      </c>
      <c r="DK4">
        <v>12.67078248406909</v>
      </c>
      <c r="DL4">
        <v>29.799338607747966</v>
      </c>
      <c r="DM4">
        <v>99.910489361563876</v>
      </c>
      <c r="DN4">
        <v>234.97100567343372</v>
      </c>
      <c r="DO4">
        <v>18058.399196295268</v>
      </c>
      <c r="DP4">
        <v>142392.42943810084</v>
      </c>
      <c r="DQ4"/>
      <c r="DR4"/>
      <c r="DS4"/>
      <c r="DT4"/>
      <c r="DU4"/>
    </row>
    <row r="5" spans="1:125" x14ac:dyDescent="0.35">
      <c r="A5" t="s">
        <v>1446</v>
      </c>
      <c r="C5" s="171" t="s">
        <v>1447</v>
      </c>
      <c r="D5">
        <v>1</v>
      </c>
      <c r="E5" s="259">
        <v>44546</v>
      </c>
      <c r="F5">
        <v>1</v>
      </c>
      <c r="G5" s="171" t="s">
        <v>1441</v>
      </c>
      <c r="H5" t="s">
        <v>160</v>
      </c>
      <c r="J5" t="s">
        <v>444</v>
      </c>
      <c r="K5" s="171" t="s">
        <v>1340</v>
      </c>
      <c r="L5" t="s">
        <v>470</v>
      </c>
      <c r="O5">
        <v>2.37</v>
      </c>
      <c r="P5">
        <v>0</v>
      </c>
      <c r="Q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0.5</v>
      </c>
      <c r="BG5">
        <v>0</v>
      </c>
      <c r="BH5">
        <v>0</v>
      </c>
      <c r="BI5">
        <v>0</v>
      </c>
      <c r="BJ5">
        <v>0</v>
      </c>
      <c r="BK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t="s">
        <v>347</v>
      </c>
      <c r="CT5" t="s">
        <v>347</v>
      </c>
      <c r="CU5">
        <v>0</v>
      </c>
      <c r="CV5">
        <v>0</v>
      </c>
      <c r="CW5">
        <v>0</v>
      </c>
      <c r="CX5">
        <v>0</v>
      </c>
      <c r="DB5">
        <v>0</v>
      </c>
      <c r="DC5">
        <v>0</v>
      </c>
      <c r="DD5" t="s">
        <v>347</v>
      </c>
      <c r="DE5" t="s">
        <v>347</v>
      </c>
      <c r="DF5" s="171">
        <v>0</v>
      </c>
      <c r="DG5">
        <v>0</v>
      </c>
      <c r="DH5">
        <v>0</v>
      </c>
      <c r="DI5">
        <v>0</v>
      </c>
      <c r="DJ5">
        <v>0</v>
      </c>
      <c r="DK5" t="e">
        <v>#NUM!</v>
      </c>
      <c r="DL5" t="e">
        <v>#NUM!</v>
      </c>
      <c r="DM5" t="e">
        <v>#NUM!</v>
      </c>
      <c r="DN5" t="e">
        <v>#NUM!</v>
      </c>
      <c r="DO5">
        <v>0</v>
      </c>
      <c r="DP5">
        <v>0</v>
      </c>
      <c r="DQ5"/>
      <c r="DR5"/>
      <c r="DS5"/>
      <c r="DT5"/>
      <c r="DU5"/>
    </row>
    <row r="6" spans="1:125" x14ac:dyDescent="0.35">
      <c r="A6" t="s">
        <v>1446</v>
      </c>
      <c r="C6" s="171" t="s">
        <v>1447</v>
      </c>
      <c r="D6">
        <v>1</v>
      </c>
      <c r="E6" s="259">
        <v>44546</v>
      </c>
      <c r="F6">
        <v>1</v>
      </c>
      <c r="G6" s="171" t="s">
        <v>1442</v>
      </c>
      <c r="H6" t="s">
        <v>160</v>
      </c>
      <c r="J6" t="s">
        <v>444</v>
      </c>
      <c r="K6" s="171" t="s">
        <v>1340</v>
      </c>
      <c r="L6" t="s">
        <v>470</v>
      </c>
      <c r="O6">
        <v>2.37</v>
      </c>
      <c r="P6">
        <v>0</v>
      </c>
      <c r="Q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0.5</v>
      </c>
      <c r="BG6">
        <v>0</v>
      </c>
      <c r="BH6">
        <v>0</v>
      </c>
      <c r="BI6">
        <v>0</v>
      </c>
      <c r="BJ6">
        <v>0</v>
      </c>
      <c r="BK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t="s">
        <v>347</v>
      </c>
      <c r="CT6" t="s">
        <v>347</v>
      </c>
      <c r="CU6">
        <v>0</v>
      </c>
      <c r="CV6">
        <v>0</v>
      </c>
      <c r="CW6">
        <v>0</v>
      </c>
      <c r="CX6">
        <v>0</v>
      </c>
      <c r="DB6">
        <v>0</v>
      </c>
      <c r="DC6">
        <v>0</v>
      </c>
      <c r="DD6" t="s">
        <v>347</v>
      </c>
      <c r="DE6" t="s">
        <v>347</v>
      </c>
      <c r="DF6" s="171">
        <v>0</v>
      </c>
      <c r="DG6">
        <v>0</v>
      </c>
      <c r="DH6">
        <v>0</v>
      </c>
      <c r="DI6">
        <v>0</v>
      </c>
      <c r="DJ6">
        <v>0</v>
      </c>
      <c r="DK6" t="e">
        <v>#NUM!</v>
      </c>
      <c r="DL6" t="e">
        <v>#NUM!</v>
      </c>
      <c r="DM6" t="e">
        <v>#NUM!</v>
      </c>
      <c r="DN6" t="e">
        <v>#NUM!</v>
      </c>
      <c r="DO6">
        <v>0</v>
      </c>
      <c r="DP6">
        <v>0</v>
      </c>
      <c r="DQ6"/>
      <c r="DR6"/>
      <c r="DS6"/>
      <c r="DT6"/>
      <c r="DU6"/>
    </row>
    <row r="7" spans="1:125" x14ac:dyDescent="0.35">
      <c r="A7" t="s">
        <v>1446</v>
      </c>
      <c r="C7" s="171" t="s">
        <v>1447</v>
      </c>
      <c r="D7">
        <v>1</v>
      </c>
      <c r="E7" s="259">
        <v>44546</v>
      </c>
      <c r="F7">
        <v>1</v>
      </c>
      <c r="G7" s="171" t="s">
        <v>1443</v>
      </c>
      <c r="H7" t="s">
        <v>160</v>
      </c>
      <c r="J7" t="s">
        <v>444</v>
      </c>
      <c r="K7" s="171" t="s">
        <v>1340</v>
      </c>
      <c r="L7" t="s">
        <v>470</v>
      </c>
      <c r="O7">
        <v>2.37</v>
      </c>
      <c r="P7">
        <v>6</v>
      </c>
      <c r="Q7">
        <v>15.06</v>
      </c>
      <c r="AC7">
        <v>42.143322759300005</v>
      </c>
      <c r="AD7">
        <v>17.067024692437499</v>
      </c>
      <c r="AE7">
        <v>25.367867036362949</v>
      </c>
      <c r="AF7">
        <v>9.4716361019999997</v>
      </c>
      <c r="AG7">
        <v>2.1494662104</v>
      </c>
      <c r="AH7">
        <v>0</v>
      </c>
      <c r="AI7">
        <v>0</v>
      </c>
      <c r="AJ7">
        <v>0</v>
      </c>
      <c r="AK7">
        <v>0</v>
      </c>
      <c r="AL7">
        <v>0</v>
      </c>
      <c r="AM7">
        <v>0</v>
      </c>
      <c r="AN7">
        <v>0</v>
      </c>
      <c r="AO7">
        <v>0</v>
      </c>
      <c r="AP7">
        <v>96.199316800500469</v>
      </c>
      <c r="AQ7">
        <v>315.08094257004007</v>
      </c>
      <c r="AR7">
        <v>134.87509396758244</v>
      </c>
      <c r="AS7">
        <v>356.2857594834183</v>
      </c>
      <c r="AT7">
        <v>85.87408533</v>
      </c>
      <c r="AU7">
        <v>21.222901392000001</v>
      </c>
      <c r="AV7">
        <v>0</v>
      </c>
      <c r="AW7">
        <v>0</v>
      </c>
      <c r="AX7">
        <v>0</v>
      </c>
      <c r="AY7">
        <v>0</v>
      </c>
      <c r="AZ7">
        <v>0</v>
      </c>
      <c r="BA7">
        <v>0</v>
      </c>
      <c r="BB7">
        <v>0</v>
      </c>
      <c r="BC7">
        <v>0</v>
      </c>
      <c r="BD7">
        <v>913.33878274304072</v>
      </c>
      <c r="BE7">
        <v>15.06</v>
      </c>
      <c r="BF7">
        <v>0.5</v>
      </c>
      <c r="BG7">
        <v>7.53</v>
      </c>
      <c r="BH7">
        <v>7.53</v>
      </c>
      <c r="BI7">
        <v>0</v>
      </c>
      <c r="BJ7">
        <v>0</v>
      </c>
      <c r="BK7">
        <v>0</v>
      </c>
      <c r="BO7">
        <v>115.82935710725999</v>
      </c>
      <c r="BP7">
        <v>36.703315399229098</v>
      </c>
      <c r="BQ7">
        <v>78.934624635766269</v>
      </c>
      <c r="BR7">
        <v>0</v>
      </c>
      <c r="BS7">
        <v>1.3435891799399999</v>
      </c>
      <c r="BT7">
        <v>0</v>
      </c>
      <c r="BU7">
        <v>0</v>
      </c>
      <c r="BV7">
        <v>0</v>
      </c>
      <c r="BW7">
        <v>0</v>
      </c>
      <c r="BX7">
        <v>0</v>
      </c>
      <c r="BY7">
        <v>0</v>
      </c>
      <c r="BZ7">
        <v>0</v>
      </c>
      <c r="CA7">
        <v>0</v>
      </c>
      <c r="CB7">
        <v>232.81088632219536</v>
      </c>
      <c r="CC7">
        <v>16603.741158496261</v>
      </c>
      <c r="CD7">
        <v>2001.7436092681855</v>
      </c>
      <c r="CE7">
        <v>6261.7745690873608</v>
      </c>
      <c r="CF7">
        <v>0</v>
      </c>
      <c r="CG7">
        <v>246.28467383999998</v>
      </c>
      <c r="CH7">
        <v>0</v>
      </c>
      <c r="CI7">
        <v>0</v>
      </c>
      <c r="CJ7">
        <v>0</v>
      </c>
      <c r="CK7">
        <v>0</v>
      </c>
      <c r="CL7">
        <v>0</v>
      </c>
      <c r="CM7">
        <v>0</v>
      </c>
      <c r="CN7">
        <v>0</v>
      </c>
      <c r="CO7">
        <v>0</v>
      </c>
      <c r="CP7">
        <v>25113.544010691807</v>
      </c>
      <c r="CQ7">
        <v>753</v>
      </c>
      <c r="CR7">
        <v>753</v>
      </c>
      <c r="CS7" t="s">
        <v>347</v>
      </c>
      <c r="CT7" t="s">
        <v>347</v>
      </c>
      <c r="CU7">
        <v>0</v>
      </c>
      <c r="CV7">
        <v>0</v>
      </c>
      <c r="CW7">
        <v>0</v>
      </c>
      <c r="CX7">
        <v>0</v>
      </c>
      <c r="DB7">
        <v>0.12048</v>
      </c>
      <c r="DC7">
        <v>0.12048</v>
      </c>
      <c r="DD7" t="s">
        <v>347</v>
      </c>
      <c r="DE7" t="s">
        <v>347</v>
      </c>
      <c r="DF7" s="171">
        <v>0</v>
      </c>
      <c r="DG7">
        <v>0</v>
      </c>
      <c r="DH7">
        <v>0</v>
      </c>
      <c r="DI7">
        <v>0.24096000000000001</v>
      </c>
      <c r="DJ7">
        <v>0.24096000000000001</v>
      </c>
      <c r="DK7">
        <v>5.6160832993426597</v>
      </c>
      <c r="DL7">
        <v>14.096369081350076</v>
      </c>
      <c r="DM7">
        <v>53.535311820786234</v>
      </c>
      <c r="DN7">
        <v>134.37363267017346</v>
      </c>
      <c r="DO7">
        <v>84.578214488100457</v>
      </c>
      <c r="DP7">
        <v>806.24179602104073</v>
      </c>
      <c r="DQ7"/>
      <c r="DR7"/>
      <c r="DS7"/>
      <c r="DT7"/>
      <c r="DU7"/>
    </row>
    <row r="8" spans="1:125" x14ac:dyDescent="0.35">
      <c r="A8" t="s">
        <v>1446</v>
      </c>
      <c r="C8" s="171" t="s">
        <v>1447</v>
      </c>
      <c r="D8">
        <v>1</v>
      </c>
      <c r="E8" s="259">
        <v>44546</v>
      </c>
      <c r="F8">
        <v>1</v>
      </c>
      <c r="G8" s="171" t="s">
        <v>1444</v>
      </c>
      <c r="H8" t="s">
        <v>160</v>
      </c>
      <c r="J8" t="s">
        <v>444</v>
      </c>
      <c r="K8" s="171" t="s">
        <v>1349</v>
      </c>
      <c r="L8" t="s">
        <v>472</v>
      </c>
      <c r="O8">
        <v>2.35</v>
      </c>
      <c r="P8">
        <v>0</v>
      </c>
      <c r="Q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t="s">
        <v>347</v>
      </c>
      <c r="CT8" t="s">
        <v>347</v>
      </c>
      <c r="CU8">
        <v>0</v>
      </c>
      <c r="CV8">
        <v>0</v>
      </c>
      <c r="CW8">
        <v>0</v>
      </c>
      <c r="CX8">
        <v>0</v>
      </c>
      <c r="DB8">
        <v>0</v>
      </c>
      <c r="DC8">
        <v>0</v>
      </c>
      <c r="DD8" t="s">
        <v>347</v>
      </c>
      <c r="DE8" t="s">
        <v>347</v>
      </c>
      <c r="DF8" s="171">
        <v>0</v>
      </c>
      <c r="DG8">
        <v>0</v>
      </c>
      <c r="DH8">
        <v>0</v>
      </c>
      <c r="DI8">
        <v>0</v>
      </c>
      <c r="DJ8">
        <v>0</v>
      </c>
      <c r="DK8" t="e">
        <v>#NUM!</v>
      </c>
      <c r="DL8" t="e">
        <v>#NUM!</v>
      </c>
      <c r="DM8" t="e">
        <v>#NUM!</v>
      </c>
      <c r="DN8" t="e">
        <v>#NUM!</v>
      </c>
      <c r="DO8">
        <v>0</v>
      </c>
      <c r="DP8">
        <v>0</v>
      </c>
      <c r="DQ8"/>
      <c r="DR8"/>
      <c r="DS8"/>
      <c r="DT8"/>
      <c r="DU8"/>
    </row>
    <row r="9" spans="1:125" x14ac:dyDescent="0.35">
      <c r="A9" s="289" t="s">
        <v>1446</v>
      </c>
      <c r="B9" s="289"/>
      <c r="C9" s="171" t="s">
        <v>1447</v>
      </c>
      <c r="D9" s="289">
        <v>1</v>
      </c>
      <c r="E9" s="259">
        <v>44546</v>
      </c>
      <c r="F9" s="289">
        <v>1</v>
      </c>
      <c r="G9" s="171" t="s">
        <v>1445</v>
      </c>
      <c r="H9" s="289" t="s">
        <v>160</v>
      </c>
      <c r="I9" s="289"/>
      <c r="J9" s="289" t="s">
        <v>444</v>
      </c>
      <c r="K9" s="171" t="s">
        <v>1349</v>
      </c>
      <c r="L9" s="289" t="s">
        <v>472</v>
      </c>
      <c r="M9" s="289"/>
      <c r="N9" s="289"/>
      <c r="O9" s="289">
        <v>2.35</v>
      </c>
      <c r="P9" s="289">
        <v>11</v>
      </c>
      <c r="Q9" s="289">
        <v>26.08</v>
      </c>
      <c r="R9" s="289"/>
      <c r="S9" s="289"/>
      <c r="T9" s="289"/>
      <c r="U9" s="289"/>
      <c r="V9" s="289"/>
      <c r="W9" s="289"/>
      <c r="X9" s="289"/>
      <c r="Y9" s="289"/>
      <c r="Z9" s="289"/>
      <c r="AA9" s="289"/>
      <c r="AB9" s="289"/>
      <c r="AC9" s="289">
        <v>223.93415422751994</v>
      </c>
      <c r="AD9" s="289">
        <v>63.395171139943201</v>
      </c>
      <c r="AE9" s="289">
        <v>43.124681817058736</v>
      </c>
      <c r="AF9" s="289">
        <v>16.402408335999997</v>
      </c>
      <c r="AG9" s="289">
        <v>6.8180928351999999</v>
      </c>
      <c r="AH9" s="289">
        <v>3.0840870095999997</v>
      </c>
      <c r="AI9" s="289">
        <v>0</v>
      </c>
      <c r="AJ9" s="289">
        <v>0</v>
      </c>
      <c r="AK9" s="289">
        <v>0</v>
      </c>
      <c r="AL9" s="289">
        <v>0</v>
      </c>
      <c r="AM9" s="289">
        <v>0</v>
      </c>
      <c r="AN9" s="289">
        <v>0</v>
      </c>
      <c r="AO9" s="289">
        <v>0</v>
      </c>
      <c r="AP9" s="289">
        <v>356.75859536532187</v>
      </c>
      <c r="AQ9" s="289">
        <v>1623.1653686892798</v>
      </c>
      <c r="AR9" s="289">
        <v>391.28079155286531</v>
      </c>
      <c r="AS9" s="289">
        <v>591.21940230744065</v>
      </c>
      <c r="AT9" s="289">
        <v>148.71156343999999</v>
      </c>
      <c r="AU9" s="289">
        <v>66.613979359999988</v>
      </c>
      <c r="AV9" s="289">
        <v>0</v>
      </c>
      <c r="AW9" s="289">
        <v>0</v>
      </c>
      <c r="AX9" s="289">
        <v>0</v>
      </c>
      <c r="AY9" s="289">
        <v>0</v>
      </c>
      <c r="AZ9" s="289">
        <v>0</v>
      </c>
      <c r="BA9" s="289">
        <v>0</v>
      </c>
      <c r="BB9" s="289">
        <v>0</v>
      </c>
      <c r="BC9" s="289">
        <v>0</v>
      </c>
      <c r="BD9" s="289">
        <v>2820.9911053495862</v>
      </c>
      <c r="BE9" s="289">
        <v>26.08</v>
      </c>
      <c r="BF9" s="289">
        <v>0</v>
      </c>
      <c r="BG9" s="289">
        <v>26.08</v>
      </c>
      <c r="BH9" s="289">
        <v>0</v>
      </c>
      <c r="BI9" s="289">
        <v>0</v>
      </c>
      <c r="BJ9" s="289">
        <v>0</v>
      </c>
      <c r="BK9" s="289">
        <v>0</v>
      </c>
      <c r="BL9" s="289"/>
      <c r="BM9" s="289"/>
      <c r="BN9" s="289"/>
      <c r="BO9" s="289">
        <v>811.38459174863999</v>
      </c>
      <c r="BP9" s="289">
        <v>109.13129334250128</v>
      </c>
      <c r="BQ9" s="289">
        <v>200.10603604799402</v>
      </c>
      <c r="BR9" s="289">
        <v>0</v>
      </c>
      <c r="BS9" s="289">
        <v>4.2172285839999999</v>
      </c>
      <c r="BT9" s="289">
        <v>0</v>
      </c>
      <c r="BU9" s="289">
        <v>0</v>
      </c>
      <c r="BV9" s="289">
        <v>0</v>
      </c>
      <c r="BW9" s="289">
        <v>0</v>
      </c>
      <c r="BX9" s="289">
        <v>0</v>
      </c>
      <c r="BY9" s="289">
        <v>0</v>
      </c>
      <c r="BZ9" s="289">
        <v>0</v>
      </c>
      <c r="CA9" s="289">
        <v>0</v>
      </c>
      <c r="CB9" s="289">
        <v>1124.8391497231353</v>
      </c>
      <c r="CC9" s="289">
        <v>92409.757184509916</v>
      </c>
      <c r="CD9" s="289">
        <v>6042.5547530353897</v>
      </c>
      <c r="CE9" s="289">
        <v>10224.214147554709</v>
      </c>
      <c r="CF9" s="289">
        <v>0</v>
      </c>
      <c r="CG9" s="289">
        <v>773.03297679999991</v>
      </c>
      <c r="CH9" s="289">
        <v>0</v>
      </c>
      <c r="CI9" s="289">
        <v>0</v>
      </c>
      <c r="CJ9" s="289">
        <v>0</v>
      </c>
      <c r="CK9" s="289">
        <v>0</v>
      </c>
      <c r="CL9" s="289">
        <v>0</v>
      </c>
      <c r="CM9" s="289">
        <v>0</v>
      </c>
      <c r="CN9" s="289">
        <v>0</v>
      </c>
      <c r="CO9" s="289">
        <v>0</v>
      </c>
      <c r="CP9" s="289">
        <v>109449.55906190001</v>
      </c>
      <c r="CQ9" s="289">
        <v>1304</v>
      </c>
      <c r="CR9" s="289">
        <v>1304</v>
      </c>
      <c r="CS9" s="289" t="s">
        <v>347</v>
      </c>
      <c r="CT9" s="289" t="s">
        <v>347</v>
      </c>
      <c r="CU9" s="289">
        <v>0</v>
      </c>
      <c r="CV9" s="289">
        <v>0</v>
      </c>
      <c r="CW9" s="289">
        <v>0</v>
      </c>
      <c r="CX9" s="289">
        <v>0</v>
      </c>
      <c r="CY9" s="289"/>
      <c r="CZ9" s="289"/>
      <c r="DA9" s="289"/>
      <c r="DB9" s="289">
        <v>0.20863999999999999</v>
      </c>
      <c r="DC9" s="289">
        <v>0.20863999999999999</v>
      </c>
      <c r="DD9" s="289" t="s">
        <v>347</v>
      </c>
      <c r="DE9" s="289" t="s">
        <v>347</v>
      </c>
      <c r="DF9" s="171">
        <v>0</v>
      </c>
      <c r="DG9" s="289">
        <v>0</v>
      </c>
      <c r="DH9" s="289">
        <v>0</v>
      </c>
      <c r="DI9" s="289">
        <v>0.41727999999999998</v>
      </c>
      <c r="DJ9" s="289">
        <v>0.41727999999999998</v>
      </c>
      <c r="DK9" s="289">
        <v>12.67078248406909</v>
      </c>
      <c r="DL9" s="289">
        <v>30.041273380411077</v>
      </c>
      <c r="DM9" s="289">
        <v>99.91048936156389</v>
      </c>
      <c r="DN9" s="289">
        <v>236.87868750450781</v>
      </c>
      <c r="DO9" s="289">
        <v>330.45400718452186</v>
      </c>
      <c r="DP9" s="289">
        <v>2605.665562549586</v>
      </c>
      <c r="DQ9"/>
      <c r="DR9"/>
      <c r="DS9"/>
      <c r="DT9"/>
      <c r="DU9"/>
    </row>
    <row r="10" spans="1:125" x14ac:dyDescent="0.35">
      <c r="DU10"/>
    </row>
    <row r="11" spans="1:125" x14ac:dyDescent="0.35">
      <c r="DU11"/>
    </row>
  </sheetData>
  <phoneticPr fontId="11" type="noConversion"/>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BB203-A83C-4342-9A99-2ECC7E5190AF}">
  <dimension ref="A1"/>
  <sheetViews>
    <sheetView workbookViewId="0">
      <selection activeCell="I18" sqref="I18"/>
    </sheetView>
  </sheetViews>
  <sheetFormatPr defaultRowHeight="14.5" x14ac:dyDescent="0.3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55140-2E49-4202-A99F-103BF8D091CE}">
  <dimension ref="A1"/>
  <sheetViews>
    <sheetView workbookViewId="0">
      <selection activeCell="I18" sqref="I18"/>
    </sheetView>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67F9-0422-4399-A204-BF3FDC004FC4}">
  <sheetPr codeName="Blad10"/>
  <dimension ref="B1:DG277"/>
  <sheetViews>
    <sheetView zoomScale="55" zoomScaleNormal="55" workbookViewId="0">
      <selection activeCell="T32" sqref="T32"/>
    </sheetView>
  </sheetViews>
  <sheetFormatPr defaultColWidth="10.81640625" defaultRowHeight="14.5" x14ac:dyDescent="0.35"/>
  <cols>
    <col min="1" max="1" width="10.81640625" style="18"/>
    <col min="2" max="2" width="14" style="18" customWidth="1"/>
    <col min="3" max="3" width="30.1796875" style="18" customWidth="1"/>
    <col min="4" max="16" width="13.26953125" style="18" customWidth="1"/>
    <col min="17" max="17" width="16.1796875" style="18" bestFit="1" customWidth="1"/>
    <col min="18" max="18" width="10.81640625" style="18"/>
    <col min="19" max="19" width="16.7265625" style="18" bestFit="1" customWidth="1"/>
    <col min="20" max="20" width="32.26953125" style="18" bestFit="1" customWidth="1"/>
    <col min="21" max="21" width="35.7265625" style="18" bestFit="1" customWidth="1"/>
    <col min="22" max="22" width="20.1796875" style="18" bestFit="1" customWidth="1"/>
    <col min="23" max="23" width="19.81640625" style="18" bestFit="1" customWidth="1"/>
    <col min="24" max="24" width="20.1796875" style="18" bestFit="1" customWidth="1"/>
    <col min="25" max="25" width="26.1796875" style="18" bestFit="1" customWidth="1"/>
    <col min="26" max="26" width="16.7265625" style="18" bestFit="1" customWidth="1"/>
    <col min="27" max="27" width="21.1796875" style="18" bestFit="1" customWidth="1"/>
    <col min="28" max="28" width="24.54296875" style="18" bestFit="1" customWidth="1"/>
    <col min="29" max="29" width="14.7265625" style="18" bestFit="1" customWidth="1"/>
    <col min="30" max="30" width="20.1796875" style="18" bestFit="1" customWidth="1"/>
    <col min="31" max="31" width="26.81640625" style="18" bestFit="1" customWidth="1"/>
    <col min="32" max="32" width="36" style="18" bestFit="1" customWidth="1"/>
    <col min="33" max="33" width="37.54296875" style="18" bestFit="1" customWidth="1"/>
    <col min="34" max="34" width="33.453125" style="18" bestFit="1" customWidth="1"/>
    <col min="35" max="35" width="10.81640625" style="18" bestFit="1" customWidth="1"/>
    <col min="36" max="36" width="53.7265625" style="18" bestFit="1" customWidth="1"/>
    <col min="37" max="37" width="5.26953125" style="18" bestFit="1" customWidth="1"/>
    <col min="38" max="38" width="5.81640625" style="18" bestFit="1" customWidth="1"/>
    <col min="39" max="39" width="7.453125" style="18" bestFit="1" customWidth="1"/>
    <col min="40" max="40" width="11.54296875" style="18" bestFit="1" customWidth="1"/>
    <col min="41" max="41" width="8.453125" style="18" bestFit="1" customWidth="1"/>
    <col min="42" max="43" width="10" style="18" bestFit="1" customWidth="1"/>
    <col min="44" max="44" width="8.1796875" style="18" bestFit="1" customWidth="1"/>
    <col min="45" max="45" width="19.54296875" style="18" bestFit="1" customWidth="1"/>
    <col min="46" max="46" width="9" style="18" bestFit="1" customWidth="1"/>
    <col min="47" max="47" width="8.7265625" style="18" bestFit="1" customWidth="1"/>
    <col min="48" max="50" width="9" style="18" bestFit="1" customWidth="1"/>
    <col min="51" max="51" width="10.81640625" style="18" bestFit="1" customWidth="1"/>
    <col min="52" max="52" width="59.1796875" style="18" bestFit="1" customWidth="1"/>
    <col min="53" max="53" width="62.453125" style="18" bestFit="1" customWidth="1"/>
    <col min="54" max="54" width="28.1796875" style="18" bestFit="1" customWidth="1"/>
    <col min="55" max="55" width="8" style="18" bestFit="1" customWidth="1"/>
    <col min="56" max="56" width="16" style="18" bestFit="1" customWidth="1"/>
    <col min="57" max="57" width="26.54296875" style="18" bestFit="1" customWidth="1"/>
    <col min="58" max="58" width="19.81640625" style="18" bestFit="1" customWidth="1"/>
    <col min="59" max="59" width="9.453125" style="18" bestFit="1" customWidth="1"/>
    <col min="60" max="60" width="28.1796875" style="18" bestFit="1" customWidth="1"/>
    <col min="61" max="61" width="8" style="18" bestFit="1" customWidth="1"/>
    <col min="62" max="62" width="15.453125" style="18" bestFit="1" customWidth="1"/>
    <col min="63" max="63" width="26.54296875" style="18" bestFit="1" customWidth="1"/>
    <col min="64" max="64" width="19.81640625" style="18" bestFit="1" customWidth="1"/>
    <col min="65" max="65" width="19.54296875" style="18" bestFit="1" customWidth="1"/>
    <col min="66" max="66" width="28.1796875" style="18" bestFit="1" customWidth="1"/>
    <col min="67" max="67" width="19.54296875" style="18" bestFit="1" customWidth="1"/>
    <col min="68" max="68" width="16" style="18" bestFit="1" customWidth="1"/>
    <col min="69" max="69" width="26.54296875" style="18" bestFit="1" customWidth="1"/>
    <col min="70" max="70" width="19.81640625" style="18" bestFit="1" customWidth="1"/>
    <col min="71" max="71" width="19.54296875" style="18" bestFit="1" customWidth="1"/>
    <col min="72" max="72" width="28.1796875" style="18" bestFit="1" customWidth="1"/>
    <col min="73" max="73" width="19.54296875" style="18" bestFit="1" customWidth="1"/>
    <col min="74" max="74" width="16" style="18" bestFit="1" customWidth="1"/>
    <col min="75" max="75" width="26.54296875" style="18" bestFit="1" customWidth="1"/>
    <col min="76" max="76" width="19.81640625" style="18" bestFit="1" customWidth="1"/>
    <col min="77" max="77" width="9.453125" style="18" bestFit="1" customWidth="1"/>
    <col min="78" max="78" width="28.1796875" style="18" bestFit="1" customWidth="1"/>
    <col min="79" max="79" width="8" style="18" bestFit="1" customWidth="1"/>
    <col min="80" max="80" width="16" style="18" bestFit="1" customWidth="1"/>
    <col min="81" max="81" width="26.54296875" style="18" bestFit="1" customWidth="1"/>
    <col min="82" max="82" width="19.81640625" style="18" bestFit="1" customWidth="1"/>
    <col min="83" max="83" width="9.453125" style="18" bestFit="1" customWidth="1"/>
    <col min="84" max="84" width="28.1796875" style="18" bestFit="1" customWidth="1"/>
    <col min="85" max="85" width="8" style="18" bestFit="1" customWidth="1"/>
    <col min="86" max="86" width="15.453125" style="18" bestFit="1" customWidth="1"/>
    <col min="87" max="87" width="26.54296875" style="18" bestFit="1" customWidth="1"/>
    <col min="88" max="88" width="20.7265625" style="18" bestFit="1" customWidth="1"/>
    <col min="89" max="89" width="9.453125" style="18" bestFit="1" customWidth="1"/>
    <col min="90" max="90" width="28.1796875" style="18" bestFit="1" customWidth="1"/>
    <col min="91" max="91" width="8" style="18" bestFit="1" customWidth="1"/>
    <col min="92" max="92" width="16" style="18" bestFit="1" customWidth="1"/>
    <col min="93" max="93" width="26.54296875" style="18" bestFit="1" customWidth="1"/>
    <col min="94" max="94" width="20.7265625" style="18" bestFit="1" customWidth="1"/>
    <col min="95" max="95" width="9.453125" style="18" bestFit="1" customWidth="1"/>
    <col min="96" max="96" width="28.1796875" style="18" bestFit="1" customWidth="1"/>
    <col min="97" max="97" width="8" style="18" bestFit="1" customWidth="1"/>
    <col min="98" max="98" width="24.26953125" style="18" bestFit="1" customWidth="1"/>
    <col min="99" max="101" width="24.81640625" style="18" bestFit="1" customWidth="1"/>
    <col min="102" max="102" width="24.54296875" style="18" bestFit="1" customWidth="1"/>
    <col min="103" max="103" width="24.26953125" style="18" bestFit="1" customWidth="1"/>
    <col min="104" max="104" width="24.81640625" style="18" bestFit="1" customWidth="1"/>
    <col min="105" max="105" width="24.26953125" style="18" bestFit="1" customWidth="1"/>
    <col min="106" max="108" width="24.81640625" style="18" bestFit="1" customWidth="1"/>
    <col min="109" max="109" width="24.26953125" style="18" bestFit="1" customWidth="1"/>
    <col min="110" max="110" width="24.81640625" style="18" bestFit="1" customWidth="1"/>
    <col min="111" max="16384" width="10.81640625" style="18"/>
  </cols>
  <sheetData>
    <row r="1" spans="2:111" x14ac:dyDescent="0.35">
      <c r="S1"/>
      <c r="T1"/>
    </row>
    <row r="2" spans="2:111" ht="22" x14ac:dyDescent="0.65">
      <c r="B2" s="134" t="s">
        <v>422</v>
      </c>
      <c r="C2" s="134"/>
      <c r="D2" s="134"/>
    </row>
    <row r="3" spans="2:111" ht="18" x14ac:dyDescent="0.55000000000000004">
      <c r="B3" s="23" t="s">
        <v>55</v>
      </c>
      <c r="C3" s="23" t="s">
        <v>4</v>
      </c>
      <c r="D3" s="24" t="s">
        <v>19</v>
      </c>
      <c r="E3" s="25" t="s">
        <v>20</v>
      </c>
      <c r="F3" s="26" t="s">
        <v>21</v>
      </c>
      <c r="G3" s="27" t="s">
        <v>22</v>
      </c>
      <c r="H3" s="28" t="s">
        <v>23</v>
      </c>
      <c r="I3" s="29" t="s">
        <v>24</v>
      </c>
      <c r="J3" s="29" t="s">
        <v>602</v>
      </c>
      <c r="K3" s="30" t="s">
        <v>50</v>
      </c>
      <c r="L3" s="31" t="s">
        <v>25</v>
      </c>
      <c r="M3" s="32" t="s">
        <v>26</v>
      </c>
      <c r="N3" s="33" t="s">
        <v>27</v>
      </c>
      <c r="O3" s="34" t="s">
        <v>28</v>
      </c>
      <c r="P3" s="35" t="s">
        <v>51</v>
      </c>
      <c r="Q3" s="36" t="s">
        <v>52</v>
      </c>
      <c r="R3" s="192" t="s">
        <v>16</v>
      </c>
      <c r="T3" s="189" t="s">
        <v>535</v>
      </c>
      <c r="U3" s="289" t="s">
        <v>712</v>
      </c>
      <c r="V3" s="289" t="s">
        <v>700</v>
      </c>
      <c r="W3" s="289" t="s">
        <v>701</v>
      </c>
      <c r="X3" s="289" t="s">
        <v>702</v>
      </c>
      <c r="Y3" s="289" t="s">
        <v>703</v>
      </c>
      <c r="Z3" s="289" t="s">
        <v>704</v>
      </c>
      <c r="AA3" s="289" t="s">
        <v>714</v>
      </c>
      <c r="AB3" s="289" t="s">
        <v>705</v>
      </c>
      <c r="AC3" s="289" t="s">
        <v>706</v>
      </c>
      <c r="AD3" s="289" t="s">
        <v>707</v>
      </c>
      <c r="AE3" s="289" t="s">
        <v>708</v>
      </c>
      <c r="AF3" s="289" t="s">
        <v>709</v>
      </c>
      <c r="AG3" s="289" t="s">
        <v>711</v>
      </c>
      <c r="AH3" s="289" t="s">
        <v>710</v>
      </c>
      <c r="CX3"/>
      <c r="CY3"/>
      <c r="CZ3"/>
      <c r="DA3"/>
      <c r="DB3"/>
      <c r="DC3"/>
      <c r="DD3"/>
      <c r="DE3"/>
      <c r="DF3"/>
      <c r="DG3"/>
    </row>
    <row r="4" spans="2:111" ht="18" x14ac:dyDescent="0.55000000000000004">
      <c r="B4" s="37" t="str">
        <f>Ontwerpberekening!B5</f>
        <v>Baseline</v>
      </c>
      <c r="C4" s="23" t="str">
        <f>Ontwerpberekening!F5</f>
        <v>AC Surf 0% PR - PCR 2.0</v>
      </c>
      <c r="D4" s="11">
        <f>(IF(Ontwerpberekening!C5="Nieuwe Situatie",(_xlfn.IFNA(VLOOKUP(Ontwerp_MKI_Totaal[[#This Row],[Product]]&amp;", "&amp;Ontwerp_MKI_Totaal[[#Headers],[A1]],Database_Productkaarten[#All],13,FALSE),0)*Ontwerpberekening!H5),0))/Ontwerpberekening!$A$2</f>
        <v>0</v>
      </c>
      <c r="E4" s="11">
        <f>(IF(Ontwerpberekening!C5="Nieuwe Situatie",(_xlfn.IFNA(VLOOKUP(Ontwerp_MKI_Totaal[[#This Row],[Product]]&amp;", "&amp;Ontwerp_MKI_Totaal[[#Headers],[A2]],Database_Productkaarten[#All],13,FALSE),0)*Ontwerpberekening!H5),0))/Ontwerpberekening!$A$2</f>
        <v>0</v>
      </c>
      <c r="F4" s="11">
        <f>(IF(Ontwerpberekening!C5="Nieuwe Situatie",(_xlfn.IFNA(VLOOKUP(Ontwerp_MKI_Totaal[[#This Row],[Product]]&amp;", "&amp;Ontwerp_MKI_Totaal[[#Headers],[A3]],Database_Productkaarten[#All],13,FALSE),0)*Ontwerpberekening!H5),0))/Ontwerpberekening!$A$2</f>
        <v>0</v>
      </c>
      <c r="G4" s="11">
        <f>(IF(Ontwerpberekening!C5="Nieuwe Situatie",(_xlfn.IFNA(VLOOKUP(Ontwerp_MKI_Totaal[[#This Row],[Product]]&amp;", "&amp;Ontwerp_MKI_Totaal[[#Headers],[A4]],Database_Productkaarten[#All],13,FALSE),0)*Ontwerpberekening!H5),0))/Ontwerpberekening!$A$2</f>
        <v>0</v>
      </c>
      <c r="H4" s="11">
        <f>(IF(Ontwerpberekening!C5="Nieuwe Situatie",(_xlfn.IFNA(VLOOKUP(Ontwerp_MKI_Totaal[[#This Row],[Product]]&amp;", "&amp;Ontwerp_MKI_Totaal[[#Headers],[A5]],Database_Productkaarten[#All],13,FALSE),0)*Ontwerpberekening!H5),0))/Ontwerpberekening!$A$2</f>
        <v>0</v>
      </c>
      <c r="I4" s="11">
        <f>(IF(Ontwerpberekening!C5="Nieuwe Situatie",(_xlfn.IFNA(VLOOKUP(Ontwerp_MKI_Totaal[[#This Row],[Product]]&amp;", "&amp;Ontwerp_MKI_Totaal[[#Headers],[B1]],Database_Productkaarten[#All],13,FALSE),0)*Ontwerpberekening!H5),0))/Ontwerpberekening!$A$2</f>
        <v>0</v>
      </c>
      <c r="J4" s="11">
        <f>(IF(Ontwerpberekening!C5="Nieuwe Situatie",(_xlfn.IFNA(VLOOKUP(Ontwerp_MKI_Totaal[[#This Row],[Product]]&amp;", "&amp;Ontwerp_MKI_Totaal[[#Headers],[B3]],Database_Productkaarten[#All],13,FALSE),0)*Ontwerpberekening!H5),0))/Ontwerpberekening!$A$2</f>
        <v>0</v>
      </c>
      <c r="K4" s="11">
        <f>(IF(Ontwerpberekening!C5="Nieuwe Situatie",(SUM(Ontwerp_MKI_Totaal[[#This Row],[A1]:[B1]],Ontwerp_MKI_Totaal[[#This Row],[C1]:[D2]])*Ontwerpberekening!R5),0))</f>
        <v>0</v>
      </c>
      <c r="L4" s="11">
        <f>_xlfn.IFNA(VLOOKUP(Ontwerp_MKI_Totaal[[#This Row],[Product]]&amp;", "&amp;Ontwerp_MKI_Totaal[[#Headers],[C1]],Database_Productkaarten[#All],13,FALSE)*Ontwerpberekening!H5,0)/Ontwerpberekening!$A$2</f>
        <v>4.577704988904653</v>
      </c>
      <c r="M4" s="11">
        <f>_xlfn.IFNA(VLOOKUP(Ontwerp_MKI_Totaal[[#This Row],[Product]]&amp;", "&amp;Ontwerp_MKI_Totaal[[#Headers],[C2]],Database_Productkaarten[#All],13,FALSE)*Ontwerpberekening!H5,0)/Ontwerpberekening!$A$2</f>
        <v>10.74698893862279</v>
      </c>
      <c r="N4" s="11">
        <f>_xlfn.IFNA(VLOOKUP(Ontwerp_MKI_Totaal[[#This Row],[Product]]&amp;", "&amp;Ontwerp_MKI_Totaal[[#Headers],[C3]],Database_Productkaarten[#All],13,FALSE)*Ontwerpberekening!H5,0)/Ontwerpberekening!$A$2</f>
        <v>5.3850954733717415</v>
      </c>
      <c r="O4" s="11">
        <f>_xlfn.IFNA(VLOOKUP(Ontwerp_MKI_Totaal[[#This Row],[Product]]&amp;", "&amp;Ontwerp_MKI_Totaal[[#Headers],[C4]],Database_Productkaarten[#All],13,FALSE)*Ontwerpberekening!H5,0)/Ontwerpberekening!$A$2</f>
        <v>0</v>
      </c>
      <c r="P4" s="11">
        <f>(IF(Ontwerpberekening!C5="Nieuwe Situatie",(_xlfn.IFNA(VLOOKUP(Ontwerp_MKI_Totaal[[#This Row],[Product]]&amp;", "&amp;Ontwerp_MKI_Totaal[[#Headers],[D1]],Database_Productkaarten[#All],13,FALSE),0)*Ontwerpberekening!H5),0))/Ontwerpberekening!$A$2</f>
        <v>0</v>
      </c>
      <c r="Q4" s="38">
        <f>(IF(Ontwerpberekening!C5="Nieuwe Situatie",_xlfn.IFNA(VLOOKUP(Ontwerp_MKI_Totaal[[#This Row],[Product]]&amp;", "&amp;Ontwerp_MKI_Totaal[[#Headers],[D2]],Database_Productkaarten[#All],13,FALSE),0)*Ontwerpberekening!H5,0))/Ontwerpberekening!$A$2</f>
        <v>0</v>
      </c>
      <c r="R4" s="191">
        <f>SUM(Ontwerp_MKI_Totaal[[#This Row],[A1]:[D2]])</f>
        <v>20.709789400899183</v>
      </c>
      <c r="T4" s="201">
        <v>0</v>
      </c>
      <c r="U4" s="58">
        <v>0</v>
      </c>
      <c r="V4" s="58">
        <v>0</v>
      </c>
      <c r="W4" s="58">
        <v>0</v>
      </c>
      <c r="X4" s="58">
        <v>0</v>
      </c>
      <c r="Y4" s="58">
        <v>0</v>
      </c>
      <c r="Z4" s="58">
        <v>0</v>
      </c>
      <c r="AA4" s="58">
        <v>0</v>
      </c>
      <c r="AB4" s="58">
        <v>0</v>
      </c>
      <c r="AC4" s="58">
        <v>0</v>
      </c>
      <c r="AD4" s="58">
        <v>0</v>
      </c>
      <c r="AE4" s="58">
        <v>0</v>
      </c>
      <c r="AF4" s="58">
        <v>0</v>
      </c>
      <c r="AG4" s="58">
        <v>0</v>
      </c>
      <c r="AH4" s="58">
        <v>0</v>
      </c>
      <c r="CX4"/>
      <c r="CY4"/>
      <c r="CZ4"/>
      <c r="DA4"/>
      <c r="DB4"/>
      <c r="DC4"/>
      <c r="DD4"/>
      <c r="DE4"/>
      <c r="DF4"/>
      <c r="DG4"/>
    </row>
    <row r="5" spans="2:111" ht="18" x14ac:dyDescent="0.55000000000000004">
      <c r="B5" s="37" t="str">
        <f>Ontwerpberekening!B6</f>
        <v>Baseline</v>
      </c>
      <c r="C5" s="23" t="str">
        <f>Ontwerpberekening!F6</f>
        <v>AC bin/base 50% PR - PCR 2.0</v>
      </c>
      <c r="D5" s="11">
        <f>(IF(Ontwerpberekening!C6="Nieuwe Situatie",(_xlfn.IFNA(VLOOKUP(Ontwerp_MKI_Totaal[[#This Row],[Product]]&amp;", "&amp;Ontwerp_MKI_Totaal[[#Headers],[A1]],Database_Productkaarten[#All],13,FALSE),0)*Ontwerpberekening!H6),0))/Ontwerpberekening!$A$2</f>
        <v>0</v>
      </c>
      <c r="E5" s="11">
        <f>(IF(Ontwerpberekening!C6="Nieuwe Situatie",(_xlfn.IFNA(VLOOKUP(Ontwerp_MKI_Totaal[[#This Row],[Product]]&amp;", "&amp;Ontwerp_MKI_Totaal[[#Headers],[A2]],Database_Productkaarten[#All],13,FALSE),0)*Ontwerpberekening!H6),0))/Ontwerpberekening!$A$2</f>
        <v>0</v>
      </c>
      <c r="F5" s="11">
        <f>(IF(Ontwerpberekening!C6="Nieuwe Situatie",(_xlfn.IFNA(VLOOKUP(Ontwerp_MKI_Totaal[[#This Row],[Product]]&amp;", "&amp;Ontwerp_MKI_Totaal[[#Headers],[A3]],Database_Productkaarten[#All],13,FALSE),0)*Ontwerpberekening!H6),0))/Ontwerpberekening!$A$2</f>
        <v>0</v>
      </c>
      <c r="G5" s="11">
        <f>(IF(Ontwerpberekening!C6="Nieuwe Situatie",(_xlfn.IFNA(VLOOKUP(Ontwerp_MKI_Totaal[[#This Row],[Product]]&amp;", "&amp;Ontwerp_MKI_Totaal[[#Headers],[A4]],Database_Productkaarten[#All],13,FALSE),0)*Ontwerpberekening!H6),0))/Ontwerpberekening!$A$2</f>
        <v>0</v>
      </c>
      <c r="H5" s="11">
        <f>(IF(Ontwerpberekening!C6="Nieuwe Situatie",(_xlfn.IFNA(VLOOKUP(Ontwerp_MKI_Totaal[[#This Row],[Product]]&amp;", "&amp;Ontwerp_MKI_Totaal[[#Headers],[A5]],Database_Productkaarten[#All],13,FALSE),0)*Ontwerpberekening!H6),0))/Ontwerpberekening!$A$2</f>
        <v>0</v>
      </c>
      <c r="I5" s="11">
        <f>(IF(Ontwerpberekening!C6="Nieuwe Situatie",(_xlfn.IFNA(VLOOKUP(Ontwerp_MKI_Totaal[[#This Row],[Product]]&amp;", "&amp;Ontwerp_MKI_Totaal[[#Headers],[B1]],Database_Productkaarten[#All],13,FALSE),0)*Ontwerpberekening!H6),0))/Ontwerpberekening!$A$2</f>
        <v>0</v>
      </c>
      <c r="J5" s="11">
        <f>(IF(Ontwerpberekening!C6="Nieuwe Situatie",(_xlfn.IFNA(VLOOKUP(Ontwerp_MKI_Totaal[[#This Row],[Product]]&amp;", "&amp;Ontwerp_MKI_Totaal[[#Headers],[B3]],Database_Productkaarten[#All],13,FALSE),0)*Ontwerpberekening!H6),0))/Ontwerpberekening!$A$2</f>
        <v>0</v>
      </c>
      <c r="K5" s="11">
        <f>(IF(Ontwerpberekening!C6="Nieuwe Situatie",(SUM(Ontwerp_MKI_Totaal[[#This Row],[A1]:[B1]],Ontwerp_MKI_Totaal[[#This Row],[C1]:[D2]])*Ontwerpberekening!R6),0))</f>
        <v>0</v>
      </c>
      <c r="L5" s="11">
        <f>_xlfn.IFNA(VLOOKUP(Ontwerp_MKI_Totaal[[#This Row],[Product]]&amp;", "&amp;Ontwerp_MKI_Totaal[[#Headers],[C1]],Database_Productkaarten[#All],13,FALSE)*Ontwerpberekening!H6,0)/Ontwerpberekening!$A$2</f>
        <v>1.1977697685129605</v>
      </c>
      <c r="M5" s="11">
        <f>_xlfn.IFNA(VLOOKUP(Ontwerp_MKI_Totaal[[#This Row],[Product]]&amp;", "&amp;Ontwerp_MKI_Totaal[[#Headers],[C2]],Database_Productkaarten[#All],13,FALSE)*Ontwerpberekening!H6,0)/Ontwerpberekening!$A$2</f>
        <v>1.2055282779863075</v>
      </c>
      <c r="N5" s="11">
        <f>_xlfn.IFNA(VLOOKUP(Ontwerp_MKI_Totaal[[#This Row],[Product]]&amp;", "&amp;Ontwerp_MKI_Totaal[[#Headers],[C3]],Database_Productkaarten[#All],13,FALSE)*Ontwerpberekening!H6,0)/Ontwerpberekening!$A$2</f>
        <v>0.60406546643846171</v>
      </c>
      <c r="O5" s="11">
        <f>_xlfn.IFNA(VLOOKUP(Ontwerp_MKI_Totaal[[#This Row],[Product]]&amp;", "&amp;Ontwerp_MKI_Totaal[[#Headers],[C4]],Database_Productkaarten[#All],13,FALSE)*Ontwerpberekening!H6,0)/Ontwerpberekening!$A$2</f>
        <v>0</v>
      </c>
      <c r="P5" s="11">
        <f>(IF(Ontwerpberekening!C6="Nieuwe Situatie",(_xlfn.IFNA(VLOOKUP(Ontwerp_MKI_Totaal[[#This Row],[Product]]&amp;", "&amp;Ontwerp_MKI_Totaal[[#Headers],[D1]],Database_Productkaarten[#All],13,FALSE),0)*Ontwerpberekening!H6),0))/Ontwerpberekening!$A$2</f>
        <v>0</v>
      </c>
      <c r="Q5" s="38">
        <f>(IF(Ontwerpberekening!C6="Nieuwe Situatie",_xlfn.IFNA(VLOOKUP(Ontwerp_MKI_Totaal[[#This Row],[Product]]&amp;", "&amp;Ontwerp_MKI_Totaal[[#Headers],[D2]],Database_Productkaarten[#All],13,FALSE),0)*Ontwerpberekening!H6,0))/Ontwerpberekening!$A$2</f>
        <v>0</v>
      </c>
      <c r="R5" s="191">
        <f>SUM(Ontwerp_MKI_Totaal[[#This Row],[A1]:[D2]])</f>
        <v>3.0073635129377294</v>
      </c>
      <c r="T5" s="201" t="s">
        <v>1555</v>
      </c>
      <c r="U5" s="58">
        <v>279.80215296513353</v>
      </c>
      <c r="V5" s="58">
        <v>135.9284246476503</v>
      </c>
      <c r="W5" s="58">
        <v>69.340225078969908</v>
      </c>
      <c r="X5" s="58">
        <v>18.218190569347918</v>
      </c>
      <c r="Y5" s="58">
        <v>10.122937388062638</v>
      </c>
      <c r="Z5" s="58">
        <v>2.7746889622316413</v>
      </c>
      <c r="AA5" s="58">
        <v>0.93324400000000007</v>
      </c>
      <c r="AB5" s="58">
        <v>0</v>
      </c>
      <c r="AC5" s="58">
        <v>13.09096155494696</v>
      </c>
      <c r="AD5" s="58">
        <v>28.157086363741353</v>
      </c>
      <c r="AE5" s="58">
        <v>13.556735529363674</v>
      </c>
      <c r="AF5" s="58">
        <v>0.27437238738159997</v>
      </c>
      <c r="AG5" s="58">
        <v>-163.79100810694803</v>
      </c>
      <c r="AH5" s="58">
        <v>-0.2457</v>
      </c>
      <c r="CX5"/>
      <c r="CY5"/>
      <c r="CZ5"/>
      <c r="DA5"/>
      <c r="DB5"/>
      <c r="DC5"/>
      <c r="DD5"/>
      <c r="DE5"/>
      <c r="DF5"/>
      <c r="DG5"/>
    </row>
    <row r="6" spans="2:111" ht="18" x14ac:dyDescent="0.55000000000000004">
      <c r="B6" s="37" t="str">
        <f>Ontwerpberekening!B7</f>
        <v>Baseline</v>
      </c>
      <c r="C6" s="23" t="str">
        <f>Ontwerpberekening!F7</f>
        <v>AC bin/base 50% PR - PCR 2.0</v>
      </c>
      <c r="D6" s="11">
        <f>(IF(Ontwerpberekening!C7="Nieuwe Situatie",(_xlfn.IFNA(VLOOKUP(Ontwerp_MKI_Totaal[[#This Row],[Product]]&amp;", "&amp;Ontwerp_MKI_Totaal[[#Headers],[A1]],Database_Productkaarten[#All],13,FALSE),0)*Ontwerpberekening!H7),0))/Ontwerpberekening!$A$2</f>
        <v>0</v>
      </c>
      <c r="E6" s="11">
        <f>(IF(Ontwerpberekening!C7="Nieuwe Situatie",(_xlfn.IFNA(VLOOKUP(Ontwerp_MKI_Totaal[[#This Row],[Product]]&amp;", "&amp;Ontwerp_MKI_Totaal[[#Headers],[A2]],Database_Productkaarten[#All],13,FALSE),0)*Ontwerpberekening!H7),0))/Ontwerpberekening!$A$2</f>
        <v>0</v>
      </c>
      <c r="F6" s="11">
        <f>(IF(Ontwerpberekening!C7="Nieuwe Situatie",(_xlfn.IFNA(VLOOKUP(Ontwerp_MKI_Totaal[[#This Row],[Product]]&amp;", "&amp;Ontwerp_MKI_Totaal[[#Headers],[A3]],Database_Productkaarten[#All],13,FALSE),0)*Ontwerpberekening!H7),0))/Ontwerpberekening!$A$2</f>
        <v>0</v>
      </c>
      <c r="G6" s="11">
        <f>(IF(Ontwerpberekening!C7="Nieuwe Situatie",(_xlfn.IFNA(VLOOKUP(Ontwerp_MKI_Totaal[[#This Row],[Product]]&amp;", "&amp;Ontwerp_MKI_Totaal[[#Headers],[A4]],Database_Productkaarten[#All],13,FALSE),0)*Ontwerpberekening!H7),0))/Ontwerpberekening!$A$2</f>
        <v>0</v>
      </c>
      <c r="H6" s="11">
        <f>(IF(Ontwerpberekening!C7="Nieuwe Situatie",(_xlfn.IFNA(VLOOKUP(Ontwerp_MKI_Totaal[[#This Row],[Product]]&amp;", "&amp;Ontwerp_MKI_Totaal[[#Headers],[A5]],Database_Productkaarten[#All],13,FALSE),0)*Ontwerpberekening!H7),0))/Ontwerpberekening!$A$2</f>
        <v>0</v>
      </c>
      <c r="I6" s="11">
        <f>(IF(Ontwerpberekening!C7="Nieuwe Situatie",(_xlfn.IFNA(VLOOKUP(Ontwerp_MKI_Totaal[[#This Row],[Product]]&amp;", "&amp;Ontwerp_MKI_Totaal[[#Headers],[B1]],Database_Productkaarten[#All],13,FALSE),0)*Ontwerpberekening!H7),0))/Ontwerpberekening!$A$2</f>
        <v>0</v>
      </c>
      <c r="J6" s="11">
        <f>(IF(Ontwerpberekening!C7="Nieuwe Situatie",(_xlfn.IFNA(VLOOKUP(Ontwerp_MKI_Totaal[[#This Row],[Product]]&amp;", "&amp;Ontwerp_MKI_Totaal[[#Headers],[B3]],Database_Productkaarten[#All],13,FALSE),0)*Ontwerpberekening!H7),0))/Ontwerpberekening!$A$2</f>
        <v>0</v>
      </c>
      <c r="K6" s="11">
        <f>(IF(Ontwerpberekening!C7="Nieuwe Situatie",(SUM(Ontwerp_MKI_Totaal[[#This Row],[A1]:[B1]],Ontwerp_MKI_Totaal[[#This Row],[C1]:[D2]])*Ontwerpberekening!R7),0))</f>
        <v>0</v>
      </c>
      <c r="L6" s="11">
        <f>_xlfn.IFNA(VLOOKUP(Ontwerp_MKI_Totaal[[#This Row],[Product]]&amp;", "&amp;Ontwerp_MKI_Totaal[[#Headers],[C1]],Database_Productkaarten[#All],13,FALSE)*Ontwerpberekening!H7,0)/Ontwerpberekening!$A$2</f>
        <v>0.37430305266030012</v>
      </c>
      <c r="M6" s="11">
        <f>_xlfn.IFNA(VLOOKUP(Ontwerp_MKI_Totaal[[#This Row],[Product]]&amp;", "&amp;Ontwerp_MKI_Totaal[[#Headers],[C2]],Database_Productkaarten[#All],13,FALSE)*Ontwerpberekening!H7,0)/Ontwerpberekening!$A$2</f>
        <v>0.37672758687072105</v>
      </c>
      <c r="N6" s="11">
        <f>_xlfn.IFNA(VLOOKUP(Ontwerp_MKI_Totaal[[#This Row],[Product]]&amp;", "&amp;Ontwerp_MKI_Totaal[[#Headers],[C3]],Database_Productkaarten[#All],13,FALSE)*Ontwerpberekening!H7,0)/Ontwerpberekening!$A$2</f>
        <v>0.18877045826201924</v>
      </c>
      <c r="O6" s="11">
        <f>_xlfn.IFNA(VLOOKUP(Ontwerp_MKI_Totaal[[#This Row],[Product]]&amp;", "&amp;Ontwerp_MKI_Totaal[[#Headers],[C4]],Database_Productkaarten[#All],13,FALSE)*Ontwerpberekening!H7,0)/Ontwerpberekening!$A$2</f>
        <v>0</v>
      </c>
      <c r="P6" s="11">
        <f>(IF(Ontwerpberekening!C7="Nieuwe Situatie",(_xlfn.IFNA(VLOOKUP(Ontwerp_MKI_Totaal[[#This Row],[Product]]&amp;", "&amp;Ontwerp_MKI_Totaal[[#Headers],[D1]],Database_Productkaarten[#All],13,FALSE),0)*Ontwerpberekening!H7),0))/Ontwerpberekening!$A$2</f>
        <v>0</v>
      </c>
      <c r="Q6" s="38">
        <f>(IF(Ontwerpberekening!C7="Nieuwe Situatie",_xlfn.IFNA(VLOOKUP(Ontwerp_MKI_Totaal[[#This Row],[Product]]&amp;", "&amp;Ontwerp_MKI_Totaal[[#Headers],[D2]],Database_Productkaarten[#All],13,FALSE),0)*Ontwerpberekening!H7,0))/Ontwerpberekening!$A$2</f>
        <v>0</v>
      </c>
      <c r="R6" s="191">
        <f>SUM(Ontwerp_MKI_Totaal[[#This Row],[A1]:[D2]])</f>
        <v>0.93980109779304033</v>
      </c>
      <c r="T6" s="201" t="s">
        <v>1556</v>
      </c>
      <c r="U6" s="58">
        <v>276.89085145126671</v>
      </c>
      <c r="V6" s="58">
        <v>137.98242464765028</v>
      </c>
      <c r="W6" s="58">
        <v>70.074225078969903</v>
      </c>
      <c r="X6" s="58" t="e">
        <v>#REF!</v>
      </c>
      <c r="Y6" s="58">
        <v>10.281576631129226</v>
      </c>
      <c r="Z6" s="58">
        <v>2.8738889622316415</v>
      </c>
      <c r="AA6" s="58">
        <v>0</v>
      </c>
      <c r="AB6" s="58" t="e">
        <v>#REF!</v>
      </c>
      <c r="AC6" s="58">
        <v>13.09096155634456</v>
      </c>
      <c r="AD6" s="58" t="e">
        <v>#REF!</v>
      </c>
      <c r="AE6" s="58">
        <v>13.281602754318051</v>
      </c>
      <c r="AF6" s="58">
        <v>0.13334765738160001</v>
      </c>
      <c r="AG6" s="58">
        <v>-163.82534810694801</v>
      </c>
      <c r="AH6" s="58">
        <v>-0.192</v>
      </c>
      <c r="CX6"/>
      <c r="CY6"/>
      <c r="CZ6"/>
      <c r="DA6"/>
      <c r="DB6"/>
      <c r="DC6"/>
      <c r="DD6"/>
      <c r="DE6"/>
      <c r="DF6"/>
      <c r="DG6"/>
    </row>
    <row r="7" spans="2:111" ht="18" x14ac:dyDescent="0.55000000000000004">
      <c r="B7" s="37" t="str">
        <f>Ontwerpberekening!B8</f>
        <v>Baseline</v>
      </c>
      <c r="C7" s="23" t="str">
        <f>Ontwerpberekening!F8</f>
        <v>Betonstraatsteen 210x105x80</v>
      </c>
      <c r="D7" s="11">
        <f>(IF(Ontwerpberekening!C8="Nieuwe Situatie",(_xlfn.IFNA(VLOOKUP(Ontwerp_MKI_Totaal[[#This Row],[Product]]&amp;", "&amp;Ontwerp_MKI_Totaal[[#Headers],[A1]],Database_Productkaarten[#All],13,FALSE),0)*Ontwerpberekening!H8),0))/Ontwerpberekening!$A$2</f>
        <v>0</v>
      </c>
      <c r="E7" s="11">
        <f>(IF(Ontwerpberekening!C8="Nieuwe Situatie",(_xlfn.IFNA(VLOOKUP(Ontwerp_MKI_Totaal[[#This Row],[Product]]&amp;", "&amp;Ontwerp_MKI_Totaal[[#Headers],[A2]],Database_Productkaarten[#All],13,FALSE),0)*Ontwerpberekening!H8),0))/Ontwerpberekening!$A$2</f>
        <v>0</v>
      </c>
      <c r="F7" s="11">
        <f>(IF(Ontwerpberekening!C8="Nieuwe Situatie",(_xlfn.IFNA(VLOOKUP(Ontwerp_MKI_Totaal[[#This Row],[Product]]&amp;", "&amp;Ontwerp_MKI_Totaal[[#Headers],[A3]],Database_Productkaarten[#All],13,FALSE),0)*Ontwerpberekening!H8),0))/Ontwerpberekening!$A$2</f>
        <v>0</v>
      </c>
      <c r="G7" s="11">
        <f>(IF(Ontwerpberekening!C8="Nieuwe Situatie",(_xlfn.IFNA(VLOOKUP(Ontwerp_MKI_Totaal[[#This Row],[Product]]&amp;", "&amp;Ontwerp_MKI_Totaal[[#Headers],[A4]],Database_Productkaarten[#All],13,FALSE),0)*Ontwerpberekening!H8),0))/Ontwerpberekening!$A$2</f>
        <v>0</v>
      </c>
      <c r="H7" s="11">
        <f>(IF(Ontwerpberekening!C8="Nieuwe Situatie",(_xlfn.IFNA(VLOOKUP(Ontwerp_MKI_Totaal[[#This Row],[Product]]&amp;", "&amp;Ontwerp_MKI_Totaal[[#Headers],[A5]],Database_Productkaarten[#All],13,FALSE),0)*Ontwerpberekening!H8),0))/Ontwerpberekening!$A$2</f>
        <v>0</v>
      </c>
      <c r="I7" s="11">
        <f>(IF(Ontwerpberekening!C8="Nieuwe Situatie",(_xlfn.IFNA(VLOOKUP(Ontwerp_MKI_Totaal[[#This Row],[Product]]&amp;", "&amp;Ontwerp_MKI_Totaal[[#Headers],[B1]],Database_Productkaarten[#All],13,FALSE),0)*Ontwerpberekening!H8),0))/Ontwerpberekening!$A$2</f>
        <v>0</v>
      </c>
      <c r="J7" s="11">
        <f>(IF(Ontwerpberekening!C8="Nieuwe Situatie",(_xlfn.IFNA(VLOOKUP(Ontwerp_MKI_Totaal[[#This Row],[Product]]&amp;", "&amp;Ontwerp_MKI_Totaal[[#Headers],[B3]],Database_Productkaarten[#All],13,FALSE),0)*Ontwerpberekening!H8),0))/Ontwerpberekening!$A$2</f>
        <v>0</v>
      </c>
      <c r="K7" s="11">
        <f>(IF(Ontwerpberekening!C8="Nieuwe Situatie",(SUM(Ontwerp_MKI_Totaal[[#This Row],[A1]:[B1]],Ontwerp_MKI_Totaal[[#This Row],[C1]:[D2]])*Ontwerpberekening!R8),0))</f>
        <v>0</v>
      </c>
      <c r="L7" s="11">
        <f>_xlfn.IFNA(VLOOKUP(Ontwerp_MKI_Totaal[[#This Row],[Product]]&amp;", "&amp;Ontwerp_MKI_Totaal[[#Headers],[C1]],Database_Productkaarten[#All],13,FALSE)*Ontwerpberekening!H8,0)/Ontwerpberekening!$A$2</f>
        <v>0</v>
      </c>
      <c r="M7" s="11">
        <f>_xlfn.IFNA(VLOOKUP(Ontwerp_MKI_Totaal[[#This Row],[Product]]&amp;", "&amp;Ontwerp_MKI_Totaal[[#Headers],[C2]],Database_Productkaarten[#All],13,FALSE)*Ontwerpberekening!H8,0)/Ontwerpberekening!$A$2</f>
        <v>0.16327999999999998</v>
      </c>
      <c r="N7" s="11">
        <f>_xlfn.IFNA(VLOOKUP(Ontwerp_MKI_Totaal[[#This Row],[Product]]&amp;", "&amp;Ontwerp_MKI_Totaal[[#Headers],[C3]],Database_Productkaarten[#All],13,FALSE)*Ontwerpberekening!H8,0)/Ontwerpberekening!$A$2</f>
        <v>0.36686000000000002</v>
      </c>
      <c r="O7" s="11">
        <f>_xlfn.IFNA(VLOOKUP(Ontwerp_MKI_Totaal[[#This Row],[Product]]&amp;", "&amp;Ontwerp_MKI_Totaal[[#Headers],[C4]],Database_Productkaarten[#All],13,FALSE)*Ontwerpberekening!H8,0)/Ontwerpberekening!$A$2</f>
        <v>0.13286000000000001</v>
      </c>
      <c r="P7" s="11">
        <f>(IF(Ontwerpberekening!C8="Nieuwe Situatie",(_xlfn.IFNA(VLOOKUP(Ontwerp_MKI_Totaal[[#This Row],[Product]]&amp;", "&amp;Ontwerp_MKI_Totaal[[#Headers],[D1]],Database_Productkaarten[#All],13,FALSE),0)*Ontwerpberekening!H8),0))/Ontwerpberekening!$A$2</f>
        <v>0</v>
      </c>
      <c r="Q7" s="38">
        <f>(IF(Ontwerpberekening!C8="Nieuwe Situatie",_xlfn.IFNA(VLOOKUP(Ontwerp_MKI_Totaal[[#This Row],[Product]]&amp;", "&amp;Ontwerp_MKI_Totaal[[#Headers],[D2]],Database_Productkaarten[#All],13,FALSE),0)*Ontwerpberekening!H8,0))/Ontwerpberekening!$A$2</f>
        <v>0</v>
      </c>
      <c r="R7" s="191">
        <f>SUM(Ontwerp_MKI_Totaal[[#This Row],[A1]:[D2]])</f>
        <v>0.66300000000000003</v>
      </c>
      <c r="T7" s="201" t="s">
        <v>536</v>
      </c>
      <c r="U7" s="58">
        <v>556.6930044164003</v>
      </c>
      <c r="V7" s="58">
        <v>273.91084929530058</v>
      </c>
      <c r="W7" s="58">
        <v>139.41445015793983</v>
      </c>
      <c r="X7" s="58" t="e">
        <v>#REF!</v>
      </c>
      <c r="Y7" s="58">
        <v>20.404514019191865</v>
      </c>
      <c r="Z7" s="58">
        <v>5.6485779244632823</v>
      </c>
      <c r="AA7" s="58">
        <v>0.93324400000000007</v>
      </c>
      <c r="AB7" s="58" t="e">
        <v>#REF!</v>
      </c>
      <c r="AC7" s="58">
        <v>26.181923111291518</v>
      </c>
      <c r="AD7" s="58" t="e">
        <v>#REF!</v>
      </c>
      <c r="AE7" s="58">
        <v>26.838338283681725</v>
      </c>
      <c r="AF7" s="58">
        <v>0.40772004476320001</v>
      </c>
      <c r="AG7" s="58">
        <v>-327.61635621389604</v>
      </c>
      <c r="AH7" s="58">
        <v>-0.43769999999999998</v>
      </c>
      <c r="CX7"/>
      <c r="CY7"/>
      <c r="CZ7"/>
      <c r="DA7"/>
      <c r="DB7"/>
      <c r="DC7"/>
      <c r="DD7"/>
      <c r="DE7"/>
      <c r="DF7"/>
      <c r="DG7"/>
    </row>
    <row r="8" spans="2:111" ht="18" x14ac:dyDescent="0.55000000000000004">
      <c r="B8" s="37" t="str">
        <f>Ontwerpberekening!B9</f>
        <v>Baseline</v>
      </c>
      <c r="C8" s="23" t="str">
        <f>Ontwerpberekening!F9</f>
        <v>Grond</v>
      </c>
      <c r="D8" s="11">
        <f>(IF(Ontwerpberekening!C9="Nieuwe Situatie",(_xlfn.IFNA(VLOOKUP(Ontwerp_MKI_Totaal[[#This Row],[Product]]&amp;", "&amp;Ontwerp_MKI_Totaal[[#Headers],[A1]],Database_Productkaarten[#All],13,FALSE),0)*Ontwerpberekening!H9),0))/Ontwerpberekening!$A$2</f>
        <v>0</v>
      </c>
      <c r="E8" s="11">
        <f>(IF(Ontwerpberekening!C9="Nieuwe Situatie",(_xlfn.IFNA(VLOOKUP(Ontwerp_MKI_Totaal[[#This Row],[Product]]&amp;", "&amp;Ontwerp_MKI_Totaal[[#Headers],[A2]],Database_Productkaarten[#All],13,FALSE),0)*Ontwerpberekening!H9),0))/Ontwerpberekening!$A$2</f>
        <v>0</v>
      </c>
      <c r="F8" s="11">
        <f>(IF(Ontwerpberekening!C9="Nieuwe Situatie",(_xlfn.IFNA(VLOOKUP(Ontwerp_MKI_Totaal[[#This Row],[Product]]&amp;", "&amp;Ontwerp_MKI_Totaal[[#Headers],[A3]],Database_Productkaarten[#All],13,FALSE),0)*Ontwerpberekening!H9),0))/Ontwerpberekening!$A$2</f>
        <v>0</v>
      </c>
      <c r="G8" s="11">
        <f>(IF(Ontwerpberekening!C9="Nieuwe Situatie",(_xlfn.IFNA(VLOOKUP(Ontwerp_MKI_Totaal[[#This Row],[Product]]&amp;", "&amp;Ontwerp_MKI_Totaal[[#Headers],[A4]],Database_Productkaarten[#All],13,FALSE),0)*Ontwerpberekening!H9),0))/Ontwerpberekening!$A$2</f>
        <v>0</v>
      </c>
      <c r="H8" s="11">
        <f>(IF(Ontwerpberekening!C9="Nieuwe Situatie",(_xlfn.IFNA(VLOOKUP(Ontwerp_MKI_Totaal[[#This Row],[Product]]&amp;", "&amp;Ontwerp_MKI_Totaal[[#Headers],[A5]],Database_Productkaarten[#All],13,FALSE),0)*Ontwerpberekening!H9),0))/Ontwerpberekening!$A$2</f>
        <v>0</v>
      </c>
      <c r="I8" s="11">
        <f>(IF(Ontwerpberekening!C9="Nieuwe Situatie",(_xlfn.IFNA(VLOOKUP(Ontwerp_MKI_Totaal[[#This Row],[Product]]&amp;", "&amp;Ontwerp_MKI_Totaal[[#Headers],[B1]],Database_Productkaarten[#All],13,FALSE),0)*Ontwerpberekening!H9),0))/Ontwerpberekening!$A$2</f>
        <v>0</v>
      </c>
      <c r="J8" s="11">
        <f>(IF(Ontwerpberekening!C9="Nieuwe Situatie",(_xlfn.IFNA(VLOOKUP(Ontwerp_MKI_Totaal[[#This Row],[Product]]&amp;", "&amp;Ontwerp_MKI_Totaal[[#Headers],[B3]],Database_Productkaarten[#All],13,FALSE),0)*Ontwerpberekening!H9),0))/Ontwerpberekening!$A$2</f>
        <v>0</v>
      </c>
      <c r="K8" s="11">
        <f>(IF(Ontwerpberekening!C9="Nieuwe Situatie",(SUM(Ontwerp_MKI_Totaal[[#This Row],[A1]:[B1]],Ontwerp_MKI_Totaal[[#This Row],[C1]:[D2]])*Ontwerpberekening!R9),0))</f>
        <v>0</v>
      </c>
      <c r="L8" s="11">
        <f>_xlfn.IFNA(VLOOKUP(Ontwerp_MKI_Totaal[[#This Row],[Product]]&amp;", "&amp;Ontwerp_MKI_Totaal[[#Headers],[C1]],Database_Productkaarten[#All],13,FALSE)*Ontwerpberekening!H9,0)/Ontwerpberekening!$A$2</f>
        <v>8.3134090003599448E-2</v>
      </c>
      <c r="M8" s="11">
        <f>_xlfn.IFNA(VLOOKUP(Ontwerp_MKI_Totaal[[#This Row],[Product]]&amp;", "&amp;Ontwerp_MKI_Totaal[[#Headers],[C2]],Database_Productkaarten[#All],13,FALSE)*Ontwerpberekening!H9,0)/Ontwerpberekening!$A$2</f>
        <v>0.90054147394580197</v>
      </c>
      <c r="N8" s="11">
        <f>_xlfn.IFNA(VLOOKUP(Ontwerp_MKI_Totaal[[#This Row],[Product]]&amp;", "&amp;Ontwerp_MKI_Totaal[[#Headers],[C3]],Database_Productkaarten[#All],13,FALSE)*Ontwerpberekening!H9,0)/Ontwerpberekening!$A$2</f>
        <v>0</v>
      </c>
      <c r="O8" s="11">
        <f>_xlfn.IFNA(VLOOKUP(Ontwerp_MKI_Totaal[[#This Row],[Product]]&amp;", "&amp;Ontwerp_MKI_Totaal[[#Headers],[C4]],Database_Productkaarten[#All],13,FALSE)*Ontwerpberekening!H9,0)/Ontwerpberekening!$A$2</f>
        <v>0</v>
      </c>
      <c r="P8" s="11">
        <f>(IF(Ontwerpberekening!C9="Nieuwe Situatie",(_xlfn.IFNA(VLOOKUP(Ontwerp_MKI_Totaal[[#This Row],[Product]]&amp;", "&amp;Ontwerp_MKI_Totaal[[#Headers],[D1]],Database_Productkaarten[#All],13,FALSE),0)*Ontwerpberekening!H9),0))/Ontwerpberekening!$A$2</f>
        <v>0</v>
      </c>
      <c r="Q8" s="38">
        <f>(IF(Ontwerpberekening!C9="Nieuwe Situatie",_xlfn.IFNA(VLOOKUP(Ontwerp_MKI_Totaal[[#This Row],[Product]]&amp;", "&amp;Ontwerp_MKI_Totaal[[#Headers],[D2]],Database_Productkaarten[#All],13,FALSE),0)*Ontwerpberekening!H9,0))/Ontwerpberekening!$A$2</f>
        <v>0</v>
      </c>
      <c r="R8" s="191">
        <f>SUM(Ontwerp_MKI_Totaal[[#This Row],[A1]:[D2]])</f>
        <v>0.98367556394940148</v>
      </c>
      <c r="T8"/>
      <c r="U8"/>
      <c r="V8"/>
      <c r="W8"/>
      <c r="X8"/>
      <c r="Y8"/>
      <c r="Z8"/>
      <c r="AA8"/>
      <c r="AB8"/>
      <c r="AC8"/>
      <c r="AD8"/>
      <c r="AE8"/>
      <c r="AF8"/>
      <c r="AG8"/>
      <c r="AH8"/>
      <c r="CX8"/>
      <c r="CY8"/>
      <c r="CZ8"/>
      <c r="DA8"/>
      <c r="DB8"/>
      <c r="DC8"/>
      <c r="DD8"/>
      <c r="DE8"/>
      <c r="DF8"/>
      <c r="DG8"/>
    </row>
    <row r="9" spans="2:111" ht="18" x14ac:dyDescent="0.55000000000000004">
      <c r="B9" s="37" t="str">
        <f>Ontwerpberekening!B10</f>
        <v>Baseline</v>
      </c>
      <c r="C9" s="23" t="str">
        <f>Ontwerpberekening!F10</f>
        <v>Opsluitband 100x200</v>
      </c>
      <c r="D9" s="11">
        <f>(IF(Ontwerpberekening!C10="Nieuwe Situatie",(_xlfn.IFNA(VLOOKUP(Ontwerp_MKI_Totaal[[#This Row],[Product]]&amp;", "&amp;Ontwerp_MKI_Totaal[[#Headers],[A1]],Database_Productkaarten[#All],13,FALSE),0)*Ontwerpberekening!H10),0))/Ontwerpberekening!$A$2</f>
        <v>0</v>
      </c>
      <c r="E9" s="11">
        <f>(IF(Ontwerpberekening!C10="Nieuwe Situatie",(_xlfn.IFNA(VLOOKUP(Ontwerp_MKI_Totaal[[#This Row],[Product]]&amp;", "&amp;Ontwerp_MKI_Totaal[[#Headers],[A2]],Database_Productkaarten[#All],13,FALSE),0)*Ontwerpberekening!H10),0))/Ontwerpberekening!$A$2</f>
        <v>0</v>
      </c>
      <c r="F9" s="11">
        <f>(IF(Ontwerpberekening!C10="Nieuwe Situatie",(_xlfn.IFNA(VLOOKUP(Ontwerp_MKI_Totaal[[#This Row],[Product]]&amp;", "&amp;Ontwerp_MKI_Totaal[[#Headers],[A3]],Database_Productkaarten[#All],13,FALSE),0)*Ontwerpberekening!H10),0))/Ontwerpberekening!$A$2</f>
        <v>0</v>
      </c>
      <c r="G9" s="11">
        <f>(IF(Ontwerpberekening!C10="Nieuwe Situatie",(_xlfn.IFNA(VLOOKUP(Ontwerp_MKI_Totaal[[#This Row],[Product]]&amp;", "&amp;Ontwerp_MKI_Totaal[[#Headers],[A4]],Database_Productkaarten[#All],13,FALSE),0)*Ontwerpberekening!H10),0))/Ontwerpberekening!$A$2</f>
        <v>0</v>
      </c>
      <c r="H9" s="11">
        <f>(IF(Ontwerpberekening!C10="Nieuwe Situatie",(_xlfn.IFNA(VLOOKUP(Ontwerp_MKI_Totaal[[#This Row],[Product]]&amp;", "&amp;Ontwerp_MKI_Totaal[[#Headers],[A5]],Database_Productkaarten[#All],13,FALSE),0)*Ontwerpberekening!H10),0))/Ontwerpberekening!$A$2</f>
        <v>0</v>
      </c>
      <c r="I9" s="11">
        <f>(IF(Ontwerpberekening!C10="Nieuwe Situatie",(_xlfn.IFNA(VLOOKUP(Ontwerp_MKI_Totaal[[#This Row],[Product]]&amp;", "&amp;Ontwerp_MKI_Totaal[[#Headers],[B1]],Database_Productkaarten[#All],13,FALSE),0)*Ontwerpberekening!H10),0))/Ontwerpberekening!$A$2</f>
        <v>0</v>
      </c>
      <c r="J9" s="11">
        <f>(IF(Ontwerpberekening!C10="Nieuwe Situatie",(_xlfn.IFNA(VLOOKUP(Ontwerp_MKI_Totaal[[#This Row],[Product]]&amp;", "&amp;Ontwerp_MKI_Totaal[[#Headers],[B3]],Database_Productkaarten[#All],13,FALSE),0)*Ontwerpberekening!H10),0))/Ontwerpberekening!$A$2</f>
        <v>0</v>
      </c>
      <c r="K9" s="11">
        <f>(IF(Ontwerpberekening!C10="Nieuwe Situatie",(SUM(Ontwerp_MKI_Totaal[[#This Row],[A1]:[B1]],Ontwerp_MKI_Totaal[[#This Row],[C1]:[D2]])*Ontwerpberekening!R10),0))</f>
        <v>0</v>
      </c>
      <c r="L9" s="11">
        <f>_xlfn.IFNA(VLOOKUP(Ontwerp_MKI_Totaal[[#This Row],[Product]]&amp;", "&amp;Ontwerp_MKI_Totaal[[#Headers],[C1]],Database_Productkaarten[#All],13,FALSE)*Ontwerpberekening!H10,0)/Ontwerpberekening!$A$2</f>
        <v>8.9900000000000008E-2</v>
      </c>
      <c r="M9" s="11">
        <f>_xlfn.IFNA(VLOOKUP(Ontwerp_MKI_Totaal[[#This Row],[Product]]&amp;", "&amp;Ontwerp_MKI_Totaal[[#Headers],[C2]],Database_Productkaarten[#All],13,FALSE)*Ontwerpberekening!H10,0)/Ontwerpberekening!$A$2</f>
        <v>0.20474000000000001</v>
      </c>
      <c r="N9" s="11">
        <f>_xlfn.IFNA(VLOOKUP(Ontwerp_MKI_Totaal[[#This Row],[Product]]&amp;", "&amp;Ontwerp_MKI_Totaal[[#Headers],[C3]],Database_Productkaarten[#All],13,FALSE)*Ontwerpberekening!H10,0)/Ontwerpberekening!$A$2</f>
        <v>7.424E-2</v>
      </c>
      <c r="O9" s="11">
        <f>_xlfn.IFNA(VLOOKUP(Ontwerp_MKI_Totaal[[#This Row],[Product]]&amp;", "&amp;Ontwerp_MKI_Totaal[[#Headers],[C4]],Database_Productkaarten[#All],13,FALSE)*Ontwerpberekening!H10,0)/Ontwerpberekening!$A$2</f>
        <v>1.93546E-3</v>
      </c>
      <c r="P9" s="11">
        <f>(IF(Ontwerpberekening!C10="Nieuwe Situatie",(_xlfn.IFNA(VLOOKUP(Ontwerp_MKI_Totaal[[#This Row],[Product]]&amp;", "&amp;Ontwerp_MKI_Totaal[[#Headers],[D1]],Database_Productkaarten[#All],13,FALSE),0)*Ontwerpberekening!H10),0))/Ontwerpberekening!$A$2</f>
        <v>0</v>
      </c>
      <c r="Q9" s="38">
        <f>(IF(Ontwerpberekening!C10="Nieuwe Situatie",_xlfn.IFNA(VLOOKUP(Ontwerp_MKI_Totaal[[#This Row],[Product]]&amp;", "&amp;Ontwerp_MKI_Totaal[[#Headers],[D2]],Database_Productkaarten[#All],13,FALSE),0)*Ontwerpberekening!H10,0))/Ontwerpberekening!$A$2</f>
        <v>0</v>
      </c>
      <c r="R9" s="191">
        <f>SUM(Ontwerp_MKI_Totaal[[#This Row],[A1]:[D2]])</f>
        <v>0.37081545999999999</v>
      </c>
      <c r="T9"/>
      <c r="U9"/>
      <c r="V9"/>
      <c r="W9"/>
      <c r="X9"/>
      <c r="Y9"/>
      <c r="Z9"/>
      <c r="AA9"/>
      <c r="AB9"/>
      <c r="AC9"/>
      <c r="AD9"/>
      <c r="AE9"/>
      <c r="AF9"/>
      <c r="AG9"/>
      <c r="AH9"/>
      <c r="CX9"/>
      <c r="CY9"/>
      <c r="CZ9"/>
      <c r="DA9"/>
      <c r="DB9"/>
      <c r="DC9"/>
      <c r="DD9"/>
      <c r="DE9"/>
      <c r="DF9"/>
      <c r="DG9"/>
    </row>
    <row r="10" spans="2:111" ht="18" x14ac:dyDescent="0.55000000000000004">
      <c r="B10" s="37" t="str">
        <f>Ontwerpberekening!B11</f>
        <v>Baseline</v>
      </c>
      <c r="C10" s="23" t="str">
        <f>Ontwerpberekening!F11</f>
        <v>Opsluitband 100x200</v>
      </c>
      <c r="D10" s="11">
        <f>(IF(Ontwerpberekening!C11="Nieuwe Situatie",(_xlfn.IFNA(VLOOKUP(Ontwerp_MKI_Totaal[[#This Row],[Product]]&amp;", "&amp;Ontwerp_MKI_Totaal[[#Headers],[A1]],Database_Productkaarten[#All],13,FALSE),0)*Ontwerpberekening!H11),0))/Ontwerpberekening!$A$2</f>
        <v>0</v>
      </c>
      <c r="E10" s="11">
        <f>(IF(Ontwerpberekening!C11="Nieuwe Situatie",(_xlfn.IFNA(VLOOKUP(Ontwerp_MKI_Totaal[[#This Row],[Product]]&amp;", "&amp;Ontwerp_MKI_Totaal[[#Headers],[A2]],Database_Productkaarten[#All],13,FALSE),0)*Ontwerpberekening!H11),0))/Ontwerpberekening!$A$2</f>
        <v>0</v>
      </c>
      <c r="F10" s="11">
        <f>(IF(Ontwerpberekening!C11="Nieuwe Situatie",(_xlfn.IFNA(VLOOKUP(Ontwerp_MKI_Totaal[[#This Row],[Product]]&amp;", "&amp;Ontwerp_MKI_Totaal[[#Headers],[A3]],Database_Productkaarten[#All],13,FALSE),0)*Ontwerpberekening!H11),0))/Ontwerpberekening!$A$2</f>
        <v>0</v>
      </c>
      <c r="G10" s="11">
        <f>(IF(Ontwerpberekening!C11="Nieuwe Situatie",(_xlfn.IFNA(VLOOKUP(Ontwerp_MKI_Totaal[[#This Row],[Product]]&amp;", "&amp;Ontwerp_MKI_Totaal[[#Headers],[A4]],Database_Productkaarten[#All],13,FALSE),0)*Ontwerpberekening!H11),0))/Ontwerpberekening!$A$2</f>
        <v>0</v>
      </c>
      <c r="H10" s="11">
        <f>(IF(Ontwerpberekening!C11="Nieuwe Situatie",(_xlfn.IFNA(VLOOKUP(Ontwerp_MKI_Totaal[[#This Row],[Product]]&amp;", "&amp;Ontwerp_MKI_Totaal[[#Headers],[A5]],Database_Productkaarten[#All],13,FALSE),0)*Ontwerpberekening!H11),0))/Ontwerpberekening!$A$2</f>
        <v>0</v>
      </c>
      <c r="I10" s="11">
        <f>(IF(Ontwerpberekening!C11="Nieuwe Situatie",(_xlfn.IFNA(VLOOKUP(Ontwerp_MKI_Totaal[[#This Row],[Product]]&amp;", "&amp;Ontwerp_MKI_Totaal[[#Headers],[B1]],Database_Productkaarten[#All],13,FALSE),0)*Ontwerpberekening!H11),0))/Ontwerpberekening!$A$2</f>
        <v>0</v>
      </c>
      <c r="J10" s="11">
        <f>(IF(Ontwerpberekening!C11="Nieuwe Situatie",(_xlfn.IFNA(VLOOKUP(Ontwerp_MKI_Totaal[[#This Row],[Product]]&amp;", "&amp;Ontwerp_MKI_Totaal[[#Headers],[B3]],Database_Productkaarten[#All],13,FALSE),0)*Ontwerpberekening!H11),0))/Ontwerpberekening!$A$2</f>
        <v>0</v>
      </c>
      <c r="K10" s="11">
        <f>(IF(Ontwerpberekening!C11="Nieuwe Situatie",(SUM(Ontwerp_MKI_Totaal[[#This Row],[A1]:[B1]],Ontwerp_MKI_Totaal[[#This Row],[C1]:[D2]])*Ontwerpberekening!R11),0))</f>
        <v>0</v>
      </c>
      <c r="L10" s="11">
        <f>_xlfn.IFNA(VLOOKUP(Ontwerp_MKI_Totaal[[#This Row],[Product]]&amp;", "&amp;Ontwerp_MKI_Totaal[[#Headers],[C1]],Database_Productkaarten[#All],13,FALSE)*Ontwerpberekening!H11,0)/Ontwerpberekening!$A$2</f>
        <v>1.085E-2</v>
      </c>
      <c r="M10" s="11">
        <f>_xlfn.IFNA(VLOOKUP(Ontwerp_MKI_Totaal[[#This Row],[Product]]&amp;", "&amp;Ontwerp_MKI_Totaal[[#Headers],[C2]],Database_Productkaarten[#All],13,FALSE)*Ontwerpberekening!H11,0)/Ontwerpberekening!$A$2</f>
        <v>2.4709999999999999E-2</v>
      </c>
      <c r="N10" s="11">
        <f>_xlfn.IFNA(VLOOKUP(Ontwerp_MKI_Totaal[[#This Row],[Product]]&amp;", "&amp;Ontwerp_MKI_Totaal[[#Headers],[C3]],Database_Productkaarten[#All],13,FALSE)*Ontwerpberekening!H11,0)/Ontwerpberekening!$A$2</f>
        <v>8.9600000000000009E-3</v>
      </c>
      <c r="O10" s="11">
        <f>_xlfn.IFNA(VLOOKUP(Ontwerp_MKI_Totaal[[#This Row],[Product]]&amp;", "&amp;Ontwerp_MKI_Totaal[[#Headers],[C4]],Database_Productkaarten[#All],13,FALSE)*Ontwerpberekening!H11,0)/Ontwerpberekening!$A$2</f>
        <v>2.3358999999999999E-4</v>
      </c>
      <c r="P10" s="11">
        <f>(IF(Ontwerpberekening!C11="Nieuwe Situatie",(_xlfn.IFNA(VLOOKUP(Ontwerp_MKI_Totaal[[#This Row],[Product]]&amp;", "&amp;Ontwerp_MKI_Totaal[[#Headers],[D1]],Database_Productkaarten[#All],13,FALSE),0)*Ontwerpberekening!H11),0))/Ontwerpberekening!$A$2</f>
        <v>0</v>
      </c>
      <c r="Q10" s="38">
        <f>(IF(Ontwerpberekening!C11="Nieuwe Situatie",_xlfn.IFNA(VLOOKUP(Ontwerp_MKI_Totaal[[#This Row],[Product]]&amp;", "&amp;Ontwerp_MKI_Totaal[[#Headers],[D2]],Database_Productkaarten[#All],13,FALSE),0)*Ontwerpberekening!H11,0))/Ontwerpberekening!$A$2</f>
        <v>0</v>
      </c>
      <c r="R10" s="191">
        <f>SUM(Ontwerp_MKI_Totaal[[#This Row],[A1]:[D2]])</f>
        <v>4.4753590000000003E-2</v>
      </c>
      <c r="T10"/>
      <c r="U10"/>
      <c r="V10"/>
      <c r="W10"/>
      <c r="X10"/>
      <c r="Y10"/>
      <c r="Z10"/>
      <c r="AA10"/>
      <c r="AB10"/>
      <c r="AC10"/>
      <c r="AD10"/>
      <c r="AE10"/>
      <c r="AF10"/>
      <c r="AG10"/>
      <c r="AH10"/>
      <c r="CX10"/>
      <c r="CY10"/>
      <c r="CZ10"/>
      <c r="DA10"/>
      <c r="DB10"/>
      <c r="DC10"/>
      <c r="DD10"/>
      <c r="DE10"/>
      <c r="DF10"/>
      <c r="DG10"/>
    </row>
    <row r="11" spans="2:111" ht="18" x14ac:dyDescent="0.55000000000000004">
      <c r="B11" s="37" t="str">
        <f>Ontwerpberekening!B12</f>
        <v>Baseline</v>
      </c>
      <c r="C11" s="23" t="str">
        <f>Ontwerpberekening!F12</f>
        <v>Grond</v>
      </c>
      <c r="D11" s="11">
        <f>(IF(Ontwerpberekening!C12="Nieuwe Situatie",(_xlfn.IFNA(VLOOKUP(Ontwerp_MKI_Totaal[[#This Row],[Product]]&amp;", "&amp;Ontwerp_MKI_Totaal[[#Headers],[A1]],Database_Productkaarten[#All],13,FALSE),0)*Ontwerpberekening!H12),0))/Ontwerpberekening!$A$2</f>
        <v>0</v>
      </c>
      <c r="E11" s="11">
        <f>(IF(Ontwerpberekening!C12="Nieuwe Situatie",(_xlfn.IFNA(VLOOKUP(Ontwerp_MKI_Totaal[[#This Row],[Product]]&amp;", "&amp;Ontwerp_MKI_Totaal[[#Headers],[A2]],Database_Productkaarten[#All],13,FALSE),0)*Ontwerpberekening!H12),0))/Ontwerpberekening!$A$2</f>
        <v>0</v>
      </c>
      <c r="F11" s="11">
        <f>(IF(Ontwerpberekening!C12="Nieuwe Situatie",(_xlfn.IFNA(VLOOKUP(Ontwerp_MKI_Totaal[[#This Row],[Product]]&amp;", "&amp;Ontwerp_MKI_Totaal[[#Headers],[A3]],Database_Productkaarten[#All],13,FALSE),0)*Ontwerpberekening!H12),0))/Ontwerpberekening!$A$2</f>
        <v>0</v>
      </c>
      <c r="G11" s="11">
        <f>(IF(Ontwerpberekening!C12="Nieuwe Situatie",(_xlfn.IFNA(VLOOKUP(Ontwerp_MKI_Totaal[[#This Row],[Product]]&amp;", "&amp;Ontwerp_MKI_Totaal[[#Headers],[A4]],Database_Productkaarten[#All],13,FALSE),0)*Ontwerpberekening!H12),0))/Ontwerpberekening!$A$2</f>
        <v>0</v>
      </c>
      <c r="H11" s="11">
        <f>(IF(Ontwerpberekening!C12="Nieuwe Situatie",(_xlfn.IFNA(VLOOKUP(Ontwerp_MKI_Totaal[[#This Row],[Product]]&amp;", "&amp;Ontwerp_MKI_Totaal[[#Headers],[A5]],Database_Productkaarten[#All],13,FALSE),0)*Ontwerpberekening!H12),0))/Ontwerpberekening!$A$2</f>
        <v>0</v>
      </c>
      <c r="I11" s="11">
        <f>(IF(Ontwerpberekening!C12="Nieuwe Situatie",(_xlfn.IFNA(VLOOKUP(Ontwerp_MKI_Totaal[[#This Row],[Product]]&amp;", "&amp;Ontwerp_MKI_Totaal[[#Headers],[B1]],Database_Productkaarten[#All],13,FALSE),0)*Ontwerpberekening!H12),0))/Ontwerpberekening!$A$2</f>
        <v>0</v>
      </c>
      <c r="J11" s="11">
        <f>(IF(Ontwerpberekening!C12="Nieuwe Situatie",(_xlfn.IFNA(VLOOKUP(Ontwerp_MKI_Totaal[[#This Row],[Product]]&amp;", "&amp;Ontwerp_MKI_Totaal[[#Headers],[B3]],Database_Productkaarten[#All],13,FALSE),0)*Ontwerpberekening!H12),0))/Ontwerpberekening!$A$2</f>
        <v>0</v>
      </c>
      <c r="K11" s="11">
        <f>(IF(Ontwerpberekening!C12="Nieuwe Situatie",(SUM(Ontwerp_MKI_Totaal[[#This Row],[A1]:[B1]],Ontwerp_MKI_Totaal[[#This Row],[C1]:[D2]])*Ontwerpberekening!R12),0))</f>
        <v>0</v>
      </c>
      <c r="L11" s="11">
        <f>_xlfn.IFNA(VLOOKUP(Ontwerp_MKI_Totaal[[#This Row],[Product]]&amp;", "&amp;Ontwerp_MKI_Totaal[[#Headers],[C1]],Database_Productkaarten[#All],13,FALSE)*Ontwerpberekening!H12,0)/Ontwerpberekening!$A$2</f>
        <v>2.6252870527452461E-3</v>
      </c>
      <c r="M11" s="11">
        <f>_xlfn.IFNA(VLOOKUP(Ontwerp_MKI_Totaal[[#This Row],[Product]]&amp;", "&amp;Ontwerp_MKI_Totaal[[#Headers],[C2]],Database_Productkaarten[#All],13,FALSE)*Ontwerpberekening!H12,0)/Ontwerpberekening!$A$2</f>
        <v>2.8438151808814798E-2</v>
      </c>
      <c r="N11" s="11">
        <f>_xlfn.IFNA(VLOOKUP(Ontwerp_MKI_Totaal[[#This Row],[Product]]&amp;", "&amp;Ontwerp_MKI_Totaal[[#Headers],[C3]],Database_Productkaarten[#All],13,FALSE)*Ontwerpberekening!H12,0)/Ontwerpberekening!$A$2</f>
        <v>0</v>
      </c>
      <c r="O11" s="11">
        <f>_xlfn.IFNA(VLOOKUP(Ontwerp_MKI_Totaal[[#This Row],[Product]]&amp;", "&amp;Ontwerp_MKI_Totaal[[#Headers],[C4]],Database_Productkaarten[#All],13,FALSE)*Ontwerpberekening!H12,0)/Ontwerpberekening!$A$2</f>
        <v>0</v>
      </c>
      <c r="P11" s="11">
        <f>(IF(Ontwerpberekening!C12="Nieuwe Situatie",(_xlfn.IFNA(VLOOKUP(Ontwerp_MKI_Totaal[[#This Row],[Product]]&amp;", "&amp;Ontwerp_MKI_Totaal[[#Headers],[D1]],Database_Productkaarten[#All],13,FALSE),0)*Ontwerpberekening!H12),0))/Ontwerpberekening!$A$2</f>
        <v>0</v>
      </c>
      <c r="Q11" s="38">
        <f>(IF(Ontwerpberekening!C12="Nieuwe Situatie",_xlfn.IFNA(VLOOKUP(Ontwerp_MKI_Totaal[[#This Row],[Product]]&amp;", "&amp;Ontwerp_MKI_Totaal[[#Headers],[D2]],Database_Productkaarten[#All],13,FALSE),0)*Ontwerpberekening!H12,0))/Ontwerpberekening!$A$2</f>
        <v>0</v>
      </c>
      <c r="R11" s="11">
        <f>SUM(Ontwerp_MKI_Totaal[[#This Row],[A1]:[D2]])</f>
        <v>3.1063438861560044E-2</v>
      </c>
      <c r="T11"/>
      <c r="U11"/>
      <c r="V11"/>
      <c r="W11"/>
      <c r="X11"/>
      <c r="Y11"/>
      <c r="Z11"/>
      <c r="AA11"/>
      <c r="AB11"/>
      <c r="AC11"/>
      <c r="AD11"/>
      <c r="AE11"/>
      <c r="AF11"/>
      <c r="AG11"/>
      <c r="AH11"/>
      <c r="CX11"/>
      <c r="CY11"/>
      <c r="CZ11"/>
      <c r="DA11"/>
      <c r="DB11"/>
      <c r="DC11"/>
      <c r="DD11"/>
      <c r="DE11"/>
      <c r="DF11"/>
      <c r="DG11"/>
    </row>
    <row r="12" spans="2:111" ht="18" x14ac:dyDescent="0.55000000000000004">
      <c r="B12" s="37" t="str">
        <f>Ontwerpberekening!B13</f>
        <v>Baseline</v>
      </c>
      <c r="C12" s="23" t="str">
        <f>Ontwerpberekening!F13</f>
        <v>Hydraulisch Menggranulaat</v>
      </c>
      <c r="D12" s="11">
        <f>(IF(Ontwerpberekening!C13="Nieuwe Situatie",(_xlfn.IFNA(VLOOKUP(Ontwerp_MKI_Totaal[[#This Row],[Product]]&amp;", "&amp;Ontwerp_MKI_Totaal[[#Headers],[A1]],Database_Productkaarten[#All],13,FALSE),0)*Ontwerpberekening!H13),0))/Ontwerpberekening!$A$2</f>
        <v>0</v>
      </c>
      <c r="E12" s="11">
        <f>(IF(Ontwerpberekening!C13="Nieuwe Situatie",(_xlfn.IFNA(VLOOKUP(Ontwerp_MKI_Totaal[[#This Row],[Product]]&amp;", "&amp;Ontwerp_MKI_Totaal[[#Headers],[A2]],Database_Productkaarten[#All],13,FALSE),0)*Ontwerpberekening!H13),0))/Ontwerpberekening!$A$2</f>
        <v>0</v>
      </c>
      <c r="F12" s="11">
        <f>(IF(Ontwerpberekening!C13="Nieuwe Situatie",(_xlfn.IFNA(VLOOKUP(Ontwerp_MKI_Totaal[[#This Row],[Product]]&amp;", "&amp;Ontwerp_MKI_Totaal[[#Headers],[A3]],Database_Productkaarten[#All],13,FALSE),0)*Ontwerpberekening!H13),0))/Ontwerpberekening!$A$2</f>
        <v>0</v>
      </c>
      <c r="G12" s="11">
        <f>(IF(Ontwerpberekening!C13="Nieuwe Situatie",(_xlfn.IFNA(VLOOKUP(Ontwerp_MKI_Totaal[[#This Row],[Product]]&amp;", "&amp;Ontwerp_MKI_Totaal[[#Headers],[A4]],Database_Productkaarten[#All],13,FALSE),0)*Ontwerpberekening!H13),0))/Ontwerpberekening!$A$2</f>
        <v>0.25594336627933317</v>
      </c>
      <c r="H12" s="11">
        <f>(IF(Ontwerpberekening!C13="Nieuwe Situatie",(_xlfn.IFNA(VLOOKUP(Ontwerp_MKI_Totaal[[#This Row],[Product]]&amp;", "&amp;Ontwerp_MKI_Totaal[[#Headers],[A5]],Database_Productkaarten[#All],13,FALSE),0)*Ontwerpberekening!H13),0))/Ontwerpberekening!$A$2</f>
        <v>2.1002296421961972E-2</v>
      </c>
      <c r="I12" s="11">
        <f>(IF(Ontwerpberekening!C13="Nieuwe Situatie",(_xlfn.IFNA(VLOOKUP(Ontwerp_MKI_Totaal[[#This Row],[Product]]&amp;", "&amp;Ontwerp_MKI_Totaal[[#Headers],[B1]],Database_Productkaarten[#All],13,FALSE),0)*Ontwerpberekening!H13),0))/Ontwerpberekening!$A$2</f>
        <v>0</v>
      </c>
      <c r="J12" s="11">
        <f>(IF(Ontwerpberekening!C13="Nieuwe Situatie",(_xlfn.IFNA(VLOOKUP(Ontwerp_MKI_Totaal[[#This Row],[Product]]&amp;", "&amp;Ontwerp_MKI_Totaal[[#Headers],[B3]],Database_Productkaarten[#All],13,FALSE),0)*Ontwerpberekening!H13),0))/Ontwerpberekening!$A$2</f>
        <v>0</v>
      </c>
      <c r="K12" s="11">
        <f>(IF(Ontwerpberekening!C13="Nieuwe Situatie",(SUM(Ontwerp_MKI_Totaal[[#This Row],[A1]:[B1]],Ontwerp_MKI_Totaal[[#This Row],[C1]:[D2]])*Ontwerpberekening!R13),0))</f>
        <v>0</v>
      </c>
      <c r="L12" s="11">
        <f>_xlfn.IFNA(VLOOKUP(Ontwerp_MKI_Totaal[[#This Row],[Product]]&amp;", "&amp;Ontwerp_MKI_Totaal[[#Headers],[C1]],Database_Productkaarten[#All],13,FALSE)*Ontwerpberekening!H13,0)/Ontwerpberekening!$A$2</f>
        <v>2.1002296421961972E-2</v>
      </c>
      <c r="M12" s="11">
        <f>_xlfn.IFNA(VLOOKUP(Ontwerp_MKI_Totaal[[#This Row],[Product]]&amp;", "&amp;Ontwerp_MKI_Totaal[[#Headers],[C2]],Database_Productkaarten[#All],13,FALSE)*Ontwerpberekening!H13,0)/Ontwerpberekening!$A$2</f>
        <v>0.25594336627933317</v>
      </c>
      <c r="N12" s="11">
        <f>_xlfn.IFNA(VLOOKUP(Ontwerp_MKI_Totaal[[#This Row],[Product]]&amp;", "&amp;Ontwerp_MKI_Totaal[[#Headers],[C3]],Database_Productkaarten[#All],13,FALSE)*Ontwerpberekening!H13,0)/Ontwerpberekening!$A$2</f>
        <v>0</v>
      </c>
      <c r="O12" s="11">
        <f>_xlfn.IFNA(VLOOKUP(Ontwerp_MKI_Totaal[[#This Row],[Product]]&amp;", "&amp;Ontwerp_MKI_Totaal[[#Headers],[C4]],Database_Productkaarten[#All],13,FALSE)*Ontwerpberekening!H13,0)/Ontwerpberekening!$A$2</f>
        <v>4.3476573816000003E-3</v>
      </c>
      <c r="P12" s="11">
        <f>(IF(Ontwerpberekening!C13="Nieuwe Situatie",(_xlfn.IFNA(VLOOKUP(Ontwerp_MKI_Totaal[[#This Row],[Product]]&amp;", "&amp;Ontwerp_MKI_Totaal[[#Headers],[D1]],Database_Productkaarten[#All],13,FALSE),0)*Ontwerpberekening!H13),0))/Ontwerpberekening!$A$2</f>
        <v>0</v>
      </c>
      <c r="Q12" s="38">
        <f>(IF(Ontwerpberekening!C13="Nieuwe Situatie",_xlfn.IFNA(VLOOKUP(Ontwerp_MKI_Totaal[[#This Row],[Product]]&amp;", "&amp;Ontwerp_MKI_Totaal[[#Headers],[D2]],Database_Productkaarten[#All],13,FALSE),0)*Ontwerpberekening!H13,0))/Ontwerpberekening!$A$2</f>
        <v>0</v>
      </c>
      <c r="R12" s="11">
        <f>SUM(Ontwerp_MKI_Totaal[[#This Row],[A1]:[D2]])</f>
        <v>0.55823898278419037</v>
      </c>
      <c r="T12"/>
      <c r="U12"/>
      <c r="V12"/>
      <c r="W12"/>
      <c r="X12"/>
      <c r="Y12"/>
      <c r="Z12"/>
      <c r="AA12"/>
      <c r="AB12"/>
      <c r="AC12"/>
      <c r="AD12"/>
      <c r="AE12"/>
      <c r="AF12"/>
      <c r="AG12"/>
      <c r="AH12"/>
      <c r="CX12"/>
      <c r="CY12"/>
      <c r="CZ12"/>
      <c r="DA12"/>
      <c r="DB12"/>
      <c r="DC12"/>
      <c r="DD12"/>
      <c r="DE12"/>
      <c r="DF12"/>
      <c r="DG12"/>
    </row>
    <row r="13" spans="2:111" ht="18" x14ac:dyDescent="0.55000000000000004">
      <c r="B13" s="37" t="str">
        <f>Ontwerpberekening!B14</f>
        <v>Baseline</v>
      </c>
      <c r="C13" s="23" t="str">
        <f>Ontwerpberekening!F14</f>
        <v>AC bin/base 50% PR - PCR 2.0</v>
      </c>
      <c r="D13" s="11">
        <f>(IF(Ontwerpberekening!C14="Nieuwe Situatie",(_xlfn.IFNA(VLOOKUP(Ontwerp_MKI_Totaal[[#This Row],[Product]]&amp;", "&amp;Ontwerp_MKI_Totaal[[#Headers],[A1]],Database_Productkaarten[#All],13,FALSE),0)*Ontwerpberekening!H14),0))/Ontwerpberekening!$A$2</f>
        <v>3.2873027522146776</v>
      </c>
      <c r="E13" s="11">
        <f>(IF(Ontwerpberekening!C14="Nieuwe Situatie",(_xlfn.IFNA(VLOOKUP(Ontwerp_MKI_Totaal[[#This Row],[Product]]&amp;", "&amp;Ontwerp_MKI_Totaal[[#Headers],[A2]],Database_Productkaarten[#All],13,FALSE),0)*Ontwerpberekening!H14),0))/Ontwerpberekening!$A$2</f>
        <v>1.7364874518370983</v>
      </c>
      <c r="F13" s="11">
        <f>(IF(Ontwerpberekening!C14="Nieuwe Situatie",(_xlfn.IFNA(VLOOKUP(Ontwerp_MKI_Totaal[[#This Row],[Product]]&amp;", "&amp;Ontwerp_MKI_Totaal[[#Headers],[A3]],Database_Productkaarten[#All],13,FALSE),0)*Ontwerpberekening!H14),0))/Ontwerpberekening!$A$2</f>
        <v>1.977981536130202</v>
      </c>
      <c r="G13" s="11">
        <f>(IF(Ontwerpberekening!C14="Nieuwe Situatie",(_xlfn.IFNA(VLOOKUP(Ontwerp_MKI_Totaal[[#This Row],[Product]]&amp;", "&amp;Ontwerp_MKI_Totaal[[#Headers],[A4]],Database_Productkaarten[#All],13,FALSE),0)*Ontwerpberekening!H14),0))/Ontwerpberekening!$A$2</f>
        <v>0.44492066987768636</v>
      </c>
      <c r="H13" s="11">
        <f>(IF(Ontwerpberekening!C14="Nieuwe Situatie",(_xlfn.IFNA(VLOOKUP(Ontwerp_MKI_Totaal[[#This Row],[Product]]&amp;", "&amp;Ontwerp_MKI_Totaal[[#Headers],[A5]],Database_Productkaarten[#All],13,FALSE),0)*Ontwerpberekening!H14),0))/Ontwerpberekening!$A$2</f>
        <v>0.16800376756228438</v>
      </c>
      <c r="I13" s="11">
        <f>(IF(Ontwerpberekening!C14="Nieuwe Situatie",(_xlfn.IFNA(VLOOKUP(Ontwerp_MKI_Totaal[[#This Row],[Product]]&amp;", "&amp;Ontwerp_MKI_Totaal[[#Headers],[B1]],Database_Productkaarten[#All],13,FALSE),0)*Ontwerpberekening!H14),0))/Ontwerpberekening!$A$2</f>
        <v>0</v>
      </c>
      <c r="J13" s="11">
        <f>(IF(Ontwerpberekening!C14="Nieuwe Situatie",(_xlfn.IFNA(VLOOKUP(Ontwerp_MKI_Totaal[[#This Row],[Product]]&amp;", "&amp;Ontwerp_MKI_Totaal[[#Headers],[B3]],Database_Productkaarten[#All],13,FALSE),0)*Ontwerpberekening!H14),0))/Ontwerpberekening!$A$2</f>
        <v>0</v>
      </c>
      <c r="K13" s="11">
        <f>(IF(Ontwerpberekening!C14="Nieuwe Situatie",(SUM(Ontwerp_MKI_Totaal[[#This Row],[A1]:[B1]],Ontwerp_MKI_Totaal[[#This Row],[C1]:[D2]])*Ontwerpberekening!R14),0))</f>
        <v>0</v>
      </c>
      <c r="L13" s="11">
        <f>_xlfn.IFNA(VLOOKUP(Ontwerp_MKI_Totaal[[#This Row],[Product]]&amp;", "&amp;Ontwerp_MKI_Totaal[[#Headers],[C1]],Database_Productkaarten[#All],13,FALSE)*Ontwerpberekening!H14,0)/Ontwerpberekening!$A$2</f>
        <v>0.37430305266030012</v>
      </c>
      <c r="M13" s="11">
        <f>_xlfn.IFNA(VLOOKUP(Ontwerp_MKI_Totaal[[#This Row],[Product]]&amp;", "&amp;Ontwerp_MKI_Totaal[[#Headers],[C2]],Database_Productkaarten[#All],13,FALSE)*Ontwerpberekening!H14,0)/Ontwerpberekening!$A$2</f>
        <v>0.37672758687072105</v>
      </c>
      <c r="N13" s="11">
        <f>_xlfn.IFNA(VLOOKUP(Ontwerp_MKI_Totaal[[#This Row],[Product]]&amp;", "&amp;Ontwerp_MKI_Totaal[[#Headers],[C3]],Database_Productkaarten[#All],13,FALSE)*Ontwerpberekening!H14,0)/Ontwerpberekening!$A$2</f>
        <v>0.18877045826201924</v>
      </c>
      <c r="O13" s="11">
        <f>_xlfn.IFNA(VLOOKUP(Ontwerp_MKI_Totaal[[#This Row],[Product]]&amp;", "&amp;Ontwerp_MKI_Totaal[[#Headers],[C4]],Database_Productkaarten[#All],13,FALSE)*Ontwerpberekening!H14,0)/Ontwerpberekening!$A$2</f>
        <v>0</v>
      </c>
      <c r="P13" s="11">
        <f>(IF(Ontwerpberekening!C14="Nieuwe Situatie",(_xlfn.IFNA(VLOOKUP(Ontwerp_MKI_Totaal[[#This Row],[Product]]&amp;", "&amp;Ontwerp_MKI_Totaal[[#Headers],[D1]],Database_Productkaarten[#All],13,FALSE),0)*Ontwerpberekening!H14),0))/Ontwerpberekening!$A$2</f>
        <v>-2.7559749389091617</v>
      </c>
      <c r="Q13" s="38">
        <f>(IF(Ontwerpberekening!C14="Nieuwe Situatie",_xlfn.IFNA(VLOOKUP(Ontwerp_MKI_Totaal[[#This Row],[Product]]&amp;", "&amp;Ontwerp_MKI_Totaal[[#Headers],[D2]],Database_Productkaarten[#All],13,FALSE),0)*Ontwerpberekening!H14,0))/Ontwerpberekening!$A$2</f>
        <v>0</v>
      </c>
      <c r="R13" s="11">
        <f>SUM(Ontwerp_MKI_Totaal[[#This Row],[A1]:[D2]])</f>
        <v>5.7985223365058278</v>
      </c>
      <c r="T13"/>
      <c r="U13"/>
      <c r="V13"/>
      <c r="W13"/>
      <c r="X13"/>
      <c r="Y13"/>
      <c r="Z13"/>
      <c r="AA13"/>
    </row>
    <row r="14" spans="2:111" ht="18" x14ac:dyDescent="0.55000000000000004">
      <c r="B14" s="37" t="str">
        <f>Ontwerpberekening!B15</f>
        <v>Baseline</v>
      </c>
      <c r="C14" s="23" t="str">
        <f>Ontwerpberekening!F15</f>
        <v>AC bin/base 50% PR - PCR 2.0</v>
      </c>
      <c r="D14" s="11">
        <f>(IF(Ontwerpberekening!C15="Nieuwe Situatie",(_xlfn.IFNA(VLOOKUP(Ontwerp_MKI_Totaal[[#This Row],[Product]]&amp;", "&amp;Ontwerp_MKI_Totaal[[#Headers],[A1]],Database_Productkaarten[#All],13,FALSE),0)*Ontwerpberekening!H15),0))/Ontwerpberekening!$A$2</f>
        <v>15.779053210630455</v>
      </c>
      <c r="E14" s="11">
        <f>(IF(Ontwerpberekening!C15="Nieuwe Situatie",(_xlfn.IFNA(VLOOKUP(Ontwerp_MKI_Totaal[[#This Row],[Product]]&amp;", "&amp;Ontwerp_MKI_Totaal[[#Headers],[A2]],Database_Productkaarten[#All],13,FALSE),0)*Ontwerpberekening!H15),0))/Ontwerpberekening!$A$2</f>
        <v>8.3351397688180722</v>
      </c>
      <c r="F14" s="11">
        <f>(IF(Ontwerpberekening!C15="Nieuwe Situatie",(_xlfn.IFNA(VLOOKUP(Ontwerp_MKI_Totaal[[#This Row],[Product]]&amp;", "&amp;Ontwerp_MKI_Totaal[[#Headers],[A3]],Database_Productkaarten[#All],13,FALSE),0)*Ontwerpberekening!H15),0))/Ontwerpberekening!$A$2</f>
        <v>9.4943113734249707</v>
      </c>
      <c r="G14" s="11">
        <f>(IF(Ontwerpberekening!C15="Nieuwe Situatie",(_xlfn.IFNA(VLOOKUP(Ontwerp_MKI_Totaal[[#This Row],[Product]]&amp;", "&amp;Ontwerp_MKI_Totaal[[#Headers],[A4]],Database_Productkaarten[#All],13,FALSE),0)*Ontwerpberekening!H15),0))/Ontwerpberekening!$A$2</f>
        <v>2.1356192154128948</v>
      </c>
      <c r="H14" s="11">
        <f>(IF(Ontwerpberekening!C15="Nieuwe Situatie",(_xlfn.IFNA(VLOOKUP(Ontwerp_MKI_Totaal[[#This Row],[Product]]&amp;", "&amp;Ontwerp_MKI_Totaal[[#Headers],[A5]],Database_Productkaarten[#All],13,FALSE),0)*Ontwerpberekening!H15),0))/Ontwerpberekening!$A$2</f>
        <v>0.80641808429896511</v>
      </c>
      <c r="I14" s="11">
        <f>(IF(Ontwerpberekening!C15="Nieuwe Situatie",(_xlfn.IFNA(VLOOKUP(Ontwerp_MKI_Totaal[[#This Row],[Product]]&amp;", "&amp;Ontwerp_MKI_Totaal[[#Headers],[B1]],Database_Productkaarten[#All],13,FALSE),0)*Ontwerpberekening!H15),0))/Ontwerpberekening!$A$2</f>
        <v>0</v>
      </c>
      <c r="J14" s="11">
        <f>(IF(Ontwerpberekening!C15="Nieuwe Situatie",(_xlfn.IFNA(VLOOKUP(Ontwerp_MKI_Totaal[[#This Row],[Product]]&amp;", "&amp;Ontwerp_MKI_Totaal[[#Headers],[B3]],Database_Productkaarten[#All],13,FALSE),0)*Ontwerpberekening!H15),0))/Ontwerpberekening!$A$2</f>
        <v>0</v>
      </c>
      <c r="K14" s="11">
        <f>(IF(Ontwerpberekening!C15="Nieuwe Situatie",(SUM(Ontwerp_MKI_Totaal[[#This Row],[A1]:[B1]],Ontwerp_MKI_Totaal[[#This Row],[C1]:[D2]])*Ontwerpberekening!R15),0))</f>
        <v>0</v>
      </c>
      <c r="L14" s="11">
        <f>_xlfn.IFNA(VLOOKUP(Ontwerp_MKI_Totaal[[#This Row],[Product]]&amp;", "&amp;Ontwerp_MKI_Totaal[[#Headers],[C1]],Database_Productkaarten[#All],13,FALSE)*Ontwerpberekening!H15,0)/Ontwerpberekening!$A$2</f>
        <v>1.7966546527694407</v>
      </c>
      <c r="M14" s="11">
        <f>_xlfn.IFNA(VLOOKUP(Ontwerp_MKI_Totaal[[#This Row],[Product]]&amp;", "&amp;Ontwerp_MKI_Totaal[[#Headers],[C2]],Database_Productkaarten[#All],13,FALSE)*Ontwerpberekening!H15,0)/Ontwerpberekening!$A$2</f>
        <v>1.8082924169794612</v>
      </c>
      <c r="N14" s="11">
        <f>_xlfn.IFNA(VLOOKUP(Ontwerp_MKI_Totaal[[#This Row],[Product]]&amp;", "&amp;Ontwerp_MKI_Totaal[[#Headers],[C3]],Database_Productkaarten[#All],13,FALSE)*Ontwerpberekening!H15,0)/Ontwerpberekening!$A$2</f>
        <v>0.90609819965769245</v>
      </c>
      <c r="O14" s="11">
        <f>_xlfn.IFNA(VLOOKUP(Ontwerp_MKI_Totaal[[#This Row],[Product]]&amp;", "&amp;Ontwerp_MKI_Totaal[[#Headers],[C4]],Database_Productkaarten[#All],13,FALSE)*Ontwerpberekening!H15,0)/Ontwerpberekening!$A$2</f>
        <v>0</v>
      </c>
      <c r="P14" s="11">
        <f>(IF(Ontwerpberekening!C15="Nieuwe Situatie",(_xlfn.IFNA(VLOOKUP(Ontwerp_MKI_Totaal[[#This Row],[Product]]&amp;", "&amp;Ontwerp_MKI_Totaal[[#Headers],[D1]],Database_Productkaarten[#All],13,FALSE),0)*Ontwerpberekening!H15),0))/Ontwerpberekening!$A$2</f>
        <v>-13.228679706763977</v>
      </c>
      <c r="Q14" s="38">
        <f>(IF(Ontwerpberekening!C15="Nieuwe Situatie",_xlfn.IFNA(VLOOKUP(Ontwerp_MKI_Totaal[[#This Row],[Product]]&amp;", "&amp;Ontwerp_MKI_Totaal[[#Headers],[D2]],Database_Productkaarten[#All],13,FALSE),0)*Ontwerpberekening!H15,0))/Ontwerpberekening!$A$2</f>
        <v>0</v>
      </c>
      <c r="R14" s="11">
        <f>SUM(Ontwerp_MKI_Totaal[[#This Row],[A1]:[D2]])</f>
        <v>27.832907215227976</v>
      </c>
      <c r="T14"/>
      <c r="U14"/>
      <c r="V14"/>
      <c r="W14"/>
      <c r="X14"/>
      <c r="Y14"/>
      <c r="Z14"/>
      <c r="AA14"/>
    </row>
    <row r="15" spans="2:111" ht="18" x14ac:dyDescent="0.55000000000000004">
      <c r="B15" s="37" t="str">
        <f>Ontwerpberekening!B16</f>
        <v>Baseline</v>
      </c>
      <c r="C15" s="23" t="str">
        <f>Ontwerpberekening!F16</f>
        <v>AC Surf 0% PR - PCR 2.0</v>
      </c>
      <c r="D15" s="11">
        <f>(IF(Ontwerpberekening!C16="Nieuwe Situatie",(_xlfn.IFNA(VLOOKUP(Ontwerp_MKI_Totaal[[#This Row],[Product]]&amp;", "&amp;Ontwerp_MKI_Totaal[[#Headers],[A1]],Database_Productkaarten[#All],13,FALSE),0)*Ontwerpberekening!H16),0))/Ontwerpberekening!$A$2</f>
        <v>253.61041700228841</v>
      </c>
      <c r="E15" s="11">
        <f>(IF(Ontwerpberekening!C16="Nieuwe Situatie",(_xlfn.IFNA(VLOOKUP(Ontwerp_MKI_Totaal[[#This Row],[Product]]&amp;", "&amp;Ontwerp_MKI_Totaal[[#Headers],[A2]],Database_Productkaarten[#All],13,FALSE),0)*Ontwerpberekening!H16),0))/Ontwerpberekening!$A$2</f>
        <v>125.85679742699513</v>
      </c>
      <c r="F15" s="11">
        <f>(IF(Ontwerpberekening!C16="Nieuwe Situatie",(_xlfn.IFNA(VLOOKUP(Ontwerp_MKI_Totaal[[#This Row],[Product]]&amp;", "&amp;Ontwerp_MKI_Totaal[[#Headers],[A3]],Database_Productkaarten[#All],13,FALSE),0)*Ontwerpberekening!H16),0))/Ontwerpberekening!$A$2</f>
        <v>57.867932169414736</v>
      </c>
      <c r="G15" s="11">
        <f>(IF(Ontwerpberekening!C16="Nieuwe Situatie",(_xlfn.IFNA(VLOOKUP(Ontwerp_MKI_Totaal[[#This Row],[Product]]&amp;", "&amp;Ontwerp_MKI_Totaal[[#Headers],[A4]],Database_Productkaarten[#All],13,FALSE),0)*Ontwerpberekening!H16),0))/Ontwerpberekening!$A$2</f>
        <v>12.692347692023391</v>
      </c>
      <c r="H15" s="11">
        <f>(IF(Ontwerpberekening!C16="Nieuwe Situatie",(_xlfn.IFNA(VLOOKUP(Ontwerp_MKI_Totaal[[#This Row],[Product]]&amp;", "&amp;Ontwerp_MKI_Totaal[[#Headers],[A5]],Database_Productkaarten[#All],13,FALSE),0)*Ontwerpberekening!H16),0))/Ontwerpberekening!$A$2</f>
        <v>8.7792738627230822</v>
      </c>
      <c r="I15" s="11">
        <f>(IF(Ontwerpberekening!C16="Nieuwe Situatie",(_xlfn.IFNA(VLOOKUP(Ontwerp_MKI_Totaal[[#This Row],[Product]]&amp;", "&amp;Ontwerp_MKI_Totaal[[#Headers],[B1]],Database_Productkaarten[#All],13,FALSE),0)*Ontwerpberekening!H16),0))/Ontwerpberekening!$A$2</f>
        <v>2.7746889622316413</v>
      </c>
      <c r="J15" s="11">
        <f>(IF(Ontwerpberekening!C16="Nieuwe Situatie",(_xlfn.IFNA(VLOOKUP(Ontwerp_MKI_Totaal[[#This Row],[Product]]&amp;", "&amp;Ontwerp_MKI_Totaal[[#Headers],[B3]],Database_Productkaarten[#All],13,FALSE),0)*Ontwerpberekening!H16),0))/Ontwerpberekening!$A$2</f>
        <v>0</v>
      </c>
      <c r="K15" s="11">
        <f>(IF(Ontwerpberekening!C16="Nieuwe Situatie",(SUM(Ontwerp_MKI_Totaal[[#This Row],[A1]:[B1]],Ontwerp_MKI_Totaal[[#This Row],[C1]:[D2]])*Ontwerpberekening!R16),0))</f>
        <v>0</v>
      </c>
      <c r="L15" s="11">
        <f>_xlfn.IFNA(VLOOKUP(Ontwerp_MKI_Totaal[[#This Row],[Product]]&amp;", "&amp;Ontwerp_MKI_Totaal[[#Headers],[C1]],Database_Productkaarten[#All],13,FALSE)*Ontwerpberekening!H16,0)/Ontwerpberekening!$A$2</f>
        <v>4.577704988904653</v>
      </c>
      <c r="M15" s="11">
        <f>_xlfn.IFNA(VLOOKUP(Ontwerp_MKI_Totaal[[#This Row],[Product]]&amp;", "&amp;Ontwerp_MKI_Totaal[[#Headers],[C2]],Database_Productkaarten[#All],13,FALSE)*Ontwerpberekening!H16,0)/Ontwerpberekening!$A$2</f>
        <v>10.74698893862279</v>
      </c>
      <c r="N15" s="11">
        <f>_xlfn.IFNA(VLOOKUP(Ontwerp_MKI_Totaal[[#This Row],[Product]]&amp;", "&amp;Ontwerp_MKI_Totaal[[#Headers],[C3]],Database_Productkaarten[#All],13,FALSE)*Ontwerpberekening!H16,0)/Ontwerpberekening!$A$2</f>
        <v>5.3850954733717415</v>
      </c>
      <c r="O15" s="11">
        <f>_xlfn.IFNA(VLOOKUP(Ontwerp_MKI_Totaal[[#This Row],[Product]]&amp;", "&amp;Ontwerp_MKI_Totaal[[#Headers],[C4]],Database_Productkaarten[#All],13,FALSE)*Ontwerpberekening!H16,0)/Ontwerpberekening!$A$2</f>
        <v>0</v>
      </c>
      <c r="P15" s="11">
        <f>(IF(Ontwerpberekening!C16="Nieuwe Situatie",(_xlfn.IFNA(VLOOKUP(Ontwerp_MKI_Totaal[[#This Row],[Product]]&amp;", "&amp;Ontwerp_MKI_Totaal[[#Headers],[D1]],Database_Productkaarten[#All],13,FALSE),0)*Ontwerpberekening!H16),0))/Ontwerpberekening!$A$2</f>
        <v>-147.65869346127488</v>
      </c>
      <c r="Q15" s="38">
        <f>(IF(Ontwerpberekening!C16="Nieuwe Situatie",_xlfn.IFNA(VLOOKUP(Ontwerp_MKI_Totaal[[#This Row],[Product]]&amp;", "&amp;Ontwerp_MKI_Totaal[[#Headers],[D2]],Database_Productkaarten[#All],13,FALSE),0)*Ontwerpberekening!H16,0))/Ontwerpberekening!$A$2</f>
        <v>0</v>
      </c>
      <c r="R15" s="11">
        <f>SUM(Ontwerp_MKI_Totaal[[#This Row],[A1]:[D2]])</f>
        <v>334.63255305530078</v>
      </c>
      <c r="T15"/>
      <c r="U15"/>
      <c r="V15"/>
      <c r="W15"/>
      <c r="X15"/>
      <c r="Y15"/>
      <c r="Z15"/>
      <c r="AA15"/>
    </row>
    <row r="16" spans="2:111" ht="18" x14ac:dyDescent="0.55000000000000004">
      <c r="B16" s="37" t="str">
        <f>Ontwerpberekening!B17</f>
        <v>Baseline</v>
      </c>
      <c r="C16" s="23" t="str">
        <f>Ontwerpberekening!F17</f>
        <v>Betonstraatsteen 210x105x80</v>
      </c>
      <c r="D16" s="11">
        <f>(IF(Ontwerpberekening!C17="Nieuwe Situatie",(_xlfn.IFNA(VLOOKUP(Ontwerp_MKI_Totaal[[#This Row],[Product]]&amp;", "&amp;Ontwerp_MKI_Totaal[[#Headers],[A1]],Database_Productkaarten[#All],13,FALSE),0)*Ontwerpberekening!H17),0))/Ontwerpberekening!$A$2</f>
        <v>4.3932200000000003</v>
      </c>
      <c r="E16" s="11">
        <f>(IF(Ontwerpberekening!C17="Nieuwe Situatie",(_xlfn.IFNA(VLOOKUP(Ontwerp_MKI_Totaal[[#This Row],[Product]]&amp;", "&amp;Ontwerp_MKI_Totaal[[#Headers],[A2]],Database_Productkaarten[#All],13,FALSE),0)*Ontwerpberekening!H17),0))/Ontwerpberekening!$A$2</f>
        <v>0</v>
      </c>
      <c r="F16" s="11">
        <f>(IF(Ontwerpberekening!C17="Nieuwe Situatie",(_xlfn.IFNA(VLOOKUP(Ontwerp_MKI_Totaal[[#This Row],[Product]]&amp;", "&amp;Ontwerp_MKI_Totaal[[#Headers],[A3]],Database_Productkaarten[#All],13,FALSE),0)*Ontwerpberekening!H17),0))/Ontwerpberekening!$A$2</f>
        <v>0</v>
      </c>
      <c r="G16" s="11">
        <f>(IF(Ontwerpberekening!C17="Nieuwe Situatie",(_xlfn.IFNA(VLOOKUP(Ontwerp_MKI_Totaal[[#This Row],[Product]]&amp;", "&amp;Ontwerp_MKI_Totaal[[#Headers],[A4]],Database_Productkaarten[#All],13,FALSE),0)*Ontwerpberekening!H17),0))/Ontwerpberekening!$A$2</f>
        <v>1.0896599999999999</v>
      </c>
      <c r="H16" s="11">
        <f>(IF(Ontwerpberekening!C17="Nieuwe Situatie",(_xlfn.IFNA(VLOOKUP(Ontwerp_MKI_Totaal[[#This Row],[Product]]&amp;", "&amp;Ontwerp_MKI_Totaal[[#Headers],[A5]],Database_Productkaarten[#All],13,FALSE),0)*Ontwerpberekening!H17),0))/Ontwerpberekening!$A$2</f>
        <v>0.16327999999999998</v>
      </c>
      <c r="I16" s="11">
        <f>(IF(Ontwerpberekening!C17="Nieuwe Situatie",(_xlfn.IFNA(VLOOKUP(Ontwerp_MKI_Totaal[[#This Row],[Product]]&amp;", "&amp;Ontwerp_MKI_Totaal[[#Headers],[B1]],Database_Productkaarten[#All],13,FALSE),0)*Ontwerpberekening!H17),0))/Ontwerpberekening!$A$2</f>
        <v>0</v>
      </c>
      <c r="J16" s="11">
        <f>(IF(Ontwerpberekening!C17="Nieuwe Situatie",(_xlfn.IFNA(VLOOKUP(Ontwerp_MKI_Totaal[[#This Row],[Product]]&amp;", "&amp;Ontwerp_MKI_Totaal[[#Headers],[B3]],Database_Productkaarten[#All],13,FALSE),0)*Ontwerpberekening!H17),0))/Ontwerpberekening!$A$2</f>
        <v>0.93324400000000007</v>
      </c>
      <c r="K16" s="11">
        <f>(IF(Ontwerpberekening!C17="Nieuwe Situatie",(SUM(Ontwerp_MKI_Totaal[[#This Row],[A1]:[B1]],Ontwerp_MKI_Totaal[[#This Row],[C1]:[D2]])*Ontwerpberekening!R17),0))</f>
        <v>0</v>
      </c>
      <c r="L16" s="11">
        <f>_xlfn.IFNA(VLOOKUP(Ontwerp_MKI_Totaal[[#This Row],[Product]]&amp;", "&amp;Ontwerp_MKI_Totaal[[#Headers],[C1]],Database_Productkaarten[#All],13,FALSE)*Ontwerpberekening!H17,0)/Ontwerpberekening!$A$2</f>
        <v>0</v>
      </c>
      <c r="M16" s="11">
        <f>_xlfn.IFNA(VLOOKUP(Ontwerp_MKI_Totaal[[#This Row],[Product]]&amp;", "&amp;Ontwerp_MKI_Totaal[[#Headers],[C2]],Database_Productkaarten[#All],13,FALSE)*Ontwerpberekening!H17,0)/Ontwerpberekening!$A$2</f>
        <v>0.16327999999999998</v>
      </c>
      <c r="N16" s="11">
        <f>_xlfn.IFNA(VLOOKUP(Ontwerp_MKI_Totaal[[#This Row],[Product]]&amp;", "&amp;Ontwerp_MKI_Totaal[[#Headers],[C3]],Database_Productkaarten[#All],13,FALSE)*Ontwerpberekening!H17,0)/Ontwerpberekening!$A$2</f>
        <v>0.36686000000000002</v>
      </c>
      <c r="O16" s="11">
        <f>_xlfn.IFNA(VLOOKUP(Ontwerp_MKI_Totaal[[#This Row],[Product]]&amp;", "&amp;Ontwerp_MKI_Totaal[[#Headers],[C4]],Database_Productkaarten[#All],13,FALSE)*Ontwerpberekening!H17,0)/Ontwerpberekening!$A$2</f>
        <v>0.13286000000000001</v>
      </c>
      <c r="P16" s="11">
        <f>(IF(Ontwerpberekening!C17="Nieuwe Situatie",(_xlfn.IFNA(VLOOKUP(Ontwerp_MKI_Totaal[[#This Row],[Product]]&amp;", "&amp;Ontwerp_MKI_Totaal[[#Headers],[D1]],Database_Productkaarten[#All],13,FALSE),0)*Ontwerpberekening!H17),0))/Ontwerpberekening!$A$2</f>
        <v>3.3799999999999998E-3</v>
      </c>
      <c r="Q16" s="38">
        <f>(IF(Ontwerpberekening!C17="Nieuwe Situatie",_xlfn.IFNA(VLOOKUP(Ontwerp_MKI_Totaal[[#This Row],[Product]]&amp;", "&amp;Ontwerp_MKI_Totaal[[#Headers],[D2]],Database_Productkaarten[#All],13,FALSE),0)*Ontwerpberekening!H17,0))/Ontwerpberekening!$A$2</f>
        <v>-0.2457</v>
      </c>
      <c r="R16" s="11">
        <f>SUM(Ontwerp_MKI_Totaal[[#This Row],[A1]:[D2]])</f>
        <v>7.0000840000000002</v>
      </c>
      <c r="T16"/>
      <c r="U16"/>
      <c r="V16"/>
      <c r="W16"/>
      <c r="X16"/>
      <c r="Y16"/>
      <c r="Z16"/>
      <c r="AA16"/>
    </row>
    <row r="17" spans="2:27" ht="18" x14ac:dyDescent="0.55000000000000004">
      <c r="B17" s="37" t="str">
        <f>Ontwerpberekening!B18</f>
        <v>Baseline</v>
      </c>
      <c r="C17" s="23" t="str">
        <f>Ontwerpberekening!F18</f>
        <v>Grond</v>
      </c>
      <c r="D17" s="11">
        <f>(IF(Ontwerpberekening!C18="Nieuwe Situatie",(_xlfn.IFNA(VLOOKUP(Ontwerp_MKI_Totaal[[#This Row],[Product]]&amp;", "&amp;Ontwerp_MKI_Totaal[[#Headers],[A1]],Database_Productkaarten[#All],13,FALSE),0)*Ontwerpberekening!H18),0))/Ontwerpberekening!$A$2</f>
        <v>0</v>
      </c>
      <c r="E17" s="11">
        <f>(IF(Ontwerpberekening!C18="Nieuwe Situatie",(_xlfn.IFNA(VLOOKUP(Ontwerp_MKI_Totaal[[#This Row],[Product]]&amp;", "&amp;Ontwerp_MKI_Totaal[[#Headers],[A2]],Database_Productkaarten[#All],13,FALSE),0)*Ontwerpberekening!H18),0))/Ontwerpberekening!$A$2</f>
        <v>0</v>
      </c>
      <c r="F17" s="11">
        <f>(IF(Ontwerpberekening!C18="Nieuwe Situatie",(_xlfn.IFNA(VLOOKUP(Ontwerp_MKI_Totaal[[#This Row],[Product]]&amp;", "&amp;Ontwerp_MKI_Totaal[[#Headers],[A3]],Database_Productkaarten[#All],13,FALSE),0)*Ontwerpberekening!H18),0))/Ontwerpberekening!$A$2</f>
        <v>0</v>
      </c>
      <c r="G17" s="11">
        <f>(IF(Ontwerpberekening!C18="Nieuwe Situatie",(_xlfn.IFNA(VLOOKUP(Ontwerp_MKI_Totaal[[#This Row],[Product]]&amp;", "&amp;Ontwerp_MKI_Totaal[[#Headers],[A4]],Database_Productkaarten[#All],13,FALSE),0)*Ontwerpberekening!H18),0))/Ontwerpberekening!$A$2</f>
        <v>0.90054147394580197</v>
      </c>
      <c r="H17" s="11">
        <f>(IF(Ontwerpberekening!C18="Nieuwe Situatie",(_xlfn.IFNA(VLOOKUP(Ontwerp_MKI_Totaal[[#This Row],[Product]]&amp;", "&amp;Ontwerp_MKI_Totaal[[#Headers],[A5]],Database_Productkaarten[#All],13,FALSE),0)*Ontwerpberekening!H18),0))/Ontwerpberekening!$A$2</f>
        <v>8.3134090003599448E-2</v>
      </c>
      <c r="I17" s="11">
        <f>(IF(Ontwerpberekening!C18="Nieuwe Situatie",(_xlfn.IFNA(VLOOKUP(Ontwerp_MKI_Totaal[[#This Row],[Product]]&amp;", "&amp;Ontwerp_MKI_Totaal[[#Headers],[B1]],Database_Productkaarten[#All],13,FALSE),0)*Ontwerpberekening!H18),0))/Ontwerpberekening!$A$2</f>
        <v>0</v>
      </c>
      <c r="J17" s="11">
        <f>(IF(Ontwerpberekening!C18="Nieuwe Situatie",(_xlfn.IFNA(VLOOKUP(Ontwerp_MKI_Totaal[[#This Row],[Product]]&amp;", "&amp;Ontwerp_MKI_Totaal[[#Headers],[B3]],Database_Productkaarten[#All],13,FALSE),0)*Ontwerpberekening!H18),0))/Ontwerpberekening!$A$2</f>
        <v>0</v>
      </c>
      <c r="K17" s="11">
        <f>(IF(Ontwerpberekening!C18="Nieuwe Situatie",(SUM(Ontwerp_MKI_Totaal[[#This Row],[A1]:[B1]],Ontwerp_MKI_Totaal[[#This Row],[C1]:[D2]])*Ontwerpberekening!R18),0))</f>
        <v>0</v>
      </c>
      <c r="L17" s="11">
        <f>_xlfn.IFNA(VLOOKUP(Ontwerp_MKI_Totaal[[#This Row],[Product]]&amp;", "&amp;Ontwerp_MKI_Totaal[[#Headers],[C1]],Database_Productkaarten[#All],13,FALSE)*Ontwerpberekening!H18,0)/Ontwerpberekening!$A$2</f>
        <v>8.3134090003599448E-2</v>
      </c>
      <c r="M17" s="11">
        <f>_xlfn.IFNA(VLOOKUP(Ontwerp_MKI_Totaal[[#This Row],[Product]]&amp;", "&amp;Ontwerp_MKI_Totaal[[#Headers],[C2]],Database_Productkaarten[#All],13,FALSE)*Ontwerpberekening!H18,0)/Ontwerpberekening!$A$2</f>
        <v>0.90054147394580197</v>
      </c>
      <c r="N17" s="11">
        <f>_xlfn.IFNA(VLOOKUP(Ontwerp_MKI_Totaal[[#This Row],[Product]]&amp;", "&amp;Ontwerp_MKI_Totaal[[#Headers],[C3]],Database_Productkaarten[#All],13,FALSE)*Ontwerpberekening!H18,0)/Ontwerpberekening!$A$2</f>
        <v>0</v>
      </c>
      <c r="O17" s="11">
        <f>_xlfn.IFNA(VLOOKUP(Ontwerp_MKI_Totaal[[#This Row],[Product]]&amp;", "&amp;Ontwerp_MKI_Totaal[[#Headers],[C4]],Database_Productkaarten[#All],13,FALSE)*Ontwerpberekening!H18,0)/Ontwerpberekening!$A$2</f>
        <v>0</v>
      </c>
      <c r="P17" s="11">
        <f>(IF(Ontwerpberekening!C18="Nieuwe Situatie",(_xlfn.IFNA(VLOOKUP(Ontwerp_MKI_Totaal[[#This Row],[Product]]&amp;", "&amp;Ontwerp_MKI_Totaal[[#Headers],[D1]],Database_Productkaarten[#All],13,FALSE),0)*Ontwerpberekening!H18),0))/Ontwerpberekening!$A$2</f>
        <v>0</v>
      </c>
      <c r="Q17" s="38">
        <f>(IF(Ontwerpberekening!C18="Nieuwe Situatie",_xlfn.IFNA(VLOOKUP(Ontwerp_MKI_Totaal[[#This Row],[Product]]&amp;", "&amp;Ontwerp_MKI_Totaal[[#Headers],[D2]],Database_Productkaarten[#All],13,FALSE),0)*Ontwerpberekening!H18,0))/Ontwerpberekening!$A$2</f>
        <v>0</v>
      </c>
      <c r="R17" s="11">
        <f>SUM(Ontwerp_MKI_Totaal[[#This Row],[A1]:[D2]])</f>
        <v>1.967351127898803</v>
      </c>
      <c r="T17"/>
      <c r="U17"/>
      <c r="V17"/>
      <c r="W17"/>
      <c r="X17"/>
      <c r="Y17"/>
      <c r="Z17"/>
      <c r="AA17"/>
    </row>
    <row r="18" spans="2:27" ht="18" x14ac:dyDescent="0.55000000000000004">
      <c r="B18" s="37" t="str">
        <f>Ontwerpberekening!B19</f>
        <v>Baseline</v>
      </c>
      <c r="C18" s="23" t="str">
        <f>Ontwerpberekening!F19</f>
        <v>Opsluitband 100x200</v>
      </c>
      <c r="D18" s="11">
        <f>(IF(Ontwerpberekening!C19="Nieuwe Situatie",(_xlfn.IFNA(VLOOKUP(Ontwerp_MKI_Totaal[[#This Row],[Product]]&amp;", "&amp;Ontwerp_MKI_Totaal[[#Headers],[A1]],Database_Productkaarten[#All],13,FALSE),0)*Ontwerpberekening!H19),0))/Ontwerpberekening!$A$2</f>
        <v>2.51871</v>
      </c>
      <c r="E18" s="11">
        <f>(IF(Ontwerpberekening!C19="Nieuwe Situatie",(_xlfn.IFNA(VLOOKUP(Ontwerp_MKI_Totaal[[#This Row],[Product]]&amp;", "&amp;Ontwerp_MKI_Totaal[[#Headers],[A2]],Database_Productkaarten[#All],13,FALSE),0)*Ontwerpberekening!H19),0))/Ontwerpberekening!$A$2</f>
        <v>0</v>
      </c>
      <c r="F18" s="11">
        <f>(IF(Ontwerpberekening!C19="Nieuwe Situatie",(_xlfn.IFNA(VLOOKUP(Ontwerp_MKI_Totaal[[#This Row],[Product]]&amp;", "&amp;Ontwerp_MKI_Totaal[[#Headers],[A3]],Database_Productkaarten[#All],13,FALSE),0)*Ontwerpberekening!H19),0))/Ontwerpberekening!$A$2</f>
        <v>0</v>
      </c>
      <c r="G18" s="11">
        <f>(IF(Ontwerpberekening!C19="Nieuwe Situatie",(_xlfn.IFNA(VLOOKUP(Ontwerp_MKI_Totaal[[#This Row],[Product]]&amp;", "&amp;Ontwerp_MKI_Totaal[[#Headers],[A4]],Database_Productkaarten[#All],13,FALSE),0)*Ontwerpberekening!H19),0))/Ontwerpberekening!$A$2</f>
        <v>0.61831999999999998</v>
      </c>
      <c r="H18" s="11">
        <f>(IF(Ontwerpberekening!C19="Nieuwe Situatie",(_xlfn.IFNA(VLOOKUP(Ontwerp_MKI_Totaal[[#This Row],[Product]]&amp;", "&amp;Ontwerp_MKI_Totaal[[#Headers],[A5]],Database_Productkaarten[#All],13,FALSE),0)*Ontwerpberekening!H19),0))/Ontwerpberekening!$A$2</f>
        <v>9.144999999999999E-2</v>
      </c>
      <c r="I18" s="11">
        <f>(IF(Ontwerpberekening!C19="Nieuwe Situatie",(_xlfn.IFNA(VLOOKUP(Ontwerp_MKI_Totaal[[#This Row],[Product]]&amp;", "&amp;Ontwerp_MKI_Totaal[[#Headers],[B1]],Database_Productkaarten[#All],13,FALSE),0)*Ontwerpberekening!H19),0))/Ontwerpberekening!$A$2</f>
        <v>0</v>
      </c>
      <c r="J18" s="11">
        <f>(IF(Ontwerpberekening!C19="Nieuwe Situatie",(_xlfn.IFNA(VLOOKUP(Ontwerp_MKI_Totaal[[#This Row],[Product]]&amp;", "&amp;Ontwerp_MKI_Totaal[[#Headers],[B3]],Database_Productkaarten[#All],13,FALSE),0)*Ontwerpberekening!H19),0))/Ontwerpberekening!$A$2</f>
        <v>0</v>
      </c>
      <c r="K18" s="11">
        <f>(IF(Ontwerpberekening!C19="Nieuwe Situatie",(SUM(Ontwerp_MKI_Totaal[[#This Row],[A1]:[B1]],Ontwerp_MKI_Totaal[[#This Row],[C1]:[D2]])*Ontwerpberekening!R19),0))</f>
        <v>0</v>
      </c>
      <c r="L18" s="11">
        <f>_xlfn.IFNA(VLOOKUP(Ontwerp_MKI_Totaal[[#This Row],[Product]]&amp;", "&amp;Ontwerp_MKI_Totaal[[#Headers],[C1]],Database_Productkaarten[#All],13,FALSE)*Ontwerpberekening!H19,0)/Ontwerpberekening!$A$2</f>
        <v>9.144999999999999E-2</v>
      </c>
      <c r="M18" s="11">
        <f>_xlfn.IFNA(VLOOKUP(Ontwerp_MKI_Totaal[[#This Row],[Product]]&amp;", "&amp;Ontwerp_MKI_Totaal[[#Headers],[C2]],Database_Productkaarten[#All],13,FALSE)*Ontwerpberekening!H19,0)/Ontwerpberekening!$A$2</f>
        <v>0.20826999999999998</v>
      </c>
      <c r="N18" s="11">
        <f>_xlfn.IFNA(VLOOKUP(Ontwerp_MKI_Totaal[[#This Row],[Product]]&amp;", "&amp;Ontwerp_MKI_Totaal[[#Headers],[C3]],Database_Productkaarten[#All],13,FALSE)*Ontwerpberekening!H19,0)/Ontwerpberekening!$A$2</f>
        <v>7.5520000000000004E-2</v>
      </c>
      <c r="O18" s="11">
        <f>_xlfn.IFNA(VLOOKUP(Ontwerp_MKI_Totaal[[#This Row],[Product]]&amp;", "&amp;Ontwerp_MKI_Totaal[[#Headers],[C4]],Database_Productkaarten[#All],13,FALSE)*Ontwerpberekening!H19,0)/Ontwerpberekening!$A$2</f>
        <v>1.9688299999999995E-3</v>
      </c>
      <c r="P18" s="11">
        <f>(IF(Ontwerpberekening!C19="Nieuwe Situatie",(_xlfn.IFNA(VLOOKUP(Ontwerp_MKI_Totaal[[#This Row],[Product]]&amp;", "&amp;Ontwerp_MKI_Totaal[[#Headers],[D1]],Database_Productkaarten[#All],13,FALSE),0)*Ontwerpberekening!H19),0))/Ontwerpberekening!$A$2</f>
        <v>-0.13924</v>
      </c>
      <c r="Q18" s="38">
        <f>(IF(Ontwerpberekening!C19="Nieuwe Situatie",_xlfn.IFNA(VLOOKUP(Ontwerp_MKI_Totaal[[#This Row],[Product]]&amp;", "&amp;Ontwerp_MKI_Totaal[[#Headers],[D2]],Database_Productkaarten[#All],13,FALSE),0)*Ontwerpberekening!H19,0))/Ontwerpberekening!$A$2</f>
        <v>0</v>
      </c>
      <c r="R18" s="11">
        <f>SUM(Ontwerp_MKI_Totaal[[#This Row],[A1]:[D2]])</f>
        <v>3.4664488300000005</v>
      </c>
    </row>
    <row r="19" spans="2:27" ht="18" x14ac:dyDescent="0.55000000000000004">
      <c r="B19" s="37" t="str">
        <f>Ontwerpberekening!B20</f>
        <v>Baseline</v>
      </c>
      <c r="C19" s="23" t="str">
        <f>Ontwerpberekening!F20</f>
        <v>Opsluitband 100x200</v>
      </c>
      <c r="D19" s="11">
        <f>(IF(Ontwerpberekening!C20="Nieuwe Situatie",(_xlfn.IFNA(VLOOKUP(Ontwerp_MKI_Totaal[[#This Row],[Product]]&amp;", "&amp;Ontwerp_MKI_Totaal[[#Headers],[A1]],Database_Productkaarten[#All],13,FALSE),0)*Ontwerpberekening!H20),0))/Ontwerpberekening!$A$2</f>
        <v>0.21345</v>
      </c>
      <c r="E19" s="11">
        <f>(IF(Ontwerpberekening!C20="Nieuwe Situatie",(_xlfn.IFNA(VLOOKUP(Ontwerp_MKI_Totaal[[#This Row],[Product]]&amp;", "&amp;Ontwerp_MKI_Totaal[[#Headers],[A2]],Database_Productkaarten[#All],13,FALSE),0)*Ontwerpberekening!H20),0))/Ontwerpberekening!$A$2</f>
        <v>0</v>
      </c>
      <c r="F19" s="11">
        <f>(IF(Ontwerpberekening!C20="Nieuwe Situatie",(_xlfn.IFNA(VLOOKUP(Ontwerp_MKI_Totaal[[#This Row],[Product]]&amp;", "&amp;Ontwerp_MKI_Totaal[[#Headers],[A3]],Database_Productkaarten[#All],13,FALSE),0)*Ontwerpberekening!H20),0))/Ontwerpberekening!$A$2</f>
        <v>0</v>
      </c>
      <c r="G19" s="11">
        <f>(IF(Ontwerpberekening!C20="Nieuwe Situatie",(_xlfn.IFNA(VLOOKUP(Ontwerp_MKI_Totaal[[#This Row],[Product]]&amp;", "&amp;Ontwerp_MKI_Totaal[[#Headers],[A4]],Database_Productkaarten[#All],13,FALSE),0)*Ontwerpberekening!H20),0))/Ontwerpberekening!$A$2</f>
        <v>5.2400000000000002E-2</v>
      </c>
      <c r="H19" s="11">
        <f>(IF(Ontwerpberekening!C20="Nieuwe Situatie",(_xlfn.IFNA(VLOOKUP(Ontwerp_MKI_Totaal[[#This Row],[Product]]&amp;", "&amp;Ontwerp_MKI_Totaal[[#Headers],[A5]],Database_Productkaarten[#All],13,FALSE),0)*Ontwerpberekening!H20),0))/Ontwerpberekening!$A$2</f>
        <v>7.7499999999999999E-3</v>
      </c>
      <c r="I19" s="11">
        <f>(IF(Ontwerpberekening!C20="Nieuwe Situatie",(_xlfn.IFNA(VLOOKUP(Ontwerp_MKI_Totaal[[#This Row],[Product]]&amp;", "&amp;Ontwerp_MKI_Totaal[[#Headers],[B1]],Database_Productkaarten[#All],13,FALSE),0)*Ontwerpberekening!H20),0))/Ontwerpberekening!$A$2</f>
        <v>0</v>
      </c>
      <c r="J19" s="11">
        <f>(IF(Ontwerpberekening!C20="Nieuwe Situatie",(_xlfn.IFNA(VLOOKUP(Ontwerp_MKI_Totaal[[#This Row],[Product]]&amp;", "&amp;Ontwerp_MKI_Totaal[[#Headers],[B3]],Database_Productkaarten[#All],13,FALSE),0)*Ontwerpberekening!H20),0))/Ontwerpberekening!$A$2</f>
        <v>0</v>
      </c>
      <c r="K19" s="11">
        <f>(IF(Ontwerpberekening!C20="Nieuwe Situatie",(SUM(Ontwerp_MKI_Totaal[[#This Row],[A1]:[B1]],Ontwerp_MKI_Totaal[[#This Row],[C1]:[D2]])*Ontwerpberekening!R20),0))</f>
        <v>0</v>
      </c>
      <c r="L19" s="11">
        <f>_xlfn.IFNA(VLOOKUP(Ontwerp_MKI_Totaal[[#This Row],[Product]]&amp;", "&amp;Ontwerp_MKI_Totaal[[#Headers],[C1]],Database_Productkaarten[#All],13,FALSE)*Ontwerpberekening!H20,0)/Ontwerpberekening!$A$2</f>
        <v>7.7499999999999999E-3</v>
      </c>
      <c r="M19" s="11">
        <f>_xlfn.IFNA(VLOOKUP(Ontwerp_MKI_Totaal[[#This Row],[Product]]&amp;", "&amp;Ontwerp_MKI_Totaal[[#Headers],[C2]],Database_Productkaarten[#All],13,FALSE)*Ontwerpberekening!H20,0)/Ontwerpberekening!$A$2</f>
        <v>1.7649999999999999E-2</v>
      </c>
      <c r="N19" s="11">
        <f>_xlfn.IFNA(VLOOKUP(Ontwerp_MKI_Totaal[[#This Row],[Product]]&amp;", "&amp;Ontwerp_MKI_Totaal[[#Headers],[C3]],Database_Productkaarten[#All],13,FALSE)*Ontwerpberekening!H20,0)/Ontwerpberekening!$A$2</f>
        <v>6.4000000000000003E-3</v>
      </c>
      <c r="O19" s="11">
        <f>_xlfn.IFNA(VLOOKUP(Ontwerp_MKI_Totaal[[#This Row],[Product]]&amp;", "&amp;Ontwerp_MKI_Totaal[[#Headers],[C4]],Database_Productkaarten[#All],13,FALSE)*Ontwerpberekening!H20,0)/Ontwerpberekening!$A$2</f>
        <v>1.6684999999999999E-4</v>
      </c>
      <c r="P19" s="11">
        <f>(IF(Ontwerpberekening!C20="Nieuwe Situatie",(_xlfn.IFNA(VLOOKUP(Ontwerp_MKI_Totaal[[#This Row],[Product]]&amp;", "&amp;Ontwerp_MKI_Totaal[[#Headers],[D1]],Database_Productkaarten[#All],13,FALSE),0)*Ontwerpberekening!H20),0))/Ontwerpberekening!$A$2</f>
        <v>-1.18E-2</v>
      </c>
      <c r="Q19" s="38">
        <f>(IF(Ontwerpberekening!C20="Nieuwe Situatie",_xlfn.IFNA(VLOOKUP(Ontwerp_MKI_Totaal[[#This Row],[Product]]&amp;", "&amp;Ontwerp_MKI_Totaal[[#Headers],[D2]],Database_Productkaarten[#All],13,FALSE),0)*Ontwerpberekening!H20,0))/Ontwerpberekening!$A$2</f>
        <v>0</v>
      </c>
      <c r="R19" s="11">
        <f>SUM(Ontwerp_MKI_Totaal[[#This Row],[A1]:[D2]])</f>
        <v>0.29376685000000002</v>
      </c>
    </row>
    <row r="20" spans="2:27" ht="18" x14ac:dyDescent="0.55000000000000004">
      <c r="B20" s="37" t="str">
        <f>Ontwerpberekening!B21</f>
        <v>Baseline</v>
      </c>
      <c r="C20" s="23" t="str">
        <f>Ontwerpberekening!F21</f>
        <v>Grond</v>
      </c>
      <c r="D20" s="11">
        <f>(IF(Ontwerpberekening!C21="Nieuwe Situatie",(_xlfn.IFNA(VLOOKUP(Ontwerp_MKI_Totaal[[#This Row],[Product]]&amp;", "&amp;Ontwerp_MKI_Totaal[[#Headers],[A1]],Database_Productkaarten[#All],13,FALSE),0)*Ontwerpberekening!H21),0))/Ontwerpberekening!$A$2</f>
        <v>0</v>
      </c>
      <c r="E20" s="11">
        <f>(IF(Ontwerpberekening!C21="Nieuwe Situatie",(_xlfn.IFNA(VLOOKUP(Ontwerp_MKI_Totaal[[#This Row],[Product]]&amp;", "&amp;Ontwerp_MKI_Totaal[[#Headers],[A2]],Database_Productkaarten[#All],13,FALSE),0)*Ontwerpberekening!H21),0))/Ontwerpberekening!$A$2</f>
        <v>0</v>
      </c>
      <c r="F20" s="11">
        <f>(IF(Ontwerpberekening!C21="Nieuwe Situatie",(_xlfn.IFNA(VLOOKUP(Ontwerp_MKI_Totaal[[#This Row],[Product]]&amp;", "&amp;Ontwerp_MKI_Totaal[[#Headers],[A3]],Database_Productkaarten[#All],13,FALSE),0)*Ontwerpberekening!H21),0))/Ontwerpberekening!$A$2</f>
        <v>0</v>
      </c>
      <c r="G20" s="11">
        <f>(IF(Ontwerpberekening!C21="Nieuwe Situatie",(_xlfn.IFNA(VLOOKUP(Ontwerp_MKI_Totaal[[#This Row],[Product]]&amp;", "&amp;Ontwerp_MKI_Totaal[[#Headers],[A4]],Database_Productkaarten[#All],13,FALSE),0)*Ontwerpberekening!H21),0))/Ontwerpberekening!$A$2</f>
        <v>2.8438151808814798E-2</v>
      </c>
      <c r="H20" s="11">
        <f>(IF(Ontwerpberekening!C21="Nieuwe Situatie",(_xlfn.IFNA(VLOOKUP(Ontwerp_MKI_Totaal[[#This Row],[Product]]&amp;", "&amp;Ontwerp_MKI_Totaal[[#Headers],[A5]],Database_Productkaarten[#All],13,FALSE),0)*Ontwerpberekening!H21),0))/Ontwerpberekening!$A$2</f>
        <v>2.6252870527452461E-3</v>
      </c>
      <c r="I20" s="11">
        <f>(IF(Ontwerpberekening!C21="Nieuwe Situatie",(_xlfn.IFNA(VLOOKUP(Ontwerp_MKI_Totaal[[#This Row],[Product]]&amp;", "&amp;Ontwerp_MKI_Totaal[[#Headers],[B1]],Database_Productkaarten[#All],13,FALSE),0)*Ontwerpberekening!H21),0))/Ontwerpberekening!$A$2</f>
        <v>0</v>
      </c>
      <c r="J20" s="11">
        <f>(IF(Ontwerpberekening!C21="Nieuwe Situatie",(_xlfn.IFNA(VLOOKUP(Ontwerp_MKI_Totaal[[#This Row],[Product]]&amp;", "&amp;Ontwerp_MKI_Totaal[[#Headers],[B3]],Database_Productkaarten[#All],13,FALSE),0)*Ontwerpberekening!H21),0))/Ontwerpberekening!$A$2</f>
        <v>0</v>
      </c>
      <c r="K20" s="11">
        <f>(IF(Ontwerpberekening!C21="Nieuwe Situatie",(SUM(Ontwerp_MKI_Totaal[[#This Row],[A1]:[B1]],Ontwerp_MKI_Totaal[[#This Row],[C1]:[D2]])*Ontwerpberekening!R21),0))</f>
        <v>0</v>
      </c>
      <c r="L20" s="11">
        <f>_xlfn.IFNA(VLOOKUP(Ontwerp_MKI_Totaal[[#This Row],[Product]]&amp;", "&amp;Ontwerp_MKI_Totaal[[#Headers],[C1]],Database_Productkaarten[#All],13,FALSE)*Ontwerpberekening!H21,0)/Ontwerpberekening!$A$2</f>
        <v>2.6252870527452461E-3</v>
      </c>
      <c r="M20" s="11">
        <f>_xlfn.IFNA(VLOOKUP(Ontwerp_MKI_Totaal[[#This Row],[Product]]&amp;", "&amp;Ontwerp_MKI_Totaal[[#Headers],[C2]],Database_Productkaarten[#All],13,FALSE)*Ontwerpberekening!H21,0)/Ontwerpberekening!$A$2</f>
        <v>2.8438151808814798E-2</v>
      </c>
      <c r="N20" s="11">
        <f>_xlfn.IFNA(VLOOKUP(Ontwerp_MKI_Totaal[[#This Row],[Product]]&amp;", "&amp;Ontwerp_MKI_Totaal[[#Headers],[C3]],Database_Productkaarten[#All],13,FALSE)*Ontwerpberekening!H21,0)/Ontwerpberekening!$A$2</f>
        <v>0</v>
      </c>
      <c r="O20" s="11">
        <f>_xlfn.IFNA(VLOOKUP(Ontwerp_MKI_Totaal[[#This Row],[Product]]&amp;", "&amp;Ontwerp_MKI_Totaal[[#Headers],[C4]],Database_Productkaarten[#All],13,FALSE)*Ontwerpberekening!H21,0)/Ontwerpberekening!$A$2</f>
        <v>0</v>
      </c>
      <c r="P20" s="11">
        <f>(IF(Ontwerpberekening!C21="Nieuwe Situatie",(_xlfn.IFNA(VLOOKUP(Ontwerp_MKI_Totaal[[#This Row],[Product]]&amp;", "&amp;Ontwerp_MKI_Totaal[[#Headers],[D1]],Database_Productkaarten[#All],13,FALSE),0)*Ontwerpberekening!H21),0))/Ontwerpberekening!$A$2</f>
        <v>0</v>
      </c>
      <c r="Q20" s="38">
        <f>(IF(Ontwerpberekening!C21="Nieuwe Situatie",_xlfn.IFNA(VLOOKUP(Ontwerp_MKI_Totaal[[#This Row],[Product]]&amp;", "&amp;Ontwerp_MKI_Totaal[[#Headers],[D2]],Database_Productkaarten[#All],13,FALSE),0)*Ontwerpberekening!H21,0))/Ontwerpberekening!$A$2</f>
        <v>0</v>
      </c>
      <c r="R20" s="11">
        <f>SUM(Ontwerp_MKI_Totaal[[#This Row],[A1]:[D2]])</f>
        <v>6.2126877723120089E-2</v>
      </c>
    </row>
    <row r="21" spans="2:27" ht="18" x14ac:dyDescent="0.55000000000000004">
      <c r="B21" s="37" t="str">
        <f>Ontwerpberekening!B22</f>
        <v>Variant 1</v>
      </c>
      <c r="C21" s="23" t="str">
        <f>Ontwerpberekening!F22</f>
        <v>AC Surf 30% PR - PCR 2.0</v>
      </c>
      <c r="D21" s="11">
        <f>(IF(Ontwerpberekening!C22="Nieuwe Situatie",(_xlfn.IFNA(VLOOKUP(Ontwerp_MKI_Totaal[[#This Row],[Product]]&amp;", "&amp;Ontwerp_MKI_Totaal[[#Headers],[A1]],Database_Productkaarten[#All],13,FALSE),0)*Ontwerpberekening!H22),0))/Ontwerpberekening!$A$2</f>
        <v>0</v>
      </c>
      <c r="E21" s="11">
        <f>(IF(Ontwerpberekening!C22="Nieuwe Situatie",(_xlfn.IFNA(VLOOKUP(Ontwerp_MKI_Totaal[[#This Row],[Product]]&amp;", "&amp;Ontwerp_MKI_Totaal[[#Headers],[A2]],Database_Productkaarten[#All],13,FALSE),0)*Ontwerpberekening!H22),0))/Ontwerpberekening!$A$2</f>
        <v>0</v>
      </c>
      <c r="F21" s="11">
        <f>(IF(Ontwerpberekening!C22="Nieuwe Situatie",(_xlfn.IFNA(VLOOKUP(Ontwerp_MKI_Totaal[[#This Row],[Product]]&amp;", "&amp;Ontwerp_MKI_Totaal[[#Headers],[A3]],Database_Productkaarten[#All],13,FALSE),0)*Ontwerpberekening!H22),0))/Ontwerpberekening!$A$2</f>
        <v>0</v>
      </c>
      <c r="G21" s="11">
        <f>(IF(Ontwerpberekening!C22="Nieuwe Situatie",(_xlfn.IFNA(VLOOKUP(Ontwerp_MKI_Totaal[[#This Row],[Product]]&amp;", "&amp;Ontwerp_MKI_Totaal[[#Headers],[A4]],Database_Productkaarten[#All],13,FALSE),0)*Ontwerpberekening!H22),0))/Ontwerpberekening!$A$2</f>
        <v>0</v>
      </c>
      <c r="H21" s="11">
        <f>(IF(Ontwerpberekening!C22="Nieuwe Situatie",(_xlfn.IFNA(VLOOKUP(Ontwerp_MKI_Totaal[[#This Row],[Product]]&amp;", "&amp;Ontwerp_MKI_Totaal[[#Headers],[A5]],Database_Productkaarten[#All],13,FALSE),0)*Ontwerpberekening!H22),0))/Ontwerpberekening!$A$2</f>
        <v>0</v>
      </c>
      <c r="I21" s="11">
        <f>(IF(Ontwerpberekening!C22="Nieuwe Situatie",(_xlfn.IFNA(VLOOKUP(Ontwerp_MKI_Totaal[[#This Row],[Product]]&amp;", "&amp;Ontwerp_MKI_Totaal[[#Headers],[B1]],Database_Productkaarten[#All],13,FALSE),0)*Ontwerpberekening!H22),0))/Ontwerpberekening!$A$2</f>
        <v>0</v>
      </c>
      <c r="J21" s="11">
        <f>(IF(Ontwerpberekening!C22="Nieuwe Situatie",(_xlfn.IFNA(VLOOKUP(Ontwerp_MKI_Totaal[[#This Row],[Product]]&amp;", "&amp;Ontwerp_MKI_Totaal[[#Headers],[B3]],Database_Productkaarten[#All],13,FALSE),0)*Ontwerpberekening!H22),0))/Ontwerpberekening!$A$2</f>
        <v>0</v>
      </c>
      <c r="K21" s="11">
        <f>(IF(Ontwerpberekening!C22="Nieuwe Situatie",(SUM(Ontwerp_MKI_Totaal[[#This Row],[A1]:[B1]],Ontwerp_MKI_Totaal[[#This Row],[C1]:[D2]])*Ontwerpberekening!R22),0))</f>
        <v>0</v>
      </c>
      <c r="L21" s="11">
        <f>_xlfn.IFNA(VLOOKUP(Ontwerp_MKI_Totaal[[#This Row],[Product]]&amp;", "&amp;Ontwerp_MKI_Totaal[[#Headers],[C1]],Database_Productkaarten[#All],13,FALSE)*Ontwerpberekening!H22,0)/Ontwerpberekening!$A$2</f>
        <v>4.5777049888682919</v>
      </c>
      <c r="M21" s="11">
        <f>_xlfn.IFNA(VLOOKUP(Ontwerp_MKI_Totaal[[#This Row],[Product]]&amp;", "&amp;Ontwerp_MKI_Totaal[[#Headers],[C2]],Database_Productkaarten[#All],13,FALSE)*Ontwerpberekening!H22,0)/Ontwerpberekening!$A$2</f>
        <v>10.74698893862279</v>
      </c>
      <c r="N21" s="11">
        <f>_xlfn.IFNA(VLOOKUP(Ontwerp_MKI_Totaal[[#This Row],[Product]]&amp;", "&amp;Ontwerp_MKI_Totaal[[#Headers],[C3]],Database_Productkaarten[#All],13,FALSE)*Ontwerpberekening!H22,0)/Ontwerpberekening!$A$2</f>
        <v>5.3850954733309822</v>
      </c>
      <c r="O21" s="11">
        <f>_xlfn.IFNA(VLOOKUP(Ontwerp_MKI_Totaal[[#This Row],[Product]]&amp;", "&amp;Ontwerp_MKI_Totaal[[#Headers],[C4]],Database_Productkaarten[#All],13,FALSE)*Ontwerpberekening!H22,0)/Ontwerpberekening!$A$2</f>
        <v>0</v>
      </c>
      <c r="P21" s="11">
        <f>(IF(Ontwerpberekening!C22="Nieuwe Situatie",(_xlfn.IFNA(VLOOKUP(Ontwerp_MKI_Totaal[[#This Row],[Product]]&amp;", "&amp;Ontwerp_MKI_Totaal[[#Headers],[D1]],Database_Productkaarten[#All],13,FALSE),0)*Ontwerpberekening!H22),0))/Ontwerpberekening!$A$2</f>
        <v>0</v>
      </c>
      <c r="Q21" s="38">
        <f>(IF(Ontwerpberekening!C22="Nieuwe Situatie",_xlfn.IFNA(VLOOKUP(Ontwerp_MKI_Totaal[[#This Row],[Product]]&amp;", "&amp;Ontwerp_MKI_Totaal[[#Headers],[D2]],Database_Productkaarten[#All],13,FALSE),0)*Ontwerpberekening!H22,0))/Ontwerpberekening!$A$2</f>
        <v>0</v>
      </c>
      <c r="R21" s="11">
        <f>SUM(Ontwerp_MKI_Totaal[[#This Row],[A1]:[D2]])</f>
        <v>20.709789400822064</v>
      </c>
    </row>
    <row r="22" spans="2:27" ht="18" x14ac:dyDescent="0.55000000000000004">
      <c r="B22" s="37" t="str">
        <f>Ontwerpberekening!B23</f>
        <v>Variant 1</v>
      </c>
      <c r="C22" s="23" t="str">
        <f>Ontwerpberekening!F23</f>
        <v>AC bin/base 50% PR G.M. - PCR 2.0</v>
      </c>
      <c r="D22" s="11">
        <f>(IF(Ontwerpberekening!C23="Nieuwe Situatie",(_xlfn.IFNA(VLOOKUP(Ontwerp_MKI_Totaal[[#This Row],[Product]]&amp;", "&amp;Ontwerp_MKI_Totaal[[#Headers],[A1]],Database_Productkaarten[#All],13,FALSE),0)*Ontwerpberekening!H23),0))/Ontwerpberekening!$A$2</f>
        <v>0</v>
      </c>
      <c r="E22" s="11">
        <f>(IF(Ontwerpberekening!C23="Nieuwe Situatie",(_xlfn.IFNA(VLOOKUP(Ontwerp_MKI_Totaal[[#This Row],[Product]]&amp;", "&amp;Ontwerp_MKI_Totaal[[#Headers],[A2]],Database_Productkaarten[#All],13,FALSE),0)*Ontwerpberekening!H23),0))/Ontwerpberekening!$A$2</f>
        <v>0</v>
      </c>
      <c r="F22" s="11">
        <f>(IF(Ontwerpberekening!C23="Nieuwe Situatie",(_xlfn.IFNA(VLOOKUP(Ontwerp_MKI_Totaal[[#This Row],[Product]]&amp;", "&amp;Ontwerp_MKI_Totaal[[#Headers],[A3]],Database_Productkaarten[#All],13,FALSE),0)*Ontwerpberekening!H23),0))/Ontwerpberekening!$A$2</f>
        <v>0</v>
      </c>
      <c r="G22" s="11">
        <f>(IF(Ontwerpberekening!C23="Nieuwe Situatie",(_xlfn.IFNA(VLOOKUP(Ontwerp_MKI_Totaal[[#This Row],[Product]]&amp;", "&amp;Ontwerp_MKI_Totaal[[#Headers],[A4]],Database_Productkaarten[#All],13,FALSE),0)*Ontwerpberekening!H23),0))/Ontwerpberekening!$A$2</f>
        <v>0</v>
      </c>
      <c r="H22" s="11">
        <f>(IF(Ontwerpberekening!C23="Nieuwe Situatie",(_xlfn.IFNA(VLOOKUP(Ontwerp_MKI_Totaal[[#This Row],[Product]]&amp;", "&amp;Ontwerp_MKI_Totaal[[#Headers],[A5]],Database_Productkaarten[#All],13,FALSE),0)*Ontwerpberekening!H23),0))/Ontwerpberekening!$A$2</f>
        <v>0</v>
      </c>
      <c r="I22" s="11">
        <f>(IF(Ontwerpberekening!C23="Nieuwe Situatie",(_xlfn.IFNA(VLOOKUP(Ontwerp_MKI_Totaal[[#This Row],[Product]]&amp;", "&amp;Ontwerp_MKI_Totaal[[#Headers],[B1]],Database_Productkaarten[#All],13,FALSE),0)*Ontwerpberekening!H23),0))/Ontwerpberekening!$A$2</f>
        <v>0</v>
      </c>
      <c r="J22" s="11">
        <f>(IF(Ontwerpberekening!C23="Nieuwe Situatie",(_xlfn.IFNA(VLOOKUP(Ontwerp_MKI_Totaal[[#This Row],[Product]]&amp;", "&amp;Ontwerp_MKI_Totaal[[#Headers],[B3]],Database_Productkaarten[#All],13,FALSE),0)*Ontwerpberekening!H23),0))/Ontwerpberekening!$A$2</f>
        <v>0</v>
      </c>
      <c r="K22" s="11">
        <f>(IF(Ontwerpberekening!C23="Nieuwe Situatie",(SUM(Ontwerp_MKI_Totaal[[#This Row],[A1]:[B1]],Ontwerp_MKI_Totaal[[#This Row],[C1]:[D2]])*Ontwerpberekening!R23),0))</f>
        <v>0</v>
      </c>
      <c r="L22" s="11">
        <f>_xlfn.IFNA(VLOOKUP(Ontwerp_MKI_Totaal[[#This Row],[Product]]&amp;", "&amp;Ontwerp_MKI_Totaal[[#Headers],[C1]],Database_Productkaarten[#All],13,FALSE)*Ontwerpberekening!H23,0)/Ontwerpberekening!$A$2</f>
        <v>1.1977697696055023</v>
      </c>
      <c r="M22" s="11">
        <f>_xlfn.IFNA(VLOOKUP(Ontwerp_MKI_Totaal[[#This Row],[Product]]&amp;", "&amp;Ontwerp_MKI_Totaal[[#Headers],[C2]],Database_Productkaarten[#All],13,FALSE)*Ontwerpberekening!H23,0)/Ontwerpberekening!$A$2</f>
        <v>1.2055282779863075</v>
      </c>
      <c r="N22" s="11">
        <f>_xlfn.IFNA(VLOOKUP(Ontwerp_MKI_Totaal[[#This Row],[Product]]&amp;", "&amp;Ontwerp_MKI_Totaal[[#Headers],[C3]],Database_Productkaarten[#All],13,FALSE)*Ontwerpberekening!H23,0)/Ontwerpberekening!$A$2</f>
        <v>0.60406546696344821</v>
      </c>
      <c r="O22" s="11">
        <f>_xlfn.IFNA(VLOOKUP(Ontwerp_MKI_Totaal[[#This Row],[Product]]&amp;", "&amp;Ontwerp_MKI_Totaal[[#Headers],[C4]],Database_Productkaarten[#All],13,FALSE)*Ontwerpberekening!H23,0)/Ontwerpberekening!$A$2</f>
        <v>0</v>
      </c>
      <c r="P22" s="11">
        <f>(IF(Ontwerpberekening!C23="Nieuwe Situatie",(_xlfn.IFNA(VLOOKUP(Ontwerp_MKI_Totaal[[#This Row],[Product]]&amp;", "&amp;Ontwerp_MKI_Totaal[[#Headers],[D1]],Database_Productkaarten[#All],13,FALSE),0)*Ontwerpberekening!H23),0))/Ontwerpberekening!$A$2</f>
        <v>0</v>
      </c>
      <c r="Q22" s="38">
        <f>(IF(Ontwerpberekening!C23="Nieuwe Situatie",_xlfn.IFNA(VLOOKUP(Ontwerp_MKI_Totaal[[#This Row],[Product]]&amp;", "&amp;Ontwerp_MKI_Totaal[[#Headers],[D2]],Database_Productkaarten[#All],13,FALSE),0)*Ontwerpberekening!H23,0))/Ontwerpberekening!$A$2</f>
        <v>0</v>
      </c>
      <c r="R22" s="11">
        <f>SUM(Ontwerp_MKI_Totaal[[#This Row],[A1]:[D2]])</f>
        <v>3.0073635145552582</v>
      </c>
    </row>
    <row r="23" spans="2:27" ht="18" x14ac:dyDescent="0.55000000000000004">
      <c r="B23" s="37" t="str">
        <f>Ontwerpberekening!B24</f>
        <v>Variant 1</v>
      </c>
      <c r="C23" s="23" t="str">
        <f>Ontwerpberekening!F24</f>
        <v>AC bin/base 50% PR G.M. - PCR 2.0</v>
      </c>
      <c r="D23" s="11">
        <f>(IF(Ontwerpberekening!C24="Nieuwe Situatie",(_xlfn.IFNA(VLOOKUP(Ontwerp_MKI_Totaal[[#This Row],[Product]]&amp;", "&amp;Ontwerp_MKI_Totaal[[#Headers],[A1]],Database_Productkaarten[#All],13,FALSE),0)*Ontwerpberekening!H24),0))/Ontwerpberekening!$A$2</f>
        <v>0</v>
      </c>
      <c r="E23" s="11">
        <f>(IF(Ontwerpberekening!C24="Nieuwe Situatie",(_xlfn.IFNA(VLOOKUP(Ontwerp_MKI_Totaal[[#This Row],[Product]]&amp;", "&amp;Ontwerp_MKI_Totaal[[#Headers],[A2]],Database_Productkaarten[#All],13,FALSE),0)*Ontwerpberekening!H24),0))/Ontwerpberekening!$A$2</f>
        <v>0</v>
      </c>
      <c r="F23" s="11">
        <f>(IF(Ontwerpberekening!C24="Nieuwe Situatie",(_xlfn.IFNA(VLOOKUP(Ontwerp_MKI_Totaal[[#This Row],[Product]]&amp;", "&amp;Ontwerp_MKI_Totaal[[#Headers],[A3]],Database_Productkaarten[#All],13,FALSE),0)*Ontwerpberekening!H24),0))/Ontwerpberekening!$A$2</f>
        <v>0</v>
      </c>
      <c r="G23" s="11">
        <f>(IF(Ontwerpberekening!C24="Nieuwe Situatie",(_xlfn.IFNA(VLOOKUP(Ontwerp_MKI_Totaal[[#This Row],[Product]]&amp;", "&amp;Ontwerp_MKI_Totaal[[#Headers],[A4]],Database_Productkaarten[#All],13,FALSE),0)*Ontwerpberekening!H24),0))/Ontwerpberekening!$A$2</f>
        <v>0</v>
      </c>
      <c r="H23" s="11">
        <f>(IF(Ontwerpberekening!C24="Nieuwe Situatie",(_xlfn.IFNA(VLOOKUP(Ontwerp_MKI_Totaal[[#This Row],[Product]]&amp;", "&amp;Ontwerp_MKI_Totaal[[#Headers],[A5]],Database_Productkaarten[#All],13,FALSE),0)*Ontwerpberekening!H24),0))/Ontwerpberekening!$A$2</f>
        <v>0</v>
      </c>
      <c r="I23" s="11">
        <f>(IF(Ontwerpberekening!C24="Nieuwe Situatie",(_xlfn.IFNA(VLOOKUP(Ontwerp_MKI_Totaal[[#This Row],[Product]]&amp;", "&amp;Ontwerp_MKI_Totaal[[#Headers],[B1]],Database_Productkaarten[#All],13,FALSE),0)*Ontwerpberekening!H24),0))/Ontwerpberekening!$A$2</f>
        <v>0</v>
      </c>
      <c r="J23" s="11">
        <f>(IF(Ontwerpberekening!C24="Nieuwe Situatie",(_xlfn.IFNA(VLOOKUP(Ontwerp_MKI_Totaal[[#This Row],[Product]]&amp;", "&amp;Ontwerp_MKI_Totaal[[#Headers],[B3]],Database_Productkaarten[#All],13,FALSE),0)*Ontwerpberekening!H24),0))/Ontwerpberekening!$A$2</f>
        <v>0</v>
      </c>
      <c r="K23" s="11">
        <f>(IF(Ontwerpberekening!C24="Nieuwe Situatie",(SUM(Ontwerp_MKI_Totaal[[#This Row],[A1]:[B1]],Ontwerp_MKI_Totaal[[#This Row],[C1]:[D2]])*Ontwerpberekening!R24),0))</f>
        <v>0</v>
      </c>
      <c r="L23" s="11">
        <f>_xlfn.IFNA(VLOOKUP(Ontwerp_MKI_Totaal[[#This Row],[Product]]&amp;", "&amp;Ontwerp_MKI_Totaal[[#Headers],[C1]],Database_Productkaarten[#All],13,FALSE)*Ontwerpberekening!H24,0)/Ontwerpberekening!$A$2</f>
        <v>0.37430305300171945</v>
      </c>
      <c r="M23" s="11">
        <f>_xlfn.IFNA(VLOOKUP(Ontwerp_MKI_Totaal[[#This Row],[Product]]&amp;", "&amp;Ontwerp_MKI_Totaal[[#Headers],[C2]],Database_Productkaarten[#All],13,FALSE)*Ontwerpberekening!H24,0)/Ontwerpberekening!$A$2</f>
        <v>0.37672758687072105</v>
      </c>
      <c r="N23" s="11">
        <f>_xlfn.IFNA(VLOOKUP(Ontwerp_MKI_Totaal[[#This Row],[Product]]&amp;", "&amp;Ontwerp_MKI_Totaal[[#Headers],[C3]],Database_Productkaarten[#All],13,FALSE)*Ontwerpberekening!H24,0)/Ontwerpberekening!$A$2</f>
        <v>0.18877045842607756</v>
      </c>
      <c r="O23" s="11">
        <f>_xlfn.IFNA(VLOOKUP(Ontwerp_MKI_Totaal[[#This Row],[Product]]&amp;", "&amp;Ontwerp_MKI_Totaal[[#Headers],[C4]],Database_Productkaarten[#All],13,FALSE)*Ontwerpberekening!H24,0)/Ontwerpberekening!$A$2</f>
        <v>0</v>
      </c>
      <c r="P23" s="11">
        <f>(IF(Ontwerpberekening!C24="Nieuwe Situatie",(_xlfn.IFNA(VLOOKUP(Ontwerp_MKI_Totaal[[#This Row],[Product]]&amp;", "&amp;Ontwerp_MKI_Totaal[[#Headers],[D1]],Database_Productkaarten[#All],13,FALSE),0)*Ontwerpberekening!H24),0))/Ontwerpberekening!$A$2</f>
        <v>0</v>
      </c>
      <c r="Q23" s="38">
        <f>(IF(Ontwerpberekening!C24="Nieuwe Situatie",_xlfn.IFNA(VLOOKUP(Ontwerp_MKI_Totaal[[#This Row],[Product]]&amp;", "&amp;Ontwerp_MKI_Totaal[[#Headers],[D2]],Database_Productkaarten[#All],13,FALSE),0)*Ontwerpberekening!H24,0))/Ontwerpberekening!$A$2</f>
        <v>0</v>
      </c>
      <c r="R23" s="11">
        <f>SUM(Ontwerp_MKI_Totaal[[#This Row],[A1]:[D2]])</f>
        <v>0.93980109829851799</v>
      </c>
    </row>
    <row r="24" spans="2:27" ht="18" x14ac:dyDescent="0.55000000000000004">
      <c r="B24" s="37" t="str">
        <f>Ontwerpberekening!B25</f>
        <v>Variant 1</v>
      </c>
      <c r="C24" s="23" t="str">
        <f>Ontwerpberekening!F25</f>
        <v>Betonstraatsteen geopolymeer 210x105x80</v>
      </c>
      <c r="D24" s="11">
        <f>(IF(Ontwerpberekening!C25="Nieuwe Situatie",(_xlfn.IFNA(VLOOKUP(Ontwerp_MKI_Totaal[[#This Row],[Product]]&amp;", "&amp;Ontwerp_MKI_Totaal[[#Headers],[A1]],Database_Productkaarten[#All],13,FALSE),0)*Ontwerpberekening!H25),0))/Ontwerpberekening!$A$2</f>
        <v>0</v>
      </c>
      <c r="E24" s="11">
        <f>(IF(Ontwerpberekening!C25="Nieuwe Situatie",(_xlfn.IFNA(VLOOKUP(Ontwerp_MKI_Totaal[[#This Row],[Product]]&amp;", "&amp;Ontwerp_MKI_Totaal[[#Headers],[A2]],Database_Productkaarten[#All],13,FALSE),0)*Ontwerpberekening!H25),0))/Ontwerpberekening!$A$2</f>
        <v>0</v>
      </c>
      <c r="F24" s="11">
        <f>(IF(Ontwerpberekening!C25="Nieuwe Situatie",(_xlfn.IFNA(VLOOKUP(Ontwerp_MKI_Totaal[[#This Row],[Product]]&amp;", "&amp;Ontwerp_MKI_Totaal[[#Headers],[A3]],Database_Productkaarten[#All],13,FALSE),0)*Ontwerpberekening!H25),0))/Ontwerpberekening!$A$2</f>
        <v>0</v>
      </c>
      <c r="G24" s="11">
        <f>(IF(Ontwerpberekening!C25="Nieuwe Situatie",(_xlfn.IFNA(VLOOKUP(Ontwerp_MKI_Totaal[[#This Row],[Product]]&amp;", "&amp;Ontwerp_MKI_Totaal[[#Headers],[A4]],Database_Productkaarten[#All],13,FALSE),0)*Ontwerpberekening!H25),0))/Ontwerpberekening!$A$2</f>
        <v>0</v>
      </c>
      <c r="H24" s="11">
        <f>(IF(Ontwerpberekening!C25="Nieuwe Situatie",(_xlfn.IFNA(VLOOKUP(Ontwerp_MKI_Totaal[[#This Row],[Product]]&amp;", "&amp;Ontwerp_MKI_Totaal[[#Headers],[A5]],Database_Productkaarten[#All],13,FALSE),0)*Ontwerpberekening!H25),0))/Ontwerpberekening!$A$2</f>
        <v>0</v>
      </c>
      <c r="I24" s="11">
        <f>(IF(Ontwerpberekening!C25="Nieuwe Situatie",(_xlfn.IFNA(VLOOKUP(Ontwerp_MKI_Totaal[[#This Row],[Product]]&amp;", "&amp;Ontwerp_MKI_Totaal[[#Headers],[B1]],Database_Productkaarten[#All],13,FALSE),0)*Ontwerpberekening!H25),0))/Ontwerpberekening!$A$2</f>
        <v>0</v>
      </c>
      <c r="J24" s="11">
        <f>(IF(Ontwerpberekening!C25="Nieuwe Situatie",(_xlfn.IFNA(VLOOKUP(Ontwerp_MKI_Totaal[[#This Row],[Product]]&amp;", "&amp;Ontwerp_MKI_Totaal[[#Headers],[B3]],Database_Productkaarten[#All],13,FALSE),0)*Ontwerpberekening!H25),0))/Ontwerpberekening!$A$2</f>
        <v>0</v>
      </c>
      <c r="K24" s="11">
        <f>(IF(Ontwerpberekening!C25="Nieuwe Situatie",(SUM(Ontwerp_MKI_Totaal[[#This Row],[A1]:[B1]],Ontwerp_MKI_Totaal[[#This Row],[C1]:[D2]])*Ontwerpberekening!R25),0))</f>
        <v>0</v>
      </c>
      <c r="L24" s="11">
        <f>_xlfn.IFNA(VLOOKUP(Ontwerp_MKI_Totaal[[#This Row],[Product]]&amp;", "&amp;Ontwerp_MKI_Totaal[[#Headers],[C1]],Database_Productkaarten[#All],13,FALSE)*Ontwerpberekening!H25,0)/Ontwerpberekening!$A$2</f>
        <v>0</v>
      </c>
      <c r="M24" s="11" t="e">
        <f>_xlfn.IFNA(VLOOKUP(Ontwerp_MKI_Totaal[[#This Row],[Product]]&amp;", "&amp;Ontwerp_MKI_Totaal[[#Headers],[C2]],Database_Productkaarten[#All],13,FALSE)*Ontwerpberekening!H25,0)/Ontwerpberekening!$A$2</f>
        <v>#REF!</v>
      </c>
      <c r="N24" s="11">
        <f>_xlfn.IFNA(VLOOKUP(Ontwerp_MKI_Totaal[[#This Row],[Product]]&amp;", "&amp;Ontwerp_MKI_Totaal[[#Headers],[C3]],Database_Productkaarten[#All],13,FALSE)*Ontwerpberekening!H25,0)/Ontwerpberekening!$A$2</f>
        <v>5.2000000000000005E-2</v>
      </c>
      <c r="O24" s="11">
        <f>_xlfn.IFNA(VLOOKUP(Ontwerp_MKI_Totaal[[#This Row],[Product]]&amp;", "&amp;Ontwerp_MKI_Totaal[[#Headers],[C4]],Database_Productkaarten[#All],13,FALSE)*Ontwerpberekening!H25,0)/Ontwerpberekening!$A$2</f>
        <v>0</v>
      </c>
      <c r="P24" s="11">
        <f>(IF(Ontwerpberekening!C25="Nieuwe Situatie",(_xlfn.IFNA(VLOOKUP(Ontwerp_MKI_Totaal[[#This Row],[Product]]&amp;", "&amp;Ontwerp_MKI_Totaal[[#Headers],[D1]],Database_Productkaarten[#All],13,FALSE),0)*Ontwerpberekening!H25),0))/Ontwerpberekening!$A$2</f>
        <v>0</v>
      </c>
      <c r="Q24" s="38">
        <f>(IF(Ontwerpberekening!C25="Nieuwe Situatie",_xlfn.IFNA(VLOOKUP(Ontwerp_MKI_Totaal[[#This Row],[Product]]&amp;", "&amp;Ontwerp_MKI_Totaal[[#Headers],[D2]],Database_Productkaarten[#All],13,FALSE),0)*Ontwerpberekening!H25,0))/Ontwerpberekening!$A$2</f>
        <v>0</v>
      </c>
      <c r="R24" s="11" t="e">
        <f>SUM(Ontwerp_MKI_Totaal[[#This Row],[A1]:[D2]])</f>
        <v>#REF!</v>
      </c>
    </row>
    <row r="25" spans="2:27" ht="18" x14ac:dyDescent="0.55000000000000004">
      <c r="B25" s="37" t="str">
        <f>Ontwerpberekening!B26</f>
        <v>Variant 1</v>
      </c>
      <c r="C25" s="23" t="str">
        <f>Ontwerpberekening!F26</f>
        <v>Grond</v>
      </c>
      <c r="D25" s="11">
        <f>(IF(Ontwerpberekening!C26="Nieuwe Situatie",(_xlfn.IFNA(VLOOKUP(Ontwerp_MKI_Totaal[[#This Row],[Product]]&amp;", "&amp;Ontwerp_MKI_Totaal[[#Headers],[A1]],Database_Productkaarten[#All],13,FALSE),0)*Ontwerpberekening!H26),0))/Ontwerpberekening!$A$2</f>
        <v>0</v>
      </c>
      <c r="E25" s="11">
        <f>(IF(Ontwerpberekening!C26="Nieuwe Situatie",(_xlfn.IFNA(VLOOKUP(Ontwerp_MKI_Totaal[[#This Row],[Product]]&amp;", "&amp;Ontwerp_MKI_Totaal[[#Headers],[A2]],Database_Productkaarten[#All],13,FALSE),0)*Ontwerpberekening!H26),0))/Ontwerpberekening!$A$2</f>
        <v>0</v>
      </c>
      <c r="F25" s="11">
        <f>(IF(Ontwerpberekening!C26="Nieuwe Situatie",(_xlfn.IFNA(VLOOKUP(Ontwerp_MKI_Totaal[[#This Row],[Product]]&amp;", "&amp;Ontwerp_MKI_Totaal[[#Headers],[A3]],Database_Productkaarten[#All],13,FALSE),0)*Ontwerpberekening!H26),0))/Ontwerpberekening!$A$2</f>
        <v>0</v>
      </c>
      <c r="G25" s="11">
        <f>(IF(Ontwerpberekening!C26="Nieuwe Situatie",(_xlfn.IFNA(VLOOKUP(Ontwerp_MKI_Totaal[[#This Row],[Product]]&amp;", "&amp;Ontwerp_MKI_Totaal[[#Headers],[A4]],Database_Productkaarten[#All],13,FALSE),0)*Ontwerpberekening!H26),0))/Ontwerpberekening!$A$2</f>
        <v>0</v>
      </c>
      <c r="H25" s="11">
        <f>(IF(Ontwerpberekening!C26="Nieuwe Situatie",(_xlfn.IFNA(VLOOKUP(Ontwerp_MKI_Totaal[[#This Row],[Product]]&amp;", "&amp;Ontwerp_MKI_Totaal[[#Headers],[A5]],Database_Productkaarten[#All],13,FALSE),0)*Ontwerpberekening!H26),0))/Ontwerpberekening!$A$2</f>
        <v>0</v>
      </c>
      <c r="I25" s="11">
        <f>(IF(Ontwerpberekening!C26="Nieuwe Situatie",(_xlfn.IFNA(VLOOKUP(Ontwerp_MKI_Totaal[[#This Row],[Product]]&amp;", "&amp;Ontwerp_MKI_Totaal[[#Headers],[B1]],Database_Productkaarten[#All],13,FALSE),0)*Ontwerpberekening!H26),0))/Ontwerpberekening!$A$2</f>
        <v>0</v>
      </c>
      <c r="J25" s="11">
        <f>(IF(Ontwerpberekening!C26="Nieuwe Situatie",(_xlfn.IFNA(VLOOKUP(Ontwerp_MKI_Totaal[[#This Row],[Product]]&amp;", "&amp;Ontwerp_MKI_Totaal[[#Headers],[B3]],Database_Productkaarten[#All],13,FALSE),0)*Ontwerpberekening!H26),0))/Ontwerpberekening!$A$2</f>
        <v>0</v>
      </c>
      <c r="K25" s="11">
        <f>(IF(Ontwerpberekening!C26="Nieuwe Situatie",(SUM(Ontwerp_MKI_Totaal[[#This Row],[A1]:[B1]],Ontwerp_MKI_Totaal[[#This Row],[C1]:[D2]])*Ontwerpberekening!R26),0))</f>
        <v>0</v>
      </c>
      <c r="L25" s="11">
        <f>_xlfn.IFNA(VLOOKUP(Ontwerp_MKI_Totaal[[#This Row],[Product]]&amp;", "&amp;Ontwerp_MKI_Totaal[[#Headers],[C1]],Database_Productkaarten[#All],13,FALSE)*Ontwerpberekening!H26,0)/Ontwerpberekening!$A$2</f>
        <v>8.3134090003599448E-2</v>
      </c>
      <c r="M25" s="11">
        <f>_xlfn.IFNA(VLOOKUP(Ontwerp_MKI_Totaal[[#This Row],[Product]]&amp;", "&amp;Ontwerp_MKI_Totaal[[#Headers],[C2]],Database_Productkaarten[#All],13,FALSE)*Ontwerpberekening!H26,0)/Ontwerpberekening!$A$2</f>
        <v>0.90054147394580197</v>
      </c>
      <c r="N25" s="11">
        <f>_xlfn.IFNA(VLOOKUP(Ontwerp_MKI_Totaal[[#This Row],[Product]]&amp;", "&amp;Ontwerp_MKI_Totaal[[#Headers],[C3]],Database_Productkaarten[#All],13,FALSE)*Ontwerpberekening!H26,0)/Ontwerpberekening!$A$2</f>
        <v>0</v>
      </c>
      <c r="O25" s="11">
        <f>_xlfn.IFNA(VLOOKUP(Ontwerp_MKI_Totaal[[#This Row],[Product]]&amp;", "&amp;Ontwerp_MKI_Totaal[[#Headers],[C4]],Database_Productkaarten[#All],13,FALSE)*Ontwerpberekening!H26,0)/Ontwerpberekening!$A$2</f>
        <v>0</v>
      </c>
      <c r="P25" s="11">
        <f>(IF(Ontwerpberekening!C26="Nieuwe Situatie",(_xlfn.IFNA(VLOOKUP(Ontwerp_MKI_Totaal[[#This Row],[Product]]&amp;", "&amp;Ontwerp_MKI_Totaal[[#Headers],[D1]],Database_Productkaarten[#All],13,FALSE),0)*Ontwerpberekening!H26),0))/Ontwerpberekening!$A$2</f>
        <v>0</v>
      </c>
      <c r="Q25" s="38">
        <f>(IF(Ontwerpberekening!C26="Nieuwe Situatie",_xlfn.IFNA(VLOOKUP(Ontwerp_MKI_Totaal[[#This Row],[Product]]&amp;", "&amp;Ontwerp_MKI_Totaal[[#Headers],[D2]],Database_Productkaarten[#All],13,FALSE),0)*Ontwerpberekening!H26,0))/Ontwerpberekening!$A$2</f>
        <v>0</v>
      </c>
      <c r="R25" s="11">
        <f>SUM(Ontwerp_MKI_Totaal[[#This Row],[A1]:[D2]])</f>
        <v>0.98367556394940148</v>
      </c>
    </row>
    <row r="26" spans="2:27" ht="18" x14ac:dyDescent="0.55000000000000004">
      <c r="B26" s="37" t="str">
        <f>Ontwerpberekening!B27</f>
        <v>Variant 1</v>
      </c>
      <c r="C26" s="23" t="str">
        <f>Ontwerpberekening!F27</f>
        <v>Opsluitband geopolymeer 100x200</v>
      </c>
      <c r="D26" s="11">
        <f>(IF(Ontwerpberekening!C27="Nieuwe Situatie",(_xlfn.IFNA(VLOOKUP(Ontwerp_MKI_Totaal[[#This Row],[Product]]&amp;", "&amp;Ontwerp_MKI_Totaal[[#Headers],[A1]],Database_Productkaarten[#All],13,FALSE),0)*Ontwerpberekening!H27),0))/Ontwerpberekening!$A$2</f>
        <v>0</v>
      </c>
      <c r="E26" s="11">
        <f>(IF(Ontwerpberekening!C27="Nieuwe Situatie",(_xlfn.IFNA(VLOOKUP(Ontwerp_MKI_Totaal[[#This Row],[Product]]&amp;", "&amp;Ontwerp_MKI_Totaal[[#Headers],[A2]],Database_Productkaarten[#All],13,FALSE),0)*Ontwerpberekening!H27),0))/Ontwerpberekening!$A$2</f>
        <v>0</v>
      </c>
      <c r="F26" s="11">
        <f>(IF(Ontwerpberekening!C27="Nieuwe Situatie",(_xlfn.IFNA(VLOOKUP(Ontwerp_MKI_Totaal[[#This Row],[Product]]&amp;", "&amp;Ontwerp_MKI_Totaal[[#Headers],[A3]],Database_Productkaarten[#All],13,FALSE),0)*Ontwerpberekening!H27),0))/Ontwerpberekening!$A$2</f>
        <v>0</v>
      </c>
      <c r="G26" s="11">
        <f>(IF(Ontwerpberekening!C27="Nieuwe Situatie",(_xlfn.IFNA(VLOOKUP(Ontwerp_MKI_Totaal[[#This Row],[Product]]&amp;", "&amp;Ontwerp_MKI_Totaal[[#Headers],[A4]],Database_Productkaarten[#All],13,FALSE),0)*Ontwerpberekening!H27),0))/Ontwerpberekening!$A$2</f>
        <v>0</v>
      </c>
      <c r="H26" s="11">
        <f>(IF(Ontwerpberekening!C27="Nieuwe Situatie",(_xlfn.IFNA(VLOOKUP(Ontwerp_MKI_Totaal[[#This Row],[Product]]&amp;", "&amp;Ontwerp_MKI_Totaal[[#Headers],[A5]],Database_Productkaarten[#All],13,FALSE),0)*Ontwerpberekening!H27),0))/Ontwerpberekening!$A$2</f>
        <v>0</v>
      </c>
      <c r="I26" s="11">
        <f>(IF(Ontwerpberekening!C27="Nieuwe Situatie",(_xlfn.IFNA(VLOOKUP(Ontwerp_MKI_Totaal[[#This Row],[Product]]&amp;", "&amp;Ontwerp_MKI_Totaal[[#Headers],[B1]],Database_Productkaarten[#All],13,FALSE),0)*Ontwerpberekening!H27),0))/Ontwerpberekening!$A$2</f>
        <v>0</v>
      </c>
      <c r="J26" s="11">
        <f>(IF(Ontwerpberekening!C27="Nieuwe Situatie",(_xlfn.IFNA(VLOOKUP(Ontwerp_MKI_Totaal[[#This Row],[Product]]&amp;", "&amp;Ontwerp_MKI_Totaal[[#Headers],[B3]],Database_Productkaarten[#All],13,FALSE),0)*Ontwerpberekening!H27),0))/Ontwerpberekening!$A$2</f>
        <v>0</v>
      </c>
      <c r="K26" s="11">
        <f>(IF(Ontwerpberekening!C27="Nieuwe Situatie",(SUM(Ontwerp_MKI_Totaal[[#This Row],[A1]:[B1]],Ontwerp_MKI_Totaal[[#This Row],[C1]:[D2]])*Ontwerpberekening!R27),0))</f>
        <v>0</v>
      </c>
      <c r="L26" s="11">
        <f>_xlfn.IFNA(VLOOKUP(Ontwerp_MKI_Totaal[[#This Row],[Product]]&amp;", "&amp;Ontwerp_MKI_Totaal[[#Headers],[C1]],Database_Productkaarten[#All],13,FALSE)*Ontwerpberekening!H27,0)/Ontwerpberekening!$A$2</f>
        <v>0</v>
      </c>
      <c r="M26" s="11">
        <f>_xlfn.IFNA(VLOOKUP(Ontwerp_MKI_Totaal[[#This Row],[Product]]&amp;", "&amp;Ontwerp_MKI_Totaal[[#Headers],[C2]],Database_Productkaarten[#All],13,FALSE)*Ontwerpberekening!H27,0)/Ontwerpberekening!$A$2</f>
        <v>8.9900000000000008E-2</v>
      </c>
      <c r="N26" s="11">
        <f>_xlfn.IFNA(VLOOKUP(Ontwerp_MKI_Totaal[[#This Row],[Product]]&amp;", "&amp;Ontwerp_MKI_Totaal[[#Headers],[C3]],Database_Productkaarten[#All],13,FALSE)*Ontwerpberekening!H27,0)/Ontwerpberekening!$A$2</f>
        <v>0.23366681402909492</v>
      </c>
      <c r="O26" s="11">
        <f>_xlfn.IFNA(VLOOKUP(Ontwerp_MKI_Totaal[[#This Row],[Product]]&amp;", "&amp;Ontwerp_MKI_Totaal[[#Headers],[C4]],Database_Productkaarten[#All],13,FALSE)*Ontwerpberekening!H27,0)/Ontwerpberekening!$A$2</f>
        <v>5.7999999999999996E-2</v>
      </c>
      <c r="P26" s="11">
        <f>(IF(Ontwerpberekening!C27="Nieuwe Situatie",(_xlfn.IFNA(VLOOKUP(Ontwerp_MKI_Totaal[[#This Row],[Product]]&amp;", "&amp;Ontwerp_MKI_Totaal[[#Headers],[D1]],Database_Productkaarten[#All],13,FALSE),0)*Ontwerpberekening!H27),0))/Ontwerpberekening!$A$2</f>
        <v>0</v>
      </c>
      <c r="Q26" s="38">
        <f>(IF(Ontwerpberekening!C27="Nieuwe Situatie",_xlfn.IFNA(VLOOKUP(Ontwerp_MKI_Totaal[[#This Row],[Product]]&amp;", "&amp;Ontwerp_MKI_Totaal[[#Headers],[D2]],Database_Productkaarten[#All],13,FALSE),0)*Ontwerpberekening!H27,0))/Ontwerpberekening!$A$2</f>
        <v>0</v>
      </c>
      <c r="R26" s="11">
        <f>SUM(Ontwerp_MKI_Totaal[[#This Row],[A1]:[D2]])</f>
        <v>0.38156681402909493</v>
      </c>
    </row>
    <row r="27" spans="2:27" ht="18" x14ac:dyDescent="0.55000000000000004">
      <c r="B27" s="37" t="str">
        <f>Ontwerpberekening!B28</f>
        <v>Variant 1</v>
      </c>
      <c r="C27" s="23" t="str">
        <f>Ontwerpberekening!F28</f>
        <v>Opsluitband geopolymeer 100x200</v>
      </c>
      <c r="D27" s="11">
        <f>(IF(Ontwerpberekening!C28="Nieuwe Situatie",(_xlfn.IFNA(VLOOKUP(Ontwerp_MKI_Totaal[[#This Row],[Product]]&amp;", "&amp;Ontwerp_MKI_Totaal[[#Headers],[A1]],Database_Productkaarten[#All],13,FALSE),0)*Ontwerpberekening!H28),0))/Ontwerpberekening!$A$2</f>
        <v>0</v>
      </c>
      <c r="E27" s="11">
        <f>(IF(Ontwerpberekening!C28="Nieuwe Situatie",(_xlfn.IFNA(VLOOKUP(Ontwerp_MKI_Totaal[[#This Row],[Product]]&amp;", "&amp;Ontwerp_MKI_Totaal[[#Headers],[A2]],Database_Productkaarten[#All],13,FALSE),0)*Ontwerpberekening!H28),0))/Ontwerpberekening!$A$2</f>
        <v>0</v>
      </c>
      <c r="F27" s="11">
        <f>(IF(Ontwerpberekening!C28="Nieuwe Situatie",(_xlfn.IFNA(VLOOKUP(Ontwerp_MKI_Totaal[[#This Row],[Product]]&amp;", "&amp;Ontwerp_MKI_Totaal[[#Headers],[A3]],Database_Productkaarten[#All],13,FALSE),0)*Ontwerpberekening!H28),0))/Ontwerpberekening!$A$2</f>
        <v>0</v>
      </c>
      <c r="G27" s="11">
        <f>(IF(Ontwerpberekening!C28="Nieuwe Situatie",(_xlfn.IFNA(VLOOKUP(Ontwerp_MKI_Totaal[[#This Row],[Product]]&amp;", "&amp;Ontwerp_MKI_Totaal[[#Headers],[A4]],Database_Productkaarten[#All],13,FALSE),0)*Ontwerpberekening!H28),0))/Ontwerpberekening!$A$2</f>
        <v>0</v>
      </c>
      <c r="H27" s="11">
        <f>(IF(Ontwerpberekening!C28="Nieuwe Situatie",(_xlfn.IFNA(VLOOKUP(Ontwerp_MKI_Totaal[[#This Row],[Product]]&amp;", "&amp;Ontwerp_MKI_Totaal[[#Headers],[A5]],Database_Productkaarten[#All],13,FALSE),0)*Ontwerpberekening!H28),0))/Ontwerpberekening!$A$2</f>
        <v>0</v>
      </c>
      <c r="I27" s="11">
        <f>(IF(Ontwerpberekening!C28="Nieuwe Situatie",(_xlfn.IFNA(VLOOKUP(Ontwerp_MKI_Totaal[[#This Row],[Product]]&amp;", "&amp;Ontwerp_MKI_Totaal[[#Headers],[B1]],Database_Productkaarten[#All],13,FALSE),0)*Ontwerpberekening!H28),0))/Ontwerpberekening!$A$2</f>
        <v>0</v>
      </c>
      <c r="J27" s="11">
        <f>(IF(Ontwerpberekening!C28="Nieuwe Situatie",(_xlfn.IFNA(VLOOKUP(Ontwerp_MKI_Totaal[[#This Row],[Product]]&amp;", "&amp;Ontwerp_MKI_Totaal[[#Headers],[B3]],Database_Productkaarten[#All],13,FALSE),0)*Ontwerpberekening!H28),0))/Ontwerpberekening!$A$2</f>
        <v>0</v>
      </c>
      <c r="K27" s="11">
        <f>(IF(Ontwerpberekening!C28="Nieuwe Situatie",(SUM(Ontwerp_MKI_Totaal[[#This Row],[A1]:[B1]],Ontwerp_MKI_Totaal[[#This Row],[C1]:[D2]])*Ontwerpberekening!R28),0))</f>
        <v>0</v>
      </c>
      <c r="L27" s="11">
        <f>_xlfn.IFNA(VLOOKUP(Ontwerp_MKI_Totaal[[#This Row],[Product]]&amp;", "&amp;Ontwerp_MKI_Totaal[[#Headers],[C1]],Database_Productkaarten[#All],13,FALSE)*Ontwerpberekening!H28,0)/Ontwerpberekening!$A$2</f>
        <v>0</v>
      </c>
      <c r="M27" s="11">
        <f>_xlfn.IFNA(VLOOKUP(Ontwerp_MKI_Totaal[[#This Row],[Product]]&amp;", "&amp;Ontwerp_MKI_Totaal[[#Headers],[C2]],Database_Productkaarten[#All],13,FALSE)*Ontwerpberekening!H28,0)/Ontwerpberekening!$A$2</f>
        <v>1.085E-2</v>
      </c>
      <c r="N27" s="11">
        <f>_xlfn.IFNA(VLOOKUP(Ontwerp_MKI_Totaal[[#This Row],[Product]]&amp;", "&amp;Ontwerp_MKI_Totaal[[#Headers],[C3]],Database_Productkaarten[#All],13,FALSE)*Ontwerpberekening!H28,0)/Ontwerpberekening!$A$2</f>
        <v>2.820116721040801E-2</v>
      </c>
      <c r="O27" s="11">
        <f>_xlfn.IFNA(VLOOKUP(Ontwerp_MKI_Totaal[[#This Row],[Product]]&amp;", "&amp;Ontwerp_MKI_Totaal[[#Headers],[C4]],Database_Productkaarten[#All],13,FALSE)*Ontwerpberekening!H28,0)/Ontwerpberekening!$A$2</f>
        <v>7.000000000000001E-3</v>
      </c>
      <c r="P27" s="11">
        <f>(IF(Ontwerpberekening!C28="Nieuwe Situatie",(_xlfn.IFNA(VLOOKUP(Ontwerp_MKI_Totaal[[#This Row],[Product]]&amp;", "&amp;Ontwerp_MKI_Totaal[[#Headers],[D1]],Database_Productkaarten[#All],13,FALSE),0)*Ontwerpberekening!H28),0))/Ontwerpberekening!$A$2</f>
        <v>0</v>
      </c>
      <c r="Q27" s="38">
        <f>(IF(Ontwerpberekening!C28="Nieuwe Situatie",_xlfn.IFNA(VLOOKUP(Ontwerp_MKI_Totaal[[#This Row],[Product]]&amp;", "&amp;Ontwerp_MKI_Totaal[[#Headers],[D2]],Database_Productkaarten[#All],13,FALSE),0)*Ontwerpberekening!H28,0))/Ontwerpberekening!$A$2</f>
        <v>0</v>
      </c>
      <c r="R27" s="11">
        <f>SUM(Ontwerp_MKI_Totaal[[#This Row],[A1]:[D2]])</f>
        <v>4.6051167210408007E-2</v>
      </c>
    </row>
    <row r="28" spans="2:27" ht="18" x14ac:dyDescent="0.55000000000000004">
      <c r="B28" s="37" t="str">
        <f>Ontwerpberekening!B29</f>
        <v>Variant 1</v>
      </c>
      <c r="C28" s="39" t="str">
        <f>Ontwerpberekening!F29</f>
        <v>Grond</v>
      </c>
      <c r="D28" s="11">
        <f>(IF(Ontwerpberekening!C29="Nieuwe Situatie",(_xlfn.IFNA(VLOOKUP(Ontwerp_MKI_Totaal[[#This Row],[Product]]&amp;", "&amp;Ontwerp_MKI_Totaal[[#Headers],[A1]],Database_Productkaarten[#All],13,FALSE),0)*Ontwerpberekening!H29),0))/Ontwerpberekening!$A$2</f>
        <v>0</v>
      </c>
      <c r="E28" s="11">
        <f>(IF(Ontwerpberekening!C29="Nieuwe Situatie",(_xlfn.IFNA(VLOOKUP(Ontwerp_MKI_Totaal[[#This Row],[Product]]&amp;", "&amp;Ontwerp_MKI_Totaal[[#Headers],[A2]],Database_Productkaarten[#All],13,FALSE),0)*Ontwerpberekening!H29),0))/Ontwerpberekening!$A$2</f>
        <v>0</v>
      </c>
      <c r="F28" s="11">
        <f>(IF(Ontwerpberekening!C29="Nieuwe Situatie",(_xlfn.IFNA(VLOOKUP(Ontwerp_MKI_Totaal[[#This Row],[Product]]&amp;", "&amp;Ontwerp_MKI_Totaal[[#Headers],[A3]],Database_Productkaarten[#All],13,FALSE),0)*Ontwerpberekening!H29),0))/Ontwerpberekening!$A$2</f>
        <v>0</v>
      </c>
      <c r="G28" s="11">
        <f>(IF(Ontwerpberekening!C29="Nieuwe Situatie",(_xlfn.IFNA(VLOOKUP(Ontwerp_MKI_Totaal[[#This Row],[Product]]&amp;", "&amp;Ontwerp_MKI_Totaal[[#Headers],[A4]],Database_Productkaarten[#All],13,FALSE),0)*Ontwerpberekening!H29),0))/Ontwerpberekening!$A$2</f>
        <v>0</v>
      </c>
      <c r="H28" s="11">
        <f>(IF(Ontwerpberekening!C29="Nieuwe Situatie",(_xlfn.IFNA(VLOOKUP(Ontwerp_MKI_Totaal[[#This Row],[Product]]&amp;", "&amp;Ontwerp_MKI_Totaal[[#Headers],[A5]],Database_Productkaarten[#All],13,FALSE),0)*Ontwerpberekening!H29),0))/Ontwerpberekening!$A$2</f>
        <v>0</v>
      </c>
      <c r="I28" s="11">
        <f>(IF(Ontwerpberekening!C29="Nieuwe Situatie",(_xlfn.IFNA(VLOOKUP(Ontwerp_MKI_Totaal[[#This Row],[Product]]&amp;", "&amp;Ontwerp_MKI_Totaal[[#Headers],[B1]],Database_Productkaarten[#All],13,FALSE),0)*Ontwerpberekening!H29),0))/Ontwerpberekening!$A$2</f>
        <v>0</v>
      </c>
      <c r="J28" s="11">
        <f>(IF(Ontwerpberekening!C29="Nieuwe Situatie",(_xlfn.IFNA(VLOOKUP(Ontwerp_MKI_Totaal[[#This Row],[Product]]&amp;", "&amp;Ontwerp_MKI_Totaal[[#Headers],[B3]],Database_Productkaarten[#All],13,FALSE),0)*Ontwerpberekening!H29),0))/Ontwerpberekening!$A$2</f>
        <v>0</v>
      </c>
      <c r="K28" s="11">
        <f>(IF(Ontwerpberekening!C29="Nieuwe Situatie",(SUM(Ontwerp_MKI_Totaal[[#This Row],[A1]:[B1]],Ontwerp_MKI_Totaal[[#This Row],[C1]:[D2]])*Ontwerpberekening!R29),0))</f>
        <v>0</v>
      </c>
      <c r="L28" s="11">
        <f>_xlfn.IFNA(VLOOKUP(Ontwerp_MKI_Totaal[[#This Row],[Product]]&amp;", "&amp;Ontwerp_MKI_Totaal[[#Headers],[C1]],Database_Productkaarten[#All],13,FALSE)*Ontwerpberekening!H29,0)/Ontwerpberekening!$A$2</f>
        <v>2.6252870527452461E-3</v>
      </c>
      <c r="M28" s="11">
        <f>_xlfn.IFNA(VLOOKUP(Ontwerp_MKI_Totaal[[#This Row],[Product]]&amp;", "&amp;Ontwerp_MKI_Totaal[[#Headers],[C2]],Database_Productkaarten[#All],13,FALSE)*Ontwerpberekening!H29,0)/Ontwerpberekening!$A$2</f>
        <v>2.8438151808814798E-2</v>
      </c>
      <c r="N28" s="11">
        <f>_xlfn.IFNA(VLOOKUP(Ontwerp_MKI_Totaal[[#This Row],[Product]]&amp;", "&amp;Ontwerp_MKI_Totaal[[#Headers],[C3]],Database_Productkaarten[#All],13,FALSE)*Ontwerpberekening!H29,0)/Ontwerpberekening!$A$2</f>
        <v>0</v>
      </c>
      <c r="O28" s="11">
        <f>_xlfn.IFNA(VLOOKUP(Ontwerp_MKI_Totaal[[#This Row],[Product]]&amp;", "&amp;Ontwerp_MKI_Totaal[[#Headers],[C4]],Database_Productkaarten[#All],13,FALSE)*Ontwerpberekening!H29,0)/Ontwerpberekening!$A$2</f>
        <v>0</v>
      </c>
      <c r="P28" s="11">
        <f>(IF(Ontwerpberekening!C29="Nieuwe Situatie",(_xlfn.IFNA(VLOOKUP(Ontwerp_MKI_Totaal[[#This Row],[Product]]&amp;", "&amp;Ontwerp_MKI_Totaal[[#Headers],[D1]],Database_Productkaarten[#All],13,FALSE),0)*Ontwerpberekening!H29),0))/Ontwerpberekening!$A$2</f>
        <v>0</v>
      </c>
      <c r="Q28" s="11">
        <f>(IF(Ontwerpberekening!C29="Nieuwe Situatie",_xlfn.IFNA(VLOOKUP(Ontwerp_MKI_Totaal[[#This Row],[Product]]&amp;", "&amp;Ontwerp_MKI_Totaal[[#Headers],[D2]],Database_Productkaarten[#All],13,FALSE),0)*Ontwerpberekening!H29,0))/Ontwerpberekening!$A$2</f>
        <v>0</v>
      </c>
      <c r="R28" s="11">
        <f>SUM(Ontwerp_MKI_Totaal[[#This Row],[A1]:[D2]])</f>
        <v>3.1063438861560044E-2</v>
      </c>
    </row>
    <row r="29" spans="2:27" ht="18" x14ac:dyDescent="0.55000000000000004">
      <c r="B29" s="37" t="str">
        <f>Ontwerpberekening!B30</f>
        <v>Variant 1</v>
      </c>
      <c r="C29" s="23" t="str">
        <f>Ontwerpberekening!F30</f>
        <v>Hydraulisch Menggranulaat</v>
      </c>
      <c r="D29" s="11">
        <f>(IF(Ontwerpberekening!C30="Nieuwe Situatie",(_xlfn.IFNA(VLOOKUP(Ontwerp_MKI_Totaal[[#This Row],[Product]]&amp;", "&amp;Ontwerp_MKI_Totaal[[#Headers],[A1]],Database_Productkaarten[#All],13,FALSE),0)*Ontwerpberekening!H30),0))/Ontwerpberekening!$A$2</f>
        <v>0</v>
      </c>
      <c r="E29" s="11">
        <f>(IF(Ontwerpberekening!C30="Nieuwe Situatie",(_xlfn.IFNA(VLOOKUP(Ontwerp_MKI_Totaal[[#This Row],[Product]]&amp;", "&amp;Ontwerp_MKI_Totaal[[#Headers],[A2]],Database_Productkaarten[#All],13,FALSE),0)*Ontwerpberekening!H30),0))/Ontwerpberekening!$A$2</f>
        <v>0</v>
      </c>
      <c r="F29" s="11">
        <f>(IF(Ontwerpberekening!C30="Nieuwe Situatie",(_xlfn.IFNA(VLOOKUP(Ontwerp_MKI_Totaal[[#This Row],[Product]]&amp;", "&amp;Ontwerp_MKI_Totaal[[#Headers],[A3]],Database_Productkaarten[#All],13,FALSE),0)*Ontwerpberekening!H30),0))/Ontwerpberekening!$A$2</f>
        <v>0</v>
      </c>
      <c r="G29" s="11">
        <f>(IF(Ontwerpberekening!C30="Nieuwe Situatie",(_xlfn.IFNA(VLOOKUP(Ontwerp_MKI_Totaal[[#This Row],[Product]]&amp;", "&amp;Ontwerp_MKI_Totaal[[#Headers],[A4]],Database_Productkaarten[#All],13,FALSE),0)*Ontwerpberekening!H30),0))/Ontwerpberekening!$A$2</f>
        <v>0.25594336627933317</v>
      </c>
      <c r="H29" s="11">
        <f>(IF(Ontwerpberekening!C30="Nieuwe Situatie",(_xlfn.IFNA(VLOOKUP(Ontwerp_MKI_Totaal[[#This Row],[Product]]&amp;", "&amp;Ontwerp_MKI_Totaal[[#Headers],[A5]],Database_Productkaarten[#All],13,FALSE),0)*Ontwerpberekening!H30),0))/Ontwerpberekening!$A$2</f>
        <v>2.1002296421961972E-2</v>
      </c>
      <c r="I29" s="11">
        <f>(IF(Ontwerpberekening!C30="Nieuwe Situatie",(_xlfn.IFNA(VLOOKUP(Ontwerp_MKI_Totaal[[#This Row],[Product]]&amp;", "&amp;Ontwerp_MKI_Totaal[[#Headers],[B1]],Database_Productkaarten[#All],13,FALSE),0)*Ontwerpberekening!H30),0))/Ontwerpberekening!$A$2</f>
        <v>0</v>
      </c>
      <c r="J29" s="11">
        <f>(IF(Ontwerpberekening!C30="Nieuwe Situatie",(_xlfn.IFNA(VLOOKUP(Ontwerp_MKI_Totaal[[#This Row],[Product]]&amp;", "&amp;Ontwerp_MKI_Totaal[[#Headers],[B3]],Database_Productkaarten[#All],13,FALSE),0)*Ontwerpberekening!H30),0))/Ontwerpberekening!$A$2</f>
        <v>0</v>
      </c>
      <c r="K29" s="11">
        <f>(IF(Ontwerpberekening!C30="Nieuwe Situatie",(SUM(Ontwerp_MKI_Totaal[[#This Row],[A1]:[B1]],Ontwerp_MKI_Totaal[[#This Row],[C1]:[D2]])*Ontwerpberekening!R30),0))</f>
        <v>0</v>
      </c>
      <c r="L29" s="11">
        <f>_xlfn.IFNA(VLOOKUP(Ontwerp_MKI_Totaal[[#This Row],[Product]]&amp;", "&amp;Ontwerp_MKI_Totaal[[#Headers],[C1]],Database_Productkaarten[#All],13,FALSE)*Ontwerpberekening!H30,0)/Ontwerpberekening!$A$2</f>
        <v>2.1002296421961972E-2</v>
      </c>
      <c r="M29" s="11">
        <f>_xlfn.IFNA(VLOOKUP(Ontwerp_MKI_Totaal[[#This Row],[Product]]&amp;", "&amp;Ontwerp_MKI_Totaal[[#Headers],[C2]],Database_Productkaarten[#All],13,FALSE)*Ontwerpberekening!H30,0)/Ontwerpberekening!$A$2</f>
        <v>0.25594336627933317</v>
      </c>
      <c r="N29" s="11">
        <f>_xlfn.IFNA(VLOOKUP(Ontwerp_MKI_Totaal[[#This Row],[Product]]&amp;", "&amp;Ontwerp_MKI_Totaal[[#Headers],[C3]],Database_Productkaarten[#All],13,FALSE)*Ontwerpberekening!H30,0)/Ontwerpberekening!$A$2</f>
        <v>0</v>
      </c>
      <c r="O29" s="11">
        <f>_xlfn.IFNA(VLOOKUP(Ontwerp_MKI_Totaal[[#This Row],[Product]]&amp;", "&amp;Ontwerp_MKI_Totaal[[#Headers],[C4]],Database_Productkaarten[#All],13,FALSE)*Ontwerpberekening!H30,0)/Ontwerpberekening!$A$2</f>
        <v>4.3476573816000003E-3</v>
      </c>
      <c r="P29" s="11">
        <f>(IF(Ontwerpberekening!C30="Nieuwe Situatie",(_xlfn.IFNA(VLOOKUP(Ontwerp_MKI_Totaal[[#This Row],[Product]]&amp;", "&amp;Ontwerp_MKI_Totaal[[#Headers],[D1]],Database_Productkaarten[#All],13,FALSE),0)*Ontwerpberekening!H30),0))/Ontwerpberekening!$A$2</f>
        <v>0</v>
      </c>
      <c r="Q29" s="38">
        <f>(IF(Ontwerpberekening!C30="Nieuwe Situatie",_xlfn.IFNA(VLOOKUP(Ontwerp_MKI_Totaal[[#This Row],[Product]]&amp;", "&amp;Ontwerp_MKI_Totaal[[#Headers],[D2]],Database_Productkaarten[#All],13,FALSE),0)*Ontwerpberekening!H30,0))/Ontwerpberekening!$A$2</f>
        <v>0</v>
      </c>
      <c r="R29" s="11">
        <f>SUM(Ontwerp_MKI_Totaal[[#This Row],[A1]:[D2]])</f>
        <v>0.55823898278419037</v>
      </c>
    </row>
    <row r="30" spans="2:27" ht="18" x14ac:dyDescent="0.55000000000000004">
      <c r="B30" s="37" t="str">
        <f>Ontwerpberekening!B31</f>
        <v>Variant 1</v>
      </c>
      <c r="C30" s="23" t="str">
        <f>Ontwerpberekening!F31</f>
        <v>AC bin/base 50% PR - PCR 2.0</v>
      </c>
      <c r="D30" s="11">
        <f>(IF(Ontwerpberekening!C31="Nieuwe Situatie",(_xlfn.IFNA(VLOOKUP(Ontwerp_MKI_Totaal[[#This Row],[Product]]&amp;", "&amp;Ontwerp_MKI_Totaal[[#Headers],[A1]],Database_Productkaarten[#All],13,FALSE),0)*Ontwerpberekening!H31),0))/Ontwerpberekening!$A$2</f>
        <v>3.2873027522146776</v>
      </c>
      <c r="E30" s="11">
        <f>(IF(Ontwerpberekening!C31="Nieuwe Situatie",(_xlfn.IFNA(VLOOKUP(Ontwerp_MKI_Totaal[[#This Row],[Product]]&amp;", "&amp;Ontwerp_MKI_Totaal[[#Headers],[A2]],Database_Productkaarten[#All],13,FALSE),0)*Ontwerpberekening!H31),0))/Ontwerpberekening!$A$2</f>
        <v>1.7364874518370983</v>
      </c>
      <c r="F30" s="11">
        <f>(IF(Ontwerpberekening!C31="Nieuwe Situatie",(_xlfn.IFNA(VLOOKUP(Ontwerp_MKI_Totaal[[#This Row],[Product]]&amp;", "&amp;Ontwerp_MKI_Totaal[[#Headers],[A3]],Database_Productkaarten[#All],13,FALSE),0)*Ontwerpberekening!H31),0))/Ontwerpberekening!$A$2</f>
        <v>1.977981536130202</v>
      </c>
      <c r="G30" s="11">
        <f>(IF(Ontwerpberekening!C31="Nieuwe Situatie",(_xlfn.IFNA(VLOOKUP(Ontwerp_MKI_Totaal[[#This Row],[Product]]&amp;", "&amp;Ontwerp_MKI_Totaal[[#Headers],[A4]],Database_Productkaarten[#All],13,FALSE),0)*Ontwerpberekening!H31),0))/Ontwerpberekening!$A$2</f>
        <v>0.44492066987768636</v>
      </c>
      <c r="H30" s="11">
        <f>(IF(Ontwerpberekening!C31="Nieuwe Situatie",(_xlfn.IFNA(VLOOKUP(Ontwerp_MKI_Totaal[[#This Row],[Product]]&amp;", "&amp;Ontwerp_MKI_Totaal[[#Headers],[A5]],Database_Productkaarten[#All],13,FALSE),0)*Ontwerpberekening!H31),0))/Ontwerpberekening!$A$2</f>
        <v>0.16800376756228438</v>
      </c>
      <c r="I30" s="11">
        <f>(IF(Ontwerpberekening!C31="Nieuwe Situatie",(_xlfn.IFNA(VLOOKUP(Ontwerp_MKI_Totaal[[#This Row],[Product]]&amp;", "&amp;Ontwerp_MKI_Totaal[[#Headers],[B1]],Database_Productkaarten[#All],13,FALSE),0)*Ontwerpberekening!H31),0))/Ontwerpberekening!$A$2</f>
        <v>0</v>
      </c>
      <c r="J30" s="11">
        <f>(IF(Ontwerpberekening!C31="Nieuwe Situatie",(_xlfn.IFNA(VLOOKUP(Ontwerp_MKI_Totaal[[#This Row],[Product]]&amp;", "&amp;Ontwerp_MKI_Totaal[[#Headers],[B3]],Database_Productkaarten[#All],13,FALSE),0)*Ontwerpberekening!H31),0))/Ontwerpberekening!$A$2</f>
        <v>0</v>
      </c>
      <c r="K30" s="11">
        <f>(IF(Ontwerpberekening!C31="Nieuwe Situatie",(SUM(Ontwerp_MKI_Totaal[[#This Row],[A1]:[B1]],Ontwerp_MKI_Totaal[[#This Row],[C1]:[D2]])*Ontwerpberekening!R31),0))</f>
        <v>0</v>
      </c>
      <c r="L30" s="11">
        <f>_xlfn.IFNA(VLOOKUP(Ontwerp_MKI_Totaal[[#This Row],[Product]]&amp;", "&amp;Ontwerp_MKI_Totaal[[#Headers],[C1]],Database_Productkaarten[#All],13,FALSE)*Ontwerpberekening!H31,0)/Ontwerpberekening!$A$2</f>
        <v>0.37430305266030012</v>
      </c>
      <c r="M30" s="11">
        <f>_xlfn.IFNA(VLOOKUP(Ontwerp_MKI_Totaal[[#This Row],[Product]]&amp;", "&amp;Ontwerp_MKI_Totaal[[#Headers],[C2]],Database_Productkaarten[#All],13,FALSE)*Ontwerpberekening!H31,0)/Ontwerpberekening!$A$2</f>
        <v>0.37672758687072105</v>
      </c>
      <c r="N30" s="11">
        <f>_xlfn.IFNA(VLOOKUP(Ontwerp_MKI_Totaal[[#This Row],[Product]]&amp;", "&amp;Ontwerp_MKI_Totaal[[#Headers],[C3]],Database_Productkaarten[#All],13,FALSE)*Ontwerpberekening!H31,0)/Ontwerpberekening!$A$2</f>
        <v>0.18877045826201924</v>
      </c>
      <c r="O30" s="11">
        <f>_xlfn.IFNA(VLOOKUP(Ontwerp_MKI_Totaal[[#This Row],[Product]]&amp;", "&amp;Ontwerp_MKI_Totaal[[#Headers],[C4]],Database_Productkaarten[#All],13,FALSE)*Ontwerpberekening!H31,0)/Ontwerpberekening!$A$2</f>
        <v>0</v>
      </c>
      <c r="P30" s="11">
        <f>(IF(Ontwerpberekening!C31="Nieuwe Situatie",(_xlfn.IFNA(VLOOKUP(Ontwerp_MKI_Totaal[[#This Row],[Product]]&amp;", "&amp;Ontwerp_MKI_Totaal[[#Headers],[D1]],Database_Productkaarten[#All],13,FALSE),0)*Ontwerpberekening!H31),0))/Ontwerpberekening!$A$2</f>
        <v>-2.7559749389091617</v>
      </c>
      <c r="Q30" s="38">
        <f>(IF(Ontwerpberekening!C31="Nieuwe Situatie",_xlfn.IFNA(VLOOKUP(Ontwerp_MKI_Totaal[[#This Row],[Product]]&amp;", "&amp;Ontwerp_MKI_Totaal[[#Headers],[D2]],Database_Productkaarten[#All],13,FALSE),0)*Ontwerpberekening!H31,0))/Ontwerpberekening!$A$2</f>
        <v>0</v>
      </c>
      <c r="R30" s="11">
        <f>SUM(Ontwerp_MKI_Totaal[[#This Row],[A1]:[D2]])</f>
        <v>5.7985223365058278</v>
      </c>
    </row>
    <row r="31" spans="2:27" ht="18" x14ac:dyDescent="0.55000000000000004">
      <c r="B31" s="37" t="str">
        <f>Ontwerpberekening!B32</f>
        <v>Variant 1</v>
      </c>
      <c r="C31" s="23" t="str">
        <f>Ontwerpberekening!F32</f>
        <v>AC bin/base 50% PR - PCR 2.0</v>
      </c>
      <c r="D31" s="11">
        <f>(IF(Ontwerpberekening!C32="Nieuwe Situatie",(_xlfn.IFNA(VLOOKUP(Ontwerp_MKI_Totaal[[#This Row],[Product]]&amp;", "&amp;Ontwerp_MKI_Totaal[[#Headers],[A1]],Database_Productkaarten[#All],13,FALSE),0)*Ontwerpberekening!H32),0))/Ontwerpberekening!$A$2</f>
        <v>15.779053210630455</v>
      </c>
      <c r="E31" s="11">
        <f>(IF(Ontwerpberekening!C32="Nieuwe Situatie",(_xlfn.IFNA(VLOOKUP(Ontwerp_MKI_Totaal[[#This Row],[Product]]&amp;", "&amp;Ontwerp_MKI_Totaal[[#Headers],[A2]],Database_Productkaarten[#All],13,FALSE),0)*Ontwerpberekening!H32),0))/Ontwerpberekening!$A$2</f>
        <v>8.3351397688180722</v>
      </c>
      <c r="F31" s="11">
        <f>(IF(Ontwerpberekening!C32="Nieuwe Situatie",(_xlfn.IFNA(VLOOKUP(Ontwerp_MKI_Totaal[[#This Row],[Product]]&amp;", "&amp;Ontwerp_MKI_Totaal[[#Headers],[A3]],Database_Productkaarten[#All],13,FALSE),0)*Ontwerpberekening!H32),0))/Ontwerpberekening!$A$2</f>
        <v>9.4943113734249707</v>
      </c>
      <c r="G31" s="11">
        <f>(IF(Ontwerpberekening!C32="Nieuwe Situatie",(_xlfn.IFNA(VLOOKUP(Ontwerp_MKI_Totaal[[#This Row],[Product]]&amp;", "&amp;Ontwerp_MKI_Totaal[[#Headers],[A4]],Database_Productkaarten[#All],13,FALSE),0)*Ontwerpberekening!H32),0))/Ontwerpberekening!$A$2</f>
        <v>2.1356192154128948</v>
      </c>
      <c r="H31" s="11">
        <f>(IF(Ontwerpberekening!C32="Nieuwe Situatie",(_xlfn.IFNA(VLOOKUP(Ontwerp_MKI_Totaal[[#This Row],[Product]]&amp;", "&amp;Ontwerp_MKI_Totaal[[#Headers],[A5]],Database_Productkaarten[#All],13,FALSE),0)*Ontwerpberekening!H32),0))/Ontwerpberekening!$A$2</f>
        <v>0.80641808429896511</v>
      </c>
      <c r="I31" s="11">
        <f>(IF(Ontwerpberekening!C32="Nieuwe Situatie",(_xlfn.IFNA(VLOOKUP(Ontwerp_MKI_Totaal[[#This Row],[Product]]&amp;", "&amp;Ontwerp_MKI_Totaal[[#Headers],[B1]],Database_Productkaarten[#All],13,FALSE),0)*Ontwerpberekening!H32),0))/Ontwerpberekening!$A$2</f>
        <v>0</v>
      </c>
      <c r="J31" s="11">
        <f>(IF(Ontwerpberekening!C32="Nieuwe Situatie",(_xlfn.IFNA(VLOOKUP(Ontwerp_MKI_Totaal[[#This Row],[Product]]&amp;", "&amp;Ontwerp_MKI_Totaal[[#Headers],[B3]],Database_Productkaarten[#All],13,FALSE),0)*Ontwerpberekening!H32),0))/Ontwerpberekening!$A$2</f>
        <v>0</v>
      </c>
      <c r="K31" s="11">
        <f>(IF(Ontwerpberekening!C32="Nieuwe Situatie",(SUM(Ontwerp_MKI_Totaal[[#This Row],[A1]:[B1]],Ontwerp_MKI_Totaal[[#This Row],[C1]:[D2]])*Ontwerpberekening!R32),0))</f>
        <v>0</v>
      </c>
      <c r="L31" s="11">
        <f>_xlfn.IFNA(VLOOKUP(Ontwerp_MKI_Totaal[[#This Row],[Product]]&amp;", "&amp;Ontwerp_MKI_Totaal[[#Headers],[C1]],Database_Productkaarten[#All],13,FALSE)*Ontwerpberekening!H32,0)/Ontwerpberekening!$A$2</f>
        <v>1.7966546527694407</v>
      </c>
      <c r="M31" s="11">
        <f>_xlfn.IFNA(VLOOKUP(Ontwerp_MKI_Totaal[[#This Row],[Product]]&amp;", "&amp;Ontwerp_MKI_Totaal[[#Headers],[C2]],Database_Productkaarten[#All],13,FALSE)*Ontwerpberekening!H32,0)/Ontwerpberekening!$A$2</f>
        <v>1.8082924169794612</v>
      </c>
      <c r="N31" s="11">
        <f>_xlfn.IFNA(VLOOKUP(Ontwerp_MKI_Totaal[[#This Row],[Product]]&amp;", "&amp;Ontwerp_MKI_Totaal[[#Headers],[C3]],Database_Productkaarten[#All],13,FALSE)*Ontwerpberekening!H32,0)/Ontwerpberekening!$A$2</f>
        <v>0.90609819965769245</v>
      </c>
      <c r="O31" s="11">
        <f>_xlfn.IFNA(VLOOKUP(Ontwerp_MKI_Totaal[[#This Row],[Product]]&amp;", "&amp;Ontwerp_MKI_Totaal[[#Headers],[C4]],Database_Productkaarten[#All],13,FALSE)*Ontwerpberekening!H32,0)/Ontwerpberekening!$A$2</f>
        <v>0</v>
      </c>
      <c r="P31" s="11">
        <f>(IF(Ontwerpberekening!C32="Nieuwe Situatie",(_xlfn.IFNA(VLOOKUP(Ontwerp_MKI_Totaal[[#This Row],[Product]]&amp;", "&amp;Ontwerp_MKI_Totaal[[#Headers],[D1]],Database_Productkaarten[#All],13,FALSE),0)*Ontwerpberekening!H32),0))/Ontwerpberekening!$A$2</f>
        <v>-13.228679706763977</v>
      </c>
      <c r="Q31" s="38">
        <f>(IF(Ontwerpberekening!C32="Nieuwe Situatie",_xlfn.IFNA(VLOOKUP(Ontwerp_MKI_Totaal[[#This Row],[Product]]&amp;", "&amp;Ontwerp_MKI_Totaal[[#Headers],[D2]],Database_Productkaarten[#All],13,FALSE),0)*Ontwerpberekening!H32,0))/Ontwerpberekening!$A$2</f>
        <v>0</v>
      </c>
      <c r="R31" s="11">
        <f>SUM(Ontwerp_MKI_Totaal[[#This Row],[A1]:[D2]])</f>
        <v>27.832907215227976</v>
      </c>
    </row>
    <row r="32" spans="2:27" ht="18" x14ac:dyDescent="0.55000000000000004">
      <c r="B32" s="37" t="str">
        <f>Ontwerpberekening!B33</f>
        <v>Variant 1</v>
      </c>
      <c r="C32" s="23" t="str">
        <f>Ontwerpberekening!F33</f>
        <v>AC Surf 0% PR - PCR 2.0</v>
      </c>
      <c r="D32" s="11">
        <f>(IF(Ontwerpberekening!C33="Nieuwe Situatie",(_xlfn.IFNA(VLOOKUP(Ontwerp_MKI_Totaal[[#This Row],[Product]]&amp;", "&amp;Ontwerp_MKI_Totaal[[#Headers],[A1]],Database_Productkaarten[#All],13,FALSE),0)*Ontwerpberekening!H33),0))/Ontwerpberekening!$A$2</f>
        <v>253.61041700228841</v>
      </c>
      <c r="E32" s="11">
        <f>(IF(Ontwerpberekening!C33="Nieuwe Situatie",(_xlfn.IFNA(VLOOKUP(Ontwerp_MKI_Totaal[[#This Row],[Product]]&amp;", "&amp;Ontwerp_MKI_Totaal[[#Headers],[A2]],Database_Productkaarten[#All],13,FALSE),0)*Ontwerpberekening!H33),0))/Ontwerpberekening!$A$2</f>
        <v>125.85679742699513</v>
      </c>
      <c r="F32" s="11">
        <f>(IF(Ontwerpberekening!C33="Nieuwe Situatie",(_xlfn.IFNA(VLOOKUP(Ontwerp_MKI_Totaal[[#This Row],[Product]]&amp;", "&amp;Ontwerp_MKI_Totaal[[#Headers],[A3]],Database_Productkaarten[#All],13,FALSE),0)*Ontwerpberekening!H33),0))/Ontwerpberekening!$A$2</f>
        <v>57.867932169414736</v>
      </c>
      <c r="G32" s="11">
        <f>(IF(Ontwerpberekening!C33="Nieuwe Situatie",(_xlfn.IFNA(VLOOKUP(Ontwerp_MKI_Totaal[[#This Row],[Product]]&amp;", "&amp;Ontwerp_MKI_Totaal[[#Headers],[A4]],Database_Productkaarten[#All],13,FALSE),0)*Ontwerpberekening!H33),0))/Ontwerpberekening!$A$2</f>
        <v>12.692347692023391</v>
      </c>
      <c r="H32" s="11">
        <f>(IF(Ontwerpberekening!C33="Nieuwe Situatie",(_xlfn.IFNA(VLOOKUP(Ontwerp_MKI_Totaal[[#This Row],[Product]]&amp;", "&amp;Ontwerp_MKI_Totaal[[#Headers],[A5]],Database_Productkaarten[#All],13,FALSE),0)*Ontwerpberekening!H33),0))/Ontwerpberekening!$A$2</f>
        <v>8.7792738627230822</v>
      </c>
      <c r="I32" s="11">
        <f>(IF(Ontwerpberekening!C33="Nieuwe Situatie",(_xlfn.IFNA(VLOOKUP(Ontwerp_MKI_Totaal[[#This Row],[Product]]&amp;", "&amp;Ontwerp_MKI_Totaal[[#Headers],[B1]],Database_Productkaarten[#All],13,FALSE),0)*Ontwerpberekening!H33),0))/Ontwerpberekening!$A$2</f>
        <v>2.7746889622316413</v>
      </c>
      <c r="J32" s="11">
        <f>(IF(Ontwerpberekening!C33="Nieuwe Situatie",(_xlfn.IFNA(VLOOKUP(Ontwerp_MKI_Totaal[[#This Row],[Product]]&amp;", "&amp;Ontwerp_MKI_Totaal[[#Headers],[B3]],Database_Productkaarten[#All],13,FALSE),0)*Ontwerpberekening!H33),0))/Ontwerpberekening!$A$2</f>
        <v>0</v>
      </c>
      <c r="K32" s="11">
        <f>(IF(Ontwerpberekening!C33="Nieuwe Situatie",(SUM(Ontwerp_MKI_Totaal[[#This Row],[A1]:[B1]],Ontwerp_MKI_Totaal[[#This Row],[C1]:[D2]])*Ontwerpberekening!R33),0))</f>
        <v>0</v>
      </c>
      <c r="L32" s="11">
        <f>_xlfn.IFNA(VLOOKUP(Ontwerp_MKI_Totaal[[#This Row],[Product]]&amp;", "&amp;Ontwerp_MKI_Totaal[[#Headers],[C1]],Database_Productkaarten[#All],13,FALSE)*Ontwerpberekening!H33,0)/Ontwerpberekening!$A$2</f>
        <v>4.577704988904653</v>
      </c>
      <c r="M32" s="11">
        <f>_xlfn.IFNA(VLOOKUP(Ontwerp_MKI_Totaal[[#This Row],[Product]]&amp;", "&amp;Ontwerp_MKI_Totaal[[#Headers],[C2]],Database_Productkaarten[#All],13,FALSE)*Ontwerpberekening!H33,0)/Ontwerpberekening!$A$2</f>
        <v>10.74698893862279</v>
      </c>
      <c r="N32" s="11">
        <f>_xlfn.IFNA(VLOOKUP(Ontwerp_MKI_Totaal[[#This Row],[Product]]&amp;", "&amp;Ontwerp_MKI_Totaal[[#Headers],[C3]],Database_Productkaarten[#All],13,FALSE)*Ontwerpberekening!H33,0)/Ontwerpberekening!$A$2</f>
        <v>5.3850954733717415</v>
      </c>
      <c r="O32" s="11">
        <f>_xlfn.IFNA(VLOOKUP(Ontwerp_MKI_Totaal[[#This Row],[Product]]&amp;", "&amp;Ontwerp_MKI_Totaal[[#Headers],[C4]],Database_Productkaarten[#All],13,FALSE)*Ontwerpberekening!H33,0)/Ontwerpberekening!$A$2</f>
        <v>0</v>
      </c>
      <c r="P32" s="11">
        <f>(IF(Ontwerpberekening!C33="Nieuwe Situatie",(_xlfn.IFNA(VLOOKUP(Ontwerp_MKI_Totaal[[#This Row],[Product]]&amp;", "&amp;Ontwerp_MKI_Totaal[[#Headers],[D1]],Database_Productkaarten[#All],13,FALSE),0)*Ontwerpberekening!H33),0))/Ontwerpberekening!$A$2</f>
        <v>-147.65869346127488</v>
      </c>
      <c r="Q32" s="38">
        <f>(IF(Ontwerpberekening!C33="Nieuwe Situatie",_xlfn.IFNA(VLOOKUP(Ontwerp_MKI_Totaal[[#This Row],[Product]]&amp;", "&amp;Ontwerp_MKI_Totaal[[#Headers],[D2]],Database_Productkaarten[#All],13,FALSE),0)*Ontwerpberekening!H33,0))/Ontwerpberekening!$A$2</f>
        <v>0</v>
      </c>
      <c r="R32" s="11">
        <f>SUM(Ontwerp_MKI_Totaal[[#This Row],[A1]:[D2]])</f>
        <v>334.63255305530078</v>
      </c>
    </row>
    <row r="33" spans="2:21" ht="18" x14ac:dyDescent="0.55000000000000004">
      <c r="B33" s="37" t="str">
        <f>Ontwerpberekening!B34</f>
        <v>Variant 1</v>
      </c>
      <c r="C33" s="39" t="str">
        <f>Ontwerpberekening!F34</f>
        <v>Betonstraatsteen geopolymeer 210x105x80</v>
      </c>
      <c r="D33" s="11">
        <f>(IF(Ontwerpberekening!C34="Nieuwe Situatie",(_xlfn.IFNA(VLOOKUP(Ontwerp_MKI_Totaal[[#This Row],[Product]]&amp;", "&amp;Ontwerp_MKI_Totaal[[#Headers],[A1]],Database_Productkaarten[#All],13,FALSE),0)*Ontwerpberekening!H34),0))/Ontwerpberekening!$A$2</f>
        <v>1.1960000000000002</v>
      </c>
      <c r="E33" s="11">
        <f>(IF(Ontwerpberekening!C34="Nieuwe Situatie",(_xlfn.IFNA(VLOOKUP(Ontwerp_MKI_Totaal[[#This Row],[Product]]&amp;", "&amp;Ontwerp_MKI_Totaal[[#Headers],[A2]],Database_Productkaarten[#All],13,FALSE),0)*Ontwerpberekening!H34),0))/Ontwerpberekening!$A$2</f>
        <v>0.39</v>
      </c>
      <c r="F33" s="11">
        <f>(IF(Ontwerpberekening!C34="Nieuwe Situatie",(_xlfn.IFNA(VLOOKUP(Ontwerp_MKI_Totaal[[#This Row],[Product]]&amp;", "&amp;Ontwerp_MKI_Totaal[[#Headers],[A3]],Database_Productkaarten[#All],13,FALSE),0)*Ontwerpberekening!H34),0))/Ontwerpberekening!$A$2</f>
        <v>0.28600000000000003</v>
      </c>
      <c r="G33" s="11" t="e">
        <f>(IF(Ontwerpberekening!C34="Nieuwe Situatie",(_xlfn.IFNA(VLOOKUP(Ontwerp_MKI_Totaal[[#This Row],[Product]]&amp;", "&amp;Ontwerp_MKI_Totaal[[#Headers],[A4]],Database_Productkaarten[#All],13,FALSE),0)*Ontwerpberekening!H34),0))/Ontwerpberekening!$A$2</f>
        <v>#REF!</v>
      </c>
      <c r="H33" s="11">
        <f>(IF(Ontwerpberekening!C34="Nieuwe Situatie",(_xlfn.IFNA(VLOOKUP(Ontwerp_MKI_Totaal[[#This Row],[Product]]&amp;", "&amp;Ontwerp_MKI_Totaal[[#Headers],[A5]],Database_Productkaarten[#All],13,FALSE),0)*Ontwerpberekening!H34),0))/Ontwerpberekening!$A$2</f>
        <v>0.16327999999999998</v>
      </c>
      <c r="I33" s="11">
        <f>(IF(Ontwerpberekening!C34="Nieuwe Situatie",(_xlfn.IFNA(VLOOKUP(Ontwerp_MKI_Totaal[[#This Row],[Product]]&amp;", "&amp;Ontwerp_MKI_Totaal[[#Headers],[B1]],Database_Productkaarten[#All],13,FALSE),0)*Ontwerpberekening!H34),0))/Ontwerpberekening!$A$2</f>
        <v>0</v>
      </c>
      <c r="J33" s="11">
        <f>(IF(Ontwerpberekening!C34="Nieuwe Situatie",(_xlfn.IFNA(VLOOKUP(Ontwerp_MKI_Totaal[[#This Row],[Product]]&amp;", "&amp;Ontwerp_MKI_Totaal[[#Headers],[B3]],Database_Productkaarten[#All],13,FALSE),0)*Ontwerpberekening!H34),0))/Ontwerpberekening!$A$2</f>
        <v>0</v>
      </c>
      <c r="K33" s="11" t="e">
        <f>(IF(Ontwerpberekening!C34="Nieuwe Situatie",(SUM(Ontwerp_MKI_Totaal[[#This Row],[A1]:[B1]],Ontwerp_MKI_Totaal[[#This Row],[C1]:[D2]])*Ontwerpberekening!R34),0))</f>
        <v>#REF!</v>
      </c>
      <c r="L33" s="11">
        <f>_xlfn.IFNA(VLOOKUP(Ontwerp_MKI_Totaal[[#This Row],[Product]]&amp;", "&amp;Ontwerp_MKI_Totaal[[#Headers],[C1]],Database_Productkaarten[#All],13,FALSE)*Ontwerpberekening!H34,0)/Ontwerpberekening!$A$2</f>
        <v>0</v>
      </c>
      <c r="M33" s="11" t="e">
        <f>_xlfn.IFNA(VLOOKUP(Ontwerp_MKI_Totaal[[#This Row],[Product]]&amp;", "&amp;Ontwerp_MKI_Totaal[[#Headers],[C2]],Database_Productkaarten[#All],13,FALSE)*Ontwerpberekening!H34,0)/Ontwerpberekening!$A$2</f>
        <v>#REF!</v>
      </c>
      <c r="N33" s="11">
        <f>_xlfn.IFNA(VLOOKUP(Ontwerp_MKI_Totaal[[#This Row],[Product]]&amp;", "&amp;Ontwerp_MKI_Totaal[[#Headers],[C3]],Database_Productkaarten[#All],13,FALSE)*Ontwerpberekening!H34,0)/Ontwerpberekening!$A$2</f>
        <v>5.2000000000000005E-2</v>
      </c>
      <c r="O33" s="11">
        <f>_xlfn.IFNA(VLOOKUP(Ontwerp_MKI_Totaal[[#This Row],[Product]]&amp;", "&amp;Ontwerp_MKI_Totaal[[#Headers],[C4]],Database_Productkaarten[#All],13,FALSE)*Ontwerpberekening!H34,0)/Ontwerpberekening!$A$2</f>
        <v>0</v>
      </c>
      <c r="P33" s="11">
        <f>(IF(Ontwerpberekening!C34="Nieuwe Situatie",(_xlfn.IFNA(VLOOKUP(Ontwerp_MKI_Totaal[[#This Row],[Product]]&amp;", "&amp;Ontwerp_MKI_Totaal[[#Headers],[D1]],Database_Productkaarten[#All],13,FALSE),0)*Ontwerpberekening!H34),0))/Ontwerpberekening!$A$2</f>
        <v>-0.18200000000000002</v>
      </c>
      <c r="Q33" s="11">
        <f>(IF(Ontwerpberekening!C34="Nieuwe Situatie",_xlfn.IFNA(VLOOKUP(Ontwerp_MKI_Totaal[[#This Row],[Product]]&amp;", "&amp;Ontwerp_MKI_Totaal[[#Headers],[D2]],Database_Productkaarten[#All],13,FALSE),0)*Ontwerpberekening!H34,0))/Ontwerpberekening!$A$2</f>
        <v>0</v>
      </c>
      <c r="R33" s="11" t="e">
        <f>SUM(Ontwerp_MKI_Totaal[[#This Row],[A1]:[D2]])</f>
        <v>#REF!</v>
      </c>
    </row>
    <row r="34" spans="2:21" ht="18" x14ac:dyDescent="0.55000000000000004">
      <c r="B34" s="37" t="str">
        <f>Ontwerpberekening!B35</f>
        <v>Variant 1</v>
      </c>
      <c r="C34" s="39" t="str">
        <f>Ontwerpberekening!F35</f>
        <v>Grond</v>
      </c>
      <c r="D34" s="11">
        <f>(IF(Ontwerpberekening!C35="Nieuwe Situatie",(_xlfn.IFNA(VLOOKUP(Ontwerp_MKI_Totaal[[#This Row],[Product]]&amp;", "&amp;Ontwerp_MKI_Totaal[[#Headers],[A1]],Database_Productkaarten[#All],13,FALSE),0)*Ontwerpberekening!H35),0))/Ontwerpberekening!$A$2</f>
        <v>0</v>
      </c>
      <c r="E34" s="11">
        <f>(IF(Ontwerpberekening!C35="Nieuwe Situatie",(_xlfn.IFNA(VLOOKUP(Ontwerp_MKI_Totaal[[#This Row],[Product]]&amp;", "&amp;Ontwerp_MKI_Totaal[[#Headers],[A2]],Database_Productkaarten[#All],13,FALSE),0)*Ontwerpberekening!H35),0))/Ontwerpberekening!$A$2</f>
        <v>0</v>
      </c>
      <c r="F34" s="11">
        <f>(IF(Ontwerpberekening!C35="Nieuwe Situatie",(_xlfn.IFNA(VLOOKUP(Ontwerp_MKI_Totaal[[#This Row],[Product]]&amp;", "&amp;Ontwerp_MKI_Totaal[[#Headers],[A3]],Database_Productkaarten[#All],13,FALSE),0)*Ontwerpberekening!H35),0))/Ontwerpberekening!$A$2</f>
        <v>0</v>
      </c>
      <c r="G34" s="11">
        <f>(IF(Ontwerpberekening!C35="Nieuwe Situatie",(_xlfn.IFNA(VLOOKUP(Ontwerp_MKI_Totaal[[#This Row],[Product]]&amp;", "&amp;Ontwerp_MKI_Totaal[[#Headers],[A4]],Database_Productkaarten[#All],13,FALSE),0)*Ontwerpberekening!H35),0))/Ontwerpberekening!$A$2</f>
        <v>0.90054147394580197</v>
      </c>
      <c r="H34" s="11">
        <f>(IF(Ontwerpberekening!C35="Nieuwe Situatie",(_xlfn.IFNA(VLOOKUP(Ontwerp_MKI_Totaal[[#This Row],[Product]]&amp;", "&amp;Ontwerp_MKI_Totaal[[#Headers],[A5]],Database_Productkaarten[#All],13,FALSE),0)*Ontwerpberekening!H35),0))/Ontwerpberekening!$A$2</f>
        <v>8.3134090003599448E-2</v>
      </c>
      <c r="I34" s="11">
        <f>(IF(Ontwerpberekening!C35="Nieuwe Situatie",(_xlfn.IFNA(VLOOKUP(Ontwerp_MKI_Totaal[[#This Row],[Product]]&amp;", "&amp;Ontwerp_MKI_Totaal[[#Headers],[B1]],Database_Productkaarten[#All],13,FALSE),0)*Ontwerpberekening!H35),0))/Ontwerpberekening!$A$2</f>
        <v>0</v>
      </c>
      <c r="J34" s="11">
        <f>(IF(Ontwerpberekening!C35="Nieuwe Situatie",(_xlfn.IFNA(VLOOKUP(Ontwerp_MKI_Totaal[[#This Row],[Product]]&amp;", "&amp;Ontwerp_MKI_Totaal[[#Headers],[B3]],Database_Productkaarten[#All],13,FALSE),0)*Ontwerpberekening!H35),0))/Ontwerpberekening!$A$2</f>
        <v>0</v>
      </c>
      <c r="K34" s="11">
        <f>(IF(Ontwerpberekening!C35="Nieuwe Situatie",(SUM(Ontwerp_MKI_Totaal[[#This Row],[A1]:[B1]],Ontwerp_MKI_Totaal[[#This Row],[C1]:[D2]])*Ontwerpberekening!R35),0))</f>
        <v>0</v>
      </c>
      <c r="L34" s="11">
        <f>_xlfn.IFNA(VLOOKUP(Ontwerp_MKI_Totaal[[#This Row],[Product]]&amp;", "&amp;Ontwerp_MKI_Totaal[[#Headers],[C1]],Database_Productkaarten[#All],13,FALSE)*Ontwerpberekening!H35,0)/Ontwerpberekening!$A$2</f>
        <v>8.3134090003599448E-2</v>
      </c>
      <c r="M34" s="11">
        <f>_xlfn.IFNA(VLOOKUP(Ontwerp_MKI_Totaal[[#This Row],[Product]]&amp;", "&amp;Ontwerp_MKI_Totaal[[#Headers],[C2]],Database_Productkaarten[#All],13,FALSE)*Ontwerpberekening!H35,0)/Ontwerpberekening!$A$2</f>
        <v>0.90054147394580197</v>
      </c>
      <c r="N34" s="11">
        <f>_xlfn.IFNA(VLOOKUP(Ontwerp_MKI_Totaal[[#This Row],[Product]]&amp;", "&amp;Ontwerp_MKI_Totaal[[#Headers],[C3]],Database_Productkaarten[#All],13,FALSE)*Ontwerpberekening!H35,0)/Ontwerpberekening!$A$2</f>
        <v>0</v>
      </c>
      <c r="O34" s="11">
        <f>_xlfn.IFNA(VLOOKUP(Ontwerp_MKI_Totaal[[#This Row],[Product]]&amp;", "&amp;Ontwerp_MKI_Totaal[[#Headers],[C4]],Database_Productkaarten[#All],13,FALSE)*Ontwerpberekening!H35,0)/Ontwerpberekening!$A$2</f>
        <v>0</v>
      </c>
      <c r="P34" s="11">
        <f>(IF(Ontwerpberekening!C35="Nieuwe Situatie",(_xlfn.IFNA(VLOOKUP(Ontwerp_MKI_Totaal[[#This Row],[Product]]&amp;", "&amp;Ontwerp_MKI_Totaal[[#Headers],[D1]],Database_Productkaarten[#All],13,FALSE),0)*Ontwerpberekening!H35),0))/Ontwerpberekening!$A$2</f>
        <v>0</v>
      </c>
      <c r="Q34" s="11">
        <f>(IF(Ontwerpberekening!C35="Nieuwe Situatie",_xlfn.IFNA(VLOOKUP(Ontwerp_MKI_Totaal[[#This Row],[Product]]&amp;", "&amp;Ontwerp_MKI_Totaal[[#Headers],[D2]],Database_Productkaarten[#All],13,FALSE),0)*Ontwerpberekening!H35,0))/Ontwerpberekening!$A$2</f>
        <v>0</v>
      </c>
      <c r="R34" s="11">
        <f>SUM(Ontwerp_MKI_Totaal[[#This Row],[A1]:[D2]])</f>
        <v>1.967351127898803</v>
      </c>
    </row>
    <row r="35" spans="2:21" ht="18" x14ac:dyDescent="0.55000000000000004">
      <c r="B35" s="37" t="str">
        <f>Ontwerpberekening!B36</f>
        <v>Variant 1</v>
      </c>
      <c r="C35" s="39" t="str">
        <f>Ontwerpberekening!F36</f>
        <v>Opsluitband geopolymeer 100x200</v>
      </c>
      <c r="D35" s="11">
        <f>(IF(Ontwerpberekening!C36="Nieuwe Situatie",(_xlfn.IFNA(VLOOKUP(Ontwerp_MKI_Totaal[[#This Row],[Product]]&amp;", "&amp;Ontwerp_MKI_Totaal[[#Headers],[A1]],Database_Productkaarten[#All],13,FALSE),0)*Ontwerpberekening!H36),0))/Ontwerpberekening!$A$2</f>
        <v>2.7822911044040213</v>
      </c>
      <c r="E35" s="11">
        <f>(IF(Ontwerpberekening!C36="Nieuwe Situatie",(_xlfn.IFNA(VLOOKUP(Ontwerp_MKI_Totaal[[#This Row],[Product]]&amp;", "&amp;Ontwerp_MKI_Totaal[[#Headers],[A2]],Database_Productkaarten[#All],13,FALSE),0)*Ontwerpberekening!H36),0))/Ontwerpberekening!$A$2</f>
        <v>1.534</v>
      </c>
      <c r="F35" s="11">
        <f>(IF(Ontwerpberekening!C36="Nieuwe Situatie",(_xlfn.IFNA(VLOOKUP(Ontwerp_MKI_Totaal[[#This Row],[Product]]&amp;", "&amp;Ontwerp_MKI_Totaal[[#Headers],[A3]],Database_Productkaarten[#All],13,FALSE),0)*Ontwerpberekening!H36),0))/Ontwerpberekening!$A$2</f>
        <v>0.41300000000000003</v>
      </c>
      <c r="G35" s="11">
        <f>(IF(Ontwerpberekening!C36="Nieuwe Situatie",(_xlfn.IFNA(VLOOKUP(Ontwerp_MKI_Totaal[[#This Row],[Product]]&amp;", "&amp;Ontwerp_MKI_Totaal[[#Headers],[A4]],Database_Productkaarten[#All],13,FALSE),0)*Ontwerpberekening!H36),0))/Ontwerpberekening!$A$2</f>
        <v>0.29499999999999998</v>
      </c>
      <c r="H35" s="11">
        <f>(IF(Ontwerpberekening!C36="Nieuwe Situatie",(_xlfn.IFNA(VLOOKUP(Ontwerp_MKI_Totaal[[#This Row],[Product]]&amp;", "&amp;Ontwerp_MKI_Totaal[[#Headers],[A5]],Database_Productkaarten[#All],13,FALSE),0)*Ontwerpberekening!H36),0))/Ontwerpberekening!$A$2</f>
        <v>0.23769555220201036</v>
      </c>
      <c r="I35" s="11">
        <f>(IF(Ontwerpberekening!C36="Nieuwe Situatie",(_xlfn.IFNA(VLOOKUP(Ontwerp_MKI_Totaal[[#This Row],[Product]]&amp;", "&amp;Ontwerp_MKI_Totaal[[#Headers],[B1]],Database_Productkaarten[#All],13,FALSE),0)*Ontwerpberekening!H36),0))/Ontwerpberekening!$A$2</f>
        <v>9.144999999999999E-2</v>
      </c>
      <c r="J35" s="11">
        <f>(IF(Ontwerpberekening!C36="Nieuwe Situatie",(_xlfn.IFNA(VLOOKUP(Ontwerp_MKI_Totaal[[#This Row],[Product]]&amp;", "&amp;Ontwerp_MKI_Totaal[[#Headers],[B3]],Database_Productkaarten[#All],13,FALSE),0)*Ontwerpberekening!H36),0))/Ontwerpberekening!$A$2</f>
        <v>0</v>
      </c>
      <c r="K35" s="11">
        <f>(IF(Ontwerpberekening!C36="Nieuwe Situatie",(SUM(Ontwerp_MKI_Totaal[[#This Row],[A1]:[B1]],Ontwerp_MKI_Totaal[[#This Row],[C1]:[D2]])*Ontwerpberekening!R36),0))</f>
        <v>0</v>
      </c>
      <c r="L35" s="11">
        <f>_xlfn.IFNA(VLOOKUP(Ontwerp_MKI_Totaal[[#This Row],[Product]]&amp;", "&amp;Ontwerp_MKI_Totaal[[#Headers],[C1]],Database_Productkaarten[#All],13,FALSE)*Ontwerpberekening!H36,0)/Ontwerpberekening!$A$2</f>
        <v>0</v>
      </c>
      <c r="M35" s="11">
        <f>_xlfn.IFNA(VLOOKUP(Ontwerp_MKI_Totaal[[#This Row],[Product]]&amp;", "&amp;Ontwerp_MKI_Totaal[[#Headers],[C2]],Database_Productkaarten[#All],13,FALSE)*Ontwerpberekening!H36,0)/Ontwerpberekening!$A$2</f>
        <v>9.144999999999999E-2</v>
      </c>
      <c r="N35" s="11">
        <f>_xlfn.IFNA(VLOOKUP(Ontwerp_MKI_Totaal[[#This Row],[Product]]&amp;", "&amp;Ontwerp_MKI_Totaal[[#Headers],[C3]],Database_Productkaarten[#All],13,FALSE)*Ontwerpberekening!H36,0)/Ontwerpberekening!$A$2</f>
        <v>0.23769555220201036</v>
      </c>
      <c r="O35" s="11">
        <f>_xlfn.IFNA(VLOOKUP(Ontwerp_MKI_Totaal[[#This Row],[Product]]&amp;", "&amp;Ontwerp_MKI_Totaal[[#Headers],[C4]],Database_Productkaarten[#All],13,FALSE)*Ontwerpberekening!H36,0)/Ontwerpberekening!$A$2</f>
        <v>5.9000000000000004E-2</v>
      </c>
      <c r="P35" s="11">
        <f>(IF(Ontwerpberekening!C36="Nieuwe Situatie",(_xlfn.IFNA(VLOOKUP(Ontwerp_MKI_Totaal[[#This Row],[Product]]&amp;", "&amp;Ontwerp_MKI_Totaal[[#Headers],[D1]],Database_Productkaarten[#All],13,FALSE),0)*Ontwerpberekening!H36),0))/Ontwerpberekening!$A$2</f>
        <v>0</v>
      </c>
      <c r="Q35" s="11">
        <f>(IF(Ontwerpberekening!C36="Nieuwe Situatie",_xlfn.IFNA(VLOOKUP(Ontwerp_MKI_Totaal[[#This Row],[Product]]&amp;", "&amp;Ontwerp_MKI_Totaal[[#Headers],[D2]],Database_Productkaarten[#All],13,FALSE),0)*Ontwerpberekening!H36,0))/Ontwerpberekening!$A$2</f>
        <v>-0.17699999999999999</v>
      </c>
      <c r="R35" s="11">
        <f>SUM(Ontwerp_MKI_Totaal[[#This Row],[A1]:[D2]])</f>
        <v>5.5645822088080434</v>
      </c>
    </row>
    <row r="36" spans="2:21" ht="18" x14ac:dyDescent="0.55000000000000004">
      <c r="B36" s="37" t="str">
        <f>Ontwerpberekening!B37</f>
        <v>Variant 1</v>
      </c>
      <c r="C36" s="39" t="str">
        <f>Ontwerpberekening!F37</f>
        <v>Opsluitband geopolymeer 100x200</v>
      </c>
      <c r="D36" s="11">
        <f>(IF(Ontwerpberekening!C37="Nieuwe Situatie",(_xlfn.IFNA(VLOOKUP(Ontwerp_MKI_Totaal[[#This Row],[Product]]&amp;", "&amp;Ontwerp_MKI_Totaal[[#Headers],[A1]],Database_Productkaarten[#All],13,FALSE),0)*Ontwerpberekening!H37),0))/Ontwerpberekening!$A$2</f>
        <v>0.23578738172915434</v>
      </c>
      <c r="E36" s="11">
        <f>(IF(Ontwerpberekening!C37="Nieuwe Situatie",(_xlfn.IFNA(VLOOKUP(Ontwerp_MKI_Totaal[[#This Row],[Product]]&amp;", "&amp;Ontwerp_MKI_Totaal[[#Headers],[A2]],Database_Productkaarten[#All],13,FALSE),0)*Ontwerpberekening!H37),0))/Ontwerpberekening!$A$2</f>
        <v>0.13</v>
      </c>
      <c r="F36" s="11">
        <f>(IF(Ontwerpberekening!C37="Nieuwe Situatie",(_xlfn.IFNA(VLOOKUP(Ontwerp_MKI_Totaal[[#This Row],[Product]]&amp;", "&amp;Ontwerp_MKI_Totaal[[#Headers],[A3]],Database_Productkaarten[#All],13,FALSE),0)*Ontwerpberekening!H37),0))/Ontwerpberekening!$A$2</f>
        <v>3.5000000000000003E-2</v>
      </c>
      <c r="G36" s="11">
        <f>(IF(Ontwerpberekening!C37="Nieuwe Situatie",(_xlfn.IFNA(VLOOKUP(Ontwerp_MKI_Totaal[[#This Row],[Product]]&amp;", "&amp;Ontwerp_MKI_Totaal[[#Headers],[A4]],Database_Productkaarten[#All],13,FALSE),0)*Ontwerpberekening!H37),0))/Ontwerpberekening!$A$2</f>
        <v>2.5000000000000001E-2</v>
      </c>
      <c r="H36" s="11">
        <f>(IF(Ontwerpberekening!C37="Nieuwe Situatie",(_xlfn.IFNA(VLOOKUP(Ontwerp_MKI_Totaal[[#This Row],[Product]]&amp;", "&amp;Ontwerp_MKI_Totaal[[#Headers],[A5]],Database_Productkaarten[#All],13,FALSE),0)*Ontwerpberekening!H37),0))/Ontwerpberekening!$A$2</f>
        <v>2.0143690864577145E-2</v>
      </c>
      <c r="I36" s="11">
        <f>(IF(Ontwerpberekening!C37="Nieuwe Situatie",(_xlfn.IFNA(VLOOKUP(Ontwerp_MKI_Totaal[[#This Row],[Product]]&amp;", "&amp;Ontwerp_MKI_Totaal[[#Headers],[B1]],Database_Productkaarten[#All],13,FALSE),0)*Ontwerpberekening!H37),0))/Ontwerpberekening!$A$2</f>
        <v>7.7499999999999999E-3</v>
      </c>
      <c r="J36" s="11">
        <f>(IF(Ontwerpberekening!C37="Nieuwe Situatie",(_xlfn.IFNA(VLOOKUP(Ontwerp_MKI_Totaal[[#This Row],[Product]]&amp;", "&amp;Ontwerp_MKI_Totaal[[#Headers],[B3]],Database_Productkaarten[#All],13,FALSE),0)*Ontwerpberekening!H37),0))/Ontwerpberekening!$A$2</f>
        <v>0</v>
      </c>
      <c r="K36" s="11">
        <f>(IF(Ontwerpberekening!C37="Nieuwe Situatie",(SUM(Ontwerp_MKI_Totaal[[#This Row],[A1]:[B1]],Ontwerp_MKI_Totaal[[#This Row],[C1]:[D2]])*Ontwerpberekening!R37),0))</f>
        <v>0</v>
      </c>
      <c r="L36" s="11">
        <f>_xlfn.IFNA(VLOOKUP(Ontwerp_MKI_Totaal[[#This Row],[Product]]&amp;", "&amp;Ontwerp_MKI_Totaal[[#Headers],[C1]],Database_Productkaarten[#All],13,FALSE)*Ontwerpberekening!H37,0)/Ontwerpberekening!$A$2</f>
        <v>0</v>
      </c>
      <c r="M36" s="11">
        <f>_xlfn.IFNA(VLOOKUP(Ontwerp_MKI_Totaal[[#This Row],[Product]]&amp;", "&amp;Ontwerp_MKI_Totaal[[#Headers],[C2]],Database_Productkaarten[#All],13,FALSE)*Ontwerpberekening!H37,0)/Ontwerpberekening!$A$2</f>
        <v>7.7499999999999999E-3</v>
      </c>
      <c r="N36" s="11">
        <f>_xlfn.IFNA(VLOOKUP(Ontwerp_MKI_Totaal[[#This Row],[Product]]&amp;", "&amp;Ontwerp_MKI_Totaal[[#Headers],[C3]],Database_Productkaarten[#All],13,FALSE)*Ontwerpberekening!H37,0)/Ontwerpberekening!$A$2</f>
        <v>2.0143690864577145E-2</v>
      </c>
      <c r="O36" s="11">
        <f>_xlfn.IFNA(VLOOKUP(Ontwerp_MKI_Totaal[[#This Row],[Product]]&amp;", "&amp;Ontwerp_MKI_Totaal[[#Headers],[C4]],Database_Productkaarten[#All],13,FALSE)*Ontwerpberekening!H37,0)/Ontwerpberekening!$A$2</f>
        <v>5.0000000000000001E-3</v>
      </c>
      <c r="P36" s="11">
        <f>(IF(Ontwerpberekening!C37="Nieuwe Situatie",(_xlfn.IFNA(VLOOKUP(Ontwerp_MKI_Totaal[[#This Row],[Product]]&amp;", "&amp;Ontwerp_MKI_Totaal[[#Headers],[D1]],Database_Productkaarten[#All],13,FALSE),0)*Ontwerpberekening!H37),0))/Ontwerpberekening!$A$2</f>
        <v>0</v>
      </c>
      <c r="Q36" s="11">
        <f>(IF(Ontwerpberekening!C37="Nieuwe Situatie",_xlfn.IFNA(VLOOKUP(Ontwerp_MKI_Totaal[[#This Row],[Product]]&amp;", "&amp;Ontwerp_MKI_Totaal[[#Headers],[D2]],Database_Productkaarten[#All],13,FALSE),0)*Ontwerpberekening!H37,0))/Ontwerpberekening!$A$2</f>
        <v>-1.4999999999999999E-2</v>
      </c>
      <c r="R36" s="11">
        <f>SUM(Ontwerp_MKI_Totaal[[#This Row],[A1]:[D2]])</f>
        <v>0.47157476345830862</v>
      </c>
    </row>
    <row r="37" spans="2:21" ht="18" x14ac:dyDescent="0.55000000000000004">
      <c r="B37" s="37" t="str">
        <f>Ontwerpberekening!B38</f>
        <v>Variant 1</v>
      </c>
      <c r="C37" s="39" t="str">
        <f>Ontwerpberekening!F38</f>
        <v>Grond</v>
      </c>
      <c r="D37" s="11">
        <f>(IF(Ontwerpberekening!C38="Nieuwe Situatie",(_xlfn.IFNA(VLOOKUP(Ontwerp_MKI_Totaal[[#This Row],[Product]]&amp;", "&amp;Ontwerp_MKI_Totaal[[#Headers],[A1]],Database_Productkaarten[#All],13,FALSE),0)*Ontwerpberekening!H38),0))/Ontwerpberekening!$A$2</f>
        <v>0</v>
      </c>
      <c r="E37" s="11">
        <f>(IF(Ontwerpberekening!C38="Nieuwe Situatie",(_xlfn.IFNA(VLOOKUP(Ontwerp_MKI_Totaal[[#This Row],[Product]]&amp;", "&amp;Ontwerp_MKI_Totaal[[#Headers],[A2]],Database_Productkaarten[#All],13,FALSE),0)*Ontwerpberekening!H38),0))/Ontwerpberekening!$A$2</f>
        <v>0</v>
      </c>
      <c r="F37" s="11">
        <f>(IF(Ontwerpberekening!C38="Nieuwe Situatie",(_xlfn.IFNA(VLOOKUP(Ontwerp_MKI_Totaal[[#This Row],[Product]]&amp;", "&amp;Ontwerp_MKI_Totaal[[#Headers],[A3]],Database_Productkaarten[#All],13,FALSE),0)*Ontwerpberekening!H38),0))/Ontwerpberekening!$A$2</f>
        <v>0</v>
      </c>
      <c r="G37" s="11">
        <f>(IF(Ontwerpberekening!C38="Nieuwe Situatie",(_xlfn.IFNA(VLOOKUP(Ontwerp_MKI_Totaal[[#This Row],[Product]]&amp;", "&amp;Ontwerp_MKI_Totaal[[#Headers],[A4]],Database_Productkaarten[#All],13,FALSE),0)*Ontwerpberekening!H38),0))/Ontwerpberekening!$A$2</f>
        <v>2.8438151808814798E-2</v>
      </c>
      <c r="H37" s="11">
        <f>(IF(Ontwerpberekening!C38="Nieuwe Situatie",(_xlfn.IFNA(VLOOKUP(Ontwerp_MKI_Totaal[[#This Row],[Product]]&amp;", "&amp;Ontwerp_MKI_Totaal[[#Headers],[A5]],Database_Productkaarten[#All],13,FALSE),0)*Ontwerpberekening!H38),0))/Ontwerpberekening!$A$2</f>
        <v>2.6252870527452461E-3</v>
      </c>
      <c r="I37" s="11">
        <f>(IF(Ontwerpberekening!C38="Nieuwe Situatie",(_xlfn.IFNA(VLOOKUP(Ontwerp_MKI_Totaal[[#This Row],[Product]]&amp;", "&amp;Ontwerp_MKI_Totaal[[#Headers],[B1]],Database_Productkaarten[#All],13,FALSE),0)*Ontwerpberekening!H38),0))/Ontwerpberekening!$A$2</f>
        <v>0</v>
      </c>
      <c r="J37" s="11">
        <f>(IF(Ontwerpberekening!C38="Nieuwe Situatie",(_xlfn.IFNA(VLOOKUP(Ontwerp_MKI_Totaal[[#This Row],[Product]]&amp;", "&amp;Ontwerp_MKI_Totaal[[#Headers],[B3]],Database_Productkaarten[#All],13,FALSE),0)*Ontwerpberekening!H38),0))/Ontwerpberekening!$A$2</f>
        <v>0</v>
      </c>
      <c r="K37" s="11">
        <f>(IF(Ontwerpberekening!C38="Nieuwe Situatie",(SUM(Ontwerp_MKI_Totaal[[#This Row],[A1]:[B1]],Ontwerp_MKI_Totaal[[#This Row],[C1]:[D2]])*Ontwerpberekening!R38),0))</f>
        <v>0</v>
      </c>
      <c r="L37" s="11">
        <f>_xlfn.IFNA(VLOOKUP(Ontwerp_MKI_Totaal[[#This Row],[Product]]&amp;", "&amp;Ontwerp_MKI_Totaal[[#Headers],[C1]],Database_Productkaarten[#All],13,FALSE)*Ontwerpberekening!H38,0)/Ontwerpberekening!$A$2</f>
        <v>2.6252870527452461E-3</v>
      </c>
      <c r="M37" s="11">
        <f>_xlfn.IFNA(VLOOKUP(Ontwerp_MKI_Totaal[[#This Row],[Product]]&amp;", "&amp;Ontwerp_MKI_Totaal[[#Headers],[C2]],Database_Productkaarten[#All],13,FALSE)*Ontwerpberekening!H38,0)/Ontwerpberekening!$A$2</f>
        <v>2.8438151808814798E-2</v>
      </c>
      <c r="N37" s="11">
        <f>_xlfn.IFNA(VLOOKUP(Ontwerp_MKI_Totaal[[#This Row],[Product]]&amp;", "&amp;Ontwerp_MKI_Totaal[[#Headers],[C3]],Database_Productkaarten[#All],13,FALSE)*Ontwerpberekening!H38,0)/Ontwerpberekening!$A$2</f>
        <v>0</v>
      </c>
      <c r="O37" s="11">
        <f>_xlfn.IFNA(VLOOKUP(Ontwerp_MKI_Totaal[[#This Row],[Product]]&amp;", "&amp;Ontwerp_MKI_Totaal[[#Headers],[C4]],Database_Productkaarten[#All],13,FALSE)*Ontwerpberekening!H38,0)/Ontwerpberekening!$A$2</f>
        <v>0</v>
      </c>
      <c r="P37" s="11">
        <f>(IF(Ontwerpberekening!C38="Nieuwe Situatie",(_xlfn.IFNA(VLOOKUP(Ontwerp_MKI_Totaal[[#This Row],[Product]]&amp;", "&amp;Ontwerp_MKI_Totaal[[#Headers],[D1]],Database_Productkaarten[#All],13,FALSE),0)*Ontwerpberekening!H38),0))/Ontwerpberekening!$A$2</f>
        <v>0</v>
      </c>
      <c r="Q37" s="11">
        <f>(IF(Ontwerpberekening!C38="Nieuwe Situatie",_xlfn.IFNA(VLOOKUP(Ontwerp_MKI_Totaal[[#This Row],[Product]]&amp;", "&amp;Ontwerp_MKI_Totaal[[#Headers],[D2]],Database_Productkaarten[#All],13,FALSE),0)*Ontwerpberekening!H38,0))/Ontwerpberekening!$A$2</f>
        <v>0</v>
      </c>
      <c r="R37" s="11">
        <f>SUM(Ontwerp_MKI_Totaal[[#This Row],[A1]:[D2]])</f>
        <v>6.2126877723120089E-2</v>
      </c>
    </row>
    <row r="38" spans="2:21" ht="18" x14ac:dyDescent="0.55000000000000004">
      <c r="B38" s="37">
        <f>Ontwerpberekening!B39</f>
        <v>0</v>
      </c>
      <c r="C38" s="39">
        <f>Ontwerpberekening!F39</f>
        <v>0</v>
      </c>
      <c r="D38" s="11">
        <f>(IF(Ontwerpberekening!C39="Nieuwe Situatie",(_xlfn.IFNA(VLOOKUP(Ontwerp_MKI_Totaal[[#This Row],[Product]]&amp;", "&amp;Ontwerp_MKI_Totaal[[#Headers],[A1]],Database_Productkaarten[#All],13,FALSE),0)*Ontwerpberekening!H39),0))/Ontwerpberekening!$A$2</f>
        <v>0</v>
      </c>
      <c r="E38" s="11">
        <f>(IF(Ontwerpberekening!C39="Nieuwe Situatie",(_xlfn.IFNA(VLOOKUP(Ontwerp_MKI_Totaal[[#This Row],[Product]]&amp;", "&amp;Ontwerp_MKI_Totaal[[#Headers],[A2]],Database_Productkaarten[#All],13,FALSE),0)*Ontwerpberekening!H39),0))/Ontwerpberekening!$A$2</f>
        <v>0</v>
      </c>
      <c r="F38" s="11">
        <f>(IF(Ontwerpberekening!C39="Nieuwe Situatie",(_xlfn.IFNA(VLOOKUP(Ontwerp_MKI_Totaal[[#This Row],[Product]]&amp;", "&amp;Ontwerp_MKI_Totaal[[#Headers],[A3]],Database_Productkaarten[#All],13,FALSE),0)*Ontwerpberekening!H39),0))/Ontwerpberekening!$A$2</f>
        <v>0</v>
      </c>
      <c r="G38" s="11">
        <f>(IF(Ontwerpberekening!C39="Nieuwe Situatie",(_xlfn.IFNA(VLOOKUP(Ontwerp_MKI_Totaal[[#This Row],[Product]]&amp;", "&amp;Ontwerp_MKI_Totaal[[#Headers],[A4]],Database_Productkaarten[#All],13,FALSE),0)*Ontwerpberekening!H39),0))/Ontwerpberekening!$A$2</f>
        <v>0</v>
      </c>
      <c r="H38" s="11">
        <f>(IF(Ontwerpberekening!C39="Nieuwe Situatie",(_xlfn.IFNA(VLOOKUP(Ontwerp_MKI_Totaal[[#This Row],[Product]]&amp;", "&amp;Ontwerp_MKI_Totaal[[#Headers],[A5]],Database_Productkaarten[#All],13,FALSE),0)*Ontwerpberekening!H39),0))/Ontwerpberekening!$A$2</f>
        <v>0</v>
      </c>
      <c r="I38" s="11">
        <f>(IF(Ontwerpberekening!C39="Nieuwe Situatie",(_xlfn.IFNA(VLOOKUP(Ontwerp_MKI_Totaal[[#This Row],[Product]]&amp;", "&amp;Ontwerp_MKI_Totaal[[#Headers],[B1]],Database_Productkaarten[#All],13,FALSE),0)*Ontwerpberekening!H39),0))/Ontwerpberekening!$A$2</f>
        <v>0</v>
      </c>
      <c r="J38" s="11">
        <f>(IF(Ontwerpberekening!C39="Nieuwe Situatie",(_xlfn.IFNA(VLOOKUP(Ontwerp_MKI_Totaal[[#This Row],[Product]]&amp;", "&amp;Ontwerp_MKI_Totaal[[#Headers],[B3]],Database_Productkaarten[#All],13,FALSE),0)*Ontwerpberekening!H39),0))/Ontwerpberekening!$A$2</f>
        <v>0</v>
      </c>
      <c r="K38" s="11">
        <f>(IF(Ontwerpberekening!C39="Nieuwe Situatie",(SUM(Ontwerp_MKI_Totaal[[#This Row],[A1]:[B1]],Ontwerp_MKI_Totaal[[#This Row],[C1]:[D2]])*Ontwerpberekening!R39),0))</f>
        <v>0</v>
      </c>
      <c r="L38" s="11">
        <f>_xlfn.IFNA(VLOOKUP(Ontwerp_MKI_Totaal[[#This Row],[Product]]&amp;", "&amp;Ontwerp_MKI_Totaal[[#Headers],[C1]],Database_Productkaarten[#All],13,FALSE)*Ontwerpberekening!H39,0)/Ontwerpberekening!$A$2</f>
        <v>0</v>
      </c>
      <c r="M38" s="11">
        <f>_xlfn.IFNA(VLOOKUP(Ontwerp_MKI_Totaal[[#This Row],[Product]]&amp;", "&amp;Ontwerp_MKI_Totaal[[#Headers],[C2]],Database_Productkaarten[#All],13,FALSE)*Ontwerpberekening!H39,0)/Ontwerpberekening!$A$2</f>
        <v>0</v>
      </c>
      <c r="N38" s="11">
        <f>_xlfn.IFNA(VLOOKUP(Ontwerp_MKI_Totaal[[#This Row],[Product]]&amp;", "&amp;Ontwerp_MKI_Totaal[[#Headers],[C3]],Database_Productkaarten[#All],13,FALSE)*Ontwerpberekening!H39,0)/Ontwerpberekening!$A$2</f>
        <v>0</v>
      </c>
      <c r="O38" s="11">
        <f>_xlfn.IFNA(VLOOKUP(Ontwerp_MKI_Totaal[[#This Row],[Product]]&amp;", "&amp;Ontwerp_MKI_Totaal[[#Headers],[C4]],Database_Productkaarten[#All],13,FALSE)*Ontwerpberekening!H39,0)/Ontwerpberekening!$A$2</f>
        <v>0</v>
      </c>
      <c r="P38" s="11">
        <f>(IF(Ontwerpberekening!C39="Nieuwe Situatie",(_xlfn.IFNA(VLOOKUP(Ontwerp_MKI_Totaal[[#This Row],[Product]]&amp;", "&amp;Ontwerp_MKI_Totaal[[#Headers],[D1]],Database_Productkaarten[#All],13,FALSE),0)*Ontwerpberekening!H39),0))/Ontwerpberekening!$A$2</f>
        <v>0</v>
      </c>
      <c r="Q38" s="11">
        <f>(IF(Ontwerpberekening!C39="Nieuwe Situatie",_xlfn.IFNA(VLOOKUP(Ontwerp_MKI_Totaal[[#This Row],[Product]]&amp;", "&amp;Ontwerp_MKI_Totaal[[#Headers],[D2]],Database_Productkaarten[#All],13,FALSE),0)*Ontwerpberekening!H39,0))/Ontwerpberekening!$A$2</f>
        <v>0</v>
      </c>
      <c r="R38" s="11">
        <f>SUM(Ontwerp_MKI_Totaal[[#This Row],[A1]:[D2]])</f>
        <v>0</v>
      </c>
    </row>
    <row r="39" spans="2:21" ht="18" x14ac:dyDescent="0.55000000000000004">
      <c r="B39" s="37">
        <f>Ontwerpberekening!B40</f>
        <v>0</v>
      </c>
      <c r="C39" s="39">
        <f>Ontwerpberekening!F40</f>
        <v>0</v>
      </c>
      <c r="D39" s="11">
        <f>(IF(Ontwerpberekening!C40="Nieuwe Situatie",(_xlfn.IFNA(VLOOKUP(Ontwerp_MKI_Totaal[[#This Row],[Product]]&amp;", "&amp;Ontwerp_MKI_Totaal[[#Headers],[A1]],Database_Productkaarten[#All],13,FALSE),0)*Ontwerpberekening!H40),0))/Ontwerpberekening!$A$2</f>
        <v>0</v>
      </c>
      <c r="E39" s="11">
        <f>(IF(Ontwerpberekening!C40="Nieuwe Situatie",(_xlfn.IFNA(VLOOKUP(Ontwerp_MKI_Totaal[[#This Row],[Product]]&amp;", "&amp;Ontwerp_MKI_Totaal[[#Headers],[A2]],Database_Productkaarten[#All],13,FALSE),0)*Ontwerpberekening!H40),0))/Ontwerpberekening!$A$2</f>
        <v>0</v>
      </c>
      <c r="F39" s="11">
        <f>(IF(Ontwerpberekening!C40="Nieuwe Situatie",(_xlfn.IFNA(VLOOKUP(Ontwerp_MKI_Totaal[[#This Row],[Product]]&amp;", "&amp;Ontwerp_MKI_Totaal[[#Headers],[A3]],Database_Productkaarten[#All],13,FALSE),0)*Ontwerpberekening!H40),0))/Ontwerpberekening!$A$2</f>
        <v>0</v>
      </c>
      <c r="G39" s="11">
        <f>(IF(Ontwerpberekening!C40="Nieuwe Situatie",(_xlfn.IFNA(VLOOKUP(Ontwerp_MKI_Totaal[[#This Row],[Product]]&amp;", "&amp;Ontwerp_MKI_Totaal[[#Headers],[A4]],Database_Productkaarten[#All],13,FALSE),0)*Ontwerpberekening!H40),0))/Ontwerpberekening!$A$2</f>
        <v>0</v>
      </c>
      <c r="H39" s="11">
        <f>(IF(Ontwerpberekening!C40="Nieuwe Situatie",(_xlfn.IFNA(VLOOKUP(Ontwerp_MKI_Totaal[[#This Row],[Product]]&amp;", "&amp;Ontwerp_MKI_Totaal[[#Headers],[A5]],Database_Productkaarten[#All],13,FALSE),0)*Ontwerpberekening!H40),0))/Ontwerpberekening!$A$2</f>
        <v>0</v>
      </c>
      <c r="I39" s="11">
        <f>(IF(Ontwerpberekening!C40="Nieuwe Situatie",(_xlfn.IFNA(VLOOKUP(Ontwerp_MKI_Totaal[[#This Row],[Product]]&amp;", "&amp;Ontwerp_MKI_Totaal[[#Headers],[B1]],Database_Productkaarten[#All],13,FALSE),0)*Ontwerpberekening!H40),0))/Ontwerpberekening!$A$2</f>
        <v>0</v>
      </c>
      <c r="J39" s="11">
        <f>(IF(Ontwerpberekening!C40="Nieuwe Situatie",(_xlfn.IFNA(VLOOKUP(Ontwerp_MKI_Totaal[[#This Row],[Product]]&amp;", "&amp;Ontwerp_MKI_Totaal[[#Headers],[B3]],Database_Productkaarten[#All],13,FALSE),0)*Ontwerpberekening!H40),0))/Ontwerpberekening!$A$2</f>
        <v>0</v>
      </c>
      <c r="K39" s="11">
        <f>(IF(Ontwerpberekening!C40="Nieuwe Situatie",(SUM(Ontwerp_MKI_Totaal[[#This Row],[A1]:[B1]],Ontwerp_MKI_Totaal[[#This Row],[C1]:[D2]])*Ontwerpberekening!R40),0))</f>
        <v>0</v>
      </c>
      <c r="L39" s="11">
        <f>_xlfn.IFNA(VLOOKUP(Ontwerp_MKI_Totaal[[#This Row],[Product]]&amp;", "&amp;Ontwerp_MKI_Totaal[[#Headers],[C1]],Database_Productkaarten[#All],13,FALSE)*Ontwerpberekening!H40,0)/Ontwerpberekening!$A$2</f>
        <v>0</v>
      </c>
      <c r="M39" s="11">
        <f>_xlfn.IFNA(VLOOKUP(Ontwerp_MKI_Totaal[[#This Row],[Product]]&amp;", "&amp;Ontwerp_MKI_Totaal[[#Headers],[C2]],Database_Productkaarten[#All],13,FALSE)*Ontwerpberekening!H40,0)/Ontwerpberekening!$A$2</f>
        <v>0</v>
      </c>
      <c r="N39" s="11">
        <f>_xlfn.IFNA(VLOOKUP(Ontwerp_MKI_Totaal[[#This Row],[Product]]&amp;", "&amp;Ontwerp_MKI_Totaal[[#Headers],[C3]],Database_Productkaarten[#All],13,FALSE)*Ontwerpberekening!H40,0)/Ontwerpberekening!$A$2</f>
        <v>0</v>
      </c>
      <c r="O39" s="11">
        <f>_xlfn.IFNA(VLOOKUP(Ontwerp_MKI_Totaal[[#This Row],[Product]]&amp;", "&amp;Ontwerp_MKI_Totaal[[#Headers],[C4]],Database_Productkaarten[#All],13,FALSE)*Ontwerpberekening!H40,0)/Ontwerpberekening!$A$2</f>
        <v>0</v>
      </c>
      <c r="P39" s="11">
        <f>(IF(Ontwerpberekening!C40="Nieuwe Situatie",(_xlfn.IFNA(VLOOKUP(Ontwerp_MKI_Totaal[[#This Row],[Product]]&amp;", "&amp;Ontwerp_MKI_Totaal[[#Headers],[D1]],Database_Productkaarten[#All],13,FALSE),0)*Ontwerpberekening!H40),0))/Ontwerpberekening!$A$2</f>
        <v>0</v>
      </c>
      <c r="Q39" s="11">
        <f>(IF(Ontwerpberekening!C40="Nieuwe Situatie",_xlfn.IFNA(VLOOKUP(Ontwerp_MKI_Totaal[[#This Row],[Product]]&amp;", "&amp;Ontwerp_MKI_Totaal[[#Headers],[D2]],Database_Productkaarten[#All],13,FALSE),0)*Ontwerpberekening!H40,0))/Ontwerpberekening!$A$2</f>
        <v>0</v>
      </c>
      <c r="R39" s="11">
        <f>SUM(Ontwerp_MKI_Totaal[[#This Row],[A1]:[D2]])</f>
        <v>0</v>
      </c>
    </row>
    <row r="40" spans="2:21" ht="18" x14ac:dyDescent="0.55000000000000004">
      <c r="B40" s="37">
        <f>Ontwerpberekening!B41</f>
        <v>0</v>
      </c>
      <c r="C40" s="39">
        <f>Ontwerpberekening!F41</f>
        <v>0</v>
      </c>
      <c r="D40" s="11">
        <f>(IF(Ontwerpberekening!C41="Nieuwe Situatie",(_xlfn.IFNA(VLOOKUP(Ontwerp_MKI_Totaal[[#This Row],[Product]]&amp;", "&amp;Ontwerp_MKI_Totaal[[#Headers],[A1]],Database_Productkaarten[#All],13,FALSE),0)*Ontwerpberekening!H41),0))/Ontwerpberekening!$A$2</f>
        <v>0</v>
      </c>
      <c r="E40" s="11">
        <f>(IF(Ontwerpberekening!C41="Nieuwe Situatie",(_xlfn.IFNA(VLOOKUP(Ontwerp_MKI_Totaal[[#This Row],[Product]]&amp;", "&amp;Ontwerp_MKI_Totaal[[#Headers],[A2]],Database_Productkaarten[#All],13,FALSE),0)*Ontwerpberekening!H41),0))/Ontwerpberekening!$A$2</f>
        <v>0</v>
      </c>
      <c r="F40" s="11">
        <f>(IF(Ontwerpberekening!C41="Nieuwe Situatie",(_xlfn.IFNA(VLOOKUP(Ontwerp_MKI_Totaal[[#This Row],[Product]]&amp;", "&amp;Ontwerp_MKI_Totaal[[#Headers],[A3]],Database_Productkaarten[#All],13,FALSE),0)*Ontwerpberekening!H41),0))/Ontwerpberekening!$A$2</f>
        <v>0</v>
      </c>
      <c r="G40" s="11">
        <f>(IF(Ontwerpberekening!C41="Nieuwe Situatie",(_xlfn.IFNA(VLOOKUP(Ontwerp_MKI_Totaal[[#This Row],[Product]]&amp;", "&amp;Ontwerp_MKI_Totaal[[#Headers],[A4]],Database_Productkaarten[#All],13,FALSE),0)*Ontwerpberekening!H41),0))/Ontwerpberekening!$A$2</f>
        <v>0</v>
      </c>
      <c r="H40" s="11">
        <f>(IF(Ontwerpberekening!C41="Nieuwe Situatie",(_xlfn.IFNA(VLOOKUP(Ontwerp_MKI_Totaal[[#This Row],[Product]]&amp;", "&amp;Ontwerp_MKI_Totaal[[#Headers],[A5]],Database_Productkaarten[#All],13,FALSE),0)*Ontwerpberekening!H41),0))/Ontwerpberekening!$A$2</f>
        <v>0</v>
      </c>
      <c r="I40" s="11">
        <f>(IF(Ontwerpberekening!C41="Nieuwe Situatie",(_xlfn.IFNA(VLOOKUP(Ontwerp_MKI_Totaal[[#This Row],[Product]]&amp;", "&amp;Ontwerp_MKI_Totaal[[#Headers],[B1]],Database_Productkaarten[#All],13,FALSE),0)*Ontwerpberekening!H41),0))/Ontwerpberekening!$A$2</f>
        <v>0</v>
      </c>
      <c r="J40" s="11">
        <f>(IF(Ontwerpberekening!C41="Nieuwe Situatie",(_xlfn.IFNA(VLOOKUP(Ontwerp_MKI_Totaal[[#This Row],[Product]]&amp;", "&amp;Ontwerp_MKI_Totaal[[#Headers],[B3]],Database_Productkaarten[#All],13,FALSE),0)*Ontwerpberekening!H41),0))/Ontwerpberekening!$A$2</f>
        <v>0</v>
      </c>
      <c r="K40" s="11">
        <f>(IF(Ontwerpberekening!C41="Nieuwe Situatie",(SUM(Ontwerp_MKI_Totaal[[#This Row],[A1]:[B1]],Ontwerp_MKI_Totaal[[#This Row],[C1]:[D2]])*Ontwerpberekening!R41),0))</f>
        <v>0</v>
      </c>
      <c r="L40" s="11">
        <f>_xlfn.IFNA(VLOOKUP(Ontwerp_MKI_Totaal[[#This Row],[Product]]&amp;", "&amp;Ontwerp_MKI_Totaal[[#Headers],[C1]],Database_Productkaarten[#All],13,FALSE)*Ontwerpberekening!H41,0)/Ontwerpberekening!$A$2</f>
        <v>0</v>
      </c>
      <c r="M40" s="11">
        <f>_xlfn.IFNA(VLOOKUP(Ontwerp_MKI_Totaal[[#This Row],[Product]]&amp;", "&amp;Ontwerp_MKI_Totaal[[#Headers],[C2]],Database_Productkaarten[#All],13,FALSE)*Ontwerpberekening!H41,0)/Ontwerpberekening!$A$2</f>
        <v>0</v>
      </c>
      <c r="N40" s="11">
        <f>_xlfn.IFNA(VLOOKUP(Ontwerp_MKI_Totaal[[#This Row],[Product]]&amp;", "&amp;Ontwerp_MKI_Totaal[[#Headers],[C3]],Database_Productkaarten[#All],13,FALSE)*Ontwerpberekening!H41,0)/Ontwerpberekening!$A$2</f>
        <v>0</v>
      </c>
      <c r="O40" s="11">
        <f>_xlfn.IFNA(VLOOKUP(Ontwerp_MKI_Totaal[[#This Row],[Product]]&amp;", "&amp;Ontwerp_MKI_Totaal[[#Headers],[C4]],Database_Productkaarten[#All],13,FALSE)*Ontwerpberekening!H41,0)/Ontwerpberekening!$A$2</f>
        <v>0</v>
      </c>
      <c r="P40" s="11">
        <f>(IF(Ontwerpberekening!C41="Nieuwe Situatie",(_xlfn.IFNA(VLOOKUP(Ontwerp_MKI_Totaal[[#This Row],[Product]]&amp;", "&amp;Ontwerp_MKI_Totaal[[#Headers],[D1]],Database_Productkaarten[#All],13,FALSE),0)*Ontwerpberekening!H41),0))/Ontwerpberekening!$A$2</f>
        <v>0</v>
      </c>
      <c r="Q40" s="11">
        <f>(IF(Ontwerpberekening!C41="Nieuwe Situatie",_xlfn.IFNA(VLOOKUP(Ontwerp_MKI_Totaal[[#This Row],[Product]]&amp;", "&amp;Ontwerp_MKI_Totaal[[#Headers],[D2]],Database_Productkaarten[#All],13,FALSE),0)*Ontwerpberekening!H41,0))/Ontwerpberekening!$A$2</f>
        <v>0</v>
      </c>
      <c r="R40" s="11">
        <f>SUM(Ontwerp_MKI_Totaal[[#This Row],[A1]:[D2]])</f>
        <v>0</v>
      </c>
    </row>
    <row r="41" spans="2:21" ht="18" x14ac:dyDescent="0.55000000000000004">
      <c r="B41" s="23" t="s">
        <v>16</v>
      </c>
      <c r="C41" s="23"/>
      <c r="D41" s="109">
        <f>SUBTOTAL(109,Ontwerp_MKI_Totaal[A1])</f>
        <v>556.69300441640041</v>
      </c>
      <c r="E41" s="109">
        <f>SUBTOTAL(109,Ontwerp_MKI_Totaal[A2])</f>
        <v>273.91084929530058</v>
      </c>
      <c r="F41" s="109">
        <f>SUBTOTAL(109,Ontwerp_MKI_Totaal[A3])</f>
        <v>139.41445015793983</v>
      </c>
      <c r="G41" s="109" t="e">
        <f>SUBTOTAL(109,Ontwerp_MKI_Totaal[A4])</f>
        <v>#REF!</v>
      </c>
      <c r="H41" s="109">
        <f>SUBTOTAL(109,Ontwerp_MKI_Totaal[A5])</f>
        <v>20.404514019191865</v>
      </c>
      <c r="I41" s="109">
        <f>SUBTOTAL(109,Ontwerp_MKI_Totaal[B1])</f>
        <v>5.6485779244632823</v>
      </c>
      <c r="J41" s="109">
        <f>SUBTOTAL(109,Ontwerp_MKI_Totaal[B3])</f>
        <v>0.93324400000000007</v>
      </c>
      <c r="K41" s="109" t="e">
        <f>SUBTOTAL(109,Ontwerp_MKI_Totaal[B4])</f>
        <v>#REF!</v>
      </c>
      <c r="L41" s="109">
        <f>SUBTOTAL(109,Ontwerp_MKI_Totaal[C1])</f>
        <v>26.381873111291515</v>
      </c>
      <c r="M41" s="109" t="e">
        <f>SUBTOTAL(109,Ontwerp_MKI_Totaal[C2])</f>
        <v>#REF!</v>
      </c>
      <c r="N41" s="109">
        <f>SUBTOTAL(109,Ontwerp_MKI_Totaal[C3])</f>
        <v>26.838338283681725</v>
      </c>
      <c r="O41" s="109">
        <f>SUBTOTAL(109,Ontwerp_MKI_Totaal[C4])</f>
        <v>0.40772004476319995</v>
      </c>
      <c r="P41" s="109">
        <f>SUBTOTAL(109,Ontwerp_MKI_Totaal[D1])</f>
        <v>-327.6163562138961</v>
      </c>
      <c r="Q41" s="109">
        <f>SUBTOTAL(109,Ontwerp_MKI_Totaal[D2])</f>
        <v>-0.43769999999999998</v>
      </c>
      <c r="R41" s="196" t="e">
        <f>SUBTOTAL(109,Ontwerp_MKI_Totaal[Totaal])</f>
        <v>#REF!</v>
      </c>
    </row>
    <row r="42" spans="2:21" ht="18" x14ac:dyDescent="0.55000000000000004">
      <c r="B42" s="164"/>
      <c r="C42" s="164"/>
      <c r="D42" s="165"/>
      <c r="E42" s="165"/>
      <c r="F42" s="165"/>
      <c r="G42" s="165"/>
      <c r="H42" s="165"/>
      <c r="I42" s="165"/>
      <c r="J42" s="165"/>
      <c r="K42" s="165"/>
      <c r="L42" s="165"/>
      <c r="M42" s="165"/>
      <c r="N42" s="165"/>
      <c r="O42" s="165"/>
      <c r="P42" s="165"/>
    </row>
    <row r="44" spans="2:21" ht="22" x14ac:dyDescent="0.65">
      <c r="B44" s="134" t="s">
        <v>311</v>
      </c>
      <c r="C44" s="134"/>
      <c r="D44" s="134"/>
      <c r="E44" s="17"/>
      <c r="F44" s="17"/>
      <c r="G44" s="17"/>
      <c r="H44" s="17"/>
      <c r="I44" s="17"/>
      <c r="J44" s="17"/>
      <c r="K44" s="17"/>
      <c r="L44" s="17"/>
      <c r="M44" s="17"/>
      <c r="N44" s="17"/>
      <c r="O44" s="17"/>
      <c r="P44" s="17"/>
    </row>
    <row r="45" spans="2:21" ht="18" x14ac:dyDescent="0.55000000000000004">
      <c r="B45" s="23" t="s">
        <v>55</v>
      </c>
      <c r="C45" s="23" t="s">
        <v>4</v>
      </c>
      <c r="D45" s="24" t="s">
        <v>19</v>
      </c>
      <c r="E45" s="25" t="s">
        <v>20</v>
      </c>
      <c r="F45" s="26" t="s">
        <v>21</v>
      </c>
      <c r="G45" s="27" t="s">
        <v>22</v>
      </c>
      <c r="H45" s="28" t="s">
        <v>23</v>
      </c>
      <c r="I45" s="29" t="s">
        <v>24</v>
      </c>
      <c r="J45" s="29" t="s">
        <v>602</v>
      </c>
      <c r="K45" s="30" t="s">
        <v>50</v>
      </c>
      <c r="L45" s="31" t="s">
        <v>25</v>
      </c>
      <c r="M45" s="32" t="s">
        <v>26</v>
      </c>
      <c r="N45" s="33" t="s">
        <v>27</v>
      </c>
      <c r="O45" s="34" t="s">
        <v>28</v>
      </c>
      <c r="P45" s="35" t="s">
        <v>51</v>
      </c>
      <c r="Q45" s="36" t="s">
        <v>52</v>
      </c>
      <c r="R45" s="192" t="s">
        <v>16</v>
      </c>
      <c r="T45" s="189" t="s">
        <v>535</v>
      </c>
      <c r="U45" t="s">
        <v>601</v>
      </c>
    </row>
    <row r="46" spans="2:21" ht="18" x14ac:dyDescent="0.55000000000000004">
      <c r="B46" s="37" t="str">
        <f>Ontwerpberekening!B5</f>
        <v>Baseline</v>
      </c>
      <c r="C46" s="23" t="str">
        <f>Ontwerpberekening!F5</f>
        <v>AC Surf 0% PR - PCR 2.0</v>
      </c>
      <c r="D46" s="72">
        <f>(IF(Ontwerpberekening!C5="Nieuwe Situatie",(_xlfn.IFNA(VLOOKUP(Ontwerp_CO2_Totaal[[#This Row],[Product]]&amp;", "&amp;Ontwerp_CO2_Totaal[[#Headers],[A1]],Database_Productkaarten[#All],17,FALSE),0)*Ontwerpberekening!H5),0))/Ontwerpberekening!$A$2</f>
        <v>0</v>
      </c>
      <c r="E46" s="72">
        <f>(IF(Ontwerpberekening!C5="Nieuwe Situatie",(_xlfn.IFNA(VLOOKUP(Ontwerp_CO2_Totaal[[#This Row],[Product]]&amp;", "&amp;Ontwerp_CO2_Totaal[[#Headers],[A2]],Database_Productkaarten[#All],17,FALSE),0)*Ontwerpberekening!H5),0))/Ontwerpberekening!$A$2</f>
        <v>0</v>
      </c>
      <c r="F46" s="72">
        <f>(IF(Ontwerpberekening!C5="Nieuwe Situatie",(_xlfn.IFNA(VLOOKUP(Ontwerp_CO2_Totaal[[#This Row],[Product]]&amp;", "&amp;Ontwerp_CO2_Totaal[[#Headers],[A3]],Database_Productkaarten[#All],17,FALSE),0)*Ontwerpberekening!H5),0))/Ontwerpberekening!$A$2</f>
        <v>0</v>
      </c>
      <c r="G46" s="72">
        <f>(IF(Ontwerpberekening!C5="Nieuwe Situatie",(_xlfn.IFNA(VLOOKUP(Ontwerp_CO2_Totaal[[#This Row],[Product]]&amp;", "&amp;Ontwerp_CO2_Totaal[[#Headers],[A4]],Database_Productkaarten[#All],17,FALSE),0)*Ontwerpberekening!H5),0))/Ontwerpberekening!$A$2</f>
        <v>0</v>
      </c>
      <c r="H46" s="72">
        <f>(IF(Ontwerpberekening!C5="Nieuwe Situatie",(_xlfn.IFNA(VLOOKUP(Ontwerp_CO2_Totaal[[#This Row],[Product]]&amp;", "&amp;Ontwerp_CO2_Totaal[[#Headers],[A5]],Database_Productkaarten[#All],17,FALSE),0)*Ontwerpberekening!H5),0))/Ontwerpberekening!$A$2</f>
        <v>0</v>
      </c>
      <c r="I46" s="72">
        <f>(IF(Ontwerpberekening!C5="Nieuwe Situatie",(_xlfn.IFNA(VLOOKUP(Ontwerp_CO2_Totaal[[#This Row],[Product]]&amp;", "&amp;Ontwerp_CO2_Totaal[[#Headers],[B1]],Database_Productkaarten[#All],17,FALSE),0)*Ontwerpberekening!H5),0))/Ontwerpberekening!$A$2</f>
        <v>0</v>
      </c>
      <c r="J46" s="72">
        <f>(IF(Ontwerpberekening!C5="Nieuwe Situatie",(_xlfn.IFNA(VLOOKUP(Ontwerp_CO2_Totaal[[#This Row],[Product]]&amp;", "&amp;Ontwerp_CO2_Totaal[[#Headers],[B3]],Database_Productkaarten[#All],17,FALSE),0)*Ontwerpberekening!H5),0))/Ontwerpberekening!$A$2</f>
        <v>0</v>
      </c>
      <c r="K46" s="72">
        <f>(IF(Ontwerpberekening!C5="Nieuwe Situatie",(SUM(Ontwerp_CO2_Totaal[[#This Row],[A1]:[B1]],Ontwerp_CO2_Totaal[[#This Row],[C1]:[D2]])*Ontwerpberekening!R5),0))</f>
        <v>0</v>
      </c>
      <c r="L46" s="72">
        <f>_xlfn.IFNA(VLOOKUP(Ontwerp_CO2_Totaal[[#This Row],[Product]]&amp;", "&amp;Ontwerp_CO2_Totaal[[#Headers],[C1]],Database_Productkaarten[#All],17,FALSE)*Ontwerpberekening!H5,0)/Ontwerpberekening!$A$2</f>
        <v>48.652299830668461</v>
      </c>
      <c r="M46" s="72">
        <f>_xlfn.IFNA(VLOOKUP(Ontwerp_CO2_Totaal[[#This Row],[Product]]&amp;", "&amp;Ontwerp_CO2_Totaal[[#Headers],[C2]],Database_Productkaarten[#All],17,FALSE)*Ontwerpberekening!H5,0)/Ontwerpberekening!$A$2</f>
        <v>110.62977838345597</v>
      </c>
      <c r="N46" s="72">
        <f>_xlfn.IFNA(VLOOKUP(Ontwerp_CO2_Totaal[[#This Row],[Product]]&amp;", "&amp;Ontwerp_CO2_Totaal[[#Headers],[C3]],Database_Productkaarten[#All],17,FALSE)*Ontwerpberekening!H5,0)/Ontwerpberekening!$A$2</f>
        <v>54.549548294991929</v>
      </c>
      <c r="O46" s="72">
        <f>_xlfn.IFNA(VLOOKUP(Ontwerp_CO2_Totaal[[#This Row],[Product]]&amp;", "&amp;Ontwerp_CO2_Totaal[[#Headers],[C4]],Database_Productkaarten[#All],17,FALSE)*Ontwerpberekening!H5,0)/Ontwerpberekening!$A$2</f>
        <v>0</v>
      </c>
      <c r="P46" s="72">
        <f>(IF(Ontwerpberekening!C5="Nieuwe Situatie",(_xlfn.IFNA(VLOOKUP(Ontwerp_CO2_Totaal[[#This Row],[Product]]&amp;", "&amp;Ontwerp_CO2_Totaal[[#Headers],[D1]],Database_Productkaarten[#All],17,FALSE),0)*Ontwerpberekening!H5),0))/Ontwerpberekening!$A$2</f>
        <v>0</v>
      </c>
      <c r="Q46" s="73">
        <f>(IF(Ontwerpberekening!C5="Nieuwe Situatie",_xlfn.IFNA(VLOOKUP(Ontwerp_CO2_Totaal[[#This Row],[Product]]&amp;", "&amp;Ontwerp_CO2_Totaal[[#Headers],[D2]],Database_Productkaarten[#All],17,FALSE),0)*Ontwerpberekening!H5,0))/Ontwerpberekening!$A$2</f>
        <v>0</v>
      </c>
      <c r="R46" s="72">
        <f>SUM(Ontwerp_CO2_Totaal[[#This Row],[A1]:[D2]])</f>
        <v>213.83162650911635</v>
      </c>
      <c r="T46" s="201">
        <v>0</v>
      </c>
      <c r="U46" s="171">
        <v>0</v>
      </c>
    </row>
    <row r="47" spans="2:21" ht="18" x14ac:dyDescent="0.55000000000000004">
      <c r="B47" s="37" t="str">
        <f>Ontwerpberekening!B6</f>
        <v>Baseline</v>
      </c>
      <c r="C47" s="23" t="str">
        <f>Ontwerpberekening!F6</f>
        <v>AC bin/base 50% PR - PCR 2.0</v>
      </c>
      <c r="D47" s="72">
        <f>(IF(Ontwerpberekening!C6="Nieuwe Situatie",(_xlfn.IFNA(VLOOKUP(Ontwerp_CO2_Totaal[[#This Row],[Product]]&amp;", "&amp;Ontwerp_CO2_Totaal[[#Headers],[A1]],Database_Productkaarten[#All],17,FALSE),0)*Ontwerpberekening!H6),0))/Ontwerpberekening!$A$2</f>
        <v>0</v>
      </c>
      <c r="E47" s="72">
        <f>(IF(Ontwerpberekening!C6="Nieuwe Situatie",(_xlfn.IFNA(VLOOKUP(Ontwerp_CO2_Totaal[[#This Row],[Product]]&amp;", "&amp;Ontwerp_CO2_Totaal[[#Headers],[A2]],Database_Productkaarten[#All],17,FALSE),0)*Ontwerpberekening!H6),0))/Ontwerpberekening!$A$2</f>
        <v>0</v>
      </c>
      <c r="F47" s="72">
        <f>(IF(Ontwerpberekening!C6="Nieuwe Situatie",(_xlfn.IFNA(VLOOKUP(Ontwerp_CO2_Totaal[[#This Row],[Product]]&amp;", "&amp;Ontwerp_CO2_Totaal[[#Headers],[A3]],Database_Productkaarten[#All],17,FALSE),0)*Ontwerpberekening!H6),0))/Ontwerpberekening!$A$2</f>
        <v>0</v>
      </c>
      <c r="G47" s="72">
        <f>(IF(Ontwerpberekening!C6="Nieuwe Situatie",(_xlfn.IFNA(VLOOKUP(Ontwerp_CO2_Totaal[[#This Row],[Product]]&amp;", "&amp;Ontwerp_CO2_Totaal[[#Headers],[A4]],Database_Productkaarten[#All],17,FALSE),0)*Ontwerpberekening!H6),0))/Ontwerpberekening!$A$2</f>
        <v>0</v>
      </c>
      <c r="H47" s="72">
        <f>(IF(Ontwerpberekening!C6="Nieuwe Situatie",(_xlfn.IFNA(VLOOKUP(Ontwerp_CO2_Totaal[[#This Row],[Product]]&amp;", "&amp;Ontwerp_CO2_Totaal[[#Headers],[A5]],Database_Productkaarten[#All],17,FALSE),0)*Ontwerpberekening!H6),0))/Ontwerpberekening!$A$2</f>
        <v>0</v>
      </c>
      <c r="I47" s="72">
        <f>(IF(Ontwerpberekening!C6="Nieuwe Situatie",(_xlfn.IFNA(VLOOKUP(Ontwerp_CO2_Totaal[[#This Row],[Product]]&amp;", "&amp;Ontwerp_CO2_Totaal[[#Headers],[B1]],Database_Productkaarten[#All],17,FALSE),0)*Ontwerpberekening!H6),0))/Ontwerpberekening!$A$2</f>
        <v>0</v>
      </c>
      <c r="J47" s="72">
        <f>(IF(Ontwerpberekening!C6="Nieuwe Situatie",(_xlfn.IFNA(VLOOKUP(Ontwerp_CO2_Totaal[[#This Row],[Product]]&amp;", "&amp;Ontwerp_CO2_Totaal[[#Headers],[B3]],Database_Productkaarten[#All],17,FALSE),0)*Ontwerpberekening!H6),0))/Ontwerpberekening!$A$2</f>
        <v>0</v>
      </c>
      <c r="K47" s="72">
        <f>(IF(Ontwerpberekening!C6="Nieuwe Situatie",(SUM(Ontwerp_CO2_Totaal[[#This Row],[A1]:[B1]],Ontwerp_CO2_Totaal[[#This Row],[C1]:[D2]])*Ontwerpberekening!R6),0))</f>
        <v>0</v>
      </c>
      <c r="L47" s="72">
        <f>_xlfn.IFNA(VLOOKUP(Ontwerp_CO2_Totaal[[#This Row],[Product]]&amp;", "&amp;Ontwerp_CO2_Totaal[[#Headers],[C1]],Database_Productkaarten[#All],17,FALSE)*Ontwerpberekening!H6,0)/Ontwerpberekening!$A$2</f>
        <v>12.734173431010639</v>
      </c>
      <c r="M47" s="72">
        <f>_xlfn.IFNA(VLOOKUP(Ontwerp_CO2_Totaal[[#This Row],[Product]]&amp;", "&amp;Ontwerp_CO2_Totaal[[#Headers],[C2]],Database_Productkaarten[#All],17,FALSE)*Ontwerpberekening!H6,0)/Ontwerpberekening!$A$2</f>
        <v>12.409738857115201</v>
      </c>
      <c r="N47" s="72">
        <f>_xlfn.IFNA(VLOOKUP(Ontwerp_CO2_Totaal[[#This Row],[Product]]&amp;", "&amp;Ontwerp_CO2_Totaal[[#Headers],[C3]],Database_Productkaarten[#All],17,FALSE)*Ontwerpberekening!H6,0)/Ontwerpberekening!$A$2</f>
        <v>6.1190184019142109</v>
      </c>
      <c r="O47" s="72">
        <f>_xlfn.IFNA(VLOOKUP(Ontwerp_CO2_Totaal[[#This Row],[Product]]&amp;", "&amp;Ontwerp_CO2_Totaal[[#Headers],[C4]],Database_Productkaarten[#All],17,FALSE)*Ontwerpberekening!H6,0)/Ontwerpberekening!$A$2</f>
        <v>0</v>
      </c>
      <c r="P47" s="72">
        <f>(IF(Ontwerpberekening!C6="Nieuwe Situatie",(_xlfn.IFNA(VLOOKUP(Ontwerp_CO2_Totaal[[#This Row],[Product]]&amp;", "&amp;Ontwerp_CO2_Totaal[[#Headers],[D1]],Database_Productkaarten[#All],17,FALSE),0)*Ontwerpberekening!H6),0))/Ontwerpberekening!$A$2</f>
        <v>0</v>
      </c>
      <c r="Q47" s="73">
        <f>(IF(Ontwerpberekening!C6="Nieuwe Situatie",_xlfn.IFNA(VLOOKUP(Ontwerp_CO2_Totaal[[#This Row],[Product]]&amp;", "&amp;Ontwerp_CO2_Totaal[[#Headers],[D2]],Database_Productkaarten[#All],17,FALSE),0)*Ontwerpberekening!H6,0))/Ontwerpberekening!$A$2</f>
        <v>0</v>
      </c>
      <c r="R47" s="72">
        <f>SUM(Ontwerp_CO2_Totaal[[#This Row],[A1]:[D2]])</f>
        <v>31.262930690040051</v>
      </c>
      <c r="T47" s="201" t="s">
        <v>1555</v>
      </c>
      <c r="U47" s="171">
        <v>3999.4746929064795</v>
      </c>
    </row>
    <row r="48" spans="2:21" ht="18" x14ac:dyDescent="0.55000000000000004">
      <c r="B48" s="37" t="str">
        <f>Ontwerpberekening!B7</f>
        <v>Baseline</v>
      </c>
      <c r="C48" s="23" t="str">
        <f>Ontwerpberekening!F7</f>
        <v>AC bin/base 50% PR - PCR 2.0</v>
      </c>
      <c r="D48" s="72">
        <f>(IF(Ontwerpberekening!C7="Nieuwe Situatie",(_xlfn.IFNA(VLOOKUP(Ontwerp_CO2_Totaal[[#This Row],[Product]]&amp;", "&amp;Ontwerp_CO2_Totaal[[#Headers],[A1]],Database_Productkaarten[#All],17,FALSE),0)*Ontwerpberekening!H7),0))/Ontwerpberekening!$A$2</f>
        <v>0</v>
      </c>
      <c r="E48" s="72">
        <f>(IF(Ontwerpberekening!C7="Nieuwe Situatie",(_xlfn.IFNA(VLOOKUP(Ontwerp_CO2_Totaal[[#This Row],[Product]]&amp;", "&amp;Ontwerp_CO2_Totaal[[#Headers],[A2]],Database_Productkaarten[#All],17,FALSE),0)*Ontwerpberekening!H7),0))/Ontwerpberekening!$A$2</f>
        <v>0</v>
      </c>
      <c r="F48" s="72">
        <f>(IF(Ontwerpberekening!C7="Nieuwe Situatie",(_xlfn.IFNA(VLOOKUP(Ontwerp_CO2_Totaal[[#This Row],[Product]]&amp;", "&amp;Ontwerp_CO2_Totaal[[#Headers],[A3]],Database_Productkaarten[#All],17,FALSE),0)*Ontwerpberekening!H7),0))/Ontwerpberekening!$A$2</f>
        <v>0</v>
      </c>
      <c r="G48" s="72">
        <f>(IF(Ontwerpberekening!C7="Nieuwe Situatie",(_xlfn.IFNA(VLOOKUP(Ontwerp_CO2_Totaal[[#This Row],[Product]]&amp;", "&amp;Ontwerp_CO2_Totaal[[#Headers],[A4]],Database_Productkaarten[#All],17,FALSE),0)*Ontwerpberekening!H7),0))/Ontwerpberekening!$A$2</f>
        <v>0</v>
      </c>
      <c r="H48" s="72">
        <f>(IF(Ontwerpberekening!C7="Nieuwe Situatie",(_xlfn.IFNA(VLOOKUP(Ontwerp_CO2_Totaal[[#This Row],[Product]]&amp;", "&amp;Ontwerp_CO2_Totaal[[#Headers],[A5]],Database_Productkaarten[#All],17,FALSE),0)*Ontwerpberekening!H7),0))/Ontwerpberekening!$A$2</f>
        <v>0</v>
      </c>
      <c r="I48" s="72">
        <f>(IF(Ontwerpberekening!C7="Nieuwe Situatie",(_xlfn.IFNA(VLOOKUP(Ontwerp_CO2_Totaal[[#This Row],[Product]]&amp;", "&amp;Ontwerp_CO2_Totaal[[#Headers],[B1]],Database_Productkaarten[#All],17,FALSE),0)*Ontwerpberekening!H7),0))/Ontwerpberekening!$A$2</f>
        <v>0</v>
      </c>
      <c r="J48" s="72">
        <f>(IF(Ontwerpberekening!C7="Nieuwe Situatie",(_xlfn.IFNA(VLOOKUP(Ontwerp_CO2_Totaal[[#This Row],[Product]]&amp;", "&amp;Ontwerp_CO2_Totaal[[#Headers],[B3]],Database_Productkaarten[#All],17,FALSE),0)*Ontwerpberekening!H7),0))/Ontwerpberekening!$A$2</f>
        <v>0</v>
      </c>
      <c r="K48" s="72">
        <f>(IF(Ontwerpberekening!C7="Nieuwe Situatie",(SUM(Ontwerp_CO2_Totaal[[#This Row],[A1]:[B1]],Ontwerp_CO2_Totaal[[#This Row],[C1]:[D2]])*Ontwerpberekening!R7),0))</f>
        <v>0</v>
      </c>
      <c r="L48" s="72">
        <f>_xlfn.IFNA(VLOOKUP(Ontwerp_CO2_Totaal[[#This Row],[Product]]&amp;", "&amp;Ontwerp_CO2_Totaal[[#Headers],[C1]],Database_Productkaarten[#All],17,FALSE)*Ontwerpberekening!H7,0)/Ontwerpberekening!$A$2</f>
        <v>3.9794291971908233</v>
      </c>
      <c r="M48" s="72">
        <f>_xlfn.IFNA(VLOOKUP(Ontwerp_CO2_Totaal[[#This Row],[Product]]&amp;", "&amp;Ontwerp_CO2_Totaal[[#Headers],[C2]],Database_Productkaarten[#All],17,FALSE)*Ontwerpberekening!H7,0)/Ontwerpberekening!$A$2</f>
        <v>3.8780433928485003</v>
      </c>
      <c r="N48" s="72">
        <f>_xlfn.IFNA(VLOOKUP(Ontwerp_CO2_Totaal[[#This Row],[Product]]&amp;", "&amp;Ontwerp_CO2_Totaal[[#Headers],[C3]],Database_Productkaarten[#All],17,FALSE)*Ontwerpberekening!H7,0)/Ontwerpberekening!$A$2</f>
        <v>1.9121932505981905</v>
      </c>
      <c r="O48" s="72">
        <f>_xlfn.IFNA(VLOOKUP(Ontwerp_CO2_Totaal[[#This Row],[Product]]&amp;", "&amp;Ontwerp_CO2_Totaal[[#Headers],[C4]],Database_Productkaarten[#All],17,FALSE)*Ontwerpberekening!H7,0)/Ontwerpberekening!$A$2</f>
        <v>0</v>
      </c>
      <c r="P48" s="72">
        <f>(IF(Ontwerpberekening!C7="Nieuwe Situatie",(_xlfn.IFNA(VLOOKUP(Ontwerp_CO2_Totaal[[#This Row],[Product]]&amp;", "&amp;Ontwerp_CO2_Totaal[[#Headers],[D1]],Database_Productkaarten[#All],17,FALSE),0)*Ontwerpberekening!H7),0))/Ontwerpberekening!$A$2</f>
        <v>0</v>
      </c>
      <c r="Q48" s="73">
        <f>(IF(Ontwerpberekening!C7="Nieuwe Situatie",_xlfn.IFNA(VLOOKUP(Ontwerp_CO2_Totaal[[#This Row],[Product]]&amp;", "&amp;Ontwerp_CO2_Totaal[[#Headers],[D2]],Database_Productkaarten[#All],17,FALSE),0)*Ontwerpberekening!H7,0))/Ontwerpberekening!$A$2</f>
        <v>0</v>
      </c>
      <c r="R48" s="72">
        <f>SUM(Ontwerp_CO2_Totaal[[#This Row],[A1]:[D2]])</f>
        <v>9.769665840637515</v>
      </c>
      <c r="T48" s="201" t="s">
        <v>1556</v>
      </c>
      <c r="U48" s="171" t="e">
        <v>#REF!</v>
      </c>
    </row>
    <row r="49" spans="2:21" ht="18" x14ac:dyDescent="0.55000000000000004">
      <c r="B49" s="37" t="str">
        <f>Ontwerpberekening!B8</f>
        <v>Baseline</v>
      </c>
      <c r="C49" s="23" t="str">
        <f>Ontwerpberekening!F8</f>
        <v>Betonstraatsteen 210x105x80</v>
      </c>
      <c r="D49" s="72">
        <f>(IF(Ontwerpberekening!C8="Nieuwe Situatie",(_xlfn.IFNA(VLOOKUP(Ontwerp_CO2_Totaal[[#This Row],[Product]]&amp;", "&amp;Ontwerp_CO2_Totaal[[#Headers],[A1]],Database_Productkaarten[#All],17,FALSE),0)*Ontwerpberekening!H8),0))/Ontwerpberekening!$A$2</f>
        <v>0</v>
      </c>
      <c r="E49" s="72">
        <f>(IF(Ontwerpberekening!C8="Nieuwe Situatie",(_xlfn.IFNA(VLOOKUP(Ontwerp_CO2_Totaal[[#This Row],[Product]]&amp;", "&amp;Ontwerp_CO2_Totaal[[#Headers],[A2]],Database_Productkaarten[#All],17,FALSE),0)*Ontwerpberekening!H8),0))/Ontwerpberekening!$A$2</f>
        <v>0</v>
      </c>
      <c r="F49" s="72">
        <f>(IF(Ontwerpberekening!C8="Nieuwe Situatie",(_xlfn.IFNA(VLOOKUP(Ontwerp_CO2_Totaal[[#This Row],[Product]]&amp;", "&amp;Ontwerp_CO2_Totaal[[#Headers],[A3]],Database_Productkaarten[#All],17,FALSE),0)*Ontwerpberekening!H8),0))/Ontwerpberekening!$A$2</f>
        <v>0</v>
      </c>
      <c r="G49" s="72">
        <f>(IF(Ontwerpberekening!C8="Nieuwe Situatie",(_xlfn.IFNA(VLOOKUP(Ontwerp_CO2_Totaal[[#This Row],[Product]]&amp;", "&amp;Ontwerp_CO2_Totaal[[#Headers],[A4]],Database_Productkaarten[#All],17,FALSE),0)*Ontwerpberekening!H8),0))/Ontwerpberekening!$A$2</f>
        <v>0</v>
      </c>
      <c r="H49" s="72">
        <f>(IF(Ontwerpberekening!C8="Nieuwe Situatie",(_xlfn.IFNA(VLOOKUP(Ontwerp_CO2_Totaal[[#This Row],[Product]]&amp;", "&amp;Ontwerp_CO2_Totaal[[#Headers],[A5]],Database_Productkaarten[#All],17,FALSE),0)*Ontwerpberekening!H8),0))/Ontwerpberekening!$A$2</f>
        <v>0</v>
      </c>
      <c r="I49" s="72">
        <f>(IF(Ontwerpberekening!C8="Nieuwe Situatie",(_xlfn.IFNA(VLOOKUP(Ontwerp_CO2_Totaal[[#This Row],[Product]]&amp;", "&amp;Ontwerp_CO2_Totaal[[#Headers],[B1]],Database_Productkaarten[#All],17,FALSE),0)*Ontwerpberekening!H8),0))/Ontwerpberekening!$A$2</f>
        <v>0</v>
      </c>
      <c r="J49" s="72">
        <f>(IF(Ontwerpberekening!C8="Nieuwe Situatie",(_xlfn.IFNA(VLOOKUP(Ontwerp_CO2_Totaal[[#This Row],[Product]]&amp;", "&amp;Ontwerp_CO2_Totaal[[#Headers],[B3]],Database_Productkaarten[#All],17,FALSE),0)*Ontwerpberekening!H8),0))/Ontwerpberekening!$A$2</f>
        <v>0</v>
      </c>
      <c r="K49" s="72">
        <f>(IF(Ontwerpberekening!C8="Nieuwe Situatie",(SUM(Ontwerp_CO2_Totaal[[#This Row],[A1]:[B1]],Ontwerp_CO2_Totaal[[#This Row],[C1]:[D2]])*Ontwerpberekening!R8),0))</f>
        <v>0</v>
      </c>
      <c r="L49" s="72">
        <f>_xlfn.IFNA(VLOOKUP(Ontwerp_CO2_Totaal[[#This Row],[Product]]&amp;", "&amp;Ontwerp_CO2_Totaal[[#Headers],[C1]],Database_Productkaarten[#All],17,FALSE)*Ontwerpberekening!H8,0)/Ontwerpberekening!$A$2</f>
        <v>2.0254000000000003</v>
      </c>
      <c r="M49" s="72">
        <f>_xlfn.IFNA(VLOOKUP(Ontwerp_CO2_Totaal[[#This Row],[Product]]&amp;", "&amp;Ontwerp_CO2_Totaal[[#Headers],[C2]],Database_Productkaarten[#All],17,FALSE)*Ontwerpberekening!H8,0)/Ontwerpberekening!$A$2</f>
        <v>3.0791799999999996</v>
      </c>
      <c r="N49" s="72">
        <f>_xlfn.IFNA(VLOOKUP(Ontwerp_CO2_Totaal[[#This Row],[Product]]&amp;", "&amp;Ontwerp_CO2_Totaal[[#Headers],[C3]],Database_Productkaarten[#All],17,FALSE)*Ontwerpberekening!H8,0)/Ontwerpberekening!$A$2</f>
        <v>8.5800000000000004E-4</v>
      </c>
      <c r="O49" s="72">
        <f>_xlfn.IFNA(VLOOKUP(Ontwerp_CO2_Totaal[[#This Row],[Product]]&amp;", "&amp;Ontwerp_CO2_Totaal[[#Headers],[C4]],Database_Productkaarten[#All],17,FALSE)*Ontwerpberekening!H8,0)/Ontwerpberekening!$A$2</f>
        <v>2.4699999999999996E-2</v>
      </c>
      <c r="P49" s="72">
        <f>(IF(Ontwerpberekening!C8="Nieuwe Situatie",(_xlfn.IFNA(VLOOKUP(Ontwerp_CO2_Totaal[[#This Row],[Product]]&amp;", "&amp;Ontwerp_CO2_Totaal[[#Headers],[D1]],Database_Productkaarten[#All],17,FALSE),0)*Ontwerpberekening!H8),0))/Ontwerpberekening!$A$2</f>
        <v>0</v>
      </c>
      <c r="Q49" s="73">
        <f>(IF(Ontwerpberekening!C8="Nieuwe Situatie",_xlfn.IFNA(VLOOKUP(Ontwerp_CO2_Totaal[[#This Row],[Product]]&amp;", "&amp;Ontwerp_CO2_Totaal[[#Headers],[D2]],Database_Productkaarten[#All],17,FALSE),0)*Ontwerpberekening!H8,0))/Ontwerpberekening!$A$2</f>
        <v>0</v>
      </c>
      <c r="R49" s="72">
        <f>SUM(Ontwerp_CO2_Totaal[[#This Row],[A1]:[D2]])</f>
        <v>5.1301380000000005</v>
      </c>
      <c r="T49" s="201" t="s">
        <v>536</v>
      </c>
      <c r="U49" s="171" t="e">
        <v>#REF!</v>
      </c>
    </row>
    <row r="50" spans="2:21" ht="18" x14ac:dyDescent="0.55000000000000004">
      <c r="B50" s="37" t="str">
        <f>Ontwerpberekening!B9</f>
        <v>Baseline</v>
      </c>
      <c r="C50" s="23" t="str">
        <f>Ontwerpberekening!F9</f>
        <v>Grond</v>
      </c>
      <c r="D50" s="72">
        <f>(IF(Ontwerpberekening!C9="Nieuwe Situatie",(_xlfn.IFNA(VLOOKUP(Ontwerp_CO2_Totaal[[#This Row],[Product]]&amp;", "&amp;Ontwerp_CO2_Totaal[[#Headers],[A1]],Database_Productkaarten[#All],17,FALSE),0)*Ontwerpberekening!H9),0))/Ontwerpberekening!$A$2</f>
        <v>0</v>
      </c>
      <c r="E50" s="72">
        <f>(IF(Ontwerpberekening!C9="Nieuwe Situatie",(_xlfn.IFNA(VLOOKUP(Ontwerp_CO2_Totaal[[#This Row],[Product]]&amp;", "&amp;Ontwerp_CO2_Totaal[[#Headers],[A2]],Database_Productkaarten[#All],17,FALSE),0)*Ontwerpberekening!H9),0))/Ontwerpberekening!$A$2</f>
        <v>0</v>
      </c>
      <c r="F50" s="72">
        <f>(IF(Ontwerpberekening!C9="Nieuwe Situatie",(_xlfn.IFNA(VLOOKUP(Ontwerp_CO2_Totaal[[#This Row],[Product]]&amp;", "&amp;Ontwerp_CO2_Totaal[[#Headers],[A3]],Database_Productkaarten[#All],17,FALSE),0)*Ontwerpberekening!H9),0))/Ontwerpberekening!$A$2</f>
        <v>0</v>
      </c>
      <c r="G50" s="72">
        <f>(IF(Ontwerpberekening!C9="Nieuwe Situatie",(_xlfn.IFNA(VLOOKUP(Ontwerp_CO2_Totaal[[#This Row],[Product]]&amp;", "&amp;Ontwerp_CO2_Totaal[[#Headers],[A4]],Database_Productkaarten[#All],17,FALSE),0)*Ontwerpberekening!H9),0))/Ontwerpberekening!$A$2</f>
        <v>0</v>
      </c>
      <c r="H50" s="72">
        <f>(IF(Ontwerpberekening!C9="Nieuwe Situatie",(_xlfn.IFNA(VLOOKUP(Ontwerp_CO2_Totaal[[#This Row],[Product]]&amp;", "&amp;Ontwerp_CO2_Totaal[[#Headers],[A5]],Database_Productkaarten[#All],17,FALSE),0)*Ontwerpberekening!H9),0))/Ontwerpberekening!$A$2</f>
        <v>0</v>
      </c>
      <c r="I50" s="72">
        <f>(IF(Ontwerpberekening!C9="Nieuwe Situatie",(_xlfn.IFNA(VLOOKUP(Ontwerp_CO2_Totaal[[#This Row],[Product]]&amp;", "&amp;Ontwerp_CO2_Totaal[[#Headers],[B1]],Database_Productkaarten[#All],17,FALSE),0)*Ontwerpberekening!H9),0))/Ontwerpberekening!$A$2</f>
        <v>0</v>
      </c>
      <c r="J50" s="72">
        <f>(IF(Ontwerpberekening!C9="Nieuwe Situatie",(_xlfn.IFNA(VLOOKUP(Ontwerp_CO2_Totaal[[#This Row],[Product]]&amp;", "&amp;Ontwerp_CO2_Totaal[[#Headers],[B3]],Database_Productkaarten[#All],17,FALSE),0)*Ontwerpberekening!H9),0))/Ontwerpberekening!$A$2</f>
        <v>0</v>
      </c>
      <c r="K50" s="72">
        <f>(IF(Ontwerpberekening!C9="Nieuwe Situatie",(SUM(Ontwerp_CO2_Totaal[[#This Row],[A1]:[B1]],Ontwerp_CO2_Totaal[[#This Row],[C1]:[D2]])*Ontwerpberekening!R9),0))</f>
        <v>0</v>
      </c>
      <c r="L50" s="72">
        <f>_xlfn.IFNA(VLOOKUP(Ontwerp_CO2_Totaal[[#This Row],[Product]]&amp;", "&amp;Ontwerp_CO2_Totaal[[#Headers],[C1]],Database_Productkaarten[#All],17,FALSE)*Ontwerpberekening!H9,0)/Ontwerpberekening!$A$2</f>
        <v>0.89718701183124994</v>
      </c>
      <c r="M50" s="72">
        <f>_xlfn.IFNA(VLOOKUP(Ontwerp_CO2_Totaal[[#This Row],[Product]]&amp;", "&amp;Ontwerp_CO2_Totaal[[#Headers],[C2]],Database_Productkaarten[#All],17,FALSE)*Ontwerpberekening!H9,0)/Ontwerpberekening!$A$2</f>
        <v>8.0263399549999992</v>
      </c>
      <c r="N50" s="72">
        <f>_xlfn.IFNA(VLOOKUP(Ontwerp_CO2_Totaal[[#This Row],[Product]]&amp;", "&amp;Ontwerp_CO2_Totaal[[#Headers],[C3]],Database_Productkaarten[#All],17,FALSE)*Ontwerpberekening!H9,0)/Ontwerpberekening!$A$2</f>
        <v>0</v>
      </c>
      <c r="O50" s="72">
        <f>_xlfn.IFNA(VLOOKUP(Ontwerp_CO2_Totaal[[#This Row],[Product]]&amp;", "&amp;Ontwerp_CO2_Totaal[[#Headers],[C4]],Database_Productkaarten[#All],17,FALSE)*Ontwerpberekening!H9,0)/Ontwerpberekening!$A$2</f>
        <v>0</v>
      </c>
      <c r="P50" s="72">
        <f>(IF(Ontwerpberekening!C9="Nieuwe Situatie",(_xlfn.IFNA(VLOOKUP(Ontwerp_CO2_Totaal[[#This Row],[Product]]&amp;", "&amp;Ontwerp_CO2_Totaal[[#Headers],[D1]],Database_Productkaarten[#All],17,FALSE),0)*Ontwerpberekening!H9),0))/Ontwerpberekening!$A$2</f>
        <v>0</v>
      </c>
      <c r="Q50" s="73">
        <f>(IF(Ontwerpberekening!C9="Nieuwe Situatie",_xlfn.IFNA(VLOOKUP(Ontwerp_CO2_Totaal[[#This Row],[Product]]&amp;", "&amp;Ontwerp_CO2_Totaal[[#Headers],[D2]],Database_Productkaarten[#All],17,FALSE),0)*Ontwerpberekening!H9,0))/Ontwerpberekening!$A$2</f>
        <v>0</v>
      </c>
      <c r="R50" s="72">
        <f>SUM(Ontwerp_CO2_Totaal[[#This Row],[A1]:[D2]])</f>
        <v>8.9235269668312487</v>
      </c>
      <c r="T50"/>
      <c r="U50"/>
    </row>
    <row r="51" spans="2:21" ht="18" x14ac:dyDescent="0.55000000000000004">
      <c r="B51" s="37" t="str">
        <f>Ontwerpberekening!B10</f>
        <v>Baseline</v>
      </c>
      <c r="C51" s="23" t="str">
        <f>Ontwerpberekening!F10</f>
        <v>Opsluitband 100x200</v>
      </c>
      <c r="D51" s="72">
        <f>(IF(Ontwerpberekening!C10="Nieuwe Situatie",(_xlfn.IFNA(VLOOKUP(Ontwerp_CO2_Totaal[[#This Row],[Product]]&amp;", "&amp;Ontwerp_CO2_Totaal[[#Headers],[A1]],Database_Productkaarten[#All],17,FALSE),0)*Ontwerpberekening!H10),0))/Ontwerpberekening!$A$2</f>
        <v>0</v>
      </c>
      <c r="E51" s="72">
        <f>(IF(Ontwerpberekening!C10="Nieuwe Situatie",(_xlfn.IFNA(VLOOKUP(Ontwerp_CO2_Totaal[[#This Row],[Product]]&amp;", "&amp;Ontwerp_CO2_Totaal[[#Headers],[A2]],Database_Productkaarten[#All],17,FALSE),0)*Ontwerpberekening!H10),0))/Ontwerpberekening!$A$2</f>
        <v>0</v>
      </c>
      <c r="F51" s="72">
        <f>(IF(Ontwerpberekening!C10="Nieuwe Situatie",(_xlfn.IFNA(VLOOKUP(Ontwerp_CO2_Totaal[[#This Row],[Product]]&amp;", "&amp;Ontwerp_CO2_Totaal[[#Headers],[A3]],Database_Productkaarten[#All],17,FALSE),0)*Ontwerpberekening!H10),0))/Ontwerpberekening!$A$2</f>
        <v>0</v>
      </c>
      <c r="G51" s="72">
        <f>(IF(Ontwerpberekening!C10="Nieuwe Situatie",(_xlfn.IFNA(VLOOKUP(Ontwerp_CO2_Totaal[[#This Row],[Product]]&amp;", "&amp;Ontwerp_CO2_Totaal[[#Headers],[A4]],Database_Productkaarten[#All],17,FALSE),0)*Ontwerpberekening!H10),0))/Ontwerpberekening!$A$2</f>
        <v>0</v>
      </c>
      <c r="H51" s="72">
        <f>(IF(Ontwerpberekening!C10="Nieuwe Situatie",(_xlfn.IFNA(VLOOKUP(Ontwerp_CO2_Totaal[[#This Row],[Product]]&amp;", "&amp;Ontwerp_CO2_Totaal[[#Headers],[A5]],Database_Productkaarten[#All],17,FALSE),0)*Ontwerpberekening!H10),0))/Ontwerpberekening!$A$2</f>
        <v>0</v>
      </c>
      <c r="I51" s="72">
        <f>(IF(Ontwerpberekening!C10="Nieuwe Situatie",(_xlfn.IFNA(VLOOKUP(Ontwerp_CO2_Totaal[[#This Row],[Product]]&amp;", "&amp;Ontwerp_CO2_Totaal[[#Headers],[B1]],Database_Productkaarten[#All],17,FALSE),0)*Ontwerpberekening!H10),0))/Ontwerpberekening!$A$2</f>
        <v>0</v>
      </c>
      <c r="J51" s="72">
        <f>(IF(Ontwerpberekening!C10="Nieuwe Situatie",(_xlfn.IFNA(VLOOKUP(Ontwerp_CO2_Totaal[[#This Row],[Product]]&amp;", "&amp;Ontwerp_CO2_Totaal[[#Headers],[B3]],Database_Productkaarten[#All],17,FALSE),0)*Ontwerpberekening!H10),0))/Ontwerpberekening!$A$2</f>
        <v>0</v>
      </c>
      <c r="K51" s="72">
        <f>(IF(Ontwerpberekening!C10="Nieuwe Situatie",(SUM(Ontwerp_CO2_Totaal[[#This Row],[A1]:[B1]],Ontwerp_CO2_Totaal[[#This Row],[C1]:[D2]])*Ontwerpberekening!R10),0))</f>
        <v>0</v>
      </c>
      <c r="L51" s="72">
        <f>_xlfn.IFNA(VLOOKUP(Ontwerp_CO2_Totaal[[#This Row],[Product]]&amp;", "&amp;Ontwerp_CO2_Totaal[[#Headers],[C1]],Database_Productkaarten[#All],17,FALSE)*Ontwerpberekening!H10,0)/Ontwerpberekening!$A$2</f>
        <v>1.12114</v>
      </c>
      <c r="M51" s="72">
        <f>_xlfn.IFNA(VLOOKUP(Ontwerp_CO2_Totaal[[#This Row],[Product]]&amp;", "&amp;Ontwerp_CO2_Totaal[[#Headers],[C2]],Database_Productkaarten[#All],17,FALSE)*Ontwerpberekening!H10,0)/Ontwerpberekening!$A$2</f>
        <v>1.7173799999999997</v>
      </c>
      <c r="N51" s="72">
        <f>_xlfn.IFNA(VLOOKUP(Ontwerp_CO2_Totaal[[#This Row],[Product]]&amp;", "&amp;Ontwerp_CO2_Totaal[[#Headers],[C3]],Database_Productkaarten[#All],17,FALSE)*Ontwerpberekening!H10,0)/Ontwerpberekening!$A$2</f>
        <v>2.0879999999999999E-2</v>
      </c>
      <c r="O51" s="72">
        <f>_xlfn.IFNA(VLOOKUP(Ontwerp_CO2_Totaal[[#This Row],[Product]]&amp;", "&amp;Ontwerp_CO2_Totaal[[#Headers],[C4]],Database_Productkaarten[#All],17,FALSE)*Ontwerpberekening!H10,0)/Ontwerpberekening!$A$2</f>
        <v>1.3919999999999998E-2</v>
      </c>
      <c r="P51" s="72">
        <f>(IF(Ontwerpberekening!C10="Nieuwe Situatie",(_xlfn.IFNA(VLOOKUP(Ontwerp_CO2_Totaal[[#This Row],[Product]]&amp;", "&amp;Ontwerp_CO2_Totaal[[#Headers],[D1]],Database_Productkaarten[#All],17,FALSE),0)*Ontwerpberekening!H10),0))/Ontwerpberekening!$A$2</f>
        <v>0</v>
      </c>
      <c r="Q51" s="73">
        <f>(IF(Ontwerpberekening!C10="Nieuwe Situatie",_xlfn.IFNA(VLOOKUP(Ontwerp_CO2_Totaal[[#This Row],[Product]]&amp;", "&amp;Ontwerp_CO2_Totaal[[#Headers],[D2]],Database_Productkaarten[#All],17,FALSE),0)*Ontwerpberekening!H10,0))/Ontwerpberekening!$A$2</f>
        <v>0</v>
      </c>
      <c r="R51" s="72">
        <f>SUM(Ontwerp_CO2_Totaal[[#This Row],[A1]:[D2]])</f>
        <v>2.8733200000000001</v>
      </c>
      <c r="T51"/>
      <c r="U51"/>
    </row>
    <row r="52" spans="2:21" ht="18" x14ac:dyDescent="0.55000000000000004">
      <c r="B52" s="37" t="str">
        <f>Ontwerpberekening!B11</f>
        <v>Baseline</v>
      </c>
      <c r="C52" s="23" t="str">
        <f>Ontwerpberekening!F11</f>
        <v>Opsluitband 100x200</v>
      </c>
      <c r="D52" s="72">
        <f>(IF(Ontwerpberekening!C11="Nieuwe Situatie",(_xlfn.IFNA(VLOOKUP(Ontwerp_CO2_Totaal[[#This Row],[Product]]&amp;", "&amp;Ontwerp_CO2_Totaal[[#Headers],[A1]],Database_Productkaarten[#All],17,FALSE),0)*Ontwerpberekening!H11),0))/Ontwerpberekening!$A$2</f>
        <v>0</v>
      </c>
      <c r="E52" s="72">
        <f>(IF(Ontwerpberekening!C11="Nieuwe Situatie",(_xlfn.IFNA(VLOOKUP(Ontwerp_CO2_Totaal[[#This Row],[Product]]&amp;", "&amp;Ontwerp_CO2_Totaal[[#Headers],[A2]],Database_Productkaarten[#All],17,FALSE),0)*Ontwerpberekening!H11),0))/Ontwerpberekening!$A$2</f>
        <v>0</v>
      </c>
      <c r="F52" s="72">
        <f>(IF(Ontwerpberekening!C11="Nieuwe Situatie",(_xlfn.IFNA(VLOOKUP(Ontwerp_CO2_Totaal[[#This Row],[Product]]&amp;", "&amp;Ontwerp_CO2_Totaal[[#Headers],[A3]],Database_Productkaarten[#All],17,FALSE),0)*Ontwerpberekening!H11),0))/Ontwerpberekening!$A$2</f>
        <v>0</v>
      </c>
      <c r="G52" s="72">
        <f>(IF(Ontwerpberekening!C11="Nieuwe Situatie",(_xlfn.IFNA(VLOOKUP(Ontwerp_CO2_Totaal[[#This Row],[Product]]&amp;", "&amp;Ontwerp_CO2_Totaal[[#Headers],[A4]],Database_Productkaarten[#All],17,FALSE),0)*Ontwerpberekening!H11),0))/Ontwerpberekening!$A$2</f>
        <v>0</v>
      </c>
      <c r="H52" s="72">
        <f>(IF(Ontwerpberekening!C11="Nieuwe Situatie",(_xlfn.IFNA(VLOOKUP(Ontwerp_CO2_Totaal[[#This Row],[Product]]&amp;", "&amp;Ontwerp_CO2_Totaal[[#Headers],[A5]],Database_Productkaarten[#All],17,FALSE),0)*Ontwerpberekening!H11),0))/Ontwerpberekening!$A$2</f>
        <v>0</v>
      </c>
      <c r="I52" s="72">
        <f>(IF(Ontwerpberekening!C11="Nieuwe Situatie",(_xlfn.IFNA(VLOOKUP(Ontwerp_CO2_Totaal[[#This Row],[Product]]&amp;", "&amp;Ontwerp_CO2_Totaal[[#Headers],[B1]],Database_Productkaarten[#All],17,FALSE),0)*Ontwerpberekening!H11),0))/Ontwerpberekening!$A$2</f>
        <v>0</v>
      </c>
      <c r="J52" s="72">
        <f>(IF(Ontwerpberekening!C11="Nieuwe Situatie",(_xlfn.IFNA(VLOOKUP(Ontwerp_CO2_Totaal[[#This Row],[Product]]&amp;", "&amp;Ontwerp_CO2_Totaal[[#Headers],[B3]],Database_Productkaarten[#All],17,FALSE),0)*Ontwerpberekening!H11),0))/Ontwerpberekening!$A$2</f>
        <v>0</v>
      </c>
      <c r="K52" s="72">
        <f>(IF(Ontwerpberekening!C11="Nieuwe Situatie",(SUM(Ontwerp_CO2_Totaal[[#This Row],[A1]:[B1]],Ontwerp_CO2_Totaal[[#This Row],[C1]:[D2]])*Ontwerpberekening!R11),0))</f>
        <v>0</v>
      </c>
      <c r="L52" s="72">
        <f>_xlfn.IFNA(VLOOKUP(Ontwerp_CO2_Totaal[[#This Row],[Product]]&amp;", "&amp;Ontwerp_CO2_Totaal[[#Headers],[C1]],Database_Productkaarten[#All],17,FALSE)*Ontwerpberekening!H11,0)/Ontwerpberekening!$A$2</f>
        <v>0.13531000000000001</v>
      </c>
      <c r="M52" s="72">
        <f>_xlfn.IFNA(VLOOKUP(Ontwerp_CO2_Totaal[[#This Row],[Product]]&amp;", "&amp;Ontwerp_CO2_Totaal[[#Headers],[C2]],Database_Productkaarten[#All],17,FALSE)*Ontwerpberekening!H11,0)/Ontwerpberekening!$A$2</f>
        <v>0.20726999999999995</v>
      </c>
      <c r="N52" s="72">
        <f>_xlfn.IFNA(VLOOKUP(Ontwerp_CO2_Totaal[[#This Row],[Product]]&amp;", "&amp;Ontwerp_CO2_Totaal[[#Headers],[C3]],Database_Productkaarten[#All],17,FALSE)*Ontwerpberekening!H11,0)/Ontwerpberekening!$A$2</f>
        <v>2.5200000000000001E-3</v>
      </c>
      <c r="O52" s="72">
        <f>_xlfn.IFNA(VLOOKUP(Ontwerp_CO2_Totaal[[#This Row],[Product]]&amp;", "&amp;Ontwerp_CO2_Totaal[[#Headers],[C4]],Database_Productkaarten[#All],17,FALSE)*Ontwerpberekening!H11,0)/Ontwerpberekening!$A$2</f>
        <v>1.6799999999999999E-3</v>
      </c>
      <c r="P52" s="72">
        <f>(IF(Ontwerpberekening!C11="Nieuwe Situatie",(_xlfn.IFNA(VLOOKUP(Ontwerp_CO2_Totaal[[#This Row],[Product]]&amp;", "&amp;Ontwerp_CO2_Totaal[[#Headers],[D1]],Database_Productkaarten[#All],17,FALSE),0)*Ontwerpberekening!H11),0))/Ontwerpberekening!$A$2</f>
        <v>0</v>
      </c>
      <c r="Q52" s="73">
        <f>(IF(Ontwerpberekening!C11="Nieuwe Situatie",_xlfn.IFNA(VLOOKUP(Ontwerp_CO2_Totaal[[#This Row],[Product]]&amp;", "&amp;Ontwerp_CO2_Totaal[[#Headers],[D2]],Database_Productkaarten[#All],17,FALSE),0)*Ontwerpberekening!H11,0))/Ontwerpberekening!$A$2</f>
        <v>0</v>
      </c>
      <c r="R52" s="72">
        <f>SUM(Ontwerp_CO2_Totaal[[#This Row],[A1]:[D2]])</f>
        <v>0.34678000000000003</v>
      </c>
      <c r="T52"/>
      <c r="U52"/>
    </row>
    <row r="53" spans="2:21" ht="18" x14ac:dyDescent="0.55000000000000004">
      <c r="B53" s="37" t="str">
        <f>Ontwerpberekening!B12</f>
        <v>Baseline</v>
      </c>
      <c r="C53" s="23" t="str">
        <f>Ontwerpberekening!F12</f>
        <v>Grond</v>
      </c>
      <c r="D53" s="72">
        <f>(IF(Ontwerpberekening!C12="Nieuwe Situatie",(_xlfn.IFNA(VLOOKUP(Ontwerp_CO2_Totaal[[#This Row],[Product]]&amp;", "&amp;Ontwerp_CO2_Totaal[[#Headers],[A1]],Database_Productkaarten[#All],17,FALSE),0)*Ontwerpberekening!H12),0))/Ontwerpberekening!$A$2</f>
        <v>0</v>
      </c>
      <c r="E53" s="72">
        <f>(IF(Ontwerpberekening!C12="Nieuwe Situatie",(_xlfn.IFNA(VLOOKUP(Ontwerp_CO2_Totaal[[#This Row],[Product]]&amp;", "&amp;Ontwerp_CO2_Totaal[[#Headers],[A2]],Database_Productkaarten[#All],17,FALSE),0)*Ontwerpberekening!H12),0))/Ontwerpberekening!$A$2</f>
        <v>0</v>
      </c>
      <c r="F53" s="72">
        <f>(IF(Ontwerpberekening!C12="Nieuwe Situatie",(_xlfn.IFNA(VLOOKUP(Ontwerp_CO2_Totaal[[#This Row],[Product]]&amp;", "&amp;Ontwerp_CO2_Totaal[[#Headers],[A3]],Database_Productkaarten[#All],17,FALSE),0)*Ontwerpberekening!H12),0))/Ontwerpberekening!$A$2</f>
        <v>0</v>
      </c>
      <c r="G53" s="72">
        <f>(IF(Ontwerpberekening!C12="Nieuwe Situatie",(_xlfn.IFNA(VLOOKUP(Ontwerp_CO2_Totaal[[#This Row],[Product]]&amp;", "&amp;Ontwerp_CO2_Totaal[[#Headers],[A4]],Database_Productkaarten[#All],17,FALSE),0)*Ontwerpberekening!H12),0))/Ontwerpberekening!$A$2</f>
        <v>0</v>
      </c>
      <c r="H53" s="72">
        <f>(IF(Ontwerpberekening!C12="Nieuwe Situatie",(_xlfn.IFNA(VLOOKUP(Ontwerp_CO2_Totaal[[#This Row],[Product]]&amp;", "&amp;Ontwerp_CO2_Totaal[[#Headers],[A5]],Database_Productkaarten[#All],17,FALSE),0)*Ontwerpberekening!H12),0))/Ontwerpberekening!$A$2</f>
        <v>0</v>
      </c>
      <c r="I53" s="72">
        <f>(IF(Ontwerpberekening!C12="Nieuwe Situatie",(_xlfn.IFNA(VLOOKUP(Ontwerp_CO2_Totaal[[#This Row],[Product]]&amp;", "&amp;Ontwerp_CO2_Totaal[[#Headers],[B1]],Database_Productkaarten[#All],17,FALSE),0)*Ontwerpberekening!H12),0))/Ontwerpberekening!$A$2</f>
        <v>0</v>
      </c>
      <c r="J53" s="72">
        <f>(IF(Ontwerpberekening!C12="Nieuwe Situatie",(_xlfn.IFNA(VLOOKUP(Ontwerp_CO2_Totaal[[#This Row],[Product]]&amp;", "&amp;Ontwerp_CO2_Totaal[[#Headers],[B3]],Database_Productkaarten[#All],17,FALSE),0)*Ontwerpberekening!H12),0))/Ontwerpberekening!$A$2</f>
        <v>0</v>
      </c>
      <c r="K53" s="72">
        <f>(IF(Ontwerpberekening!C12="Nieuwe Situatie",(SUM(Ontwerp_CO2_Totaal[[#This Row],[A1]:[B1]],Ontwerp_CO2_Totaal[[#This Row],[C1]:[D2]])*Ontwerpberekening!R12),0))</f>
        <v>0</v>
      </c>
      <c r="L53" s="72">
        <f>_xlfn.IFNA(VLOOKUP(Ontwerp_CO2_Totaal[[#This Row],[Product]]&amp;", "&amp;Ontwerp_CO2_Totaal[[#Headers],[C1]],Database_Productkaarten[#All],17,FALSE)*Ontwerpberekening!H12,0)/Ontwerpberekening!$A$2</f>
        <v>2.8332221426249998E-2</v>
      </c>
      <c r="M53" s="72">
        <f>_xlfn.IFNA(VLOOKUP(Ontwerp_CO2_Totaal[[#This Row],[Product]]&amp;", "&amp;Ontwerp_CO2_Totaal[[#Headers],[C2]],Database_Productkaarten[#All],17,FALSE)*Ontwerpberekening!H12,0)/Ontwerpberekening!$A$2</f>
        <v>0.25346336699999994</v>
      </c>
      <c r="N53" s="72">
        <f>_xlfn.IFNA(VLOOKUP(Ontwerp_CO2_Totaal[[#This Row],[Product]]&amp;", "&amp;Ontwerp_CO2_Totaal[[#Headers],[C3]],Database_Productkaarten[#All],17,FALSE)*Ontwerpberekening!H12,0)/Ontwerpberekening!$A$2</f>
        <v>0</v>
      </c>
      <c r="O53" s="72">
        <f>_xlfn.IFNA(VLOOKUP(Ontwerp_CO2_Totaal[[#This Row],[Product]]&amp;", "&amp;Ontwerp_CO2_Totaal[[#Headers],[C4]],Database_Productkaarten[#All],17,FALSE)*Ontwerpberekening!H12,0)/Ontwerpberekening!$A$2</f>
        <v>0</v>
      </c>
      <c r="P53" s="72">
        <f>(IF(Ontwerpberekening!C12="Nieuwe Situatie",(_xlfn.IFNA(VLOOKUP(Ontwerp_CO2_Totaal[[#This Row],[Product]]&amp;", "&amp;Ontwerp_CO2_Totaal[[#Headers],[D1]],Database_Productkaarten[#All],17,FALSE),0)*Ontwerpberekening!H12),0))/Ontwerpberekening!$A$2</f>
        <v>0</v>
      </c>
      <c r="Q53" s="73">
        <f>(IF(Ontwerpberekening!C12="Nieuwe Situatie",_xlfn.IFNA(VLOOKUP(Ontwerp_CO2_Totaal[[#This Row],[Product]]&amp;", "&amp;Ontwerp_CO2_Totaal[[#Headers],[D2]],Database_Productkaarten[#All],17,FALSE),0)*Ontwerpberekening!H12,0))/Ontwerpberekening!$A$2</f>
        <v>0</v>
      </c>
      <c r="R53" s="72">
        <f>SUM(Ontwerp_CO2_Totaal[[#This Row],[A1]:[D2]])</f>
        <v>0.28179558842624997</v>
      </c>
      <c r="T53"/>
      <c r="U53"/>
    </row>
    <row r="54" spans="2:21" ht="18" x14ac:dyDescent="0.55000000000000004">
      <c r="B54" s="37" t="str">
        <f>Ontwerpberekening!B13</f>
        <v>Baseline</v>
      </c>
      <c r="C54" s="23" t="str">
        <f>Ontwerpberekening!F13</f>
        <v>Hydraulisch Menggranulaat</v>
      </c>
      <c r="D54" s="72">
        <f>(IF(Ontwerpberekening!C13="Nieuwe Situatie",(_xlfn.IFNA(VLOOKUP(Ontwerp_CO2_Totaal[[#This Row],[Product]]&amp;", "&amp;Ontwerp_CO2_Totaal[[#Headers],[A1]],Database_Productkaarten[#All],17,FALSE),0)*Ontwerpberekening!H13),0))/Ontwerpberekening!$A$2</f>
        <v>0</v>
      </c>
      <c r="E54" s="72">
        <f>(IF(Ontwerpberekening!C13="Nieuwe Situatie",(_xlfn.IFNA(VLOOKUP(Ontwerp_CO2_Totaal[[#This Row],[Product]]&amp;", "&amp;Ontwerp_CO2_Totaal[[#Headers],[A2]],Database_Productkaarten[#All],17,FALSE),0)*Ontwerpberekening!H13),0))/Ontwerpberekening!$A$2</f>
        <v>0</v>
      </c>
      <c r="F54" s="72">
        <f>(IF(Ontwerpberekening!C13="Nieuwe Situatie",(_xlfn.IFNA(VLOOKUP(Ontwerp_CO2_Totaal[[#This Row],[Product]]&amp;", "&amp;Ontwerp_CO2_Totaal[[#Headers],[A3]],Database_Productkaarten[#All],17,FALSE),0)*Ontwerpberekening!H13),0))/Ontwerpberekening!$A$2</f>
        <v>0</v>
      </c>
      <c r="G54" s="72">
        <f>(IF(Ontwerpberekening!C13="Nieuwe Situatie",(_xlfn.IFNA(VLOOKUP(Ontwerp_CO2_Totaal[[#This Row],[Product]]&amp;", "&amp;Ontwerp_CO2_Totaal[[#Headers],[A4]],Database_Productkaarten[#All],17,FALSE),0)*Ontwerpberekening!H13),0))/Ontwerpberekening!$A$2</f>
        <v>2.2811703029999997</v>
      </c>
      <c r="H54" s="72">
        <f>(IF(Ontwerpberekening!C13="Nieuwe Situatie",(_xlfn.IFNA(VLOOKUP(Ontwerp_CO2_Totaal[[#This Row],[Product]]&amp;", "&amp;Ontwerp_CO2_Totaal[[#Headers],[A5]],Database_Productkaarten[#All],17,FALSE),0)*Ontwerpberekening!H13),0))/Ontwerpberekening!$A$2</f>
        <v>0.22665777141000004</v>
      </c>
      <c r="I54" s="72">
        <f>(IF(Ontwerpberekening!C13="Nieuwe Situatie",(_xlfn.IFNA(VLOOKUP(Ontwerp_CO2_Totaal[[#This Row],[Product]]&amp;", "&amp;Ontwerp_CO2_Totaal[[#Headers],[B1]],Database_Productkaarten[#All],17,FALSE),0)*Ontwerpberekening!H13),0))/Ontwerpberekening!$A$2</f>
        <v>0</v>
      </c>
      <c r="J54" s="72">
        <f>(IF(Ontwerpberekening!C13="Nieuwe Situatie",(_xlfn.IFNA(VLOOKUP(Ontwerp_CO2_Totaal[[#This Row],[Product]]&amp;", "&amp;Ontwerp_CO2_Totaal[[#Headers],[B3]],Database_Productkaarten[#All],17,FALSE),0)*Ontwerpberekening!H13),0))/Ontwerpberekening!$A$2</f>
        <v>0</v>
      </c>
      <c r="K54" s="72">
        <f>(IF(Ontwerpberekening!C13="Nieuwe Situatie",(SUM(Ontwerp_CO2_Totaal[[#This Row],[A1]:[B1]],Ontwerp_CO2_Totaal[[#This Row],[C1]:[D2]])*Ontwerpberekening!R13),0))</f>
        <v>0</v>
      </c>
      <c r="L54" s="72">
        <f>_xlfn.IFNA(VLOOKUP(Ontwerp_CO2_Totaal[[#This Row],[Product]]&amp;", "&amp;Ontwerp_CO2_Totaal[[#Headers],[C1]],Database_Productkaarten[#All],17,FALSE)*Ontwerpberekening!H13,0)/Ontwerpberekening!$A$2</f>
        <v>0.22665777141000004</v>
      </c>
      <c r="M54" s="72">
        <f>_xlfn.IFNA(VLOOKUP(Ontwerp_CO2_Totaal[[#This Row],[Product]]&amp;", "&amp;Ontwerp_CO2_Totaal[[#Headers],[C2]],Database_Productkaarten[#All],17,FALSE)*Ontwerpberekening!H13,0)/Ontwerpberekening!$A$2</f>
        <v>2.2811703029999997</v>
      </c>
      <c r="N54" s="72">
        <f>_xlfn.IFNA(VLOOKUP(Ontwerp_CO2_Totaal[[#This Row],[Product]]&amp;", "&amp;Ontwerp_CO2_Totaal[[#Headers],[C3]],Database_Productkaarten[#All],17,FALSE)*Ontwerpberekening!H13,0)/Ontwerpberekening!$A$2</f>
        <v>0</v>
      </c>
      <c r="O54" s="72">
        <f>_xlfn.IFNA(VLOOKUP(Ontwerp_CO2_Totaal[[#This Row],[Product]]&amp;", "&amp;Ontwerp_CO2_Totaal[[#Headers],[C4]],Database_Productkaarten[#All],17,FALSE)*Ontwerpberekening!H13,0)/Ontwerpberekening!$A$2</f>
        <v>0</v>
      </c>
      <c r="P54" s="72">
        <f>(IF(Ontwerpberekening!C13="Nieuwe Situatie",(_xlfn.IFNA(VLOOKUP(Ontwerp_CO2_Totaal[[#This Row],[Product]]&amp;", "&amp;Ontwerp_CO2_Totaal[[#Headers],[D1]],Database_Productkaarten[#All],17,FALSE),0)*Ontwerpberekening!H13),0))/Ontwerpberekening!$A$2</f>
        <v>0</v>
      </c>
      <c r="Q54" s="73">
        <f>(IF(Ontwerpberekening!C13="Nieuwe Situatie",_xlfn.IFNA(VLOOKUP(Ontwerp_CO2_Totaal[[#This Row],[Product]]&amp;", "&amp;Ontwerp_CO2_Totaal[[#Headers],[D2]],Database_Productkaarten[#All],17,FALSE),0)*Ontwerpberekening!H13,0))/Ontwerpberekening!$A$2</f>
        <v>0</v>
      </c>
      <c r="R54" s="72">
        <f>SUM(Ontwerp_CO2_Totaal[[#This Row],[A1]:[D2]])</f>
        <v>5.0156561488199998</v>
      </c>
      <c r="T54"/>
      <c r="U54"/>
    </row>
    <row r="55" spans="2:21" ht="18" x14ac:dyDescent="0.55000000000000004">
      <c r="B55" s="37" t="str">
        <f>Ontwerpberekening!B14</f>
        <v>Baseline</v>
      </c>
      <c r="C55" s="23" t="str">
        <f>Ontwerpberekening!F14</f>
        <v>AC bin/base 50% PR - PCR 2.0</v>
      </c>
      <c r="D55" s="72">
        <f>(IF(Ontwerpberekening!C14="Nieuwe Situatie",(_xlfn.IFNA(VLOOKUP(Ontwerp_CO2_Totaal[[#This Row],[Product]]&amp;", "&amp;Ontwerp_CO2_Totaal[[#Headers],[A1]],Database_Productkaarten[#All],17,FALSE),0)*Ontwerpberekening!H14),0))/Ontwerpberekening!$A$2</f>
        <v>25.447827062303883</v>
      </c>
      <c r="E55" s="72">
        <f>(IF(Ontwerpberekening!C14="Nieuwe Situatie",(_xlfn.IFNA(VLOOKUP(Ontwerp_CO2_Totaal[[#This Row],[Product]]&amp;", "&amp;Ontwerp_CO2_Totaal[[#Headers],[A2]],Database_Productkaarten[#All],17,FALSE),0)*Ontwerpberekening!H14),0))/Ontwerpberekening!$A$2</f>
        <v>14.529055679217002</v>
      </c>
      <c r="F55" s="72">
        <f>(IF(Ontwerpberekening!C14="Nieuwe Situatie",(_xlfn.IFNA(VLOOKUP(Ontwerp_CO2_Totaal[[#This Row],[Product]]&amp;", "&amp;Ontwerp_CO2_Totaal[[#Headers],[A3]],Database_Productkaarten[#All],17,FALSE),0)*Ontwerpberekening!H14),0))/Ontwerpberekening!$A$2</f>
        <v>27.96915497363981</v>
      </c>
      <c r="G55" s="72">
        <f>(IF(Ontwerpberekening!C14="Nieuwe Situatie",(_xlfn.IFNA(VLOOKUP(Ontwerp_CO2_Totaal[[#This Row],[Product]]&amp;", "&amp;Ontwerp_CO2_Totaal[[#Headers],[A4]],Database_Productkaarten[#All],17,FALSE),0)*Ontwerpberekening!H14),0))/Ontwerpberekening!$A$2</f>
        <v>4.7271397525424996</v>
      </c>
      <c r="H55" s="72">
        <f>(IF(Ontwerpberekening!C14="Nieuwe Situatie",(_xlfn.IFNA(VLOOKUP(Ontwerp_CO2_Totaal[[#This Row],[Product]]&amp;", "&amp;Ontwerp_CO2_Totaal[[#Headers],[A5]],Database_Productkaarten[#All],17,FALSE),0)*Ontwerpberekening!H14),0))/Ontwerpberekening!$A$2</f>
        <v>1.6537887572741041</v>
      </c>
      <c r="I55" s="72">
        <f>(IF(Ontwerpberekening!C14="Nieuwe Situatie",(_xlfn.IFNA(VLOOKUP(Ontwerp_CO2_Totaal[[#This Row],[Product]]&amp;", "&amp;Ontwerp_CO2_Totaal[[#Headers],[B1]],Database_Productkaarten[#All],17,FALSE),0)*Ontwerpberekening!H14),0))/Ontwerpberekening!$A$2</f>
        <v>0</v>
      </c>
      <c r="J55" s="72">
        <f>(IF(Ontwerpberekening!C14="Nieuwe Situatie",(_xlfn.IFNA(VLOOKUP(Ontwerp_CO2_Totaal[[#This Row],[Product]]&amp;", "&amp;Ontwerp_CO2_Totaal[[#Headers],[B3]],Database_Productkaarten[#All],17,FALSE),0)*Ontwerpberekening!H14),0))/Ontwerpberekening!$A$2</f>
        <v>0</v>
      </c>
      <c r="K55" s="72">
        <f>(IF(Ontwerpberekening!C14="Nieuwe Situatie",(SUM(Ontwerp_CO2_Totaal[[#This Row],[A1]:[B1]],Ontwerp_CO2_Totaal[[#This Row],[C1]:[D2]])*Ontwerpberekening!R14),0))</f>
        <v>0</v>
      </c>
      <c r="L55" s="72">
        <f>_xlfn.IFNA(VLOOKUP(Ontwerp_CO2_Totaal[[#This Row],[Product]]&amp;", "&amp;Ontwerp_CO2_Totaal[[#Headers],[C1]],Database_Productkaarten[#All],17,FALSE)*Ontwerpberekening!H14,0)/Ontwerpberekening!$A$2</f>
        <v>3.9794291971908233</v>
      </c>
      <c r="M55" s="72">
        <f>_xlfn.IFNA(VLOOKUP(Ontwerp_CO2_Totaal[[#This Row],[Product]]&amp;", "&amp;Ontwerp_CO2_Totaal[[#Headers],[C2]],Database_Productkaarten[#All],17,FALSE)*Ontwerpberekening!H14,0)/Ontwerpberekening!$A$2</f>
        <v>3.8780433928485003</v>
      </c>
      <c r="N55" s="72">
        <f>_xlfn.IFNA(VLOOKUP(Ontwerp_CO2_Totaal[[#This Row],[Product]]&amp;", "&amp;Ontwerp_CO2_Totaal[[#Headers],[C3]],Database_Productkaarten[#All],17,FALSE)*Ontwerpberekening!H14,0)/Ontwerpberekening!$A$2</f>
        <v>1.9121932505981905</v>
      </c>
      <c r="O55" s="72">
        <f>_xlfn.IFNA(VLOOKUP(Ontwerp_CO2_Totaal[[#This Row],[Product]]&amp;", "&amp;Ontwerp_CO2_Totaal[[#Headers],[C4]],Database_Productkaarten[#All],17,FALSE)*Ontwerpberekening!H14,0)/Ontwerpberekening!$A$2</f>
        <v>0</v>
      </c>
      <c r="P55" s="72">
        <f>(IF(Ontwerpberekening!C14="Nieuwe Situatie",(_xlfn.IFNA(VLOOKUP(Ontwerp_CO2_Totaal[[#This Row],[Product]]&amp;", "&amp;Ontwerp_CO2_Totaal[[#Headers],[D1]],Database_Productkaarten[#All],17,FALSE),0)*Ontwerpberekening!H14),0))/Ontwerpberekening!$A$2</f>
        <v>-20.506932167573382</v>
      </c>
      <c r="Q55" s="73">
        <f>(IF(Ontwerpberekening!C14="Nieuwe Situatie",_xlfn.IFNA(VLOOKUP(Ontwerp_CO2_Totaal[[#This Row],[Product]]&amp;", "&amp;Ontwerp_CO2_Totaal[[#Headers],[D2]],Database_Productkaarten[#All],17,FALSE),0)*Ontwerpberekening!H14,0))/Ontwerpberekening!$A$2</f>
        <v>0</v>
      </c>
      <c r="R55" s="72">
        <f>SUM(Ontwerp_CO2_Totaal[[#This Row],[A1]:[D2]])</f>
        <v>63.589699898041417</v>
      </c>
    </row>
    <row r="56" spans="2:21" ht="18" x14ac:dyDescent="0.55000000000000004">
      <c r="B56" s="37" t="str">
        <f>Ontwerpberekening!B15</f>
        <v>Baseline</v>
      </c>
      <c r="C56" s="23" t="str">
        <f>Ontwerpberekening!F15</f>
        <v>AC bin/base 50% PR - PCR 2.0</v>
      </c>
      <c r="D56" s="72">
        <f>(IF(Ontwerpberekening!C15="Nieuwe Situatie",(_xlfn.IFNA(VLOOKUP(Ontwerp_CO2_Totaal[[#This Row],[Product]]&amp;", "&amp;Ontwerp_CO2_Totaal[[#Headers],[A1]],Database_Productkaarten[#All],17,FALSE),0)*Ontwerpberekening!H15),0))/Ontwerpberekening!$A$2</f>
        <v>122.14956989905865</v>
      </c>
      <c r="E56" s="72">
        <f>(IF(Ontwerpberekening!C15="Nieuwe Situatie",(_xlfn.IFNA(VLOOKUP(Ontwerp_CO2_Totaal[[#This Row],[Product]]&amp;", "&amp;Ontwerp_CO2_Totaal[[#Headers],[A2]],Database_Productkaarten[#All],17,FALSE),0)*Ontwerpberekening!H15),0))/Ontwerpberekening!$A$2</f>
        <v>69.739467260241611</v>
      </c>
      <c r="F56" s="72">
        <f>(IF(Ontwerpberekening!C15="Nieuwe Situatie",(_xlfn.IFNA(VLOOKUP(Ontwerp_CO2_Totaal[[#This Row],[Product]]&amp;", "&amp;Ontwerp_CO2_Totaal[[#Headers],[A3]],Database_Productkaarten[#All],17,FALSE),0)*Ontwerpberekening!H15),0))/Ontwerpberekening!$A$2</f>
        <v>134.25194387347111</v>
      </c>
      <c r="G56" s="72">
        <f>(IF(Ontwerpberekening!C15="Nieuwe Situatie",(_xlfn.IFNA(VLOOKUP(Ontwerp_CO2_Totaal[[#This Row],[Product]]&amp;", "&amp;Ontwerp_CO2_Totaal[[#Headers],[A4]],Database_Productkaarten[#All],17,FALSE),0)*Ontwerpberekening!H15),0))/Ontwerpberekening!$A$2</f>
        <v>22.690270812204002</v>
      </c>
      <c r="H56" s="72">
        <f>(IF(Ontwerpberekening!C15="Nieuwe Situatie",(_xlfn.IFNA(VLOOKUP(Ontwerp_CO2_Totaal[[#This Row],[Product]]&amp;", "&amp;Ontwerp_CO2_Totaal[[#Headers],[A5]],Database_Productkaarten[#All],17,FALSE),0)*Ontwerpberekening!H15),0))/Ontwerpberekening!$A$2</f>
        <v>7.9381860349157014</v>
      </c>
      <c r="I56" s="72">
        <f>(IF(Ontwerpberekening!C15="Nieuwe Situatie",(_xlfn.IFNA(VLOOKUP(Ontwerp_CO2_Totaal[[#This Row],[Product]]&amp;", "&amp;Ontwerp_CO2_Totaal[[#Headers],[B1]],Database_Productkaarten[#All],17,FALSE),0)*Ontwerpberekening!H15),0))/Ontwerpberekening!$A$2</f>
        <v>0</v>
      </c>
      <c r="J56" s="72">
        <f>(IF(Ontwerpberekening!C15="Nieuwe Situatie",(_xlfn.IFNA(VLOOKUP(Ontwerp_CO2_Totaal[[#This Row],[Product]]&amp;", "&amp;Ontwerp_CO2_Totaal[[#Headers],[B3]],Database_Productkaarten[#All],17,FALSE),0)*Ontwerpberekening!H15),0))/Ontwerpberekening!$A$2</f>
        <v>0</v>
      </c>
      <c r="K56" s="72">
        <f>(IF(Ontwerpberekening!C15="Nieuwe Situatie",(SUM(Ontwerp_CO2_Totaal[[#This Row],[A1]:[B1]],Ontwerp_CO2_Totaal[[#This Row],[C1]:[D2]])*Ontwerpberekening!R15),0))</f>
        <v>0</v>
      </c>
      <c r="L56" s="72">
        <f>_xlfn.IFNA(VLOOKUP(Ontwerp_CO2_Totaal[[#This Row],[Product]]&amp;", "&amp;Ontwerp_CO2_Totaal[[#Headers],[C1]],Database_Productkaarten[#All],17,FALSE)*Ontwerpberekening!H15,0)/Ontwerpberekening!$A$2</f>
        <v>19.101260146515955</v>
      </c>
      <c r="M56" s="72">
        <f>_xlfn.IFNA(VLOOKUP(Ontwerp_CO2_Totaal[[#This Row],[Product]]&amp;", "&amp;Ontwerp_CO2_Totaal[[#Headers],[C2]],Database_Productkaarten[#All],17,FALSE)*Ontwerpberekening!H15,0)/Ontwerpberekening!$A$2</f>
        <v>18.614608285672801</v>
      </c>
      <c r="N56" s="72">
        <f>_xlfn.IFNA(VLOOKUP(Ontwerp_CO2_Totaal[[#This Row],[Product]]&amp;", "&amp;Ontwerp_CO2_Totaal[[#Headers],[C3]],Database_Productkaarten[#All],17,FALSE)*Ontwerpberekening!H15,0)/Ontwerpberekening!$A$2</f>
        <v>9.1785276028713163</v>
      </c>
      <c r="O56" s="72">
        <f>_xlfn.IFNA(VLOOKUP(Ontwerp_CO2_Totaal[[#This Row],[Product]]&amp;", "&amp;Ontwerp_CO2_Totaal[[#Headers],[C4]],Database_Productkaarten[#All],17,FALSE)*Ontwerpberekening!H15,0)/Ontwerpberekening!$A$2</f>
        <v>0</v>
      </c>
      <c r="P56" s="72">
        <f>(IF(Ontwerpberekening!C15="Nieuwe Situatie",(_xlfn.IFNA(VLOOKUP(Ontwerp_CO2_Totaal[[#This Row],[Product]]&amp;", "&amp;Ontwerp_CO2_Totaal[[#Headers],[D1]],Database_Productkaarten[#All],17,FALSE),0)*Ontwerpberekening!H15),0))/Ontwerpberekening!$A$2</f>
        <v>-98.433274404352233</v>
      </c>
      <c r="Q56" s="73">
        <f>(IF(Ontwerpberekening!C15="Nieuwe Situatie",_xlfn.IFNA(VLOOKUP(Ontwerp_CO2_Totaal[[#This Row],[Product]]&amp;", "&amp;Ontwerp_CO2_Totaal[[#Headers],[D2]],Database_Productkaarten[#All],17,FALSE),0)*Ontwerpberekening!H15,0))/Ontwerpberekening!$A$2</f>
        <v>0</v>
      </c>
      <c r="R56" s="72">
        <f>SUM(Ontwerp_CO2_Totaal[[#This Row],[A1]:[D2]])</f>
        <v>305.23055951059894</v>
      </c>
    </row>
    <row r="57" spans="2:21" ht="18" x14ac:dyDescent="0.55000000000000004">
      <c r="B57" s="37" t="str">
        <f>Ontwerpberekening!B16</f>
        <v>Baseline</v>
      </c>
      <c r="C57" s="23" t="str">
        <f>Ontwerpberekening!F16</f>
        <v>AC Surf 0% PR - PCR 2.0</v>
      </c>
      <c r="D57" s="72">
        <f>(IF(Ontwerpberekening!C16="Nieuwe Situatie",(_xlfn.IFNA(VLOOKUP(Ontwerp_CO2_Totaal[[#This Row],[Product]]&amp;", "&amp;Ontwerp_CO2_Totaal[[#Headers],[A1]],Database_Productkaarten[#All],17,FALSE),0)*Ontwerpberekening!H16),0))/Ontwerpberekening!$A$2</f>
        <v>1999.865027997412</v>
      </c>
      <c r="E57" s="72">
        <f>(IF(Ontwerpberekening!C16="Nieuwe Situatie",(_xlfn.IFNA(VLOOKUP(Ontwerp_CO2_Totaal[[#This Row],[Product]]&amp;", "&amp;Ontwerp_CO2_Totaal[[#Headers],[A2]],Database_Productkaarten[#All],17,FALSE),0)*Ontwerpberekening!H16),0))/Ontwerpberekening!$A$2</f>
        <v>1053.151155144991</v>
      </c>
      <c r="F57" s="72">
        <f>(IF(Ontwerpberekening!C16="Nieuwe Situatie",(_xlfn.IFNA(VLOOKUP(Ontwerp_CO2_Totaal[[#This Row],[Product]]&amp;", "&amp;Ontwerp_CO2_Totaal[[#Headers],[A3]],Database_Productkaarten[#All],17,FALSE),0)*Ontwerpberekening!H16),0))/Ontwerpberekening!$A$2</f>
        <v>810.9371565840521</v>
      </c>
      <c r="G57" s="72">
        <f>(IF(Ontwerpberekening!C16="Nieuwe Situatie",(_xlfn.IFNA(VLOOKUP(Ontwerp_CO2_Totaal[[#This Row],[Product]]&amp;", "&amp;Ontwerp_CO2_Totaal[[#Headers],[A4]],Database_Productkaarten[#All],17,FALSE),0)*Ontwerpberekening!H16),0))/Ontwerpberekening!$A$2</f>
        <v>134.85213295338485</v>
      </c>
      <c r="H57" s="72">
        <f>(IF(Ontwerpberekening!C16="Nieuwe Situatie",(_xlfn.IFNA(VLOOKUP(Ontwerp_CO2_Totaal[[#This Row],[Product]]&amp;", "&amp;Ontwerp_CO2_Totaal[[#Headers],[A5]],Database_Productkaarten[#All],17,FALSE),0)*Ontwerpberekening!H16),0))/Ontwerpberekening!$A$2</f>
        <v>85.510102732690015</v>
      </c>
      <c r="I57" s="72">
        <f>(IF(Ontwerpberekening!C16="Nieuwe Situatie",(_xlfn.IFNA(VLOOKUP(Ontwerp_CO2_Totaal[[#This Row],[Product]]&amp;", "&amp;Ontwerp_CO2_Totaal[[#Headers],[B1]],Database_Productkaarten[#All],17,FALSE),0)*Ontwerpberekening!H16),0))/Ontwerpberekening!$A$2</f>
        <v>0</v>
      </c>
      <c r="J57" s="72">
        <f>(IF(Ontwerpberekening!C16="Nieuwe Situatie",(_xlfn.IFNA(VLOOKUP(Ontwerp_CO2_Totaal[[#This Row],[Product]]&amp;", "&amp;Ontwerp_CO2_Totaal[[#Headers],[B3]],Database_Productkaarten[#All],17,FALSE),0)*Ontwerpberekening!H16),0))/Ontwerpberekening!$A$2</f>
        <v>0</v>
      </c>
      <c r="K57" s="72">
        <f>(IF(Ontwerpberekening!C16="Nieuwe Situatie",(SUM(Ontwerp_CO2_Totaal[[#This Row],[A1]:[B1]],Ontwerp_CO2_Totaal[[#This Row],[C1]:[D2]])*Ontwerpberekening!R16),0))</f>
        <v>0</v>
      </c>
      <c r="L57" s="72">
        <f>_xlfn.IFNA(VLOOKUP(Ontwerp_CO2_Totaal[[#This Row],[Product]]&amp;", "&amp;Ontwerp_CO2_Totaal[[#Headers],[C1]],Database_Productkaarten[#All],17,FALSE)*Ontwerpberekening!H16,0)/Ontwerpberekening!$A$2</f>
        <v>48.652299830668461</v>
      </c>
      <c r="M57" s="72">
        <f>_xlfn.IFNA(VLOOKUP(Ontwerp_CO2_Totaal[[#This Row],[Product]]&amp;", "&amp;Ontwerp_CO2_Totaal[[#Headers],[C2]],Database_Productkaarten[#All],17,FALSE)*Ontwerpberekening!H16,0)/Ontwerpberekening!$A$2</f>
        <v>110.62977838345597</v>
      </c>
      <c r="N57" s="72">
        <f>_xlfn.IFNA(VLOOKUP(Ontwerp_CO2_Totaal[[#This Row],[Product]]&amp;", "&amp;Ontwerp_CO2_Totaal[[#Headers],[C3]],Database_Productkaarten[#All],17,FALSE)*Ontwerpberekening!H16,0)/Ontwerpberekening!$A$2</f>
        <v>54.549548294991929</v>
      </c>
      <c r="O57" s="72">
        <f>_xlfn.IFNA(VLOOKUP(Ontwerp_CO2_Totaal[[#This Row],[Product]]&amp;", "&amp;Ontwerp_CO2_Totaal[[#Headers],[C4]],Database_Productkaarten[#All],17,FALSE)*Ontwerpberekening!H16,0)/Ontwerpberekening!$A$2</f>
        <v>0</v>
      </c>
      <c r="P57" s="72">
        <f>(IF(Ontwerpberekening!C16="Nieuwe Situatie",(_xlfn.IFNA(VLOOKUP(Ontwerp_CO2_Totaal[[#This Row],[Product]]&amp;", "&amp;Ontwerp_CO2_Totaal[[#Headers],[D1]],Database_Productkaarten[#All],17,FALSE),0)*Ontwerpberekening!H16),0))/Ontwerpberekening!$A$2</f>
        <v>-1097.869643078194</v>
      </c>
      <c r="Q57" s="73">
        <f>(IF(Ontwerpberekening!C16="Nieuwe Situatie",_xlfn.IFNA(VLOOKUP(Ontwerp_CO2_Totaal[[#This Row],[Product]]&amp;", "&amp;Ontwerp_CO2_Totaal[[#Headers],[D2]],Database_Productkaarten[#All],17,FALSE),0)*Ontwerpberekening!H16,0))/Ontwerpberekening!$A$2</f>
        <v>0</v>
      </c>
      <c r="R57" s="72">
        <f>SUM(Ontwerp_CO2_Totaal[[#This Row],[A1]:[D2]])</f>
        <v>3200.2775588434524</v>
      </c>
    </row>
    <row r="58" spans="2:21" ht="18" x14ac:dyDescent="0.55000000000000004">
      <c r="B58" s="37" t="str">
        <f>Ontwerpberekening!B17</f>
        <v>Baseline</v>
      </c>
      <c r="C58" s="23" t="str">
        <f>Ontwerpberekening!F17</f>
        <v>Betonstraatsteen 210x105x80</v>
      </c>
      <c r="D58" s="72">
        <f>(IF(Ontwerpberekening!C17="Nieuwe Situatie",(_xlfn.IFNA(VLOOKUP(Ontwerp_CO2_Totaal[[#This Row],[Product]]&amp;", "&amp;Ontwerp_CO2_Totaal[[#Headers],[A1]],Database_Productkaarten[#All],17,FALSE),0)*Ontwerpberekening!H17),0))/Ontwerpberekening!$A$2</f>
        <v>60.913580000000003</v>
      </c>
      <c r="E58" s="72">
        <f>(IF(Ontwerpberekening!C17="Nieuwe Situatie",(_xlfn.IFNA(VLOOKUP(Ontwerp_CO2_Totaal[[#This Row],[Product]]&amp;", "&amp;Ontwerp_CO2_Totaal[[#Headers],[A2]],Database_Productkaarten[#All],17,FALSE),0)*Ontwerpberekening!H17),0))/Ontwerpberekening!$A$2</f>
        <v>0</v>
      </c>
      <c r="F58" s="72">
        <f>(IF(Ontwerpberekening!C17="Nieuwe Situatie",(_xlfn.IFNA(VLOOKUP(Ontwerp_CO2_Totaal[[#This Row],[Product]]&amp;", "&amp;Ontwerp_CO2_Totaal[[#Headers],[A3]],Database_Productkaarten[#All],17,FALSE),0)*Ontwerpberekening!H17),0))/Ontwerpberekening!$A$2</f>
        <v>0</v>
      </c>
      <c r="G58" s="72">
        <f>(IF(Ontwerpberekening!C17="Nieuwe Situatie",(_xlfn.IFNA(VLOOKUP(Ontwerp_CO2_Totaal[[#This Row],[Product]]&amp;", "&amp;Ontwerp_CO2_Totaal[[#Headers],[A4]],Database_Productkaarten[#All],17,FALSE),0)*Ontwerpberekening!H17),0))/Ontwerpberekening!$A$2</f>
        <v>9.1462799999999991</v>
      </c>
      <c r="H58" s="72">
        <f>(IF(Ontwerpberekening!C17="Nieuwe Situatie",(_xlfn.IFNA(VLOOKUP(Ontwerp_CO2_Totaal[[#This Row],[Product]]&amp;", "&amp;Ontwerp_CO2_Totaal[[#Headers],[A5]],Database_Productkaarten[#All],17,FALSE),0)*Ontwerpberekening!H17),0))/Ontwerpberekening!$A$2</f>
        <v>2.0254000000000003</v>
      </c>
      <c r="I58" s="72">
        <f>(IF(Ontwerpberekening!C17="Nieuwe Situatie",(_xlfn.IFNA(VLOOKUP(Ontwerp_CO2_Totaal[[#This Row],[Product]]&amp;", "&amp;Ontwerp_CO2_Totaal[[#Headers],[B1]],Database_Productkaarten[#All],17,FALSE),0)*Ontwerpberekening!H17),0))/Ontwerpberekening!$A$2</f>
        <v>0</v>
      </c>
      <c r="J58" s="72">
        <f>(IF(Ontwerpberekening!C17="Nieuwe Situatie",(_xlfn.IFNA(VLOOKUP(Ontwerp_CO2_Totaal[[#This Row],[Product]]&amp;", "&amp;Ontwerp_CO2_Totaal[[#Headers],[B3]],Database_Productkaarten[#All],17,FALSE),0)*Ontwerpberekening!H17),0))/Ontwerpberekening!$A$2</f>
        <v>12.634031800000001</v>
      </c>
      <c r="K58" s="72">
        <f>(IF(Ontwerpberekening!C17="Nieuwe Situatie",(SUM(Ontwerp_CO2_Totaal[[#This Row],[A1]:[B1]],Ontwerp_CO2_Totaal[[#This Row],[C1]:[D2]])*Ontwerpberekening!R17),0))</f>
        <v>0</v>
      </c>
      <c r="L58" s="72">
        <f>_xlfn.IFNA(VLOOKUP(Ontwerp_CO2_Totaal[[#This Row],[Product]]&amp;", "&amp;Ontwerp_CO2_Totaal[[#Headers],[C1]],Database_Productkaarten[#All],17,FALSE)*Ontwerpberekening!H17,0)/Ontwerpberekening!$A$2</f>
        <v>2.0254000000000003</v>
      </c>
      <c r="M58" s="72">
        <f>_xlfn.IFNA(VLOOKUP(Ontwerp_CO2_Totaal[[#This Row],[Product]]&amp;", "&amp;Ontwerp_CO2_Totaal[[#Headers],[C2]],Database_Productkaarten[#All],17,FALSE)*Ontwerpberekening!H17,0)/Ontwerpberekening!$A$2</f>
        <v>3.0791799999999996</v>
      </c>
      <c r="N58" s="72">
        <f>_xlfn.IFNA(VLOOKUP(Ontwerp_CO2_Totaal[[#This Row],[Product]]&amp;", "&amp;Ontwerp_CO2_Totaal[[#Headers],[C3]],Database_Productkaarten[#All],17,FALSE)*Ontwerpberekening!H17,0)/Ontwerpberekening!$A$2</f>
        <v>8.5800000000000004E-4</v>
      </c>
      <c r="O58" s="72">
        <f>_xlfn.IFNA(VLOOKUP(Ontwerp_CO2_Totaal[[#This Row],[Product]]&amp;", "&amp;Ontwerp_CO2_Totaal[[#Headers],[C4]],Database_Productkaarten[#All],17,FALSE)*Ontwerpberekening!H17,0)/Ontwerpberekening!$A$2</f>
        <v>2.4699999999999996E-2</v>
      </c>
      <c r="P58" s="72">
        <f>(IF(Ontwerpberekening!C17="Nieuwe Situatie",(_xlfn.IFNA(VLOOKUP(Ontwerp_CO2_Totaal[[#This Row],[Product]]&amp;", "&amp;Ontwerp_CO2_Totaal[[#Headers],[D1]],Database_Productkaarten[#All],17,FALSE),0)*Ontwerpberekening!H17),0))/Ontwerpberekening!$A$2</f>
        <v>-1.9208799999999999</v>
      </c>
      <c r="Q58" s="73">
        <f>(IF(Ontwerpberekening!C17="Nieuwe Situatie",_xlfn.IFNA(VLOOKUP(Ontwerp_CO2_Totaal[[#This Row],[Product]]&amp;", "&amp;Ontwerp_CO2_Totaal[[#Headers],[D2]],Database_Productkaarten[#All],17,FALSE),0)*Ontwerpberekening!H17,0))/Ontwerpberekening!$A$2</f>
        <v>0</v>
      </c>
      <c r="R58" s="72">
        <f>SUM(Ontwerp_CO2_Totaal[[#This Row],[A1]:[D2]])</f>
        <v>87.928549799999999</v>
      </c>
    </row>
    <row r="59" spans="2:21" ht="18" x14ac:dyDescent="0.55000000000000004">
      <c r="B59" s="37" t="str">
        <f>Ontwerpberekening!B18</f>
        <v>Baseline</v>
      </c>
      <c r="C59" s="23" t="str">
        <f>Ontwerpberekening!F18</f>
        <v>Grond</v>
      </c>
      <c r="D59" s="72">
        <f>(IF(Ontwerpberekening!C18="Nieuwe Situatie",(_xlfn.IFNA(VLOOKUP(Ontwerp_CO2_Totaal[[#This Row],[Product]]&amp;", "&amp;Ontwerp_CO2_Totaal[[#Headers],[A1]],Database_Productkaarten[#All],17,FALSE),0)*Ontwerpberekening!H18),0))/Ontwerpberekening!$A$2</f>
        <v>0</v>
      </c>
      <c r="E59" s="72">
        <f>(IF(Ontwerpberekening!C18="Nieuwe Situatie",(_xlfn.IFNA(VLOOKUP(Ontwerp_CO2_Totaal[[#This Row],[Product]]&amp;", "&amp;Ontwerp_CO2_Totaal[[#Headers],[A2]],Database_Productkaarten[#All],17,FALSE),0)*Ontwerpberekening!H18),0))/Ontwerpberekening!$A$2</f>
        <v>0</v>
      </c>
      <c r="F59" s="72">
        <f>(IF(Ontwerpberekening!C18="Nieuwe Situatie",(_xlfn.IFNA(VLOOKUP(Ontwerp_CO2_Totaal[[#This Row],[Product]]&amp;", "&amp;Ontwerp_CO2_Totaal[[#Headers],[A3]],Database_Productkaarten[#All],17,FALSE),0)*Ontwerpberekening!H18),0))/Ontwerpberekening!$A$2</f>
        <v>0</v>
      </c>
      <c r="G59" s="72">
        <f>(IF(Ontwerpberekening!C18="Nieuwe Situatie",(_xlfn.IFNA(VLOOKUP(Ontwerp_CO2_Totaal[[#This Row],[Product]]&amp;", "&amp;Ontwerp_CO2_Totaal[[#Headers],[A4]],Database_Productkaarten[#All],17,FALSE),0)*Ontwerpberekening!H18),0))/Ontwerpberekening!$A$2</f>
        <v>8.0263399549999992</v>
      </c>
      <c r="H59" s="72">
        <f>(IF(Ontwerpberekening!C18="Nieuwe Situatie",(_xlfn.IFNA(VLOOKUP(Ontwerp_CO2_Totaal[[#This Row],[Product]]&amp;", "&amp;Ontwerp_CO2_Totaal[[#Headers],[A5]],Database_Productkaarten[#All],17,FALSE),0)*Ontwerpberekening!H18),0))/Ontwerpberekening!$A$2</f>
        <v>0.89718701183124994</v>
      </c>
      <c r="I59" s="72">
        <f>(IF(Ontwerpberekening!C18="Nieuwe Situatie",(_xlfn.IFNA(VLOOKUP(Ontwerp_CO2_Totaal[[#This Row],[Product]]&amp;", "&amp;Ontwerp_CO2_Totaal[[#Headers],[B1]],Database_Productkaarten[#All],17,FALSE),0)*Ontwerpberekening!H18),0))/Ontwerpberekening!$A$2</f>
        <v>0</v>
      </c>
      <c r="J59" s="72">
        <f>(IF(Ontwerpberekening!C18="Nieuwe Situatie",(_xlfn.IFNA(VLOOKUP(Ontwerp_CO2_Totaal[[#This Row],[Product]]&amp;", "&amp;Ontwerp_CO2_Totaal[[#Headers],[B3]],Database_Productkaarten[#All],17,FALSE),0)*Ontwerpberekening!H18),0))/Ontwerpberekening!$A$2</f>
        <v>0</v>
      </c>
      <c r="K59" s="72">
        <f>(IF(Ontwerpberekening!C18="Nieuwe Situatie",(SUM(Ontwerp_CO2_Totaal[[#This Row],[A1]:[B1]],Ontwerp_CO2_Totaal[[#This Row],[C1]:[D2]])*Ontwerpberekening!R18),0))</f>
        <v>0</v>
      </c>
      <c r="L59" s="72">
        <f>_xlfn.IFNA(VLOOKUP(Ontwerp_CO2_Totaal[[#This Row],[Product]]&amp;", "&amp;Ontwerp_CO2_Totaal[[#Headers],[C1]],Database_Productkaarten[#All],17,FALSE)*Ontwerpberekening!H18,0)/Ontwerpberekening!$A$2</f>
        <v>0.89718701183124994</v>
      </c>
      <c r="M59" s="72">
        <f>_xlfn.IFNA(VLOOKUP(Ontwerp_CO2_Totaal[[#This Row],[Product]]&amp;", "&amp;Ontwerp_CO2_Totaal[[#Headers],[C2]],Database_Productkaarten[#All],17,FALSE)*Ontwerpberekening!H18,0)/Ontwerpberekening!$A$2</f>
        <v>8.0263399549999992</v>
      </c>
      <c r="N59" s="72">
        <f>_xlfn.IFNA(VLOOKUP(Ontwerp_CO2_Totaal[[#This Row],[Product]]&amp;", "&amp;Ontwerp_CO2_Totaal[[#Headers],[C3]],Database_Productkaarten[#All],17,FALSE)*Ontwerpberekening!H18,0)/Ontwerpberekening!$A$2</f>
        <v>0</v>
      </c>
      <c r="O59" s="72">
        <f>_xlfn.IFNA(VLOOKUP(Ontwerp_CO2_Totaal[[#This Row],[Product]]&amp;", "&amp;Ontwerp_CO2_Totaal[[#Headers],[C4]],Database_Productkaarten[#All],17,FALSE)*Ontwerpberekening!H18,0)/Ontwerpberekening!$A$2</f>
        <v>0</v>
      </c>
      <c r="P59" s="72">
        <f>(IF(Ontwerpberekening!C18="Nieuwe Situatie",(_xlfn.IFNA(VLOOKUP(Ontwerp_CO2_Totaal[[#This Row],[Product]]&amp;", "&amp;Ontwerp_CO2_Totaal[[#Headers],[D1]],Database_Productkaarten[#All],17,FALSE),0)*Ontwerpberekening!H18),0))/Ontwerpberekening!$A$2</f>
        <v>0</v>
      </c>
      <c r="Q59" s="73">
        <f>(IF(Ontwerpberekening!C18="Nieuwe Situatie",_xlfn.IFNA(VLOOKUP(Ontwerp_CO2_Totaal[[#This Row],[Product]]&amp;", "&amp;Ontwerp_CO2_Totaal[[#Headers],[D2]],Database_Productkaarten[#All],17,FALSE),0)*Ontwerpberekening!H18,0))/Ontwerpberekening!$A$2</f>
        <v>0</v>
      </c>
      <c r="R59" s="72">
        <f>SUM(Ontwerp_CO2_Totaal[[#This Row],[A1]:[D2]])</f>
        <v>17.847053933662497</v>
      </c>
    </row>
    <row r="60" spans="2:21" ht="18" x14ac:dyDescent="0.55000000000000004">
      <c r="B60" s="37" t="str">
        <f>Ontwerpberekening!B19</f>
        <v>Baseline</v>
      </c>
      <c r="C60" s="23" t="str">
        <f>Ontwerpberekening!F19</f>
        <v>Opsluitband 100x200</v>
      </c>
      <c r="D60" s="72">
        <f>(IF(Ontwerpberekening!C19="Nieuwe Situatie",(_xlfn.IFNA(VLOOKUP(Ontwerp_CO2_Totaal[[#This Row],[Product]]&amp;", "&amp;Ontwerp_CO2_Totaal[[#Headers],[A1]],Database_Productkaarten[#All],17,FALSE),0)*Ontwerpberekening!H19),0))/Ontwerpberekening!$A$2</f>
        <v>34.798790000000004</v>
      </c>
      <c r="E60" s="72">
        <f>(IF(Ontwerpberekening!C19="Nieuwe Situatie",(_xlfn.IFNA(VLOOKUP(Ontwerp_CO2_Totaal[[#This Row],[Product]]&amp;", "&amp;Ontwerp_CO2_Totaal[[#Headers],[A2]],Database_Productkaarten[#All],17,FALSE),0)*Ontwerpberekening!H19),0))/Ontwerpberekening!$A$2</f>
        <v>0</v>
      </c>
      <c r="F60" s="72">
        <f>(IF(Ontwerpberekening!C19="Nieuwe Situatie",(_xlfn.IFNA(VLOOKUP(Ontwerp_CO2_Totaal[[#This Row],[Product]]&amp;", "&amp;Ontwerp_CO2_Totaal[[#Headers],[A3]],Database_Productkaarten[#All],17,FALSE),0)*Ontwerpberekening!H19),0))/Ontwerpberekening!$A$2</f>
        <v>0</v>
      </c>
      <c r="G60" s="72">
        <f>(IF(Ontwerpberekening!C19="Nieuwe Situatie",(_xlfn.IFNA(VLOOKUP(Ontwerp_CO2_Totaal[[#This Row],[Product]]&amp;", "&amp;Ontwerp_CO2_Totaal[[#Headers],[A4]],Database_Productkaarten[#All],17,FALSE),0)*Ontwerpberekening!H19),0))/Ontwerpberekening!$A$2</f>
        <v>5.1890499999999999</v>
      </c>
      <c r="H60" s="72">
        <f>(IF(Ontwerpberekening!C19="Nieuwe Situatie",(_xlfn.IFNA(VLOOKUP(Ontwerp_CO2_Totaal[[#This Row],[Product]]&amp;", "&amp;Ontwerp_CO2_Totaal[[#Headers],[A5]],Database_Productkaarten[#All],17,FALSE),0)*Ontwerpberekening!H19),0))/Ontwerpberekening!$A$2</f>
        <v>1.1404699999999999</v>
      </c>
      <c r="I60" s="72">
        <f>(IF(Ontwerpberekening!C19="Nieuwe Situatie",(_xlfn.IFNA(VLOOKUP(Ontwerp_CO2_Totaal[[#This Row],[Product]]&amp;", "&amp;Ontwerp_CO2_Totaal[[#Headers],[B1]],Database_Productkaarten[#All],17,FALSE),0)*Ontwerpberekening!H19),0))/Ontwerpberekening!$A$2</f>
        <v>0</v>
      </c>
      <c r="J60" s="72">
        <f>(IF(Ontwerpberekening!C19="Nieuwe Situatie",(_xlfn.IFNA(VLOOKUP(Ontwerp_CO2_Totaal[[#This Row],[Product]]&amp;", "&amp;Ontwerp_CO2_Totaal[[#Headers],[B3]],Database_Productkaarten[#All],17,FALSE),0)*Ontwerpberekening!H19),0))/Ontwerpberekening!$A$2</f>
        <v>0</v>
      </c>
      <c r="K60" s="72">
        <f>(IF(Ontwerpberekening!C19="Nieuwe Situatie",(SUM(Ontwerp_CO2_Totaal[[#This Row],[A1]:[B1]],Ontwerp_CO2_Totaal[[#This Row],[C1]:[D2]])*Ontwerpberekening!R19),0))</f>
        <v>0</v>
      </c>
      <c r="L60" s="72">
        <f>_xlfn.IFNA(VLOOKUP(Ontwerp_CO2_Totaal[[#This Row],[Product]]&amp;", "&amp;Ontwerp_CO2_Totaal[[#Headers],[C1]],Database_Productkaarten[#All],17,FALSE)*Ontwerpberekening!H19,0)/Ontwerpberekening!$A$2</f>
        <v>1.1404699999999999</v>
      </c>
      <c r="M60" s="72">
        <f>_xlfn.IFNA(VLOOKUP(Ontwerp_CO2_Totaal[[#This Row],[Product]]&amp;", "&amp;Ontwerp_CO2_Totaal[[#Headers],[C2]],Database_Productkaarten[#All],17,FALSE)*Ontwerpberekening!H19,0)/Ontwerpberekening!$A$2</f>
        <v>1.7469899999999998</v>
      </c>
      <c r="N60" s="72">
        <f>_xlfn.IFNA(VLOOKUP(Ontwerp_CO2_Totaal[[#This Row],[Product]]&amp;", "&amp;Ontwerp_CO2_Totaal[[#Headers],[C3]],Database_Productkaarten[#All],17,FALSE)*Ontwerpberekening!H19,0)/Ontwerpberekening!$A$2</f>
        <v>2.1240000000000002E-2</v>
      </c>
      <c r="O60" s="72">
        <f>_xlfn.IFNA(VLOOKUP(Ontwerp_CO2_Totaal[[#This Row],[Product]]&amp;", "&amp;Ontwerp_CO2_Totaal[[#Headers],[C4]],Database_Productkaarten[#All],17,FALSE)*Ontwerpberekening!H19,0)/Ontwerpberekening!$A$2</f>
        <v>1.4159999999999999E-2</v>
      </c>
      <c r="P60" s="72">
        <f>(IF(Ontwerpberekening!C19="Nieuwe Situatie",(_xlfn.IFNA(VLOOKUP(Ontwerp_CO2_Totaal[[#This Row],[Product]]&amp;", "&amp;Ontwerp_CO2_Totaal[[#Headers],[D1]],Database_Productkaarten[#All],17,FALSE),0)*Ontwerpberekening!H19),0))/Ontwerpberekening!$A$2</f>
        <v>-1.0897300000000001</v>
      </c>
      <c r="Q60" s="73">
        <f>(IF(Ontwerpberekening!C19="Nieuwe Situatie",_xlfn.IFNA(VLOOKUP(Ontwerp_CO2_Totaal[[#This Row],[Product]]&amp;", "&amp;Ontwerp_CO2_Totaal[[#Headers],[D2]],Database_Productkaarten[#All],17,FALSE),0)*Ontwerpberekening!H19,0))/Ontwerpberekening!$A$2</f>
        <v>0</v>
      </c>
      <c r="R60" s="72">
        <f>SUM(Ontwerp_CO2_Totaal[[#This Row],[A1]:[D2]])</f>
        <v>42.961439999999996</v>
      </c>
    </row>
    <row r="61" spans="2:21" ht="18" x14ac:dyDescent="0.55000000000000004">
      <c r="B61" s="37" t="str">
        <f>Ontwerpberekening!B20</f>
        <v>Baseline</v>
      </c>
      <c r="C61" s="23" t="str">
        <f>Ontwerpberekening!F20</f>
        <v>Opsluitband 100x200</v>
      </c>
      <c r="D61" s="72">
        <f>(IF(Ontwerpberekening!C20="Nieuwe Situatie",(_xlfn.IFNA(VLOOKUP(Ontwerp_CO2_Totaal[[#This Row],[Product]]&amp;", "&amp;Ontwerp_CO2_Totaal[[#Headers],[A1]],Database_Productkaarten[#All],17,FALSE),0)*Ontwerpberekening!H20),0))/Ontwerpberekening!$A$2</f>
        <v>2.9490500000000002</v>
      </c>
      <c r="E61" s="72">
        <f>(IF(Ontwerpberekening!C20="Nieuwe Situatie",(_xlfn.IFNA(VLOOKUP(Ontwerp_CO2_Totaal[[#This Row],[Product]]&amp;", "&amp;Ontwerp_CO2_Totaal[[#Headers],[A2]],Database_Productkaarten[#All],17,FALSE),0)*Ontwerpberekening!H20),0))/Ontwerpberekening!$A$2</f>
        <v>0</v>
      </c>
      <c r="F61" s="72">
        <f>(IF(Ontwerpberekening!C20="Nieuwe Situatie",(_xlfn.IFNA(VLOOKUP(Ontwerp_CO2_Totaal[[#This Row],[Product]]&amp;", "&amp;Ontwerp_CO2_Totaal[[#Headers],[A3]],Database_Productkaarten[#All],17,FALSE),0)*Ontwerpberekening!H20),0))/Ontwerpberekening!$A$2</f>
        <v>0</v>
      </c>
      <c r="G61" s="72">
        <f>(IF(Ontwerpberekening!C20="Nieuwe Situatie",(_xlfn.IFNA(VLOOKUP(Ontwerp_CO2_Totaal[[#This Row],[Product]]&amp;", "&amp;Ontwerp_CO2_Totaal[[#Headers],[A4]],Database_Productkaarten[#All],17,FALSE),0)*Ontwerpberekening!H20),0))/Ontwerpberekening!$A$2</f>
        <v>0.43974999999999992</v>
      </c>
      <c r="H61" s="72">
        <f>(IF(Ontwerpberekening!C20="Nieuwe Situatie",(_xlfn.IFNA(VLOOKUP(Ontwerp_CO2_Totaal[[#This Row],[Product]]&amp;", "&amp;Ontwerp_CO2_Totaal[[#Headers],[A5]],Database_Productkaarten[#All],17,FALSE),0)*Ontwerpberekening!H20),0))/Ontwerpberekening!$A$2</f>
        <v>9.6649999999999986E-2</v>
      </c>
      <c r="I61" s="72">
        <f>(IF(Ontwerpberekening!C20="Nieuwe Situatie",(_xlfn.IFNA(VLOOKUP(Ontwerp_CO2_Totaal[[#This Row],[Product]]&amp;", "&amp;Ontwerp_CO2_Totaal[[#Headers],[B1]],Database_Productkaarten[#All],17,FALSE),0)*Ontwerpberekening!H20),0))/Ontwerpberekening!$A$2</f>
        <v>0</v>
      </c>
      <c r="J61" s="72">
        <f>(IF(Ontwerpberekening!C20="Nieuwe Situatie",(_xlfn.IFNA(VLOOKUP(Ontwerp_CO2_Totaal[[#This Row],[Product]]&amp;", "&amp;Ontwerp_CO2_Totaal[[#Headers],[B3]],Database_Productkaarten[#All],17,FALSE),0)*Ontwerpberekening!H20),0))/Ontwerpberekening!$A$2</f>
        <v>0</v>
      </c>
      <c r="K61" s="72">
        <f>(IF(Ontwerpberekening!C20="Nieuwe Situatie",(SUM(Ontwerp_CO2_Totaal[[#This Row],[A1]:[B1]],Ontwerp_CO2_Totaal[[#This Row],[C1]:[D2]])*Ontwerpberekening!R20),0))</f>
        <v>0</v>
      </c>
      <c r="L61" s="72">
        <f>_xlfn.IFNA(VLOOKUP(Ontwerp_CO2_Totaal[[#This Row],[Product]]&amp;", "&amp;Ontwerp_CO2_Totaal[[#Headers],[C1]],Database_Productkaarten[#All],17,FALSE)*Ontwerpberekening!H20,0)/Ontwerpberekening!$A$2</f>
        <v>9.6649999999999986E-2</v>
      </c>
      <c r="M61" s="72">
        <f>_xlfn.IFNA(VLOOKUP(Ontwerp_CO2_Totaal[[#This Row],[Product]]&amp;", "&amp;Ontwerp_CO2_Totaal[[#Headers],[C2]],Database_Productkaarten[#All],17,FALSE)*Ontwerpberekening!H20,0)/Ontwerpberekening!$A$2</f>
        <v>0.14804999999999999</v>
      </c>
      <c r="N61" s="72">
        <f>_xlfn.IFNA(VLOOKUP(Ontwerp_CO2_Totaal[[#This Row],[Product]]&amp;", "&amp;Ontwerp_CO2_Totaal[[#Headers],[C3]],Database_Productkaarten[#All],17,FALSE)*Ontwerpberekening!H20,0)/Ontwerpberekening!$A$2</f>
        <v>1.8E-3</v>
      </c>
      <c r="O61" s="72">
        <f>_xlfn.IFNA(VLOOKUP(Ontwerp_CO2_Totaal[[#This Row],[Product]]&amp;", "&amp;Ontwerp_CO2_Totaal[[#Headers],[C4]],Database_Productkaarten[#All],17,FALSE)*Ontwerpberekening!H20,0)/Ontwerpberekening!$A$2</f>
        <v>1.1999999999999999E-3</v>
      </c>
      <c r="P61" s="72">
        <f>(IF(Ontwerpberekening!C20="Nieuwe Situatie",(_xlfn.IFNA(VLOOKUP(Ontwerp_CO2_Totaal[[#This Row],[Product]]&amp;", "&amp;Ontwerp_CO2_Totaal[[#Headers],[D1]],Database_Productkaarten[#All],17,FALSE),0)*Ontwerpberekening!H20),0))/Ontwerpberekening!$A$2</f>
        <v>-9.2349999999999988E-2</v>
      </c>
      <c r="Q61" s="73">
        <f>(IF(Ontwerpberekening!C20="Nieuwe Situatie",_xlfn.IFNA(VLOOKUP(Ontwerp_CO2_Totaal[[#This Row],[Product]]&amp;", "&amp;Ontwerp_CO2_Totaal[[#Headers],[D2]],Database_Productkaarten[#All],17,FALSE),0)*Ontwerpberekening!H20,0))/Ontwerpberekening!$A$2</f>
        <v>0</v>
      </c>
      <c r="R61" s="72">
        <f>SUM(Ontwerp_CO2_Totaal[[#This Row],[A1]:[D2]])</f>
        <v>3.6407999999999996</v>
      </c>
    </row>
    <row r="62" spans="2:21" ht="18" x14ac:dyDescent="0.55000000000000004">
      <c r="B62" s="37" t="str">
        <f>Ontwerpberekening!B21</f>
        <v>Baseline</v>
      </c>
      <c r="C62" s="23" t="str">
        <f>Ontwerpberekening!F21</f>
        <v>Grond</v>
      </c>
      <c r="D62" s="72">
        <f>(IF(Ontwerpberekening!C21="Nieuwe Situatie",(_xlfn.IFNA(VLOOKUP(Ontwerp_CO2_Totaal[[#This Row],[Product]]&amp;", "&amp;Ontwerp_CO2_Totaal[[#Headers],[A1]],Database_Productkaarten[#All],17,FALSE),0)*Ontwerpberekening!H21),0))/Ontwerpberekening!$A$2</f>
        <v>0</v>
      </c>
      <c r="E62" s="72">
        <f>(IF(Ontwerpberekening!C21="Nieuwe Situatie",(_xlfn.IFNA(VLOOKUP(Ontwerp_CO2_Totaal[[#This Row],[Product]]&amp;", "&amp;Ontwerp_CO2_Totaal[[#Headers],[A2]],Database_Productkaarten[#All],17,FALSE),0)*Ontwerpberekening!H21),0))/Ontwerpberekening!$A$2</f>
        <v>0</v>
      </c>
      <c r="F62" s="72">
        <f>(IF(Ontwerpberekening!C21="Nieuwe Situatie",(_xlfn.IFNA(VLOOKUP(Ontwerp_CO2_Totaal[[#This Row],[Product]]&amp;", "&amp;Ontwerp_CO2_Totaal[[#Headers],[A3]],Database_Productkaarten[#All],17,FALSE),0)*Ontwerpberekening!H21),0))/Ontwerpberekening!$A$2</f>
        <v>0</v>
      </c>
      <c r="G62" s="72">
        <f>(IF(Ontwerpberekening!C21="Nieuwe Situatie",(_xlfn.IFNA(VLOOKUP(Ontwerp_CO2_Totaal[[#This Row],[Product]]&amp;", "&amp;Ontwerp_CO2_Totaal[[#Headers],[A4]],Database_Productkaarten[#All],17,FALSE),0)*Ontwerpberekening!H21),0))/Ontwerpberekening!$A$2</f>
        <v>0.25346336699999994</v>
      </c>
      <c r="H62" s="72">
        <f>(IF(Ontwerpberekening!C21="Nieuwe Situatie",(_xlfn.IFNA(VLOOKUP(Ontwerp_CO2_Totaal[[#This Row],[Product]]&amp;", "&amp;Ontwerp_CO2_Totaal[[#Headers],[A5]],Database_Productkaarten[#All],17,FALSE),0)*Ontwerpberekening!H21),0))/Ontwerpberekening!$A$2</f>
        <v>2.8332221426249998E-2</v>
      </c>
      <c r="I62" s="72">
        <f>(IF(Ontwerpberekening!C21="Nieuwe Situatie",(_xlfn.IFNA(VLOOKUP(Ontwerp_CO2_Totaal[[#This Row],[Product]]&amp;", "&amp;Ontwerp_CO2_Totaal[[#Headers],[B1]],Database_Productkaarten[#All],17,FALSE),0)*Ontwerpberekening!H21),0))/Ontwerpberekening!$A$2</f>
        <v>0</v>
      </c>
      <c r="J62" s="72">
        <f>(IF(Ontwerpberekening!C21="Nieuwe Situatie",(_xlfn.IFNA(VLOOKUP(Ontwerp_CO2_Totaal[[#This Row],[Product]]&amp;", "&amp;Ontwerp_CO2_Totaal[[#Headers],[B3]],Database_Productkaarten[#All],17,FALSE),0)*Ontwerpberekening!H21),0))/Ontwerpberekening!$A$2</f>
        <v>0</v>
      </c>
      <c r="K62" s="72">
        <f>(IF(Ontwerpberekening!C21="Nieuwe Situatie",(SUM(Ontwerp_CO2_Totaal[[#This Row],[A1]:[B1]],Ontwerp_CO2_Totaal[[#This Row],[C1]:[D2]])*Ontwerpberekening!R21),0))</f>
        <v>0</v>
      </c>
      <c r="L62" s="72">
        <f>_xlfn.IFNA(VLOOKUP(Ontwerp_CO2_Totaal[[#This Row],[Product]]&amp;", "&amp;Ontwerp_CO2_Totaal[[#Headers],[C1]],Database_Productkaarten[#All],17,FALSE)*Ontwerpberekening!H21,0)/Ontwerpberekening!$A$2</f>
        <v>2.8332221426249998E-2</v>
      </c>
      <c r="M62" s="72">
        <f>_xlfn.IFNA(VLOOKUP(Ontwerp_CO2_Totaal[[#This Row],[Product]]&amp;", "&amp;Ontwerp_CO2_Totaal[[#Headers],[C2]],Database_Productkaarten[#All],17,FALSE)*Ontwerpberekening!H21,0)/Ontwerpberekening!$A$2</f>
        <v>0.25346336699999994</v>
      </c>
      <c r="N62" s="72">
        <f>_xlfn.IFNA(VLOOKUP(Ontwerp_CO2_Totaal[[#This Row],[Product]]&amp;", "&amp;Ontwerp_CO2_Totaal[[#Headers],[C3]],Database_Productkaarten[#All],17,FALSE)*Ontwerpberekening!H21,0)/Ontwerpberekening!$A$2</f>
        <v>0</v>
      </c>
      <c r="O62" s="72">
        <f>_xlfn.IFNA(VLOOKUP(Ontwerp_CO2_Totaal[[#This Row],[Product]]&amp;", "&amp;Ontwerp_CO2_Totaal[[#Headers],[C4]],Database_Productkaarten[#All],17,FALSE)*Ontwerpberekening!H21,0)/Ontwerpberekening!$A$2</f>
        <v>0</v>
      </c>
      <c r="P62" s="72">
        <f>(IF(Ontwerpberekening!C21="Nieuwe Situatie",(_xlfn.IFNA(VLOOKUP(Ontwerp_CO2_Totaal[[#This Row],[Product]]&amp;", "&amp;Ontwerp_CO2_Totaal[[#Headers],[D1]],Database_Productkaarten[#All],17,FALSE),0)*Ontwerpberekening!H21),0))/Ontwerpberekening!$A$2</f>
        <v>0</v>
      </c>
      <c r="Q62" s="73">
        <f>(IF(Ontwerpberekening!C21="Nieuwe Situatie",_xlfn.IFNA(VLOOKUP(Ontwerp_CO2_Totaal[[#This Row],[Product]]&amp;", "&amp;Ontwerp_CO2_Totaal[[#Headers],[D2]],Database_Productkaarten[#All],17,FALSE),0)*Ontwerpberekening!H21,0))/Ontwerpberekening!$A$2</f>
        <v>0</v>
      </c>
      <c r="R62" s="72">
        <f>SUM(Ontwerp_CO2_Totaal[[#This Row],[A1]:[D2]])</f>
        <v>0.56359117685249993</v>
      </c>
    </row>
    <row r="63" spans="2:21" ht="18" x14ac:dyDescent="0.55000000000000004">
      <c r="B63" s="37" t="str">
        <f>Ontwerpberekening!B22</f>
        <v>Variant 1</v>
      </c>
      <c r="C63" s="23" t="str">
        <f>Ontwerpberekening!F22</f>
        <v>AC Surf 30% PR - PCR 2.0</v>
      </c>
      <c r="D63" s="72">
        <f>(IF(Ontwerpberekening!C22="Nieuwe Situatie",(_xlfn.IFNA(VLOOKUP(Ontwerp_CO2_Totaal[[#This Row],[Product]]&amp;", "&amp;Ontwerp_CO2_Totaal[[#Headers],[A1]],Database_Productkaarten[#All],17,FALSE),0)*Ontwerpberekening!H22),0))/Ontwerpberekening!$A$2</f>
        <v>0</v>
      </c>
      <c r="E63" s="72">
        <f>(IF(Ontwerpberekening!C22="Nieuwe Situatie",(_xlfn.IFNA(VLOOKUP(Ontwerp_CO2_Totaal[[#This Row],[Product]]&amp;", "&amp;Ontwerp_CO2_Totaal[[#Headers],[A2]],Database_Productkaarten[#All],17,FALSE),0)*Ontwerpberekening!H22),0))/Ontwerpberekening!$A$2</f>
        <v>0</v>
      </c>
      <c r="F63" s="72">
        <f>(IF(Ontwerpberekening!C22="Nieuwe Situatie",(_xlfn.IFNA(VLOOKUP(Ontwerp_CO2_Totaal[[#This Row],[Product]]&amp;", "&amp;Ontwerp_CO2_Totaal[[#Headers],[A3]],Database_Productkaarten[#All],17,FALSE),0)*Ontwerpberekening!H22),0))/Ontwerpberekening!$A$2</f>
        <v>0</v>
      </c>
      <c r="G63" s="72">
        <f>(IF(Ontwerpberekening!C22="Nieuwe Situatie",(_xlfn.IFNA(VLOOKUP(Ontwerp_CO2_Totaal[[#This Row],[Product]]&amp;", "&amp;Ontwerp_CO2_Totaal[[#Headers],[A4]],Database_Productkaarten[#All],17,FALSE),0)*Ontwerpberekening!H22),0))/Ontwerpberekening!$A$2</f>
        <v>0</v>
      </c>
      <c r="H63" s="72">
        <f>(IF(Ontwerpberekening!C22="Nieuwe Situatie",(_xlfn.IFNA(VLOOKUP(Ontwerp_CO2_Totaal[[#This Row],[Product]]&amp;", "&amp;Ontwerp_CO2_Totaal[[#Headers],[A5]],Database_Productkaarten[#All],17,FALSE),0)*Ontwerpberekening!H22),0))/Ontwerpberekening!$A$2</f>
        <v>0</v>
      </c>
      <c r="I63" s="72">
        <f>(IF(Ontwerpberekening!C22="Nieuwe Situatie",(_xlfn.IFNA(VLOOKUP(Ontwerp_CO2_Totaal[[#This Row],[Product]]&amp;", "&amp;Ontwerp_CO2_Totaal[[#Headers],[B1]],Database_Productkaarten[#All],17,FALSE),0)*Ontwerpberekening!H22),0))/Ontwerpberekening!$A$2</f>
        <v>0</v>
      </c>
      <c r="J63" s="72">
        <f>(IF(Ontwerpberekening!C22="Nieuwe Situatie",(_xlfn.IFNA(VLOOKUP(Ontwerp_CO2_Totaal[[#This Row],[Product]]&amp;", "&amp;Ontwerp_CO2_Totaal[[#Headers],[B3]],Database_Productkaarten[#All],17,FALSE),0)*Ontwerpberekening!H22),0))/Ontwerpberekening!$A$2</f>
        <v>0</v>
      </c>
      <c r="K63" s="72">
        <f>(IF(Ontwerpberekening!C22="Nieuwe Situatie",(SUM(Ontwerp_CO2_Totaal[[#This Row],[A1]:[B1]],Ontwerp_CO2_Totaal[[#This Row],[C1]:[D2]])*Ontwerpberekening!R22),0))</f>
        <v>0</v>
      </c>
      <c r="L63" s="72">
        <f>_xlfn.IFNA(VLOOKUP(Ontwerp_CO2_Totaal[[#This Row],[Product]]&amp;", "&amp;Ontwerp_CO2_Totaal[[#Headers],[C1]],Database_Productkaarten[#All],17,FALSE)*Ontwerpberekening!H22,0)/Ontwerpberekening!$A$2</f>
        <v>48.65229982994672</v>
      </c>
      <c r="M63" s="72">
        <f>_xlfn.IFNA(VLOOKUP(Ontwerp_CO2_Totaal[[#This Row],[Product]]&amp;", "&amp;Ontwerp_CO2_Totaal[[#Headers],[C2]],Database_Productkaarten[#All],17,FALSE)*Ontwerpberekening!H22,0)/Ontwerpberekening!$A$2</f>
        <v>110.62977838345597</v>
      </c>
      <c r="N63" s="72">
        <f>_xlfn.IFNA(VLOOKUP(Ontwerp_CO2_Totaal[[#This Row],[Product]]&amp;", "&amp;Ontwerp_CO2_Totaal[[#Headers],[C3]],Database_Productkaarten[#All],17,FALSE)*Ontwerpberekening!H22,0)/Ontwerpberekening!$A$2</f>
        <v>54.549548294182976</v>
      </c>
      <c r="O63" s="72">
        <f>_xlfn.IFNA(VLOOKUP(Ontwerp_CO2_Totaal[[#This Row],[Product]]&amp;", "&amp;Ontwerp_CO2_Totaal[[#Headers],[C4]],Database_Productkaarten[#All],17,FALSE)*Ontwerpberekening!H22,0)/Ontwerpberekening!$A$2</f>
        <v>0</v>
      </c>
      <c r="P63" s="72">
        <f>(IF(Ontwerpberekening!C22="Nieuwe Situatie",(_xlfn.IFNA(VLOOKUP(Ontwerp_CO2_Totaal[[#This Row],[Product]]&amp;", "&amp;Ontwerp_CO2_Totaal[[#Headers],[D1]],Database_Productkaarten[#All],17,FALSE),0)*Ontwerpberekening!H22),0))/Ontwerpberekening!$A$2</f>
        <v>0</v>
      </c>
      <c r="Q63" s="73">
        <f>(IF(Ontwerpberekening!C22="Nieuwe Situatie",_xlfn.IFNA(VLOOKUP(Ontwerp_CO2_Totaal[[#This Row],[Product]]&amp;", "&amp;Ontwerp_CO2_Totaal[[#Headers],[D2]],Database_Productkaarten[#All],17,FALSE),0)*Ontwerpberekening!H22,0))/Ontwerpberekening!$A$2</f>
        <v>0</v>
      </c>
      <c r="R63" s="72">
        <f>SUM(Ontwerp_CO2_Totaal[[#This Row],[A1]:[D2]])</f>
        <v>213.83162650758567</v>
      </c>
    </row>
    <row r="64" spans="2:21" ht="18" x14ac:dyDescent="0.55000000000000004">
      <c r="B64" s="37" t="str">
        <f>Ontwerpberekening!B23</f>
        <v>Variant 1</v>
      </c>
      <c r="C64" s="23" t="str">
        <f>Ontwerpberekening!F23</f>
        <v>AC bin/base 50% PR G.M. - PCR 2.0</v>
      </c>
      <c r="D64" s="72">
        <f>(IF(Ontwerpberekening!C23="Nieuwe Situatie",(_xlfn.IFNA(VLOOKUP(Ontwerp_CO2_Totaal[[#This Row],[Product]]&amp;", "&amp;Ontwerp_CO2_Totaal[[#Headers],[A1]],Database_Productkaarten[#All],17,FALSE),0)*Ontwerpberekening!H23),0))/Ontwerpberekening!$A$2</f>
        <v>0</v>
      </c>
      <c r="E64" s="72">
        <f>(IF(Ontwerpberekening!C23="Nieuwe Situatie",(_xlfn.IFNA(VLOOKUP(Ontwerp_CO2_Totaal[[#This Row],[Product]]&amp;", "&amp;Ontwerp_CO2_Totaal[[#Headers],[A2]],Database_Productkaarten[#All],17,FALSE),0)*Ontwerpberekening!H23),0))/Ontwerpberekening!$A$2</f>
        <v>0</v>
      </c>
      <c r="F64" s="72">
        <f>(IF(Ontwerpberekening!C23="Nieuwe Situatie",(_xlfn.IFNA(VLOOKUP(Ontwerp_CO2_Totaal[[#This Row],[Product]]&amp;", "&amp;Ontwerp_CO2_Totaal[[#Headers],[A3]],Database_Productkaarten[#All],17,FALSE),0)*Ontwerpberekening!H23),0))/Ontwerpberekening!$A$2</f>
        <v>0</v>
      </c>
      <c r="G64" s="72">
        <f>(IF(Ontwerpberekening!C23="Nieuwe Situatie",(_xlfn.IFNA(VLOOKUP(Ontwerp_CO2_Totaal[[#This Row],[Product]]&amp;", "&amp;Ontwerp_CO2_Totaal[[#Headers],[A4]],Database_Productkaarten[#All],17,FALSE),0)*Ontwerpberekening!H23),0))/Ontwerpberekening!$A$2</f>
        <v>0</v>
      </c>
      <c r="H64" s="72">
        <f>(IF(Ontwerpberekening!C23="Nieuwe Situatie",(_xlfn.IFNA(VLOOKUP(Ontwerp_CO2_Totaal[[#This Row],[Product]]&amp;", "&amp;Ontwerp_CO2_Totaal[[#Headers],[A5]],Database_Productkaarten[#All],17,FALSE),0)*Ontwerpberekening!H23),0))/Ontwerpberekening!$A$2</f>
        <v>0</v>
      </c>
      <c r="I64" s="72">
        <f>(IF(Ontwerpberekening!C23="Nieuwe Situatie",(_xlfn.IFNA(VLOOKUP(Ontwerp_CO2_Totaal[[#This Row],[Product]]&amp;", "&amp;Ontwerp_CO2_Totaal[[#Headers],[B1]],Database_Productkaarten[#All],17,FALSE),0)*Ontwerpberekening!H23),0))/Ontwerpberekening!$A$2</f>
        <v>0</v>
      </c>
      <c r="J64" s="72">
        <f>(IF(Ontwerpberekening!C23="Nieuwe Situatie",(_xlfn.IFNA(VLOOKUP(Ontwerp_CO2_Totaal[[#This Row],[Product]]&amp;", "&amp;Ontwerp_CO2_Totaal[[#Headers],[B3]],Database_Productkaarten[#All],17,FALSE),0)*Ontwerpberekening!H23),0))/Ontwerpberekening!$A$2</f>
        <v>0</v>
      </c>
      <c r="K64" s="72">
        <f>(IF(Ontwerpberekening!C23="Nieuwe Situatie",(SUM(Ontwerp_CO2_Totaal[[#This Row],[A1]:[B1]],Ontwerp_CO2_Totaal[[#This Row],[C1]:[D2]])*Ontwerpberekening!R23),0))</f>
        <v>0</v>
      </c>
      <c r="L64" s="72">
        <f>_xlfn.IFNA(VLOOKUP(Ontwerp_CO2_Totaal[[#This Row],[Product]]&amp;", "&amp;Ontwerp_CO2_Totaal[[#Headers],[C1]],Database_Productkaarten[#All],17,FALSE)*Ontwerpberekening!H23,0)/Ontwerpberekening!$A$2</f>
        <v>12.734173436485527</v>
      </c>
      <c r="M64" s="72">
        <f>_xlfn.IFNA(VLOOKUP(Ontwerp_CO2_Totaal[[#This Row],[Product]]&amp;", "&amp;Ontwerp_CO2_Totaal[[#Headers],[C2]],Database_Productkaarten[#All],17,FALSE)*Ontwerpberekening!H23,0)/Ontwerpberekening!$A$2</f>
        <v>12.409738857115201</v>
      </c>
      <c r="N64" s="72">
        <f>_xlfn.IFNA(VLOOKUP(Ontwerp_CO2_Totaal[[#This Row],[Product]]&amp;", "&amp;Ontwerp_CO2_Totaal[[#Headers],[C3]],Database_Productkaarten[#All],17,FALSE)*Ontwerpberekening!H23,0)/Ontwerpberekening!$A$2</f>
        <v>6.1190184045449856</v>
      </c>
      <c r="O64" s="72">
        <f>_xlfn.IFNA(VLOOKUP(Ontwerp_CO2_Totaal[[#This Row],[Product]]&amp;", "&amp;Ontwerp_CO2_Totaal[[#Headers],[C4]],Database_Productkaarten[#All],17,FALSE)*Ontwerpberekening!H23,0)/Ontwerpberekening!$A$2</f>
        <v>0</v>
      </c>
      <c r="P64" s="72">
        <f>(IF(Ontwerpberekening!C23="Nieuwe Situatie",(_xlfn.IFNA(VLOOKUP(Ontwerp_CO2_Totaal[[#This Row],[Product]]&amp;", "&amp;Ontwerp_CO2_Totaal[[#Headers],[D1]],Database_Productkaarten[#All],17,FALSE),0)*Ontwerpberekening!H23),0))/Ontwerpberekening!$A$2</f>
        <v>0</v>
      </c>
      <c r="Q64" s="73">
        <f>(IF(Ontwerpberekening!C23="Nieuwe Situatie",_xlfn.IFNA(VLOOKUP(Ontwerp_CO2_Totaal[[#This Row],[Product]]&amp;", "&amp;Ontwerp_CO2_Totaal[[#Headers],[D2]],Database_Productkaarten[#All],17,FALSE),0)*Ontwerpberekening!H23,0))/Ontwerpberekening!$A$2</f>
        <v>0</v>
      </c>
      <c r="R64" s="72">
        <f>SUM(Ontwerp_CO2_Totaal[[#This Row],[A1]:[D2]])</f>
        <v>31.262930698145713</v>
      </c>
    </row>
    <row r="65" spans="2:18" ht="18" x14ac:dyDescent="0.55000000000000004">
      <c r="B65" s="37" t="str">
        <f>Ontwerpberekening!B24</f>
        <v>Variant 1</v>
      </c>
      <c r="C65" s="23" t="str">
        <f>Ontwerpberekening!F24</f>
        <v>AC bin/base 50% PR G.M. - PCR 2.0</v>
      </c>
      <c r="D65" s="72">
        <f>(IF(Ontwerpberekening!C24="Nieuwe Situatie",(_xlfn.IFNA(VLOOKUP(Ontwerp_CO2_Totaal[[#This Row],[Product]]&amp;", "&amp;Ontwerp_CO2_Totaal[[#Headers],[A1]],Database_Productkaarten[#All],17,FALSE),0)*Ontwerpberekening!H24),0))/Ontwerpberekening!$A$2</f>
        <v>0</v>
      </c>
      <c r="E65" s="72">
        <f>(IF(Ontwerpberekening!C24="Nieuwe Situatie",(_xlfn.IFNA(VLOOKUP(Ontwerp_CO2_Totaal[[#This Row],[Product]]&amp;", "&amp;Ontwerp_CO2_Totaal[[#Headers],[A2]],Database_Productkaarten[#All],17,FALSE),0)*Ontwerpberekening!H24),0))/Ontwerpberekening!$A$2</f>
        <v>0</v>
      </c>
      <c r="F65" s="72">
        <f>(IF(Ontwerpberekening!C24="Nieuwe Situatie",(_xlfn.IFNA(VLOOKUP(Ontwerp_CO2_Totaal[[#This Row],[Product]]&amp;", "&amp;Ontwerp_CO2_Totaal[[#Headers],[A3]],Database_Productkaarten[#All],17,FALSE),0)*Ontwerpberekening!H24),0))/Ontwerpberekening!$A$2</f>
        <v>0</v>
      </c>
      <c r="G65" s="72">
        <f>(IF(Ontwerpberekening!C24="Nieuwe Situatie",(_xlfn.IFNA(VLOOKUP(Ontwerp_CO2_Totaal[[#This Row],[Product]]&amp;", "&amp;Ontwerp_CO2_Totaal[[#Headers],[A4]],Database_Productkaarten[#All],17,FALSE),0)*Ontwerpberekening!H24),0))/Ontwerpberekening!$A$2</f>
        <v>0</v>
      </c>
      <c r="H65" s="72">
        <f>(IF(Ontwerpberekening!C24="Nieuwe Situatie",(_xlfn.IFNA(VLOOKUP(Ontwerp_CO2_Totaal[[#This Row],[Product]]&amp;", "&amp;Ontwerp_CO2_Totaal[[#Headers],[A5]],Database_Productkaarten[#All],17,FALSE),0)*Ontwerpberekening!H24),0))/Ontwerpberekening!$A$2</f>
        <v>0</v>
      </c>
      <c r="I65" s="72">
        <f>(IF(Ontwerpberekening!C24="Nieuwe Situatie",(_xlfn.IFNA(VLOOKUP(Ontwerp_CO2_Totaal[[#This Row],[Product]]&amp;", "&amp;Ontwerp_CO2_Totaal[[#Headers],[B1]],Database_Productkaarten[#All],17,FALSE),0)*Ontwerpberekening!H24),0))/Ontwerpberekening!$A$2</f>
        <v>0</v>
      </c>
      <c r="J65" s="72">
        <f>(IF(Ontwerpberekening!C24="Nieuwe Situatie",(_xlfn.IFNA(VLOOKUP(Ontwerp_CO2_Totaal[[#This Row],[Product]]&amp;", "&amp;Ontwerp_CO2_Totaal[[#Headers],[B3]],Database_Productkaarten[#All],17,FALSE),0)*Ontwerpberekening!H24),0))/Ontwerpberekening!$A$2</f>
        <v>0</v>
      </c>
      <c r="K65" s="72">
        <f>(IF(Ontwerpberekening!C24="Nieuwe Situatie",(SUM(Ontwerp_CO2_Totaal[[#This Row],[A1]:[B1]],Ontwerp_CO2_Totaal[[#This Row],[C1]:[D2]])*Ontwerpberekening!R24),0))</f>
        <v>0</v>
      </c>
      <c r="L65" s="72">
        <f>_xlfn.IFNA(VLOOKUP(Ontwerp_CO2_Totaal[[#This Row],[Product]]&amp;", "&amp;Ontwerp_CO2_Totaal[[#Headers],[C1]],Database_Productkaarten[#All],17,FALSE)*Ontwerpberekening!H24,0)/Ontwerpberekening!$A$2</f>
        <v>3.9794291989017267</v>
      </c>
      <c r="M65" s="72">
        <f>_xlfn.IFNA(VLOOKUP(Ontwerp_CO2_Totaal[[#This Row],[Product]]&amp;", "&amp;Ontwerp_CO2_Totaal[[#Headers],[C2]],Database_Productkaarten[#All],17,FALSE)*Ontwerpberekening!H24,0)/Ontwerpberekening!$A$2</f>
        <v>3.8780433928485003</v>
      </c>
      <c r="N65" s="72">
        <f>_xlfn.IFNA(VLOOKUP(Ontwerp_CO2_Totaal[[#This Row],[Product]]&amp;", "&amp;Ontwerp_CO2_Totaal[[#Headers],[C3]],Database_Productkaarten[#All],17,FALSE)*Ontwerpberekening!H24,0)/Ontwerpberekening!$A$2</f>
        <v>1.9121932514203082</v>
      </c>
      <c r="O65" s="72">
        <f>_xlfn.IFNA(VLOOKUP(Ontwerp_CO2_Totaal[[#This Row],[Product]]&amp;", "&amp;Ontwerp_CO2_Totaal[[#Headers],[C4]],Database_Productkaarten[#All],17,FALSE)*Ontwerpberekening!H24,0)/Ontwerpberekening!$A$2</f>
        <v>0</v>
      </c>
      <c r="P65" s="72">
        <f>(IF(Ontwerpberekening!C24="Nieuwe Situatie",(_xlfn.IFNA(VLOOKUP(Ontwerp_CO2_Totaal[[#This Row],[Product]]&amp;", "&amp;Ontwerp_CO2_Totaal[[#Headers],[D1]],Database_Productkaarten[#All],17,FALSE),0)*Ontwerpberekening!H24),0))/Ontwerpberekening!$A$2</f>
        <v>0</v>
      </c>
      <c r="Q65" s="73">
        <f>(IF(Ontwerpberekening!C24="Nieuwe Situatie",_xlfn.IFNA(VLOOKUP(Ontwerp_CO2_Totaal[[#This Row],[Product]]&amp;", "&amp;Ontwerp_CO2_Totaal[[#Headers],[D2]],Database_Productkaarten[#All],17,FALSE),0)*Ontwerpberekening!H24,0))/Ontwerpberekening!$A$2</f>
        <v>0</v>
      </c>
      <c r="R65" s="72">
        <f>SUM(Ontwerp_CO2_Totaal[[#This Row],[A1]:[D2]])</f>
        <v>9.7696658431705359</v>
      </c>
    </row>
    <row r="66" spans="2:18" ht="18" x14ac:dyDescent="0.55000000000000004">
      <c r="B66" s="37" t="str">
        <f>Ontwerpberekening!B25</f>
        <v>Variant 1</v>
      </c>
      <c r="C66" s="23" t="str">
        <f>Ontwerpberekening!F25</f>
        <v>Betonstraatsteen geopolymeer 210x105x80</v>
      </c>
      <c r="D66" s="72">
        <f>(IF(Ontwerpberekening!C25="Nieuwe Situatie",(_xlfn.IFNA(VLOOKUP(Ontwerp_CO2_Totaal[[#This Row],[Product]]&amp;", "&amp;Ontwerp_CO2_Totaal[[#Headers],[A1]],Database_Productkaarten[#All],17,FALSE),0)*Ontwerpberekening!H25),0))/Ontwerpberekening!$A$2</f>
        <v>0</v>
      </c>
      <c r="E66" s="72">
        <f>(IF(Ontwerpberekening!C25="Nieuwe Situatie",(_xlfn.IFNA(VLOOKUP(Ontwerp_CO2_Totaal[[#This Row],[Product]]&amp;", "&amp;Ontwerp_CO2_Totaal[[#Headers],[A2]],Database_Productkaarten[#All],17,FALSE),0)*Ontwerpberekening!H25),0))/Ontwerpberekening!$A$2</f>
        <v>0</v>
      </c>
      <c r="F66" s="72">
        <f>(IF(Ontwerpberekening!C25="Nieuwe Situatie",(_xlfn.IFNA(VLOOKUP(Ontwerp_CO2_Totaal[[#This Row],[Product]]&amp;", "&amp;Ontwerp_CO2_Totaal[[#Headers],[A3]],Database_Productkaarten[#All],17,FALSE),0)*Ontwerpberekening!H25),0))/Ontwerpberekening!$A$2</f>
        <v>0</v>
      </c>
      <c r="G66" s="72">
        <f>(IF(Ontwerpberekening!C25="Nieuwe Situatie",(_xlfn.IFNA(VLOOKUP(Ontwerp_CO2_Totaal[[#This Row],[Product]]&amp;", "&amp;Ontwerp_CO2_Totaal[[#Headers],[A4]],Database_Productkaarten[#All],17,FALSE),0)*Ontwerpberekening!H25),0))/Ontwerpberekening!$A$2</f>
        <v>0</v>
      </c>
      <c r="H66" s="72">
        <f>(IF(Ontwerpberekening!C25="Nieuwe Situatie",(_xlfn.IFNA(VLOOKUP(Ontwerp_CO2_Totaal[[#This Row],[Product]]&amp;", "&amp;Ontwerp_CO2_Totaal[[#Headers],[A5]],Database_Productkaarten[#All],17,FALSE),0)*Ontwerpberekening!H25),0))/Ontwerpberekening!$A$2</f>
        <v>0</v>
      </c>
      <c r="I66" s="72">
        <f>(IF(Ontwerpberekening!C25="Nieuwe Situatie",(_xlfn.IFNA(VLOOKUP(Ontwerp_CO2_Totaal[[#This Row],[Product]]&amp;", "&amp;Ontwerp_CO2_Totaal[[#Headers],[B1]],Database_Productkaarten[#All],17,FALSE),0)*Ontwerpberekening!H25),0))/Ontwerpberekening!$A$2</f>
        <v>0</v>
      </c>
      <c r="J66" s="72">
        <f>(IF(Ontwerpberekening!C25="Nieuwe Situatie",(_xlfn.IFNA(VLOOKUP(Ontwerp_CO2_Totaal[[#This Row],[Product]]&amp;", "&amp;Ontwerp_CO2_Totaal[[#Headers],[B3]],Database_Productkaarten[#All],17,FALSE),0)*Ontwerpberekening!H25),0))/Ontwerpberekening!$A$2</f>
        <v>0</v>
      </c>
      <c r="K66" s="72">
        <f>(IF(Ontwerpberekening!C25="Nieuwe Situatie",(SUM(Ontwerp_CO2_Totaal[[#This Row],[A1]:[B1]],Ontwerp_CO2_Totaal[[#This Row],[C1]:[D2]])*Ontwerpberekening!R25),0))</f>
        <v>0</v>
      </c>
      <c r="L66" s="72">
        <f>_xlfn.IFNA(VLOOKUP(Ontwerp_CO2_Totaal[[#This Row],[Product]]&amp;", "&amp;Ontwerp_CO2_Totaal[[#Headers],[C1]],Database_Productkaarten[#All],17,FALSE)*Ontwerpberekening!H25,0)/Ontwerpberekening!$A$2</f>
        <v>2.0254000000000003</v>
      </c>
      <c r="M66" s="72" t="e">
        <f>_xlfn.IFNA(VLOOKUP(Ontwerp_CO2_Totaal[[#This Row],[Product]]&amp;", "&amp;Ontwerp_CO2_Totaal[[#Headers],[C2]],Database_Productkaarten[#All],17,FALSE)*Ontwerpberekening!H25,0)/Ontwerpberekening!$A$2</f>
        <v>#REF!</v>
      </c>
      <c r="N66" s="72">
        <f>_xlfn.IFNA(VLOOKUP(Ontwerp_CO2_Totaal[[#This Row],[Product]]&amp;", "&amp;Ontwerp_CO2_Totaal[[#Headers],[C3]],Database_Productkaarten[#All],17,FALSE)*Ontwerpberekening!H25,0)/Ontwerpberekening!$A$2</f>
        <v>0.4108</v>
      </c>
      <c r="O66" s="72">
        <f>_xlfn.IFNA(VLOOKUP(Ontwerp_CO2_Totaal[[#This Row],[Product]]&amp;", "&amp;Ontwerp_CO2_Totaal[[#Headers],[C4]],Database_Productkaarten[#All],17,FALSE)*Ontwerpberekening!H25,0)/Ontwerpberekening!$A$2</f>
        <v>2.366E-2</v>
      </c>
      <c r="P66" s="72">
        <f>(IF(Ontwerpberekening!C25="Nieuwe Situatie",(_xlfn.IFNA(VLOOKUP(Ontwerp_CO2_Totaal[[#This Row],[Product]]&amp;", "&amp;Ontwerp_CO2_Totaal[[#Headers],[D1]],Database_Productkaarten[#All],17,FALSE),0)*Ontwerpberekening!H25),0))/Ontwerpberekening!$A$2</f>
        <v>0</v>
      </c>
      <c r="Q66" s="73">
        <f>(IF(Ontwerpberekening!C25="Nieuwe Situatie",_xlfn.IFNA(VLOOKUP(Ontwerp_CO2_Totaal[[#This Row],[Product]]&amp;", "&amp;Ontwerp_CO2_Totaal[[#Headers],[D2]],Database_Productkaarten[#All],17,FALSE),0)*Ontwerpberekening!H25,0))/Ontwerpberekening!$A$2</f>
        <v>0</v>
      </c>
      <c r="R66" s="72" t="e">
        <f>SUM(Ontwerp_CO2_Totaal[[#This Row],[A1]:[D2]])</f>
        <v>#REF!</v>
      </c>
    </row>
    <row r="67" spans="2:18" ht="18" x14ac:dyDescent="0.55000000000000004">
      <c r="B67" s="37" t="str">
        <f>Ontwerpberekening!B26</f>
        <v>Variant 1</v>
      </c>
      <c r="C67" s="23" t="str">
        <f>Ontwerpberekening!F26</f>
        <v>Grond</v>
      </c>
      <c r="D67" s="72">
        <f>(IF(Ontwerpberekening!C26="Nieuwe Situatie",(_xlfn.IFNA(VLOOKUP(Ontwerp_CO2_Totaal[[#This Row],[Product]]&amp;", "&amp;Ontwerp_CO2_Totaal[[#Headers],[A1]],Database_Productkaarten[#All],17,FALSE),0)*Ontwerpberekening!H26),0))/Ontwerpberekening!$A$2</f>
        <v>0</v>
      </c>
      <c r="E67" s="72">
        <f>(IF(Ontwerpberekening!C26="Nieuwe Situatie",(_xlfn.IFNA(VLOOKUP(Ontwerp_CO2_Totaal[[#This Row],[Product]]&amp;", "&amp;Ontwerp_CO2_Totaal[[#Headers],[A2]],Database_Productkaarten[#All],17,FALSE),0)*Ontwerpberekening!H26),0))/Ontwerpberekening!$A$2</f>
        <v>0</v>
      </c>
      <c r="F67" s="72">
        <f>(IF(Ontwerpberekening!C26="Nieuwe Situatie",(_xlfn.IFNA(VLOOKUP(Ontwerp_CO2_Totaal[[#This Row],[Product]]&amp;", "&amp;Ontwerp_CO2_Totaal[[#Headers],[A3]],Database_Productkaarten[#All],17,FALSE),0)*Ontwerpberekening!H26),0))/Ontwerpberekening!$A$2</f>
        <v>0</v>
      </c>
      <c r="G67" s="72">
        <f>(IF(Ontwerpberekening!C26="Nieuwe Situatie",(_xlfn.IFNA(VLOOKUP(Ontwerp_CO2_Totaal[[#This Row],[Product]]&amp;", "&amp;Ontwerp_CO2_Totaal[[#Headers],[A4]],Database_Productkaarten[#All],17,FALSE),0)*Ontwerpberekening!H26),0))/Ontwerpberekening!$A$2</f>
        <v>0</v>
      </c>
      <c r="H67" s="72">
        <f>(IF(Ontwerpberekening!C26="Nieuwe Situatie",(_xlfn.IFNA(VLOOKUP(Ontwerp_CO2_Totaal[[#This Row],[Product]]&amp;", "&amp;Ontwerp_CO2_Totaal[[#Headers],[A5]],Database_Productkaarten[#All],17,FALSE),0)*Ontwerpberekening!H26),0))/Ontwerpberekening!$A$2</f>
        <v>0</v>
      </c>
      <c r="I67" s="72">
        <f>(IF(Ontwerpberekening!C26="Nieuwe Situatie",(_xlfn.IFNA(VLOOKUP(Ontwerp_CO2_Totaal[[#This Row],[Product]]&amp;", "&amp;Ontwerp_CO2_Totaal[[#Headers],[B1]],Database_Productkaarten[#All],17,FALSE),0)*Ontwerpberekening!H26),0))/Ontwerpberekening!$A$2</f>
        <v>0</v>
      </c>
      <c r="J67" s="72">
        <f>(IF(Ontwerpberekening!C26="Nieuwe Situatie",(_xlfn.IFNA(VLOOKUP(Ontwerp_CO2_Totaal[[#This Row],[Product]]&amp;", "&amp;Ontwerp_CO2_Totaal[[#Headers],[B3]],Database_Productkaarten[#All],17,FALSE),0)*Ontwerpberekening!H26),0))/Ontwerpberekening!$A$2</f>
        <v>0</v>
      </c>
      <c r="K67" s="72">
        <f>(IF(Ontwerpberekening!C26="Nieuwe Situatie",(SUM(Ontwerp_CO2_Totaal[[#This Row],[A1]:[B1]],Ontwerp_CO2_Totaal[[#This Row],[C1]:[D2]])*Ontwerpberekening!R26),0))</f>
        <v>0</v>
      </c>
      <c r="L67" s="72">
        <f>_xlfn.IFNA(VLOOKUP(Ontwerp_CO2_Totaal[[#This Row],[Product]]&amp;", "&amp;Ontwerp_CO2_Totaal[[#Headers],[C1]],Database_Productkaarten[#All],17,FALSE)*Ontwerpberekening!H26,0)/Ontwerpberekening!$A$2</f>
        <v>0.89718701183124994</v>
      </c>
      <c r="M67" s="72">
        <f>_xlfn.IFNA(VLOOKUP(Ontwerp_CO2_Totaal[[#This Row],[Product]]&amp;", "&amp;Ontwerp_CO2_Totaal[[#Headers],[C2]],Database_Productkaarten[#All],17,FALSE)*Ontwerpberekening!H26,0)/Ontwerpberekening!$A$2</f>
        <v>8.0263399549999992</v>
      </c>
      <c r="N67" s="72">
        <f>_xlfn.IFNA(VLOOKUP(Ontwerp_CO2_Totaal[[#This Row],[Product]]&amp;", "&amp;Ontwerp_CO2_Totaal[[#Headers],[C3]],Database_Productkaarten[#All],17,FALSE)*Ontwerpberekening!H26,0)/Ontwerpberekening!$A$2</f>
        <v>0</v>
      </c>
      <c r="O67" s="72">
        <f>_xlfn.IFNA(VLOOKUP(Ontwerp_CO2_Totaal[[#This Row],[Product]]&amp;", "&amp;Ontwerp_CO2_Totaal[[#Headers],[C4]],Database_Productkaarten[#All],17,FALSE)*Ontwerpberekening!H26,0)/Ontwerpberekening!$A$2</f>
        <v>0</v>
      </c>
      <c r="P67" s="72">
        <f>(IF(Ontwerpberekening!C26="Nieuwe Situatie",(_xlfn.IFNA(VLOOKUP(Ontwerp_CO2_Totaal[[#This Row],[Product]]&amp;", "&amp;Ontwerp_CO2_Totaal[[#Headers],[D1]],Database_Productkaarten[#All],17,FALSE),0)*Ontwerpberekening!H26),0))/Ontwerpberekening!$A$2</f>
        <v>0</v>
      </c>
      <c r="Q67" s="73">
        <f>(IF(Ontwerpberekening!C26="Nieuwe Situatie",_xlfn.IFNA(VLOOKUP(Ontwerp_CO2_Totaal[[#This Row],[Product]]&amp;", "&amp;Ontwerp_CO2_Totaal[[#Headers],[D2]],Database_Productkaarten[#All],17,FALSE),0)*Ontwerpberekening!H26,0))/Ontwerpberekening!$A$2</f>
        <v>0</v>
      </c>
      <c r="R67" s="72">
        <f>SUM(Ontwerp_CO2_Totaal[[#This Row],[A1]:[D2]])</f>
        <v>8.9235269668312487</v>
      </c>
    </row>
    <row r="68" spans="2:18" ht="18" x14ac:dyDescent="0.55000000000000004">
      <c r="B68" s="37" t="str">
        <f>Ontwerpberekening!B27</f>
        <v>Variant 1</v>
      </c>
      <c r="C68" s="23" t="str">
        <f>Ontwerpberekening!F27</f>
        <v>Opsluitband geopolymeer 100x200</v>
      </c>
      <c r="D68" s="72">
        <f>(IF(Ontwerpberekening!C27="Nieuwe Situatie",(_xlfn.IFNA(VLOOKUP(Ontwerp_CO2_Totaal[[#This Row],[Product]]&amp;", "&amp;Ontwerp_CO2_Totaal[[#Headers],[A1]],Database_Productkaarten[#All],17,FALSE),0)*Ontwerpberekening!H27),0))/Ontwerpberekening!$A$2</f>
        <v>0</v>
      </c>
      <c r="E68" s="72">
        <f>(IF(Ontwerpberekening!C27="Nieuwe Situatie",(_xlfn.IFNA(VLOOKUP(Ontwerp_CO2_Totaal[[#This Row],[Product]]&amp;", "&amp;Ontwerp_CO2_Totaal[[#Headers],[A2]],Database_Productkaarten[#All],17,FALSE),0)*Ontwerpberekening!H27),0))/Ontwerpberekening!$A$2</f>
        <v>0</v>
      </c>
      <c r="F68" s="72">
        <f>(IF(Ontwerpberekening!C27="Nieuwe Situatie",(_xlfn.IFNA(VLOOKUP(Ontwerp_CO2_Totaal[[#This Row],[Product]]&amp;", "&amp;Ontwerp_CO2_Totaal[[#Headers],[A3]],Database_Productkaarten[#All],17,FALSE),0)*Ontwerpberekening!H27),0))/Ontwerpberekening!$A$2</f>
        <v>0</v>
      </c>
      <c r="G68" s="72">
        <f>(IF(Ontwerpberekening!C27="Nieuwe Situatie",(_xlfn.IFNA(VLOOKUP(Ontwerp_CO2_Totaal[[#This Row],[Product]]&amp;", "&amp;Ontwerp_CO2_Totaal[[#Headers],[A4]],Database_Productkaarten[#All],17,FALSE),0)*Ontwerpberekening!H27),0))/Ontwerpberekening!$A$2</f>
        <v>0</v>
      </c>
      <c r="H68" s="72">
        <f>(IF(Ontwerpberekening!C27="Nieuwe Situatie",(_xlfn.IFNA(VLOOKUP(Ontwerp_CO2_Totaal[[#This Row],[Product]]&amp;", "&amp;Ontwerp_CO2_Totaal[[#Headers],[A5]],Database_Productkaarten[#All],17,FALSE),0)*Ontwerpberekening!H27),0))/Ontwerpberekening!$A$2</f>
        <v>0</v>
      </c>
      <c r="I68" s="72">
        <f>(IF(Ontwerpberekening!C27="Nieuwe Situatie",(_xlfn.IFNA(VLOOKUP(Ontwerp_CO2_Totaal[[#This Row],[Product]]&amp;", "&amp;Ontwerp_CO2_Totaal[[#Headers],[B1]],Database_Productkaarten[#All],17,FALSE),0)*Ontwerpberekening!H27),0))/Ontwerpberekening!$A$2</f>
        <v>0</v>
      </c>
      <c r="J68" s="72">
        <f>(IF(Ontwerpberekening!C27="Nieuwe Situatie",(_xlfn.IFNA(VLOOKUP(Ontwerp_CO2_Totaal[[#This Row],[Product]]&amp;", "&amp;Ontwerp_CO2_Totaal[[#Headers],[B3]],Database_Productkaarten[#All],17,FALSE),0)*Ontwerpberekening!H27),0))/Ontwerpberekening!$A$2</f>
        <v>0</v>
      </c>
      <c r="K68" s="72">
        <f>(IF(Ontwerpberekening!C27="Nieuwe Situatie",(SUM(Ontwerp_CO2_Totaal[[#This Row],[A1]:[B1]],Ontwerp_CO2_Totaal[[#This Row],[C1]:[D2]])*Ontwerpberekening!R27),0))</f>
        <v>0</v>
      </c>
      <c r="L68" s="72">
        <f>_xlfn.IFNA(VLOOKUP(Ontwerp_CO2_Totaal[[#This Row],[Product]]&amp;", "&amp;Ontwerp_CO2_Totaal[[#Headers],[C1]],Database_Productkaarten[#All],17,FALSE)*Ontwerpberekening!H27,0)/Ontwerpberekening!$A$2</f>
        <v>0</v>
      </c>
      <c r="M68" s="72">
        <f>_xlfn.IFNA(VLOOKUP(Ontwerp_CO2_Totaal[[#This Row],[Product]]&amp;", "&amp;Ontwerp_CO2_Totaal[[#Headers],[C2]],Database_Productkaarten[#All],17,FALSE)*Ontwerpberekening!H27,0)/Ontwerpberekening!$A$2</f>
        <v>1.12114</v>
      </c>
      <c r="N68" s="72">
        <f>_xlfn.IFNA(VLOOKUP(Ontwerp_CO2_Totaal[[#This Row],[Product]]&amp;", "&amp;Ontwerp_CO2_Totaal[[#Headers],[C3]],Database_Productkaarten[#All],17,FALSE)*Ontwerpberekening!H27,0)/Ontwerpberekening!$A$2</f>
        <v>2.0826239988499999</v>
      </c>
      <c r="O68" s="72">
        <f>_xlfn.IFNA(VLOOKUP(Ontwerp_CO2_Totaal[[#This Row],[Product]]&amp;", "&amp;Ontwerp_CO2_Totaal[[#Headers],[C4]],Database_Productkaarten[#All],17,FALSE)*Ontwerpberekening!H27,0)/Ontwerpberekening!$A$2</f>
        <v>0.45297999999999999</v>
      </c>
      <c r="P68" s="72">
        <f>(IF(Ontwerpberekening!C27="Nieuwe Situatie",(_xlfn.IFNA(VLOOKUP(Ontwerp_CO2_Totaal[[#This Row],[Product]]&amp;", "&amp;Ontwerp_CO2_Totaal[[#Headers],[D1]],Database_Productkaarten[#All],17,FALSE),0)*Ontwerpberekening!H27),0))/Ontwerpberekening!$A$2</f>
        <v>0</v>
      </c>
      <c r="Q68" s="73">
        <f>(IF(Ontwerpberekening!C27="Nieuwe Situatie",_xlfn.IFNA(VLOOKUP(Ontwerp_CO2_Totaal[[#This Row],[Product]]&amp;", "&amp;Ontwerp_CO2_Totaal[[#Headers],[D2]],Database_Productkaarten[#All],17,FALSE),0)*Ontwerpberekening!H27,0))/Ontwerpberekening!$A$2</f>
        <v>0</v>
      </c>
      <c r="R68" s="72">
        <f>SUM(Ontwerp_CO2_Totaal[[#This Row],[A1]:[D2]])</f>
        <v>3.6567439988500001</v>
      </c>
    </row>
    <row r="69" spans="2:18" ht="18" x14ac:dyDescent="0.55000000000000004">
      <c r="B69" s="37" t="str">
        <f>Ontwerpberekening!B28</f>
        <v>Variant 1</v>
      </c>
      <c r="C69" s="23" t="str">
        <f>Ontwerpberekening!F28</f>
        <v>Opsluitband geopolymeer 100x200</v>
      </c>
      <c r="D69" s="72">
        <f>(IF(Ontwerpberekening!C28="Nieuwe Situatie",(_xlfn.IFNA(VLOOKUP(Ontwerp_CO2_Totaal[[#This Row],[Product]]&amp;", "&amp;Ontwerp_CO2_Totaal[[#Headers],[A1]],Database_Productkaarten[#All],17,FALSE),0)*Ontwerpberekening!H28),0))/Ontwerpberekening!$A$2</f>
        <v>0</v>
      </c>
      <c r="E69" s="72">
        <f>(IF(Ontwerpberekening!C28="Nieuwe Situatie",(_xlfn.IFNA(VLOOKUP(Ontwerp_CO2_Totaal[[#This Row],[Product]]&amp;", "&amp;Ontwerp_CO2_Totaal[[#Headers],[A2]],Database_Productkaarten[#All],17,FALSE),0)*Ontwerpberekening!H28),0))/Ontwerpberekening!$A$2</f>
        <v>0</v>
      </c>
      <c r="F69" s="72">
        <f>(IF(Ontwerpberekening!C28="Nieuwe Situatie",(_xlfn.IFNA(VLOOKUP(Ontwerp_CO2_Totaal[[#This Row],[Product]]&amp;", "&amp;Ontwerp_CO2_Totaal[[#Headers],[A3]],Database_Productkaarten[#All],17,FALSE),0)*Ontwerpberekening!H28),0))/Ontwerpberekening!$A$2</f>
        <v>0</v>
      </c>
      <c r="G69" s="72">
        <f>(IF(Ontwerpberekening!C28="Nieuwe Situatie",(_xlfn.IFNA(VLOOKUP(Ontwerp_CO2_Totaal[[#This Row],[Product]]&amp;", "&amp;Ontwerp_CO2_Totaal[[#Headers],[A4]],Database_Productkaarten[#All],17,FALSE),0)*Ontwerpberekening!H28),0))/Ontwerpberekening!$A$2</f>
        <v>0</v>
      </c>
      <c r="H69" s="72">
        <f>(IF(Ontwerpberekening!C28="Nieuwe Situatie",(_xlfn.IFNA(VLOOKUP(Ontwerp_CO2_Totaal[[#This Row],[Product]]&amp;", "&amp;Ontwerp_CO2_Totaal[[#Headers],[A5]],Database_Productkaarten[#All],17,FALSE),0)*Ontwerpberekening!H28),0))/Ontwerpberekening!$A$2</f>
        <v>0</v>
      </c>
      <c r="I69" s="72">
        <f>(IF(Ontwerpberekening!C28="Nieuwe Situatie",(_xlfn.IFNA(VLOOKUP(Ontwerp_CO2_Totaal[[#This Row],[Product]]&amp;", "&amp;Ontwerp_CO2_Totaal[[#Headers],[B1]],Database_Productkaarten[#All],17,FALSE),0)*Ontwerpberekening!H28),0))/Ontwerpberekening!$A$2</f>
        <v>0</v>
      </c>
      <c r="J69" s="72">
        <f>(IF(Ontwerpberekening!C28="Nieuwe Situatie",(_xlfn.IFNA(VLOOKUP(Ontwerp_CO2_Totaal[[#This Row],[Product]]&amp;", "&amp;Ontwerp_CO2_Totaal[[#Headers],[B3]],Database_Productkaarten[#All],17,FALSE),0)*Ontwerpberekening!H28),0))/Ontwerpberekening!$A$2</f>
        <v>0</v>
      </c>
      <c r="K69" s="72">
        <f>(IF(Ontwerpberekening!C28="Nieuwe Situatie",(SUM(Ontwerp_CO2_Totaal[[#This Row],[A1]:[B1]],Ontwerp_CO2_Totaal[[#This Row],[C1]:[D2]])*Ontwerpberekening!R28),0))</f>
        <v>0</v>
      </c>
      <c r="L69" s="72">
        <f>_xlfn.IFNA(VLOOKUP(Ontwerp_CO2_Totaal[[#This Row],[Product]]&amp;", "&amp;Ontwerp_CO2_Totaal[[#Headers],[C1]],Database_Productkaarten[#All],17,FALSE)*Ontwerpberekening!H28,0)/Ontwerpberekening!$A$2</f>
        <v>0</v>
      </c>
      <c r="M69" s="72">
        <f>_xlfn.IFNA(VLOOKUP(Ontwerp_CO2_Totaal[[#This Row],[Product]]&amp;", "&amp;Ontwerp_CO2_Totaal[[#Headers],[C2]],Database_Productkaarten[#All],17,FALSE)*Ontwerpberekening!H28,0)/Ontwerpberekening!$A$2</f>
        <v>0.13531000000000001</v>
      </c>
      <c r="N69" s="72">
        <f>_xlfn.IFNA(VLOOKUP(Ontwerp_CO2_Totaal[[#This Row],[Product]]&amp;", "&amp;Ontwerp_CO2_Totaal[[#Headers],[C3]],Database_Productkaarten[#All],17,FALSE)*Ontwerpberekening!H28,0)/Ontwerpberekening!$A$2</f>
        <v>0.25135117227499998</v>
      </c>
      <c r="O69" s="72">
        <f>_xlfn.IFNA(VLOOKUP(Ontwerp_CO2_Totaal[[#This Row],[Product]]&amp;", "&amp;Ontwerp_CO2_Totaal[[#Headers],[C4]],Database_Productkaarten[#All],17,FALSE)*Ontwerpberekening!H28,0)/Ontwerpberekening!$A$2</f>
        <v>5.4670000000000003E-2</v>
      </c>
      <c r="P69" s="72">
        <f>(IF(Ontwerpberekening!C28="Nieuwe Situatie",(_xlfn.IFNA(VLOOKUP(Ontwerp_CO2_Totaal[[#This Row],[Product]]&amp;", "&amp;Ontwerp_CO2_Totaal[[#Headers],[D1]],Database_Productkaarten[#All],17,FALSE),0)*Ontwerpberekening!H28),0))/Ontwerpberekening!$A$2</f>
        <v>0</v>
      </c>
      <c r="Q69" s="73">
        <f>(IF(Ontwerpberekening!C28="Nieuwe Situatie",_xlfn.IFNA(VLOOKUP(Ontwerp_CO2_Totaal[[#This Row],[Product]]&amp;", "&amp;Ontwerp_CO2_Totaal[[#Headers],[D2]],Database_Productkaarten[#All],17,FALSE),0)*Ontwerpberekening!H28,0))/Ontwerpberekening!$A$2</f>
        <v>0</v>
      </c>
      <c r="R69" s="72">
        <f>SUM(Ontwerp_CO2_Totaal[[#This Row],[A1]:[D2]])</f>
        <v>0.44133117227499996</v>
      </c>
    </row>
    <row r="70" spans="2:18" ht="18" x14ac:dyDescent="0.55000000000000004">
      <c r="B70" s="37" t="str">
        <f>Ontwerpberekening!B29</f>
        <v>Variant 1</v>
      </c>
      <c r="C70" s="39" t="str">
        <f>Ontwerpberekening!F29</f>
        <v>Grond</v>
      </c>
      <c r="D70" s="72">
        <f>(IF(Ontwerpberekening!C29="Nieuwe Situatie",(_xlfn.IFNA(VLOOKUP(Ontwerp_CO2_Totaal[[#This Row],[Product]]&amp;", "&amp;Ontwerp_CO2_Totaal[[#Headers],[A1]],Database_Productkaarten[#All],17,FALSE),0)*Ontwerpberekening!H29),0))/Ontwerpberekening!$A$2</f>
        <v>0</v>
      </c>
      <c r="E70" s="72">
        <f>(IF(Ontwerpberekening!C29="Nieuwe Situatie",(_xlfn.IFNA(VLOOKUP(Ontwerp_CO2_Totaal[[#This Row],[Product]]&amp;", "&amp;Ontwerp_CO2_Totaal[[#Headers],[A2]],Database_Productkaarten[#All],17,FALSE),0)*Ontwerpberekening!H29),0))/Ontwerpberekening!$A$2</f>
        <v>0</v>
      </c>
      <c r="F70" s="72">
        <f>(IF(Ontwerpberekening!C29="Nieuwe Situatie",(_xlfn.IFNA(VLOOKUP(Ontwerp_CO2_Totaal[[#This Row],[Product]]&amp;", "&amp;Ontwerp_CO2_Totaal[[#Headers],[A3]],Database_Productkaarten[#All],17,FALSE),0)*Ontwerpberekening!H29),0))/Ontwerpberekening!$A$2</f>
        <v>0</v>
      </c>
      <c r="G70" s="72">
        <f>(IF(Ontwerpberekening!C29="Nieuwe Situatie",(_xlfn.IFNA(VLOOKUP(Ontwerp_CO2_Totaal[[#This Row],[Product]]&amp;", "&amp;Ontwerp_CO2_Totaal[[#Headers],[A4]],Database_Productkaarten[#All],17,FALSE),0)*Ontwerpberekening!H29),0))/Ontwerpberekening!$A$2</f>
        <v>0</v>
      </c>
      <c r="H70" s="72">
        <f>(IF(Ontwerpberekening!C29="Nieuwe Situatie",(_xlfn.IFNA(VLOOKUP(Ontwerp_CO2_Totaal[[#This Row],[Product]]&amp;", "&amp;Ontwerp_CO2_Totaal[[#Headers],[A5]],Database_Productkaarten[#All],17,FALSE),0)*Ontwerpberekening!H29),0))/Ontwerpberekening!$A$2</f>
        <v>0</v>
      </c>
      <c r="I70" s="72">
        <f>(IF(Ontwerpberekening!C29="Nieuwe Situatie",(_xlfn.IFNA(VLOOKUP(Ontwerp_CO2_Totaal[[#This Row],[Product]]&amp;", "&amp;Ontwerp_CO2_Totaal[[#Headers],[B1]],Database_Productkaarten[#All],17,FALSE),0)*Ontwerpberekening!H29),0))/Ontwerpberekening!$A$2</f>
        <v>0</v>
      </c>
      <c r="J70" s="72">
        <f>(IF(Ontwerpberekening!C29="Nieuwe Situatie",(_xlfn.IFNA(VLOOKUP(Ontwerp_CO2_Totaal[[#This Row],[Product]]&amp;", "&amp;Ontwerp_CO2_Totaal[[#Headers],[B3]],Database_Productkaarten[#All],17,FALSE),0)*Ontwerpberekening!H29),0))/Ontwerpberekening!$A$2</f>
        <v>0</v>
      </c>
      <c r="K70" s="72">
        <f>(IF(Ontwerpberekening!C29="Nieuwe Situatie",(SUM(Ontwerp_CO2_Totaal[[#This Row],[A1]:[B1]],Ontwerp_CO2_Totaal[[#This Row],[C1]:[D2]])*Ontwerpberekening!R29),0))</f>
        <v>0</v>
      </c>
      <c r="L70" s="72">
        <f>_xlfn.IFNA(VLOOKUP(Ontwerp_CO2_Totaal[[#This Row],[Product]]&amp;", "&amp;Ontwerp_CO2_Totaal[[#Headers],[C1]],Database_Productkaarten[#All],17,FALSE)*Ontwerpberekening!H29,0)/Ontwerpberekening!$A$2</f>
        <v>2.8332221426249998E-2</v>
      </c>
      <c r="M70" s="72">
        <f>_xlfn.IFNA(VLOOKUP(Ontwerp_CO2_Totaal[[#This Row],[Product]]&amp;", "&amp;Ontwerp_CO2_Totaal[[#Headers],[C2]],Database_Productkaarten[#All],17,FALSE)*Ontwerpberekening!H29,0)/Ontwerpberekening!$A$2</f>
        <v>0.25346336699999994</v>
      </c>
      <c r="N70" s="72">
        <f>_xlfn.IFNA(VLOOKUP(Ontwerp_CO2_Totaal[[#This Row],[Product]]&amp;", "&amp;Ontwerp_CO2_Totaal[[#Headers],[C3]],Database_Productkaarten[#All],17,FALSE)*Ontwerpberekening!H29,0)/Ontwerpberekening!$A$2</f>
        <v>0</v>
      </c>
      <c r="O70" s="72">
        <f>_xlfn.IFNA(VLOOKUP(Ontwerp_CO2_Totaal[[#This Row],[Product]]&amp;", "&amp;Ontwerp_CO2_Totaal[[#Headers],[C4]],Database_Productkaarten[#All],17,FALSE)*Ontwerpberekening!H29,0)/Ontwerpberekening!$A$2</f>
        <v>0</v>
      </c>
      <c r="P70" s="72">
        <f>(IF(Ontwerpberekening!C29="Nieuwe Situatie",(_xlfn.IFNA(VLOOKUP(Ontwerp_CO2_Totaal[[#This Row],[Product]]&amp;", "&amp;Ontwerp_CO2_Totaal[[#Headers],[D1]],Database_Productkaarten[#All],17,FALSE),0)*Ontwerpberekening!H29),0))/Ontwerpberekening!$A$2</f>
        <v>0</v>
      </c>
      <c r="Q70" s="72">
        <f>(IF(Ontwerpberekening!C29="Nieuwe Situatie",_xlfn.IFNA(VLOOKUP(Ontwerp_CO2_Totaal[[#This Row],[Product]]&amp;", "&amp;Ontwerp_CO2_Totaal[[#Headers],[D2]],Database_Productkaarten[#All],17,FALSE),0)*Ontwerpberekening!H29,0))/Ontwerpberekening!$A$2</f>
        <v>0</v>
      </c>
      <c r="R70" s="72">
        <f>SUM(Ontwerp_CO2_Totaal[[#This Row],[A1]:[D2]])</f>
        <v>0.28179558842624997</v>
      </c>
    </row>
    <row r="71" spans="2:18" ht="18" x14ac:dyDescent="0.55000000000000004">
      <c r="B71" s="37" t="str">
        <f>Ontwerpberekening!B30</f>
        <v>Variant 1</v>
      </c>
      <c r="C71" s="23" t="str">
        <f>Ontwerpberekening!F30</f>
        <v>Hydraulisch Menggranulaat</v>
      </c>
      <c r="D71" s="72">
        <f>(IF(Ontwerpberekening!C30="Nieuwe Situatie",(_xlfn.IFNA(VLOOKUP(Ontwerp_CO2_Totaal[[#This Row],[Product]]&amp;", "&amp;Ontwerp_CO2_Totaal[[#Headers],[A1]],Database_Productkaarten[#All],17,FALSE),0)*Ontwerpberekening!H30),0))/Ontwerpberekening!$A$2</f>
        <v>0</v>
      </c>
      <c r="E71" s="72">
        <f>(IF(Ontwerpberekening!C30="Nieuwe Situatie",(_xlfn.IFNA(VLOOKUP(Ontwerp_CO2_Totaal[[#This Row],[Product]]&amp;", "&amp;Ontwerp_CO2_Totaal[[#Headers],[A2]],Database_Productkaarten[#All],17,FALSE),0)*Ontwerpberekening!H30),0))/Ontwerpberekening!$A$2</f>
        <v>0</v>
      </c>
      <c r="F71" s="72">
        <f>(IF(Ontwerpberekening!C30="Nieuwe Situatie",(_xlfn.IFNA(VLOOKUP(Ontwerp_CO2_Totaal[[#This Row],[Product]]&amp;", "&amp;Ontwerp_CO2_Totaal[[#Headers],[A3]],Database_Productkaarten[#All],17,FALSE),0)*Ontwerpberekening!H30),0))/Ontwerpberekening!$A$2</f>
        <v>0</v>
      </c>
      <c r="G71" s="72">
        <f>(IF(Ontwerpberekening!C30="Nieuwe Situatie",(_xlfn.IFNA(VLOOKUP(Ontwerp_CO2_Totaal[[#This Row],[Product]]&amp;", "&amp;Ontwerp_CO2_Totaal[[#Headers],[A4]],Database_Productkaarten[#All],17,FALSE),0)*Ontwerpberekening!H30),0))/Ontwerpberekening!$A$2</f>
        <v>2.2811703029999997</v>
      </c>
      <c r="H71" s="72">
        <f>(IF(Ontwerpberekening!C30="Nieuwe Situatie",(_xlfn.IFNA(VLOOKUP(Ontwerp_CO2_Totaal[[#This Row],[Product]]&amp;", "&amp;Ontwerp_CO2_Totaal[[#Headers],[A5]],Database_Productkaarten[#All],17,FALSE),0)*Ontwerpberekening!H30),0))/Ontwerpberekening!$A$2</f>
        <v>0.22665777141000004</v>
      </c>
      <c r="I71" s="72">
        <f>(IF(Ontwerpberekening!C30="Nieuwe Situatie",(_xlfn.IFNA(VLOOKUP(Ontwerp_CO2_Totaal[[#This Row],[Product]]&amp;", "&amp;Ontwerp_CO2_Totaal[[#Headers],[B1]],Database_Productkaarten[#All],17,FALSE),0)*Ontwerpberekening!H30),0))/Ontwerpberekening!$A$2</f>
        <v>0</v>
      </c>
      <c r="J71" s="72">
        <f>(IF(Ontwerpberekening!C30="Nieuwe Situatie",(_xlfn.IFNA(VLOOKUP(Ontwerp_CO2_Totaal[[#This Row],[Product]]&amp;", "&amp;Ontwerp_CO2_Totaal[[#Headers],[B3]],Database_Productkaarten[#All],17,FALSE),0)*Ontwerpberekening!H30),0))/Ontwerpberekening!$A$2</f>
        <v>0</v>
      </c>
      <c r="K71" s="72">
        <f>(IF(Ontwerpberekening!C30="Nieuwe Situatie",(SUM(Ontwerp_CO2_Totaal[[#This Row],[A1]:[B1]],Ontwerp_CO2_Totaal[[#This Row],[C1]:[D2]])*Ontwerpberekening!R30),0))</f>
        <v>0</v>
      </c>
      <c r="L71" s="72">
        <f>_xlfn.IFNA(VLOOKUP(Ontwerp_CO2_Totaal[[#This Row],[Product]]&amp;", "&amp;Ontwerp_CO2_Totaal[[#Headers],[C1]],Database_Productkaarten[#All],17,FALSE)*Ontwerpberekening!H30,0)/Ontwerpberekening!$A$2</f>
        <v>0.22665777141000004</v>
      </c>
      <c r="M71" s="72">
        <f>_xlfn.IFNA(VLOOKUP(Ontwerp_CO2_Totaal[[#This Row],[Product]]&amp;", "&amp;Ontwerp_CO2_Totaal[[#Headers],[C2]],Database_Productkaarten[#All],17,FALSE)*Ontwerpberekening!H30,0)/Ontwerpberekening!$A$2</f>
        <v>2.2811703029999997</v>
      </c>
      <c r="N71" s="72">
        <f>_xlfn.IFNA(VLOOKUP(Ontwerp_CO2_Totaal[[#This Row],[Product]]&amp;", "&amp;Ontwerp_CO2_Totaal[[#Headers],[C3]],Database_Productkaarten[#All],17,FALSE)*Ontwerpberekening!H30,0)/Ontwerpberekening!$A$2</f>
        <v>0</v>
      </c>
      <c r="O71" s="72">
        <f>_xlfn.IFNA(VLOOKUP(Ontwerp_CO2_Totaal[[#This Row],[Product]]&amp;", "&amp;Ontwerp_CO2_Totaal[[#Headers],[C4]],Database_Productkaarten[#All],17,FALSE)*Ontwerpberekening!H30,0)/Ontwerpberekening!$A$2</f>
        <v>0</v>
      </c>
      <c r="P71" s="72">
        <f>(IF(Ontwerpberekening!C30="Nieuwe Situatie",(_xlfn.IFNA(VLOOKUP(Ontwerp_CO2_Totaal[[#This Row],[Product]]&amp;", "&amp;Ontwerp_CO2_Totaal[[#Headers],[D1]],Database_Productkaarten[#All],17,FALSE),0)*Ontwerpberekening!H30),0))/Ontwerpberekening!$A$2</f>
        <v>0</v>
      </c>
      <c r="Q71" s="73">
        <f>(IF(Ontwerpberekening!C30="Nieuwe Situatie",_xlfn.IFNA(VLOOKUP(Ontwerp_CO2_Totaal[[#This Row],[Product]]&amp;", "&amp;Ontwerp_CO2_Totaal[[#Headers],[D2]],Database_Productkaarten[#All],17,FALSE),0)*Ontwerpberekening!H30,0))/Ontwerpberekening!$A$2</f>
        <v>0</v>
      </c>
      <c r="R71" s="72">
        <f>SUM(Ontwerp_CO2_Totaal[[#This Row],[A1]:[D2]])</f>
        <v>5.0156561488199998</v>
      </c>
    </row>
    <row r="72" spans="2:18" ht="18" x14ac:dyDescent="0.55000000000000004">
      <c r="B72" s="37" t="str">
        <f>Ontwerpberekening!B31</f>
        <v>Variant 1</v>
      </c>
      <c r="C72" s="23" t="str">
        <f>Ontwerpberekening!F31</f>
        <v>AC bin/base 50% PR - PCR 2.0</v>
      </c>
      <c r="D72" s="72">
        <f>(IF(Ontwerpberekening!C31="Nieuwe Situatie",(_xlfn.IFNA(VLOOKUP(Ontwerp_CO2_Totaal[[#This Row],[Product]]&amp;", "&amp;Ontwerp_CO2_Totaal[[#Headers],[A1]],Database_Productkaarten[#All],17,FALSE),0)*Ontwerpberekening!H31),0))/Ontwerpberekening!$A$2</f>
        <v>25.447827062303883</v>
      </c>
      <c r="E72" s="72">
        <f>(IF(Ontwerpberekening!C31="Nieuwe Situatie",(_xlfn.IFNA(VLOOKUP(Ontwerp_CO2_Totaal[[#This Row],[Product]]&amp;", "&amp;Ontwerp_CO2_Totaal[[#Headers],[A2]],Database_Productkaarten[#All],17,FALSE),0)*Ontwerpberekening!H31),0))/Ontwerpberekening!$A$2</f>
        <v>14.529055679217002</v>
      </c>
      <c r="F72" s="72">
        <f>(IF(Ontwerpberekening!C31="Nieuwe Situatie",(_xlfn.IFNA(VLOOKUP(Ontwerp_CO2_Totaal[[#This Row],[Product]]&amp;", "&amp;Ontwerp_CO2_Totaal[[#Headers],[A3]],Database_Productkaarten[#All],17,FALSE),0)*Ontwerpberekening!H31),0))/Ontwerpberekening!$A$2</f>
        <v>27.96915497363981</v>
      </c>
      <c r="G72" s="72">
        <f>(IF(Ontwerpberekening!C31="Nieuwe Situatie",(_xlfn.IFNA(VLOOKUP(Ontwerp_CO2_Totaal[[#This Row],[Product]]&amp;", "&amp;Ontwerp_CO2_Totaal[[#Headers],[A4]],Database_Productkaarten[#All],17,FALSE),0)*Ontwerpberekening!H31),0))/Ontwerpberekening!$A$2</f>
        <v>4.7271397525424996</v>
      </c>
      <c r="H72" s="72">
        <f>(IF(Ontwerpberekening!C31="Nieuwe Situatie",(_xlfn.IFNA(VLOOKUP(Ontwerp_CO2_Totaal[[#This Row],[Product]]&amp;", "&amp;Ontwerp_CO2_Totaal[[#Headers],[A5]],Database_Productkaarten[#All],17,FALSE),0)*Ontwerpberekening!H31),0))/Ontwerpberekening!$A$2</f>
        <v>1.6537887572741041</v>
      </c>
      <c r="I72" s="72">
        <f>(IF(Ontwerpberekening!C31="Nieuwe Situatie",(_xlfn.IFNA(VLOOKUP(Ontwerp_CO2_Totaal[[#This Row],[Product]]&amp;", "&amp;Ontwerp_CO2_Totaal[[#Headers],[B1]],Database_Productkaarten[#All],17,FALSE),0)*Ontwerpberekening!H31),0))/Ontwerpberekening!$A$2</f>
        <v>0</v>
      </c>
      <c r="J72" s="72">
        <f>(IF(Ontwerpberekening!C31="Nieuwe Situatie",(_xlfn.IFNA(VLOOKUP(Ontwerp_CO2_Totaal[[#This Row],[Product]]&amp;", "&amp;Ontwerp_CO2_Totaal[[#Headers],[B3]],Database_Productkaarten[#All],17,FALSE),0)*Ontwerpberekening!H31),0))/Ontwerpberekening!$A$2</f>
        <v>0</v>
      </c>
      <c r="K72" s="72">
        <f>(IF(Ontwerpberekening!C31="Nieuwe Situatie",(SUM(Ontwerp_CO2_Totaal[[#This Row],[A1]:[B1]],Ontwerp_CO2_Totaal[[#This Row],[C1]:[D2]])*Ontwerpberekening!R31),0))</f>
        <v>0</v>
      </c>
      <c r="L72" s="72">
        <f>_xlfn.IFNA(VLOOKUP(Ontwerp_CO2_Totaal[[#This Row],[Product]]&amp;", "&amp;Ontwerp_CO2_Totaal[[#Headers],[C1]],Database_Productkaarten[#All],17,FALSE)*Ontwerpberekening!H31,0)/Ontwerpberekening!$A$2</f>
        <v>3.9794291971908233</v>
      </c>
      <c r="M72" s="72">
        <f>_xlfn.IFNA(VLOOKUP(Ontwerp_CO2_Totaal[[#This Row],[Product]]&amp;", "&amp;Ontwerp_CO2_Totaal[[#Headers],[C2]],Database_Productkaarten[#All],17,FALSE)*Ontwerpberekening!H31,0)/Ontwerpberekening!$A$2</f>
        <v>3.8780433928485003</v>
      </c>
      <c r="N72" s="72">
        <f>_xlfn.IFNA(VLOOKUP(Ontwerp_CO2_Totaal[[#This Row],[Product]]&amp;", "&amp;Ontwerp_CO2_Totaal[[#Headers],[C3]],Database_Productkaarten[#All],17,FALSE)*Ontwerpberekening!H31,0)/Ontwerpberekening!$A$2</f>
        <v>1.9121932505981905</v>
      </c>
      <c r="O72" s="72">
        <f>_xlfn.IFNA(VLOOKUP(Ontwerp_CO2_Totaal[[#This Row],[Product]]&amp;", "&amp;Ontwerp_CO2_Totaal[[#Headers],[C4]],Database_Productkaarten[#All],17,FALSE)*Ontwerpberekening!H31,0)/Ontwerpberekening!$A$2</f>
        <v>0</v>
      </c>
      <c r="P72" s="72">
        <f>(IF(Ontwerpberekening!C31="Nieuwe Situatie",(_xlfn.IFNA(VLOOKUP(Ontwerp_CO2_Totaal[[#This Row],[Product]]&amp;", "&amp;Ontwerp_CO2_Totaal[[#Headers],[D1]],Database_Productkaarten[#All],17,FALSE),0)*Ontwerpberekening!H31),0))/Ontwerpberekening!$A$2</f>
        <v>-20.506932167573382</v>
      </c>
      <c r="Q72" s="73">
        <f>(IF(Ontwerpberekening!C31="Nieuwe Situatie",_xlfn.IFNA(VLOOKUP(Ontwerp_CO2_Totaal[[#This Row],[Product]]&amp;", "&amp;Ontwerp_CO2_Totaal[[#Headers],[D2]],Database_Productkaarten[#All],17,FALSE),0)*Ontwerpberekening!H31,0))/Ontwerpberekening!$A$2</f>
        <v>0</v>
      </c>
      <c r="R72" s="72">
        <f>SUM(Ontwerp_CO2_Totaal[[#This Row],[A1]:[D2]])</f>
        <v>63.589699898041417</v>
      </c>
    </row>
    <row r="73" spans="2:18" ht="18" x14ac:dyDescent="0.55000000000000004">
      <c r="B73" s="37" t="str">
        <f>Ontwerpberekening!B32</f>
        <v>Variant 1</v>
      </c>
      <c r="C73" s="23" t="str">
        <f>Ontwerpberekening!F32</f>
        <v>AC bin/base 50% PR - PCR 2.0</v>
      </c>
      <c r="D73" s="72">
        <f>(IF(Ontwerpberekening!C32="Nieuwe Situatie",(_xlfn.IFNA(VLOOKUP(Ontwerp_CO2_Totaal[[#This Row],[Product]]&amp;", "&amp;Ontwerp_CO2_Totaal[[#Headers],[A1]],Database_Productkaarten[#All],17,FALSE),0)*Ontwerpberekening!H32),0))/Ontwerpberekening!$A$2</f>
        <v>122.14956989905865</v>
      </c>
      <c r="E73" s="72">
        <f>(IF(Ontwerpberekening!C32="Nieuwe Situatie",(_xlfn.IFNA(VLOOKUP(Ontwerp_CO2_Totaal[[#This Row],[Product]]&amp;", "&amp;Ontwerp_CO2_Totaal[[#Headers],[A2]],Database_Productkaarten[#All],17,FALSE),0)*Ontwerpberekening!H32),0))/Ontwerpberekening!$A$2</f>
        <v>69.739467260241611</v>
      </c>
      <c r="F73" s="72">
        <f>(IF(Ontwerpberekening!C32="Nieuwe Situatie",(_xlfn.IFNA(VLOOKUP(Ontwerp_CO2_Totaal[[#This Row],[Product]]&amp;", "&amp;Ontwerp_CO2_Totaal[[#Headers],[A3]],Database_Productkaarten[#All],17,FALSE),0)*Ontwerpberekening!H32),0))/Ontwerpberekening!$A$2</f>
        <v>134.25194387347111</v>
      </c>
      <c r="G73" s="72">
        <f>(IF(Ontwerpberekening!C32="Nieuwe Situatie",(_xlfn.IFNA(VLOOKUP(Ontwerp_CO2_Totaal[[#This Row],[Product]]&amp;", "&amp;Ontwerp_CO2_Totaal[[#Headers],[A4]],Database_Productkaarten[#All],17,FALSE),0)*Ontwerpberekening!H32),0))/Ontwerpberekening!$A$2</f>
        <v>22.690270812204002</v>
      </c>
      <c r="H73" s="72">
        <f>(IF(Ontwerpberekening!C32="Nieuwe Situatie",(_xlfn.IFNA(VLOOKUP(Ontwerp_CO2_Totaal[[#This Row],[Product]]&amp;", "&amp;Ontwerp_CO2_Totaal[[#Headers],[A5]],Database_Productkaarten[#All],17,FALSE),0)*Ontwerpberekening!H32),0))/Ontwerpberekening!$A$2</f>
        <v>7.9381860349157014</v>
      </c>
      <c r="I73" s="72">
        <f>(IF(Ontwerpberekening!C32="Nieuwe Situatie",(_xlfn.IFNA(VLOOKUP(Ontwerp_CO2_Totaal[[#This Row],[Product]]&amp;", "&amp;Ontwerp_CO2_Totaal[[#Headers],[B1]],Database_Productkaarten[#All],17,FALSE),0)*Ontwerpberekening!H32),0))/Ontwerpberekening!$A$2</f>
        <v>0</v>
      </c>
      <c r="J73" s="72">
        <f>(IF(Ontwerpberekening!C32="Nieuwe Situatie",(_xlfn.IFNA(VLOOKUP(Ontwerp_CO2_Totaal[[#This Row],[Product]]&amp;", "&amp;Ontwerp_CO2_Totaal[[#Headers],[B3]],Database_Productkaarten[#All],17,FALSE),0)*Ontwerpberekening!H32),0))/Ontwerpberekening!$A$2</f>
        <v>0</v>
      </c>
      <c r="K73" s="72">
        <f>(IF(Ontwerpberekening!C32="Nieuwe Situatie",(SUM(Ontwerp_CO2_Totaal[[#This Row],[A1]:[B1]],Ontwerp_CO2_Totaal[[#This Row],[C1]:[D2]])*Ontwerpberekening!R32),0))</f>
        <v>0</v>
      </c>
      <c r="L73" s="72">
        <f>_xlfn.IFNA(VLOOKUP(Ontwerp_CO2_Totaal[[#This Row],[Product]]&amp;", "&amp;Ontwerp_CO2_Totaal[[#Headers],[C1]],Database_Productkaarten[#All],17,FALSE)*Ontwerpberekening!H32,0)/Ontwerpberekening!$A$2</f>
        <v>19.101260146515955</v>
      </c>
      <c r="M73" s="72">
        <f>_xlfn.IFNA(VLOOKUP(Ontwerp_CO2_Totaal[[#This Row],[Product]]&amp;", "&amp;Ontwerp_CO2_Totaal[[#Headers],[C2]],Database_Productkaarten[#All],17,FALSE)*Ontwerpberekening!H32,0)/Ontwerpberekening!$A$2</f>
        <v>18.614608285672801</v>
      </c>
      <c r="N73" s="72">
        <f>_xlfn.IFNA(VLOOKUP(Ontwerp_CO2_Totaal[[#This Row],[Product]]&amp;", "&amp;Ontwerp_CO2_Totaal[[#Headers],[C3]],Database_Productkaarten[#All],17,FALSE)*Ontwerpberekening!H32,0)/Ontwerpberekening!$A$2</f>
        <v>9.1785276028713163</v>
      </c>
      <c r="O73" s="72">
        <f>_xlfn.IFNA(VLOOKUP(Ontwerp_CO2_Totaal[[#This Row],[Product]]&amp;", "&amp;Ontwerp_CO2_Totaal[[#Headers],[C4]],Database_Productkaarten[#All],17,FALSE)*Ontwerpberekening!H32,0)/Ontwerpberekening!$A$2</f>
        <v>0</v>
      </c>
      <c r="P73" s="72">
        <f>(IF(Ontwerpberekening!C32="Nieuwe Situatie",(_xlfn.IFNA(VLOOKUP(Ontwerp_CO2_Totaal[[#This Row],[Product]]&amp;", "&amp;Ontwerp_CO2_Totaal[[#Headers],[D1]],Database_Productkaarten[#All],17,FALSE),0)*Ontwerpberekening!H32),0))/Ontwerpberekening!$A$2</f>
        <v>-98.433274404352233</v>
      </c>
      <c r="Q73" s="73">
        <f>(IF(Ontwerpberekening!C32="Nieuwe Situatie",_xlfn.IFNA(VLOOKUP(Ontwerp_CO2_Totaal[[#This Row],[Product]]&amp;", "&amp;Ontwerp_CO2_Totaal[[#Headers],[D2]],Database_Productkaarten[#All],17,FALSE),0)*Ontwerpberekening!H32,0))/Ontwerpberekening!$A$2</f>
        <v>0</v>
      </c>
      <c r="R73" s="72">
        <f>SUM(Ontwerp_CO2_Totaal[[#This Row],[A1]:[D2]])</f>
        <v>305.23055951059894</v>
      </c>
    </row>
    <row r="74" spans="2:18" ht="18" x14ac:dyDescent="0.55000000000000004">
      <c r="B74" s="37" t="str">
        <f>Ontwerpberekening!B33</f>
        <v>Variant 1</v>
      </c>
      <c r="C74" s="23" t="str">
        <f>Ontwerpberekening!F33</f>
        <v>AC Surf 0% PR - PCR 2.0</v>
      </c>
      <c r="D74" s="72">
        <f>(IF(Ontwerpberekening!C33="Nieuwe Situatie",(_xlfn.IFNA(VLOOKUP(Ontwerp_CO2_Totaal[[#This Row],[Product]]&amp;", "&amp;Ontwerp_CO2_Totaal[[#Headers],[A1]],Database_Productkaarten[#All],17,FALSE),0)*Ontwerpberekening!H33),0))/Ontwerpberekening!$A$2</f>
        <v>1999.865027997412</v>
      </c>
      <c r="E74" s="72">
        <f>(IF(Ontwerpberekening!C33="Nieuwe Situatie",(_xlfn.IFNA(VLOOKUP(Ontwerp_CO2_Totaal[[#This Row],[Product]]&amp;", "&amp;Ontwerp_CO2_Totaal[[#Headers],[A2]],Database_Productkaarten[#All],17,FALSE),0)*Ontwerpberekening!H33),0))/Ontwerpberekening!$A$2</f>
        <v>1053.151155144991</v>
      </c>
      <c r="F74" s="72">
        <f>(IF(Ontwerpberekening!C33="Nieuwe Situatie",(_xlfn.IFNA(VLOOKUP(Ontwerp_CO2_Totaal[[#This Row],[Product]]&amp;", "&amp;Ontwerp_CO2_Totaal[[#Headers],[A3]],Database_Productkaarten[#All],17,FALSE),0)*Ontwerpberekening!H33),0))/Ontwerpberekening!$A$2</f>
        <v>810.9371565840521</v>
      </c>
      <c r="G74" s="72">
        <f>(IF(Ontwerpberekening!C33="Nieuwe Situatie",(_xlfn.IFNA(VLOOKUP(Ontwerp_CO2_Totaal[[#This Row],[Product]]&amp;", "&amp;Ontwerp_CO2_Totaal[[#Headers],[A4]],Database_Productkaarten[#All],17,FALSE),0)*Ontwerpberekening!H33),0))/Ontwerpberekening!$A$2</f>
        <v>134.85213295338485</v>
      </c>
      <c r="H74" s="72">
        <f>(IF(Ontwerpberekening!C33="Nieuwe Situatie",(_xlfn.IFNA(VLOOKUP(Ontwerp_CO2_Totaal[[#This Row],[Product]]&amp;", "&amp;Ontwerp_CO2_Totaal[[#Headers],[A5]],Database_Productkaarten[#All],17,FALSE),0)*Ontwerpberekening!H33),0))/Ontwerpberekening!$A$2</f>
        <v>85.510102732690015</v>
      </c>
      <c r="I74" s="72">
        <f>(IF(Ontwerpberekening!C33="Nieuwe Situatie",(_xlfn.IFNA(VLOOKUP(Ontwerp_CO2_Totaal[[#This Row],[Product]]&amp;", "&amp;Ontwerp_CO2_Totaal[[#Headers],[B1]],Database_Productkaarten[#All],17,FALSE),0)*Ontwerpberekening!H33),0))/Ontwerpberekening!$A$2</f>
        <v>0</v>
      </c>
      <c r="J74" s="72">
        <f>(IF(Ontwerpberekening!C33="Nieuwe Situatie",(_xlfn.IFNA(VLOOKUP(Ontwerp_CO2_Totaal[[#This Row],[Product]]&amp;", "&amp;Ontwerp_CO2_Totaal[[#Headers],[B3]],Database_Productkaarten[#All],17,FALSE),0)*Ontwerpberekening!H33),0))/Ontwerpberekening!$A$2</f>
        <v>0</v>
      </c>
      <c r="K74" s="72">
        <f>(IF(Ontwerpberekening!C33="Nieuwe Situatie",(SUM(Ontwerp_CO2_Totaal[[#This Row],[A1]:[B1]],Ontwerp_CO2_Totaal[[#This Row],[C1]:[D2]])*Ontwerpberekening!R33),0))</f>
        <v>0</v>
      </c>
      <c r="L74" s="72">
        <f>_xlfn.IFNA(VLOOKUP(Ontwerp_CO2_Totaal[[#This Row],[Product]]&amp;", "&amp;Ontwerp_CO2_Totaal[[#Headers],[C1]],Database_Productkaarten[#All],17,FALSE)*Ontwerpberekening!H33,0)/Ontwerpberekening!$A$2</f>
        <v>48.652299830668461</v>
      </c>
      <c r="M74" s="72">
        <f>_xlfn.IFNA(VLOOKUP(Ontwerp_CO2_Totaal[[#This Row],[Product]]&amp;", "&amp;Ontwerp_CO2_Totaal[[#Headers],[C2]],Database_Productkaarten[#All],17,FALSE)*Ontwerpberekening!H33,0)/Ontwerpberekening!$A$2</f>
        <v>110.62977838345597</v>
      </c>
      <c r="N74" s="72">
        <f>_xlfn.IFNA(VLOOKUP(Ontwerp_CO2_Totaal[[#This Row],[Product]]&amp;", "&amp;Ontwerp_CO2_Totaal[[#Headers],[C3]],Database_Productkaarten[#All],17,FALSE)*Ontwerpberekening!H33,0)/Ontwerpberekening!$A$2</f>
        <v>54.549548294991929</v>
      </c>
      <c r="O74" s="72">
        <f>_xlfn.IFNA(VLOOKUP(Ontwerp_CO2_Totaal[[#This Row],[Product]]&amp;", "&amp;Ontwerp_CO2_Totaal[[#Headers],[C4]],Database_Productkaarten[#All],17,FALSE)*Ontwerpberekening!H33,0)/Ontwerpberekening!$A$2</f>
        <v>0</v>
      </c>
      <c r="P74" s="72">
        <f>(IF(Ontwerpberekening!C33="Nieuwe Situatie",(_xlfn.IFNA(VLOOKUP(Ontwerp_CO2_Totaal[[#This Row],[Product]]&amp;", "&amp;Ontwerp_CO2_Totaal[[#Headers],[D1]],Database_Productkaarten[#All],17,FALSE),0)*Ontwerpberekening!H33),0))/Ontwerpberekening!$A$2</f>
        <v>-1097.869643078194</v>
      </c>
      <c r="Q74" s="73">
        <f>(IF(Ontwerpberekening!C33="Nieuwe Situatie",_xlfn.IFNA(VLOOKUP(Ontwerp_CO2_Totaal[[#This Row],[Product]]&amp;", "&amp;Ontwerp_CO2_Totaal[[#Headers],[D2]],Database_Productkaarten[#All],17,FALSE),0)*Ontwerpberekening!H33,0))/Ontwerpberekening!$A$2</f>
        <v>0</v>
      </c>
      <c r="R74" s="72">
        <f>SUM(Ontwerp_CO2_Totaal[[#This Row],[A1]:[D2]])</f>
        <v>3200.2775588434524</v>
      </c>
    </row>
    <row r="75" spans="2:18" ht="18" x14ac:dyDescent="0.55000000000000004">
      <c r="B75" s="37" t="str">
        <f>Ontwerpberekening!B34</f>
        <v>Variant 1</v>
      </c>
      <c r="C75" s="39" t="str">
        <f>Ontwerpberekening!F34</f>
        <v>Betonstraatsteen geopolymeer 210x105x80</v>
      </c>
      <c r="D75" s="72">
        <f>(IF(Ontwerpberekening!C34="Nieuwe Situatie",(_xlfn.IFNA(VLOOKUP(Ontwerp_CO2_Totaal[[#This Row],[Product]]&amp;", "&amp;Ontwerp_CO2_Totaal[[#Headers],[A1]],Database_Productkaarten[#All],17,FALSE),0)*Ontwerpberekening!H34),0))/Ontwerpberekening!$A$2</f>
        <v>12.61</v>
      </c>
      <c r="E75" s="72">
        <f>(IF(Ontwerpberekening!C34="Nieuwe Situatie",(_xlfn.IFNA(VLOOKUP(Ontwerp_CO2_Totaal[[#This Row],[Product]]&amp;", "&amp;Ontwerp_CO2_Totaal[[#Headers],[A2]],Database_Productkaarten[#All],17,FALSE),0)*Ontwerpberekening!H34),0))/Ontwerpberekening!$A$2</f>
        <v>3.2760000000000002</v>
      </c>
      <c r="F75" s="72">
        <f>(IF(Ontwerpberekening!C34="Nieuwe Situatie",(_xlfn.IFNA(VLOOKUP(Ontwerp_CO2_Totaal[[#This Row],[Product]]&amp;", "&amp;Ontwerp_CO2_Totaal[[#Headers],[A3]],Database_Productkaarten[#All],17,FALSE),0)*Ontwerpberekening!H34),0))/Ontwerpberekening!$A$2</f>
        <v>3.536</v>
      </c>
      <c r="G75" s="72" t="e">
        <f>(IF(Ontwerpberekening!C34="Nieuwe Situatie",(_xlfn.IFNA(VLOOKUP(Ontwerp_CO2_Totaal[[#This Row],[Product]]&amp;", "&amp;Ontwerp_CO2_Totaal[[#Headers],[A4]],Database_Productkaarten[#All],17,FALSE),0)*Ontwerpberekening!H34),0))/Ontwerpberekening!$A$2</f>
        <v>#REF!</v>
      </c>
      <c r="H75" s="72">
        <f>(IF(Ontwerpberekening!C34="Nieuwe Situatie",(_xlfn.IFNA(VLOOKUP(Ontwerp_CO2_Totaal[[#This Row],[Product]]&amp;", "&amp;Ontwerp_CO2_Totaal[[#Headers],[A5]],Database_Productkaarten[#All],17,FALSE),0)*Ontwerpberekening!H34),0))/Ontwerpberekening!$A$2</f>
        <v>2.0254000000000003</v>
      </c>
      <c r="I75" s="72">
        <f>(IF(Ontwerpberekening!C34="Nieuwe Situatie",(_xlfn.IFNA(VLOOKUP(Ontwerp_CO2_Totaal[[#This Row],[Product]]&amp;", "&amp;Ontwerp_CO2_Totaal[[#Headers],[B1]],Database_Productkaarten[#All],17,FALSE),0)*Ontwerpberekening!H34),0))/Ontwerpberekening!$A$2</f>
        <v>0</v>
      </c>
      <c r="J75" s="72">
        <f>(IF(Ontwerpberekening!C34="Nieuwe Situatie",(_xlfn.IFNA(VLOOKUP(Ontwerp_CO2_Totaal[[#This Row],[Product]]&amp;", "&amp;Ontwerp_CO2_Totaal[[#Headers],[B3]],Database_Productkaarten[#All],17,FALSE),0)*Ontwerpberekening!H34),0))/Ontwerpberekening!$A$2</f>
        <v>0</v>
      </c>
      <c r="K75" s="72" t="e">
        <f>(IF(Ontwerpberekening!C34="Nieuwe Situatie",(SUM(Ontwerp_CO2_Totaal[[#This Row],[A1]:[B1]],Ontwerp_CO2_Totaal[[#This Row],[C1]:[D2]])*Ontwerpberekening!R34),0))</f>
        <v>#REF!</v>
      </c>
      <c r="L75" s="72">
        <f>_xlfn.IFNA(VLOOKUP(Ontwerp_CO2_Totaal[[#This Row],[Product]]&amp;", "&amp;Ontwerp_CO2_Totaal[[#Headers],[C1]],Database_Productkaarten[#All],17,FALSE)*Ontwerpberekening!H34,0)/Ontwerpberekening!$A$2</f>
        <v>2.0254000000000003</v>
      </c>
      <c r="M75" s="72" t="e">
        <f>_xlfn.IFNA(VLOOKUP(Ontwerp_CO2_Totaal[[#This Row],[Product]]&amp;", "&amp;Ontwerp_CO2_Totaal[[#Headers],[C2]],Database_Productkaarten[#All],17,FALSE)*Ontwerpberekening!H34,0)/Ontwerpberekening!$A$2</f>
        <v>#REF!</v>
      </c>
      <c r="N75" s="72">
        <f>_xlfn.IFNA(VLOOKUP(Ontwerp_CO2_Totaal[[#This Row],[Product]]&amp;", "&amp;Ontwerp_CO2_Totaal[[#Headers],[C3]],Database_Productkaarten[#All],17,FALSE)*Ontwerpberekening!H34,0)/Ontwerpberekening!$A$2</f>
        <v>0.4108</v>
      </c>
      <c r="O75" s="72">
        <f>_xlfn.IFNA(VLOOKUP(Ontwerp_CO2_Totaal[[#This Row],[Product]]&amp;", "&amp;Ontwerp_CO2_Totaal[[#Headers],[C4]],Database_Productkaarten[#All],17,FALSE)*Ontwerpberekening!H34,0)/Ontwerpberekening!$A$2</f>
        <v>2.366E-2</v>
      </c>
      <c r="P75" s="72">
        <f>(IF(Ontwerpberekening!C34="Nieuwe Situatie",(_xlfn.IFNA(VLOOKUP(Ontwerp_CO2_Totaal[[#This Row],[Product]]&amp;", "&amp;Ontwerp_CO2_Totaal[[#Headers],[D1]],Database_Productkaarten[#All],17,FALSE),0)*Ontwerpberekening!H34),0))/Ontwerpberekening!$A$2</f>
        <v>-1.3493999999999999</v>
      </c>
      <c r="Q75" s="72">
        <f>(IF(Ontwerpberekening!C34="Nieuwe Situatie",_xlfn.IFNA(VLOOKUP(Ontwerp_CO2_Totaal[[#This Row],[Product]]&amp;", "&amp;Ontwerp_CO2_Totaal[[#Headers],[D2]],Database_Productkaarten[#All],17,FALSE),0)*Ontwerpberekening!H34,0))/Ontwerpberekening!$A$2</f>
        <v>0</v>
      </c>
      <c r="R75" s="72" t="e">
        <f>SUM(Ontwerp_CO2_Totaal[[#This Row],[A1]:[D2]])</f>
        <v>#REF!</v>
      </c>
    </row>
    <row r="76" spans="2:18" ht="18" x14ac:dyDescent="0.55000000000000004">
      <c r="B76" s="37" t="str">
        <f>Ontwerpberekening!B35</f>
        <v>Variant 1</v>
      </c>
      <c r="C76" s="39" t="str">
        <f>Ontwerpberekening!F35</f>
        <v>Grond</v>
      </c>
      <c r="D76" s="72">
        <f>(IF(Ontwerpberekening!C35="Nieuwe Situatie",(_xlfn.IFNA(VLOOKUP(Ontwerp_CO2_Totaal[[#This Row],[Product]]&amp;", "&amp;Ontwerp_CO2_Totaal[[#Headers],[A1]],Database_Productkaarten[#All],17,FALSE),0)*Ontwerpberekening!H35),0))/Ontwerpberekening!$A$2</f>
        <v>0</v>
      </c>
      <c r="E76" s="72">
        <f>(IF(Ontwerpberekening!C35="Nieuwe Situatie",(_xlfn.IFNA(VLOOKUP(Ontwerp_CO2_Totaal[[#This Row],[Product]]&amp;", "&amp;Ontwerp_CO2_Totaal[[#Headers],[A2]],Database_Productkaarten[#All],17,FALSE),0)*Ontwerpberekening!H35),0))/Ontwerpberekening!$A$2</f>
        <v>0</v>
      </c>
      <c r="F76" s="72">
        <f>(IF(Ontwerpberekening!C35="Nieuwe Situatie",(_xlfn.IFNA(VLOOKUP(Ontwerp_CO2_Totaal[[#This Row],[Product]]&amp;", "&amp;Ontwerp_CO2_Totaal[[#Headers],[A3]],Database_Productkaarten[#All],17,FALSE),0)*Ontwerpberekening!H35),0))/Ontwerpberekening!$A$2</f>
        <v>0</v>
      </c>
      <c r="G76" s="72">
        <f>(IF(Ontwerpberekening!C35="Nieuwe Situatie",(_xlfn.IFNA(VLOOKUP(Ontwerp_CO2_Totaal[[#This Row],[Product]]&amp;", "&amp;Ontwerp_CO2_Totaal[[#Headers],[A4]],Database_Productkaarten[#All],17,FALSE),0)*Ontwerpberekening!H35),0))/Ontwerpberekening!$A$2</f>
        <v>8.0263399549999992</v>
      </c>
      <c r="H76" s="72">
        <f>(IF(Ontwerpberekening!C35="Nieuwe Situatie",(_xlfn.IFNA(VLOOKUP(Ontwerp_CO2_Totaal[[#This Row],[Product]]&amp;", "&amp;Ontwerp_CO2_Totaal[[#Headers],[A5]],Database_Productkaarten[#All],17,FALSE),0)*Ontwerpberekening!H35),0))/Ontwerpberekening!$A$2</f>
        <v>0.89718701183124994</v>
      </c>
      <c r="I76" s="72">
        <f>(IF(Ontwerpberekening!C35="Nieuwe Situatie",(_xlfn.IFNA(VLOOKUP(Ontwerp_CO2_Totaal[[#This Row],[Product]]&amp;", "&amp;Ontwerp_CO2_Totaal[[#Headers],[B1]],Database_Productkaarten[#All],17,FALSE),0)*Ontwerpberekening!H35),0))/Ontwerpberekening!$A$2</f>
        <v>0</v>
      </c>
      <c r="J76" s="72">
        <f>(IF(Ontwerpberekening!C35="Nieuwe Situatie",(_xlfn.IFNA(VLOOKUP(Ontwerp_CO2_Totaal[[#This Row],[Product]]&amp;", "&amp;Ontwerp_CO2_Totaal[[#Headers],[B3]],Database_Productkaarten[#All],17,FALSE),0)*Ontwerpberekening!H35),0))/Ontwerpberekening!$A$2</f>
        <v>0</v>
      </c>
      <c r="K76" s="72">
        <f>(IF(Ontwerpberekening!C35="Nieuwe Situatie",(SUM(Ontwerp_CO2_Totaal[[#This Row],[A1]:[B1]],Ontwerp_CO2_Totaal[[#This Row],[C1]:[D2]])*Ontwerpberekening!R35),0))</f>
        <v>0</v>
      </c>
      <c r="L76" s="72">
        <f>_xlfn.IFNA(VLOOKUP(Ontwerp_CO2_Totaal[[#This Row],[Product]]&amp;", "&amp;Ontwerp_CO2_Totaal[[#Headers],[C1]],Database_Productkaarten[#All],17,FALSE)*Ontwerpberekening!H35,0)/Ontwerpberekening!$A$2</f>
        <v>0.89718701183124994</v>
      </c>
      <c r="M76" s="72">
        <f>_xlfn.IFNA(VLOOKUP(Ontwerp_CO2_Totaal[[#This Row],[Product]]&amp;", "&amp;Ontwerp_CO2_Totaal[[#Headers],[C2]],Database_Productkaarten[#All],17,FALSE)*Ontwerpberekening!H35,0)/Ontwerpberekening!$A$2</f>
        <v>8.0263399549999992</v>
      </c>
      <c r="N76" s="72">
        <f>_xlfn.IFNA(VLOOKUP(Ontwerp_CO2_Totaal[[#This Row],[Product]]&amp;", "&amp;Ontwerp_CO2_Totaal[[#Headers],[C3]],Database_Productkaarten[#All],17,FALSE)*Ontwerpberekening!H35,0)/Ontwerpberekening!$A$2</f>
        <v>0</v>
      </c>
      <c r="O76" s="72">
        <f>_xlfn.IFNA(VLOOKUP(Ontwerp_CO2_Totaal[[#This Row],[Product]]&amp;", "&amp;Ontwerp_CO2_Totaal[[#Headers],[C4]],Database_Productkaarten[#All],17,FALSE)*Ontwerpberekening!H35,0)/Ontwerpberekening!$A$2</f>
        <v>0</v>
      </c>
      <c r="P76" s="72">
        <f>(IF(Ontwerpberekening!C35="Nieuwe Situatie",(_xlfn.IFNA(VLOOKUP(Ontwerp_CO2_Totaal[[#This Row],[Product]]&amp;", "&amp;Ontwerp_CO2_Totaal[[#Headers],[D1]],Database_Productkaarten[#All],17,FALSE),0)*Ontwerpberekening!H35),0))/Ontwerpberekening!$A$2</f>
        <v>0</v>
      </c>
      <c r="Q76" s="72">
        <f>(IF(Ontwerpberekening!C35="Nieuwe Situatie",_xlfn.IFNA(VLOOKUP(Ontwerp_CO2_Totaal[[#This Row],[Product]]&amp;", "&amp;Ontwerp_CO2_Totaal[[#Headers],[D2]],Database_Productkaarten[#All],17,FALSE),0)*Ontwerpberekening!H35,0))/Ontwerpberekening!$A$2</f>
        <v>0</v>
      </c>
      <c r="R76" s="72">
        <f>SUM(Ontwerp_CO2_Totaal[[#This Row],[A1]:[D2]])</f>
        <v>17.847053933662497</v>
      </c>
    </row>
    <row r="77" spans="2:18" ht="18" x14ac:dyDescent="0.55000000000000004">
      <c r="B77" s="37" t="str">
        <f>Ontwerpberekening!B36</f>
        <v>Variant 1</v>
      </c>
      <c r="C77" s="39" t="str">
        <f>Ontwerpberekening!F36</f>
        <v>Opsluitband geopolymeer 100x200</v>
      </c>
      <c r="D77" s="72">
        <f>(IF(Ontwerpberekening!C36="Nieuwe Situatie",(_xlfn.IFNA(VLOOKUP(Ontwerp_CO2_Totaal[[#This Row],[Product]]&amp;", "&amp;Ontwerp_CO2_Totaal[[#Headers],[A1]],Database_Productkaarten[#All],17,FALSE),0)*Ontwerpberekening!H36),0))/Ontwerpberekening!$A$2</f>
        <v>0</v>
      </c>
      <c r="E77" s="72">
        <f>(IF(Ontwerpberekening!C36="Nieuwe Situatie",(_xlfn.IFNA(VLOOKUP(Ontwerp_CO2_Totaal[[#This Row],[Product]]&amp;", "&amp;Ontwerp_CO2_Totaal[[#Headers],[A2]],Database_Productkaarten[#All],17,FALSE),0)*Ontwerpberekening!H36),0))/Ontwerpberekening!$A$2</f>
        <v>17.817999999999998</v>
      </c>
      <c r="F77" s="72">
        <f>(IF(Ontwerpberekening!C36="Nieuwe Situatie",(_xlfn.IFNA(VLOOKUP(Ontwerp_CO2_Totaal[[#This Row],[Product]]&amp;", "&amp;Ontwerp_CO2_Totaal[[#Headers],[A3]],Database_Productkaarten[#All],17,FALSE),0)*Ontwerpberekening!H36),0))/Ontwerpberekening!$A$2</f>
        <v>3.6816000000000004</v>
      </c>
      <c r="G77" s="72">
        <f>(IF(Ontwerpberekening!C36="Nieuwe Situatie",(_xlfn.IFNA(VLOOKUP(Ontwerp_CO2_Totaal[[#This Row],[Product]]&amp;", "&amp;Ontwerp_CO2_Totaal[[#Headers],[A4]],Database_Productkaarten[#All],17,FALSE),0)*Ontwerpberekening!H36),0))/Ontwerpberekening!$A$2</f>
        <v>3.9943</v>
      </c>
      <c r="H77" s="72">
        <f>(IF(Ontwerpberekening!C36="Nieuwe Situatie",(_xlfn.IFNA(VLOOKUP(Ontwerp_CO2_Totaal[[#This Row],[Product]]&amp;", "&amp;Ontwerp_CO2_Totaal[[#Headers],[A5]],Database_Productkaarten[#All],17,FALSE),0)*Ontwerpberekening!H36),0))/Ontwerpberekening!$A$2</f>
        <v>2.1185313091749998</v>
      </c>
      <c r="I77" s="72">
        <f>(IF(Ontwerpberekening!C36="Nieuwe Situatie",(_xlfn.IFNA(VLOOKUP(Ontwerp_CO2_Totaal[[#This Row],[Product]]&amp;", "&amp;Ontwerp_CO2_Totaal[[#Headers],[B1]],Database_Productkaarten[#All],17,FALSE),0)*Ontwerpberekening!H36),0))/Ontwerpberekening!$A$2</f>
        <v>1.1404699999999999</v>
      </c>
      <c r="J77" s="72">
        <f>(IF(Ontwerpberekening!C36="Nieuwe Situatie",(_xlfn.IFNA(VLOOKUP(Ontwerp_CO2_Totaal[[#This Row],[Product]]&amp;", "&amp;Ontwerp_CO2_Totaal[[#Headers],[B3]],Database_Productkaarten[#All],17,FALSE),0)*Ontwerpberekening!H36),0))/Ontwerpberekening!$A$2</f>
        <v>0</v>
      </c>
      <c r="K77" s="72">
        <f>(IF(Ontwerpberekening!C36="Nieuwe Situatie",(SUM(Ontwerp_CO2_Totaal[[#This Row],[A1]:[B1]],Ontwerp_CO2_Totaal[[#This Row],[C1]:[D2]])*Ontwerpberekening!R36),0))</f>
        <v>0</v>
      </c>
      <c r="L77" s="72">
        <f>_xlfn.IFNA(VLOOKUP(Ontwerp_CO2_Totaal[[#This Row],[Product]]&amp;", "&amp;Ontwerp_CO2_Totaal[[#Headers],[C1]],Database_Productkaarten[#All],17,FALSE)*Ontwerpberekening!H36,0)/Ontwerpberekening!$A$2</f>
        <v>0</v>
      </c>
      <c r="M77" s="72">
        <f>_xlfn.IFNA(VLOOKUP(Ontwerp_CO2_Totaal[[#This Row],[Product]]&amp;", "&amp;Ontwerp_CO2_Totaal[[#Headers],[C2]],Database_Productkaarten[#All],17,FALSE)*Ontwerpberekening!H36,0)/Ontwerpberekening!$A$2</f>
        <v>1.1404699999999999</v>
      </c>
      <c r="N77" s="72">
        <f>_xlfn.IFNA(VLOOKUP(Ontwerp_CO2_Totaal[[#This Row],[Product]]&amp;", "&amp;Ontwerp_CO2_Totaal[[#Headers],[C3]],Database_Productkaarten[#All],17,FALSE)*Ontwerpberekening!H36,0)/Ontwerpberekening!$A$2</f>
        <v>2.1185313091749998</v>
      </c>
      <c r="O77" s="72">
        <f>_xlfn.IFNA(VLOOKUP(Ontwerp_CO2_Totaal[[#This Row],[Product]]&amp;", "&amp;Ontwerp_CO2_Totaal[[#Headers],[C4]],Database_Productkaarten[#All],17,FALSE)*Ontwerpberekening!H36,0)/Ontwerpberekening!$A$2</f>
        <v>0.46079000000000003</v>
      </c>
      <c r="P77" s="72">
        <f>(IF(Ontwerpberekening!C36="Nieuwe Situatie",(_xlfn.IFNA(VLOOKUP(Ontwerp_CO2_Totaal[[#This Row],[Product]]&amp;", "&amp;Ontwerp_CO2_Totaal[[#Headers],[D1]],Database_Productkaarten[#All],17,FALSE),0)*Ontwerpberekening!H36),0))/Ontwerpberekening!$A$2</f>
        <v>2.5547E-2</v>
      </c>
      <c r="Q77" s="72">
        <f>(IF(Ontwerpberekening!C36="Nieuwe Situatie",_xlfn.IFNA(VLOOKUP(Ontwerp_CO2_Totaal[[#This Row],[Product]]&amp;", "&amp;Ontwerp_CO2_Totaal[[#Headers],[D2]],Database_Productkaarten[#All],17,FALSE),0)*Ontwerpberekening!H36,0))/Ontwerpberekening!$A$2</f>
        <v>-1.4691000000000001</v>
      </c>
      <c r="R77" s="72">
        <f>SUM(Ontwerp_CO2_Totaal[[#This Row],[A1]:[D2]])</f>
        <v>31.029139618350005</v>
      </c>
    </row>
    <row r="78" spans="2:18" ht="18" x14ac:dyDescent="0.55000000000000004">
      <c r="B78" s="37" t="str">
        <f>Ontwerpberekening!B37</f>
        <v>Variant 1</v>
      </c>
      <c r="C78" s="39" t="str">
        <f>Ontwerpberekening!F37</f>
        <v>Opsluitband geopolymeer 100x200</v>
      </c>
      <c r="D78" s="72">
        <f>(IF(Ontwerpberekening!C37="Nieuwe Situatie",(_xlfn.IFNA(VLOOKUP(Ontwerp_CO2_Totaal[[#This Row],[Product]]&amp;", "&amp;Ontwerp_CO2_Totaal[[#Headers],[A1]],Database_Productkaarten[#All],17,FALSE),0)*Ontwerpberekening!H37),0))/Ontwerpberekening!$A$2</f>
        <v>0</v>
      </c>
      <c r="E78" s="72">
        <f>(IF(Ontwerpberekening!C37="Nieuwe Situatie",(_xlfn.IFNA(VLOOKUP(Ontwerp_CO2_Totaal[[#This Row],[Product]]&amp;", "&amp;Ontwerp_CO2_Totaal[[#Headers],[A2]],Database_Productkaarten[#All],17,FALSE),0)*Ontwerpberekening!H37),0))/Ontwerpberekening!$A$2</f>
        <v>1.51</v>
      </c>
      <c r="F78" s="72">
        <f>(IF(Ontwerpberekening!C37="Nieuwe Situatie",(_xlfn.IFNA(VLOOKUP(Ontwerp_CO2_Totaal[[#This Row],[Product]]&amp;", "&amp;Ontwerp_CO2_Totaal[[#Headers],[A3]],Database_Productkaarten[#All],17,FALSE),0)*Ontwerpberekening!H37),0))/Ontwerpberekening!$A$2</f>
        <v>0.312</v>
      </c>
      <c r="G78" s="72">
        <f>(IF(Ontwerpberekening!C37="Nieuwe Situatie",(_xlfn.IFNA(VLOOKUP(Ontwerp_CO2_Totaal[[#This Row],[Product]]&amp;", "&amp;Ontwerp_CO2_Totaal[[#Headers],[A4]],Database_Productkaarten[#All],17,FALSE),0)*Ontwerpberekening!H37),0))/Ontwerpberekening!$A$2</f>
        <v>0.33850000000000002</v>
      </c>
      <c r="H78" s="72">
        <f>(IF(Ontwerpberekening!C37="Nieuwe Situatie",(_xlfn.IFNA(VLOOKUP(Ontwerp_CO2_Totaal[[#This Row],[Product]]&amp;", "&amp;Ontwerp_CO2_Totaal[[#Headers],[A5]],Database_Productkaarten[#All],17,FALSE),0)*Ontwerpberekening!H37),0))/Ontwerpberekening!$A$2</f>
        <v>0.17953655162499998</v>
      </c>
      <c r="I78" s="72">
        <f>(IF(Ontwerpberekening!C37="Nieuwe Situatie",(_xlfn.IFNA(VLOOKUP(Ontwerp_CO2_Totaal[[#This Row],[Product]]&amp;", "&amp;Ontwerp_CO2_Totaal[[#Headers],[B1]],Database_Productkaarten[#All],17,FALSE),0)*Ontwerpberekening!H37),0))/Ontwerpberekening!$A$2</f>
        <v>9.6649999999999986E-2</v>
      </c>
      <c r="J78" s="72">
        <f>(IF(Ontwerpberekening!C37="Nieuwe Situatie",(_xlfn.IFNA(VLOOKUP(Ontwerp_CO2_Totaal[[#This Row],[Product]]&amp;", "&amp;Ontwerp_CO2_Totaal[[#Headers],[B3]],Database_Productkaarten[#All],17,FALSE),0)*Ontwerpberekening!H37),0))/Ontwerpberekening!$A$2</f>
        <v>0</v>
      </c>
      <c r="K78" s="72">
        <f>(IF(Ontwerpberekening!C37="Nieuwe Situatie",(SUM(Ontwerp_CO2_Totaal[[#This Row],[A1]:[B1]],Ontwerp_CO2_Totaal[[#This Row],[C1]:[D2]])*Ontwerpberekening!R37),0))</f>
        <v>0</v>
      </c>
      <c r="L78" s="72">
        <f>_xlfn.IFNA(VLOOKUP(Ontwerp_CO2_Totaal[[#This Row],[Product]]&amp;", "&amp;Ontwerp_CO2_Totaal[[#Headers],[C1]],Database_Productkaarten[#All],17,FALSE)*Ontwerpberekening!H37,0)/Ontwerpberekening!$A$2</f>
        <v>0</v>
      </c>
      <c r="M78" s="72">
        <f>_xlfn.IFNA(VLOOKUP(Ontwerp_CO2_Totaal[[#This Row],[Product]]&amp;", "&amp;Ontwerp_CO2_Totaal[[#Headers],[C2]],Database_Productkaarten[#All],17,FALSE)*Ontwerpberekening!H37,0)/Ontwerpberekening!$A$2</f>
        <v>9.6649999999999986E-2</v>
      </c>
      <c r="N78" s="72">
        <f>_xlfn.IFNA(VLOOKUP(Ontwerp_CO2_Totaal[[#This Row],[Product]]&amp;", "&amp;Ontwerp_CO2_Totaal[[#Headers],[C3]],Database_Productkaarten[#All],17,FALSE)*Ontwerpberekening!H37,0)/Ontwerpberekening!$A$2</f>
        <v>0.17953655162499998</v>
      </c>
      <c r="O78" s="72">
        <f>_xlfn.IFNA(VLOOKUP(Ontwerp_CO2_Totaal[[#This Row],[Product]]&amp;", "&amp;Ontwerp_CO2_Totaal[[#Headers],[C4]],Database_Productkaarten[#All],17,FALSE)*Ontwerpberekening!H37,0)/Ontwerpberekening!$A$2</f>
        <v>3.9050000000000001E-2</v>
      </c>
      <c r="P78" s="72">
        <f>(IF(Ontwerpberekening!C37="Nieuwe Situatie",(_xlfn.IFNA(VLOOKUP(Ontwerp_CO2_Totaal[[#This Row],[Product]]&amp;", "&amp;Ontwerp_CO2_Totaal[[#Headers],[D1]],Database_Productkaarten[#All],17,FALSE),0)*Ontwerpberekening!H37),0))/Ontwerpberekening!$A$2</f>
        <v>2.1649999999999998E-3</v>
      </c>
      <c r="Q78" s="72">
        <f>(IF(Ontwerpberekening!C37="Nieuwe Situatie",_xlfn.IFNA(VLOOKUP(Ontwerp_CO2_Totaal[[#This Row],[Product]]&amp;", "&amp;Ontwerp_CO2_Totaal[[#Headers],[D2]],Database_Productkaarten[#All],17,FALSE),0)*Ontwerpberekening!H37,0))/Ontwerpberekening!$A$2</f>
        <v>-0.1245</v>
      </c>
      <c r="R78" s="72">
        <f>SUM(Ontwerp_CO2_Totaal[[#This Row],[A1]:[D2]])</f>
        <v>2.6295881032500001</v>
      </c>
    </row>
    <row r="79" spans="2:18" ht="18" x14ac:dyDescent="0.55000000000000004">
      <c r="B79" s="37" t="str">
        <f>Ontwerpberekening!B38</f>
        <v>Variant 1</v>
      </c>
      <c r="C79" s="39" t="str">
        <f>Ontwerpberekening!F38</f>
        <v>Grond</v>
      </c>
      <c r="D79" s="72">
        <f>(IF(Ontwerpberekening!C38="Nieuwe Situatie",(_xlfn.IFNA(VLOOKUP(Ontwerp_CO2_Totaal[[#This Row],[Product]]&amp;", "&amp;Ontwerp_CO2_Totaal[[#Headers],[A1]],Database_Productkaarten[#All],17,FALSE),0)*Ontwerpberekening!H38),0))/Ontwerpberekening!$A$2</f>
        <v>0</v>
      </c>
      <c r="E79" s="72">
        <f>(IF(Ontwerpberekening!C38="Nieuwe Situatie",(_xlfn.IFNA(VLOOKUP(Ontwerp_CO2_Totaal[[#This Row],[Product]]&amp;", "&amp;Ontwerp_CO2_Totaal[[#Headers],[A2]],Database_Productkaarten[#All],17,FALSE),0)*Ontwerpberekening!H38),0))/Ontwerpberekening!$A$2</f>
        <v>0</v>
      </c>
      <c r="F79" s="72">
        <f>(IF(Ontwerpberekening!C38="Nieuwe Situatie",(_xlfn.IFNA(VLOOKUP(Ontwerp_CO2_Totaal[[#This Row],[Product]]&amp;", "&amp;Ontwerp_CO2_Totaal[[#Headers],[A3]],Database_Productkaarten[#All],17,FALSE),0)*Ontwerpberekening!H38),0))/Ontwerpberekening!$A$2</f>
        <v>0</v>
      </c>
      <c r="G79" s="72">
        <f>(IF(Ontwerpberekening!C38="Nieuwe Situatie",(_xlfn.IFNA(VLOOKUP(Ontwerp_CO2_Totaal[[#This Row],[Product]]&amp;", "&amp;Ontwerp_CO2_Totaal[[#Headers],[A4]],Database_Productkaarten[#All],17,FALSE),0)*Ontwerpberekening!H38),0))/Ontwerpberekening!$A$2</f>
        <v>0.25346336699999994</v>
      </c>
      <c r="H79" s="72">
        <f>(IF(Ontwerpberekening!C38="Nieuwe Situatie",(_xlfn.IFNA(VLOOKUP(Ontwerp_CO2_Totaal[[#This Row],[Product]]&amp;", "&amp;Ontwerp_CO2_Totaal[[#Headers],[A5]],Database_Productkaarten[#All],17,FALSE),0)*Ontwerpberekening!H38),0))/Ontwerpberekening!$A$2</f>
        <v>2.8332221426249998E-2</v>
      </c>
      <c r="I79" s="72">
        <f>(IF(Ontwerpberekening!C38="Nieuwe Situatie",(_xlfn.IFNA(VLOOKUP(Ontwerp_CO2_Totaal[[#This Row],[Product]]&amp;", "&amp;Ontwerp_CO2_Totaal[[#Headers],[B1]],Database_Productkaarten[#All],17,FALSE),0)*Ontwerpberekening!H38),0))/Ontwerpberekening!$A$2</f>
        <v>0</v>
      </c>
      <c r="J79" s="72">
        <f>(IF(Ontwerpberekening!C38="Nieuwe Situatie",(_xlfn.IFNA(VLOOKUP(Ontwerp_CO2_Totaal[[#This Row],[Product]]&amp;", "&amp;Ontwerp_CO2_Totaal[[#Headers],[B3]],Database_Productkaarten[#All],17,FALSE),0)*Ontwerpberekening!H38),0))/Ontwerpberekening!$A$2</f>
        <v>0</v>
      </c>
      <c r="K79" s="72">
        <f>(IF(Ontwerpberekening!C38="Nieuwe Situatie",(SUM(Ontwerp_CO2_Totaal[[#This Row],[A1]:[B1]],Ontwerp_CO2_Totaal[[#This Row],[C1]:[D2]])*Ontwerpberekening!R38),0))</f>
        <v>0</v>
      </c>
      <c r="L79" s="72">
        <f>_xlfn.IFNA(VLOOKUP(Ontwerp_CO2_Totaal[[#This Row],[Product]]&amp;", "&amp;Ontwerp_CO2_Totaal[[#Headers],[C1]],Database_Productkaarten[#All],17,FALSE)*Ontwerpberekening!H38,0)/Ontwerpberekening!$A$2</f>
        <v>2.8332221426249998E-2</v>
      </c>
      <c r="M79" s="72">
        <f>_xlfn.IFNA(VLOOKUP(Ontwerp_CO2_Totaal[[#This Row],[Product]]&amp;", "&amp;Ontwerp_CO2_Totaal[[#Headers],[C2]],Database_Productkaarten[#All],17,FALSE)*Ontwerpberekening!H38,0)/Ontwerpberekening!$A$2</f>
        <v>0.25346336699999994</v>
      </c>
      <c r="N79" s="72">
        <f>_xlfn.IFNA(VLOOKUP(Ontwerp_CO2_Totaal[[#This Row],[Product]]&amp;", "&amp;Ontwerp_CO2_Totaal[[#Headers],[C3]],Database_Productkaarten[#All],17,FALSE)*Ontwerpberekening!H38,0)/Ontwerpberekening!$A$2</f>
        <v>0</v>
      </c>
      <c r="O79" s="72">
        <f>_xlfn.IFNA(VLOOKUP(Ontwerp_CO2_Totaal[[#This Row],[Product]]&amp;", "&amp;Ontwerp_CO2_Totaal[[#Headers],[C4]],Database_Productkaarten[#All],17,FALSE)*Ontwerpberekening!H38,0)/Ontwerpberekening!$A$2</f>
        <v>0</v>
      </c>
      <c r="P79" s="72">
        <f>(IF(Ontwerpberekening!C38="Nieuwe Situatie",(_xlfn.IFNA(VLOOKUP(Ontwerp_CO2_Totaal[[#This Row],[Product]]&amp;", "&amp;Ontwerp_CO2_Totaal[[#Headers],[D1]],Database_Productkaarten[#All],17,FALSE),0)*Ontwerpberekening!H38),0))/Ontwerpberekening!$A$2</f>
        <v>0</v>
      </c>
      <c r="Q79" s="72">
        <f>(IF(Ontwerpberekening!C38="Nieuwe Situatie",_xlfn.IFNA(VLOOKUP(Ontwerp_CO2_Totaal[[#This Row],[Product]]&amp;", "&amp;Ontwerp_CO2_Totaal[[#Headers],[D2]],Database_Productkaarten[#All],17,FALSE),0)*Ontwerpberekening!H38,0))/Ontwerpberekening!$A$2</f>
        <v>0</v>
      </c>
      <c r="R79" s="72">
        <f>SUM(Ontwerp_CO2_Totaal[[#This Row],[A1]:[D2]])</f>
        <v>0.56359117685249993</v>
      </c>
    </row>
    <row r="80" spans="2:18" ht="18" x14ac:dyDescent="0.55000000000000004">
      <c r="B80" s="37">
        <f>Ontwerpberekening!B39</f>
        <v>0</v>
      </c>
      <c r="C80" s="39">
        <f>Ontwerpberekening!F39</f>
        <v>0</v>
      </c>
      <c r="D80" s="72">
        <f>(IF(Ontwerpberekening!C39="Nieuwe Situatie",(_xlfn.IFNA(VLOOKUP(Ontwerp_CO2_Totaal[[#This Row],[Product]]&amp;", "&amp;Ontwerp_CO2_Totaal[[#Headers],[A1]],Database_Productkaarten[#All],17,FALSE),0)*Ontwerpberekening!H39),0))/Ontwerpberekening!$A$2</f>
        <v>0</v>
      </c>
      <c r="E80" s="72">
        <f>(IF(Ontwerpberekening!C39="Nieuwe Situatie",(_xlfn.IFNA(VLOOKUP(Ontwerp_CO2_Totaal[[#This Row],[Product]]&amp;", "&amp;Ontwerp_CO2_Totaal[[#Headers],[A2]],Database_Productkaarten[#All],17,FALSE),0)*Ontwerpberekening!H39),0))/Ontwerpberekening!$A$2</f>
        <v>0</v>
      </c>
      <c r="F80" s="72">
        <f>(IF(Ontwerpberekening!C39="Nieuwe Situatie",(_xlfn.IFNA(VLOOKUP(Ontwerp_CO2_Totaal[[#This Row],[Product]]&amp;", "&amp;Ontwerp_CO2_Totaal[[#Headers],[A3]],Database_Productkaarten[#All],17,FALSE),0)*Ontwerpberekening!H39),0))/Ontwerpberekening!$A$2</f>
        <v>0</v>
      </c>
      <c r="G80" s="72">
        <f>(IF(Ontwerpberekening!C39="Nieuwe Situatie",(_xlfn.IFNA(VLOOKUP(Ontwerp_CO2_Totaal[[#This Row],[Product]]&amp;", "&amp;Ontwerp_CO2_Totaal[[#Headers],[A4]],Database_Productkaarten[#All],17,FALSE),0)*Ontwerpberekening!H39),0))/Ontwerpberekening!$A$2</f>
        <v>0</v>
      </c>
      <c r="H80" s="72">
        <f>(IF(Ontwerpberekening!C39="Nieuwe Situatie",(_xlfn.IFNA(VLOOKUP(Ontwerp_CO2_Totaal[[#This Row],[Product]]&amp;", "&amp;Ontwerp_CO2_Totaal[[#Headers],[A5]],Database_Productkaarten[#All],17,FALSE),0)*Ontwerpberekening!H39),0))/Ontwerpberekening!$A$2</f>
        <v>0</v>
      </c>
      <c r="I80" s="72">
        <f>(IF(Ontwerpberekening!C39="Nieuwe Situatie",(_xlfn.IFNA(VLOOKUP(Ontwerp_CO2_Totaal[[#This Row],[Product]]&amp;", "&amp;Ontwerp_CO2_Totaal[[#Headers],[B1]],Database_Productkaarten[#All],17,FALSE),0)*Ontwerpberekening!H39),0))/Ontwerpberekening!$A$2</f>
        <v>0</v>
      </c>
      <c r="J80" s="72">
        <f>(IF(Ontwerpberekening!C39="Nieuwe Situatie",(_xlfn.IFNA(VLOOKUP(Ontwerp_CO2_Totaal[[#This Row],[Product]]&amp;", "&amp;Ontwerp_CO2_Totaal[[#Headers],[B3]],Database_Productkaarten[#All],17,FALSE),0)*Ontwerpberekening!H39),0))/Ontwerpberekening!$A$2</f>
        <v>0</v>
      </c>
      <c r="K80" s="72">
        <f>(IF(Ontwerpberekening!C39="Nieuwe Situatie",(SUM(Ontwerp_CO2_Totaal[[#This Row],[A1]:[B1]],Ontwerp_CO2_Totaal[[#This Row],[C1]:[D2]])*Ontwerpberekening!R39),0))</f>
        <v>0</v>
      </c>
      <c r="L80" s="72">
        <f>_xlfn.IFNA(VLOOKUP(Ontwerp_CO2_Totaal[[#This Row],[Product]]&amp;", "&amp;Ontwerp_CO2_Totaal[[#Headers],[C1]],Database_Productkaarten[#All],17,FALSE)*Ontwerpberekening!H39,0)/Ontwerpberekening!$A$2</f>
        <v>0</v>
      </c>
      <c r="M80" s="72">
        <f>_xlfn.IFNA(VLOOKUP(Ontwerp_CO2_Totaal[[#This Row],[Product]]&amp;", "&amp;Ontwerp_CO2_Totaal[[#Headers],[C2]],Database_Productkaarten[#All],17,FALSE)*Ontwerpberekening!H39,0)/Ontwerpberekening!$A$2</f>
        <v>0</v>
      </c>
      <c r="N80" s="72">
        <f>_xlfn.IFNA(VLOOKUP(Ontwerp_CO2_Totaal[[#This Row],[Product]]&amp;", "&amp;Ontwerp_CO2_Totaal[[#Headers],[C3]],Database_Productkaarten[#All],17,FALSE)*Ontwerpberekening!H39,0)/Ontwerpberekening!$A$2</f>
        <v>0</v>
      </c>
      <c r="O80" s="72">
        <f>_xlfn.IFNA(VLOOKUP(Ontwerp_CO2_Totaal[[#This Row],[Product]]&amp;", "&amp;Ontwerp_CO2_Totaal[[#Headers],[C4]],Database_Productkaarten[#All],17,FALSE)*Ontwerpberekening!H39,0)/Ontwerpberekening!$A$2</f>
        <v>0</v>
      </c>
      <c r="P80" s="72">
        <f>(IF(Ontwerpberekening!C39="Nieuwe Situatie",(_xlfn.IFNA(VLOOKUP(Ontwerp_CO2_Totaal[[#This Row],[Product]]&amp;", "&amp;Ontwerp_CO2_Totaal[[#Headers],[D1]],Database_Productkaarten[#All],17,FALSE),0)*Ontwerpberekening!H39),0))/Ontwerpberekening!$A$2</f>
        <v>0</v>
      </c>
      <c r="Q80" s="72">
        <f>(IF(Ontwerpberekening!C39="Nieuwe Situatie",_xlfn.IFNA(VLOOKUP(Ontwerp_CO2_Totaal[[#This Row],[Product]]&amp;", "&amp;Ontwerp_CO2_Totaal[[#Headers],[D2]],Database_Productkaarten[#All],17,FALSE),0)*Ontwerpberekening!H39,0))/Ontwerpberekening!$A$2</f>
        <v>0</v>
      </c>
      <c r="R80" s="72">
        <f>SUM(Ontwerp_CO2_Totaal[[#This Row],[A1]:[D2]])</f>
        <v>0</v>
      </c>
    </row>
    <row r="81" spans="2:26" ht="18" x14ac:dyDescent="0.55000000000000004">
      <c r="B81" s="37">
        <f>Ontwerpberekening!B40</f>
        <v>0</v>
      </c>
      <c r="C81" s="39">
        <f>Ontwerpberekening!F40</f>
        <v>0</v>
      </c>
      <c r="D81" s="72">
        <f>(IF(Ontwerpberekening!C40="Nieuwe Situatie",(_xlfn.IFNA(VLOOKUP(Ontwerp_CO2_Totaal[[#This Row],[Product]]&amp;", "&amp;Ontwerp_CO2_Totaal[[#Headers],[A1]],Database_Productkaarten[#All],17,FALSE),0)*Ontwerpberekening!H40),0))/Ontwerpberekening!$A$2</f>
        <v>0</v>
      </c>
      <c r="E81" s="72">
        <f>(IF(Ontwerpberekening!C40="Nieuwe Situatie",(_xlfn.IFNA(VLOOKUP(Ontwerp_CO2_Totaal[[#This Row],[Product]]&amp;", "&amp;Ontwerp_CO2_Totaal[[#Headers],[A2]],Database_Productkaarten[#All],17,FALSE),0)*Ontwerpberekening!H40),0))/Ontwerpberekening!$A$2</f>
        <v>0</v>
      </c>
      <c r="F81" s="72">
        <f>(IF(Ontwerpberekening!C40="Nieuwe Situatie",(_xlfn.IFNA(VLOOKUP(Ontwerp_CO2_Totaal[[#This Row],[Product]]&amp;", "&amp;Ontwerp_CO2_Totaal[[#Headers],[A3]],Database_Productkaarten[#All],17,FALSE),0)*Ontwerpberekening!H40),0))/Ontwerpberekening!$A$2</f>
        <v>0</v>
      </c>
      <c r="G81" s="72">
        <f>(IF(Ontwerpberekening!C40="Nieuwe Situatie",(_xlfn.IFNA(VLOOKUP(Ontwerp_CO2_Totaal[[#This Row],[Product]]&amp;", "&amp;Ontwerp_CO2_Totaal[[#Headers],[A4]],Database_Productkaarten[#All],17,FALSE),0)*Ontwerpberekening!H40),0))/Ontwerpberekening!$A$2</f>
        <v>0</v>
      </c>
      <c r="H81" s="72">
        <f>(IF(Ontwerpberekening!C40="Nieuwe Situatie",(_xlfn.IFNA(VLOOKUP(Ontwerp_CO2_Totaal[[#This Row],[Product]]&amp;", "&amp;Ontwerp_CO2_Totaal[[#Headers],[A5]],Database_Productkaarten[#All],17,FALSE),0)*Ontwerpberekening!H40),0))/Ontwerpberekening!$A$2</f>
        <v>0</v>
      </c>
      <c r="I81" s="72">
        <f>(IF(Ontwerpberekening!C40="Nieuwe Situatie",(_xlfn.IFNA(VLOOKUP(Ontwerp_CO2_Totaal[[#This Row],[Product]]&amp;", "&amp;Ontwerp_CO2_Totaal[[#Headers],[B1]],Database_Productkaarten[#All],17,FALSE),0)*Ontwerpberekening!H40),0))/Ontwerpberekening!$A$2</f>
        <v>0</v>
      </c>
      <c r="J81" s="72">
        <f>(IF(Ontwerpberekening!C40="Nieuwe Situatie",(_xlfn.IFNA(VLOOKUP(Ontwerp_CO2_Totaal[[#This Row],[Product]]&amp;", "&amp;Ontwerp_CO2_Totaal[[#Headers],[B3]],Database_Productkaarten[#All],17,FALSE),0)*Ontwerpberekening!H40),0))/Ontwerpberekening!$A$2</f>
        <v>0</v>
      </c>
      <c r="K81" s="72">
        <f>(IF(Ontwerpberekening!C40="Nieuwe Situatie",(SUM(Ontwerp_CO2_Totaal[[#This Row],[A1]:[B1]],Ontwerp_CO2_Totaal[[#This Row],[C1]:[D2]])*Ontwerpberekening!R40),0))</f>
        <v>0</v>
      </c>
      <c r="L81" s="72">
        <f>_xlfn.IFNA(VLOOKUP(Ontwerp_CO2_Totaal[[#This Row],[Product]]&amp;", "&amp;Ontwerp_CO2_Totaal[[#Headers],[C1]],Database_Productkaarten[#All],17,FALSE)*Ontwerpberekening!H40,0)/Ontwerpberekening!$A$2</f>
        <v>0</v>
      </c>
      <c r="M81" s="72">
        <f>_xlfn.IFNA(VLOOKUP(Ontwerp_CO2_Totaal[[#This Row],[Product]]&amp;", "&amp;Ontwerp_CO2_Totaal[[#Headers],[C2]],Database_Productkaarten[#All],17,FALSE)*Ontwerpberekening!H40,0)/Ontwerpberekening!$A$2</f>
        <v>0</v>
      </c>
      <c r="N81" s="72">
        <f>_xlfn.IFNA(VLOOKUP(Ontwerp_CO2_Totaal[[#This Row],[Product]]&amp;", "&amp;Ontwerp_CO2_Totaal[[#Headers],[C3]],Database_Productkaarten[#All],17,FALSE)*Ontwerpberekening!H40,0)/Ontwerpberekening!$A$2</f>
        <v>0</v>
      </c>
      <c r="O81" s="72">
        <f>_xlfn.IFNA(VLOOKUP(Ontwerp_CO2_Totaal[[#This Row],[Product]]&amp;", "&amp;Ontwerp_CO2_Totaal[[#Headers],[C4]],Database_Productkaarten[#All],17,FALSE)*Ontwerpberekening!H40,0)/Ontwerpberekening!$A$2</f>
        <v>0</v>
      </c>
      <c r="P81" s="72">
        <f>(IF(Ontwerpberekening!C40="Nieuwe Situatie",(_xlfn.IFNA(VLOOKUP(Ontwerp_CO2_Totaal[[#This Row],[Product]]&amp;", "&amp;Ontwerp_CO2_Totaal[[#Headers],[D1]],Database_Productkaarten[#All],17,FALSE),0)*Ontwerpberekening!H40),0))/Ontwerpberekening!$A$2</f>
        <v>0</v>
      </c>
      <c r="Q81" s="72">
        <f>(IF(Ontwerpberekening!C40="Nieuwe Situatie",_xlfn.IFNA(VLOOKUP(Ontwerp_CO2_Totaal[[#This Row],[Product]]&amp;", "&amp;Ontwerp_CO2_Totaal[[#Headers],[D2]],Database_Productkaarten[#All],17,FALSE),0)*Ontwerpberekening!H40,0))/Ontwerpberekening!$A$2</f>
        <v>0</v>
      </c>
      <c r="R81" s="72">
        <f>SUM(Ontwerp_CO2_Totaal[[#This Row],[A1]:[D2]])</f>
        <v>0</v>
      </c>
    </row>
    <row r="82" spans="2:26" ht="18" x14ac:dyDescent="0.55000000000000004">
      <c r="B82" s="37">
        <f>Ontwerpberekening!B41</f>
        <v>0</v>
      </c>
      <c r="C82" s="39">
        <f>Ontwerpberekening!F41</f>
        <v>0</v>
      </c>
      <c r="D82" s="72">
        <f>(IF(Ontwerpberekening!C41="Nieuwe Situatie",(_xlfn.IFNA(VLOOKUP(Ontwerp_CO2_Totaal[[#This Row],[Product]]&amp;", "&amp;Ontwerp_CO2_Totaal[[#Headers],[A1]],Database_Productkaarten[#All],17,FALSE),0)*Ontwerpberekening!H41),0))/Ontwerpberekening!$A$2</f>
        <v>0</v>
      </c>
      <c r="E82" s="72">
        <f>(IF(Ontwerpberekening!C41="Nieuwe Situatie",(_xlfn.IFNA(VLOOKUP(Ontwerp_CO2_Totaal[[#This Row],[Product]]&amp;", "&amp;Ontwerp_CO2_Totaal[[#Headers],[A2]],Database_Productkaarten[#All],17,FALSE),0)*Ontwerpberekening!H41),0))/Ontwerpberekening!$A$2</f>
        <v>0</v>
      </c>
      <c r="F82" s="72">
        <f>(IF(Ontwerpberekening!C41="Nieuwe Situatie",(_xlfn.IFNA(VLOOKUP(Ontwerp_CO2_Totaal[[#This Row],[Product]]&amp;", "&amp;Ontwerp_CO2_Totaal[[#Headers],[A3]],Database_Productkaarten[#All],17,FALSE),0)*Ontwerpberekening!H41),0))/Ontwerpberekening!$A$2</f>
        <v>0</v>
      </c>
      <c r="G82" s="72">
        <f>(IF(Ontwerpberekening!C41="Nieuwe Situatie",(_xlfn.IFNA(VLOOKUP(Ontwerp_CO2_Totaal[[#This Row],[Product]]&amp;", "&amp;Ontwerp_CO2_Totaal[[#Headers],[A4]],Database_Productkaarten[#All],17,FALSE),0)*Ontwerpberekening!H41),0))/Ontwerpberekening!$A$2</f>
        <v>0</v>
      </c>
      <c r="H82" s="72">
        <f>(IF(Ontwerpberekening!C41="Nieuwe Situatie",(_xlfn.IFNA(VLOOKUP(Ontwerp_CO2_Totaal[[#This Row],[Product]]&amp;", "&amp;Ontwerp_CO2_Totaal[[#Headers],[A5]],Database_Productkaarten[#All],17,FALSE),0)*Ontwerpberekening!H41),0))/Ontwerpberekening!$A$2</f>
        <v>0</v>
      </c>
      <c r="I82" s="72">
        <f>(IF(Ontwerpberekening!C41="Nieuwe Situatie",(_xlfn.IFNA(VLOOKUP(Ontwerp_CO2_Totaal[[#This Row],[Product]]&amp;", "&amp;Ontwerp_CO2_Totaal[[#Headers],[B1]],Database_Productkaarten[#All],17,FALSE),0)*Ontwerpberekening!H41),0))/Ontwerpberekening!$A$2</f>
        <v>0</v>
      </c>
      <c r="J82" s="72">
        <f>(IF(Ontwerpberekening!C41="Nieuwe Situatie",(_xlfn.IFNA(VLOOKUP(Ontwerp_CO2_Totaal[[#This Row],[Product]]&amp;", "&amp;Ontwerp_CO2_Totaal[[#Headers],[B3]],Database_Productkaarten[#All],17,FALSE),0)*Ontwerpberekening!H41),0))/Ontwerpberekening!$A$2</f>
        <v>0</v>
      </c>
      <c r="K82" s="72">
        <f>(IF(Ontwerpberekening!C41="Nieuwe Situatie",(SUM(Ontwerp_CO2_Totaal[[#This Row],[A1]:[B1]],Ontwerp_CO2_Totaal[[#This Row],[C1]:[D2]])*Ontwerpberekening!R41),0))</f>
        <v>0</v>
      </c>
      <c r="L82" s="72">
        <f>_xlfn.IFNA(VLOOKUP(Ontwerp_CO2_Totaal[[#This Row],[Product]]&amp;", "&amp;Ontwerp_CO2_Totaal[[#Headers],[C1]],Database_Productkaarten[#All],17,FALSE)*Ontwerpberekening!H41,0)/Ontwerpberekening!$A$2</f>
        <v>0</v>
      </c>
      <c r="M82" s="72">
        <f>_xlfn.IFNA(VLOOKUP(Ontwerp_CO2_Totaal[[#This Row],[Product]]&amp;", "&amp;Ontwerp_CO2_Totaal[[#Headers],[C2]],Database_Productkaarten[#All],17,FALSE)*Ontwerpberekening!H41,0)/Ontwerpberekening!$A$2</f>
        <v>0</v>
      </c>
      <c r="N82" s="72">
        <f>_xlfn.IFNA(VLOOKUP(Ontwerp_CO2_Totaal[[#This Row],[Product]]&amp;", "&amp;Ontwerp_CO2_Totaal[[#Headers],[C3]],Database_Productkaarten[#All],17,FALSE)*Ontwerpberekening!H41,0)/Ontwerpberekening!$A$2</f>
        <v>0</v>
      </c>
      <c r="O82" s="72">
        <f>_xlfn.IFNA(VLOOKUP(Ontwerp_CO2_Totaal[[#This Row],[Product]]&amp;", "&amp;Ontwerp_CO2_Totaal[[#Headers],[C4]],Database_Productkaarten[#All],17,FALSE)*Ontwerpberekening!H41,0)/Ontwerpberekening!$A$2</f>
        <v>0</v>
      </c>
      <c r="P82" s="72">
        <f>(IF(Ontwerpberekening!C41="Nieuwe Situatie",(_xlfn.IFNA(VLOOKUP(Ontwerp_CO2_Totaal[[#This Row],[Product]]&amp;", "&amp;Ontwerp_CO2_Totaal[[#Headers],[D1]],Database_Productkaarten[#All],17,FALSE),0)*Ontwerpberekening!H41),0))/Ontwerpberekening!$A$2</f>
        <v>0</v>
      </c>
      <c r="Q82" s="72">
        <f>(IF(Ontwerpberekening!C41="Nieuwe Situatie",_xlfn.IFNA(VLOOKUP(Ontwerp_CO2_Totaal[[#This Row],[Product]]&amp;", "&amp;Ontwerp_CO2_Totaal[[#Headers],[D2]],Database_Productkaarten[#All],17,FALSE),0)*Ontwerpberekening!H41,0))/Ontwerpberekening!$A$2</f>
        <v>0</v>
      </c>
      <c r="R82" s="72">
        <f>SUM(Ontwerp_CO2_Totaal[[#This Row],[A1]:[D2]])</f>
        <v>0</v>
      </c>
    </row>
    <row r="83" spans="2:26" ht="18" x14ac:dyDescent="0.55000000000000004">
      <c r="B83" s="23" t="s">
        <v>16</v>
      </c>
      <c r="C83" s="23"/>
      <c r="D83" s="77">
        <f>SUBTOTAL(109,Ontwerp_CO2_Totaal[A1])</f>
        <v>4406.1962699175492</v>
      </c>
      <c r="E83" s="77">
        <f>SUBTOTAL(109,Ontwerp_CO2_Totaal[A2])</f>
        <v>2297.4433561688993</v>
      </c>
      <c r="F83" s="77">
        <f>SUBTOTAL(109,Ontwerp_CO2_Totaal[A3])</f>
        <v>1953.846110862326</v>
      </c>
      <c r="G83" s="77" t="e">
        <f>SUBTOTAL(109,Ontwerp_CO2_Totaal[A4])</f>
        <v>#REF!</v>
      </c>
      <c r="H83" s="77">
        <f>SUBTOTAL(109,Ontwerp_CO2_Totaal[A5])</f>
        <v>200.09449691989465</v>
      </c>
      <c r="I83" s="77">
        <f>SUBTOTAL(109,Ontwerp_CO2_Totaal[B1])</f>
        <v>1.2371199999999998</v>
      </c>
      <c r="J83" s="77"/>
      <c r="K83" s="77" t="e">
        <f>SUBTOTAL(109,Ontwerp_CO2_Totaal[B4])</f>
        <v>#REF!</v>
      </c>
      <c r="L83" s="77">
        <f>SUBTOTAL(109,Ontwerp_CO2_Totaal[C1])</f>
        <v>288.94834574880434</v>
      </c>
      <c r="M83" s="77" t="e">
        <f>SUBTOTAL(109,Ontwerp_CO2_Totaal[C2])</f>
        <v>#REF!</v>
      </c>
      <c r="N83" s="77">
        <f>SUBTOTAL(109,Ontwerp_CO2_Totaal[C3])</f>
        <v>261.94385722650054</v>
      </c>
      <c r="O83" s="77">
        <f>SUBTOTAL(109,Ontwerp_CO2_Totaal[C4])</f>
        <v>1.13517</v>
      </c>
      <c r="P83" s="77">
        <f>SUBTOTAL(109,Ontwerp_CO2_Totaal[D1])</f>
        <v>-2438.0443473002388</v>
      </c>
      <c r="Q83" s="77">
        <f>SUBTOTAL(109,Ontwerp_CO2_Totaal[D2])</f>
        <v>-1.5936000000000001</v>
      </c>
      <c r="R83" s="190" t="e">
        <f>SUBTOTAL(109,Ontwerp_CO2_Totaal[Totaal])</f>
        <v>#REF!</v>
      </c>
    </row>
    <row r="84" spans="2:26" ht="18" x14ac:dyDescent="0.55000000000000004">
      <c r="B84" s="17"/>
      <c r="C84" s="17"/>
      <c r="D84" s="17"/>
      <c r="E84" s="17"/>
      <c r="F84" s="17"/>
      <c r="G84" s="17"/>
      <c r="H84" s="17"/>
      <c r="I84" s="17"/>
      <c r="J84" s="17"/>
      <c r="K84" s="17"/>
      <c r="L84" s="17"/>
      <c r="M84" s="17"/>
      <c r="N84" s="17"/>
      <c r="O84" s="17"/>
      <c r="P84" s="17"/>
    </row>
    <row r="85" spans="2:26" ht="18" x14ac:dyDescent="0.55000000000000004">
      <c r="B85" s="17"/>
      <c r="C85" s="17"/>
      <c r="D85" s="17"/>
      <c r="E85" s="17"/>
      <c r="F85" s="17"/>
      <c r="G85" s="17"/>
      <c r="H85" s="17"/>
      <c r="I85" s="17"/>
      <c r="J85" s="17"/>
      <c r="K85" s="17"/>
      <c r="L85" s="17"/>
      <c r="M85" s="17"/>
      <c r="N85" s="17"/>
      <c r="O85" s="17"/>
      <c r="P85" s="17"/>
    </row>
    <row r="86" spans="2:26" ht="22" x14ac:dyDescent="0.65">
      <c r="B86" s="134" t="s">
        <v>368</v>
      </c>
      <c r="C86" s="134"/>
      <c r="D86" s="134"/>
      <c r="E86" s="17"/>
      <c r="F86" s="17"/>
      <c r="G86" s="17"/>
      <c r="H86" s="17"/>
      <c r="I86" s="17"/>
      <c r="J86" s="17"/>
      <c r="K86" s="17"/>
      <c r="L86" s="17"/>
      <c r="M86" s="17"/>
      <c r="N86" s="17"/>
      <c r="O86" s="17"/>
      <c r="P86" s="17"/>
    </row>
    <row r="87" spans="2:26" ht="18.5" thickBot="1" x14ac:dyDescent="0.6">
      <c r="B87" s="65" t="s">
        <v>55</v>
      </c>
      <c r="C87" s="66" t="s">
        <v>4</v>
      </c>
      <c r="D87" s="74" t="s">
        <v>2</v>
      </c>
      <c r="E87" s="75" t="s">
        <v>310</v>
      </c>
      <c r="F87" s="75" t="s">
        <v>334</v>
      </c>
      <c r="G87" s="75" t="s">
        <v>335</v>
      </c>
      <c r="H87" s="178" t="s">
        <v>477</v>
      </c>
      <c r="I87" s="75" t="s">
        <v>478</v>
      </c>
      <c r="J87" s="75" t="s">
        <v>479</v>
      </c>
      <c r="K87" s="195" t="s">
        <v>494</v>
      </c>
      <c r="L87" s="195" t="s">
        <v>495</v>
      </c>
      <c r="M87" s="195" t="s">
        <v>493</v>
      </c>
      <c r="N87" s="17"/>
      <c r="O87" s="17"/>
      <c r="P87" s="17"/>
      <c r="Q87" s="17"/>
      <c r="R87" s="17"/>
      <c r="S87" s="17"/>
    </row>
    <row r="88" spans="2:26" ht="18.5" thickTop="1" x14ac:dyDescent="0.55000000000000004">
      <c r="B88" s="67" t="str">
        <f>Ontwerpberekening!B5</f>
        <v>Baseline</v>
      </c>
      <c r="C88" s="67" t="str">
        <f>Ontwerpberekening!F5</f>
        <v>AC Surf 0% PR - PCR 2.0</v>
      </c>
      <c r="D88" s="117">
        <f>Ontwerpberekening!P5</f>
        <v>1690.2375</v>
      </c>
      <c r="E88" s="76">
        <f>_xlfn.IFNA(VLOOKUP(Referentie_Materiaal_Totaal46[[#This Row],[Product]]&amp;", "&amp;"Totaal",Database_Productkaarten[#All],63,FALSE),0)</f>
        <v>0</v>
      </c>
      <c r="F88" s="118">
        <f>Referentie_Materiaal_Totaal46[[#This Row],[Hoeveelheid '[ton']]]*(1-Referentie_Materiaal_Totaal46[[#This Row],[% Secundair]])</f>
        <v>1690.2375</v>
      </c>
      <c r="G88" s="118">
        <f>Referentie_Materiaal_Totaal46[[#This Row],[Hoeveelheid '[ton']]]*Referentie_Materiaal_Totaal46[[#This Row],[% Secundair]]</f>
        <v>0</v>
      </c>
      <c r="H88" s="176">
        <f>Ontwerpberekening!P5*Ontwerpberekening!R5</f>
        <v>0</v>
      </c>
      <c r="I88" s="176">
        <f>Referentie_Materiaal_Totaal46[[#This Row],[Hoeveelheid Vervaningen '[ton']]]*(1-Referentie_Materiaal_Totaal46[[#This Row],[% Secundair]])</f>
        <v>0</v>
      </c>
      <c r="J88" s="176">
        <f>Referentie_Materiaal_Totaal46[[#This Row],[Hoeveelheid Vervaningen '[ton']]]*Referentie_Materiaal_Totaal46[[#This Row],[% Secundair]]</f>
        <v>0</v>
      </c>
      <c r="K88" s="176">
        <f>Referentie_Materiaal_Totaal46[[#This Row],[Primair materiaalverbruik '[ton']]]+Referentie_Materiaal_Totaal46[[#This Row],[Primair materiaalverbruik Vervangingen '[ton']]]</f>
        <v>1690.2375</v>
      </c>
      <c r="L88" s="176">
        <f>Referentie_Materiaal_Totaal46[[#This Row],[Secundair materiaalverbruik '[ton']]]+Referentie_Materiaal_Totaal46[[#This Row],[Secundair materiaalverbruik Vervangingen '[ton']]]</f>
        <v>0</v>
      </c>
      <c r="M88" s="176">
        <f>Referentie_Materiaal_Totaal46[[#This Row],[Totaal Primair Materieelgebruik]]+Referentie_Materiaal_Totaal46[[#This Row],[Totaal Secundair Materieelgebruik]]</f>
        <v>1690.2375</v>
      </c>
      <c r="N88" s="17"/>
      <c r="O88" s="17"/>
      <c r="P88" s="17"/>
      <c r="Q88" s="17"/>
      <c r="R88" s="17"/>
      <c r="S88" s="17"/>
    </row>
    <row r="89" spans="2:26" ht="18" x14ac:dyDescent="0.55000000000000004">
      <c r="B89" s="67" t="str">
        <f>Ontwerpberekening!B6</f>
        <v>Baseline</v>
      </c>
      <c r="C89" s="67" t="str">
        <f>Ontwerpberekening!F6</f>
        <v>AC bin/base 50% PR - PCR 2.0</v>
      </c>
      <c r="D89" s="117">
        <f>Ontwerpberekening!P6</f>
        <v>189.60000000000002</v>
      </c>
      <c r="E89" s="76">
        <f>_xlfn.IFNA(VLOOKUP(Referentie_Materiaal_Totaal46[[#This Row],[Product]]&amp;", "&amp;"Totaal",Database_Productkaarten[#All],63,FALSE),0)</f>
        <v>0.5</v>
      </c>
      <c r="F89" s="118">
        <f>Referentie_Materiaal_Totaal46[[#This Row],[Hoeveelheid '[ton']]]*(1-Referentie_Materiaal_Totaal46[[#This Row],[% Secundair]])</f>
        <v>94.800000000000011</v>
      </c>
      <c r="G89" s="118">
        <f>Referentie_Materiaal_Totaal46[[#This Row],[Hoeveelheid '[ton']]]*Referentie_Materiaal_Totaal46[[#This Row],[% Secundair]]</f>
        <v>94.800000000000011</v>
      </c>
      <c r="H89" s="176">
        <f>Ontwerpberekening!P6*Ontwerpberekening!R6</f>
        <v>0</v>
      </c>
      <c r="I89" s="176">
        <f>Referentie_Materiaal_Totaal46[[#This Row],[Hoeveelheid Vervaningen '[ton']]]*(1-Referentie_Materiaal_Totaal46[[#This Row],[% Secundair]])</f>
        <v>0</v>
      </c>
      <c r="J89" s="176">
        <f>Referentie_Materiaal_Totaal46[[#This Row],[Hoeveelheid Vervaningen '[ton']]]*Referentie_Materiaal_Totaal46[[#This Row],[% Secundair]]</f>
        <v>0</v>
      </c>
      <c r="K89" s="176">
        <f>Referentie_Materiaal_Totaal46[[#This Row],[Primair materiaalverbruik '[ton']]]+Referentie_Materiaal_Totaal46[[#This Row],[Primair materiaalverbruik Vervangingen '[ton']]]</f>
        <v>94.800000000000011</v>
      </c>
      <c r="L89" s="176">
        <f>Referentie_Materiaal_Totaal46[[#This Row],[Secundair materiaalverbruik '[ton']]]+Referentie_Materiaal_Totaal46[[#This Row],[Secundair materiaalverbruik Vervangingen '[ton']]]</f>
        <v>94.800000000000011</v>
      </c>
      <c r="M89" s="176">
        <f>Referentie_Materiaal_Totaal46[[#This Row],[Totaal Primair Materieelgebruik]]+Referentie_Materiaal_Totaal46[[#This Row],[Totaal Secundair Materieelgebruik]]</f>
        <v>189.60000000000002</v>
      </c>
      <c r="N89" s="17"/>
      <c r="O89" s="17"/>
      <c r="P89" s="17"/>
      <c r="Q89" s="17"/>
      <c r="R89" s="17"/>
      <c r="S89" s="17"/>
    </row>
    <row r="90" spans="2:26" ht="18" x14ac:dyDescent="0.55000000000000004">
      <c r="B90" s="67" t="str">
        <f>Ontwerpberekening!B7</f>
        <v>Baseline</v>
      </c>
      <c r="C90" s="67" t="str">
        <f>Ontwerpberekening!F7</f>
        <v>AC bin/base 50% PR - PCR 2.0</v>
      </c>
      <c r="D90" s="117">
        <f>Ontwerpberekening!P7</f>
        <v>59.25</v>
      </c>
      <c r="E90" s="76">
        <f>_xlfn.IFNA(VLOOKUP(Referentie_Materiaal_Totaal46[[#This Row],[Product]]&amp;", "&amp;"Totaal",Database_Productkaarten[#All],63,FALSE),0)</f>
        <v>0.5</v>
      </c>
      <c r="F90" s="118">
        <f>Referentie_Materiaal_Totaal46[[#This Row],[Hoeveelheid '[ton']]]*(1-Referentie_Materiaal_Totaal46[[#This Row],[% Secundair]])</f>
        <v>29.625</v>
      </c>
      <c r="G90" s="118">
        <f>Referentie_Materiaal_Totaal46[[#This Row],[Hoeveelheid '[ton']]]*Referentie_Materiaal_Totaal46[[#This Row],[% Secundair]]</f>
        <v>29.625</v>
      </c>
      <c r="H90" s="176">
        <f>Ontwerpberekening!P7*Ontwerpberekening!R7</f>
        <v>0</v>
      </c>
      <c r="I90" s="176">
        <f>Referentie_Materiaal_Totaal46[[#This Row],[Hoeveelheid Vervaningen '[ton']]]*(1-Referentie_Materiaal_Totaal46[[#This Row],[% Secundair]])</f>
        <v>0</v>
      </c>
      <c r="J90" s="176">
        <f>Referentie_Materiaal_Totaal46[[#This Row],[Hoeveelheid Vervaningen '[ton']]]*Referentie_Materiaal_Totaal46[[#This Row],[% Secundair]]</f>
        <v>0</v>
      </c>
      <c r="K90" s="176">
        <f>Referentie_Materiaal_Totaal46[[#This Row],[Primair materiaalverbruik '[ton']]]+Referentie_Materiaal_Totaal46[[#This Row],[Primair materiaalverbruik Vervangingen '[ton']]]</f>
        <v>29.625</v>
      </c>
      <c r="L90" s="176">
        <f>Referentie_Materiaal_Totaal46[[#This Row],[Secundair materiaalverbruik '[ton']]]+Referentie_Materiaal_Totaal46[[#This Row],[Secundair materiaalverbruik Vervangingen '[ton']]]</f>
        <v>29.625</v>
      </c>
      <c r="M90" s="176">
        <f>Referentie_Materiaal_Totaal46[[#This Row],[Totaal Primair Materieelgebruik]]+Referentie_Materiaal_Totaal46[[#This Row],[Totaal Secundair Materieelgebruik]]</f>
        <v>59.25</v>
      </c>
      <c r="N90" s="17"/>
      <c r="O90" s="17"/>
      <c r="P90" s="17"/>
      <c r="Q90" s="17"/>
      <c r="R90" s="17"/>
      <c r="S90" s="189" t="s">
        <v>535</v>
      </c>
      <c r="T90" s="289" t="s">
        <v>312</v>
      </c>
      <c r="U90" s="289" t="s">
        <v>713</v>
      </c>
      <c r="V90"/>
      <c r="W90"/>
      <c r="X90"/>
      <c r="Y90"/>
      <c r="Z90"/>
    </row>
    <row r="91" spans="2:26" ht="18" x14ac:dyDescent="0.55000000000000004">
      <c r="B91" s="67" t="str">
        <f>Ontwerpberekening!B8</f>
        <v>Baseline</v>
      </c>
      <c r="C91" s="67" t="str">
        <f>Ontwerpberekening!F8</f>
        <v>Betonstraatsteen 210x105x80</v>
      </c>
      <c r="D91" s="117" t="e">
        <f>Ontwerpberekening!P8</f>
        <v>#REF!</v>
      </c>
      <c r="E91" s="76">
        <f>_xlfn.IFNA(VLOOKUP(Referentie_Materiaal_Totaal46[[#This Row],[Product]]&amp;", "&amp;"Totaal",Database_Productkaarten[#All],63,FALSE),0)</f>
        <v>0</v>
      </c>
      <c r="F91" s="118" t="e">
        <f>Referentie_Materiaal_Totaal46[[#This Row],[Hoeveelheid '[ton']]]*(1-Referentie_Materiaal_Totaal46[[#This Row],[% Secundair]])</f>
        <v>#REF!</v>
      </c>
      <c r="G91" s="118" t="e">
        <f>Referentie_Materiaal_Totaal46[[#This Row],[Hoeveelheid '[ton']]]*Referentie_Materiaal_Totaal46[[#This Row],[% Secundair]]</f>
        <v>#REF!</v>
      </c>
      <c r="H91" s="176" t="e">
        <f>Ontwerpberekening!P8*Ontwerpberekening!R8</f>
        <v>#REF!</v>
      </c>
      <c r="I91" s="176" t="e">
        <f>Referentie_Materiaal_Totaal46[[#This Row],[Hoeveelheid Vervaningen '[ton']]]*(1-Referentie_Materiaal_Totaal46[[#This Row],[% Secundair]])</f>
        <v>#REF!</v>
      </c>
      <c r="J91" s="176" t="e">
        <f>Referentie_Materiaal_Totaal46[[#This Row],[Hoeveelheid Vervaningen '[ton']]]*Referentie_Materiaal_Totaal46[[#This Row],[% Secundair]]</f>
        <v>#REF!</v>
      </c>
      <c r="K91" s="176" t="e">
        <f>Referentie_Materiaal_Totaal46[[#This Row],[Primair materiaalverbruik '[ton']]]+Referentie_Materiaal_Totaal46[[#This Row],[Primair materiaalverbruik Vervangingen '[ton']]]</f>
        <v>#REF!</v>
      </c>
      <c r="L91" s="176" t="e">
        <f>Referentie_Materiaal_Totaal46[[#This Row],[Secundair materiaalverbruik '[ton']]]+Referentie_Materiaal_Totaal46[[#This Row],[Secundair materiaalverbruik Vervangingen '[ton']]]</f>
        <v>#REF!</v>
      </c>
      <c r="M91" s="176" t="e">
        <f>Referentie_Materiaal_Totaal46[[#This Row],[Totaal Primair Materieelgebruik]]+Referentie_Materiaal_Totaal46[[#This Row],[Totaal Secundair Materieelgebruik]]</f>
        <v>#REF!</v>
      </c>
      <c r="N91" s="17"/>
      <c r="O91" s="17"/>
      <c r="P91" s="17"/>
      <c r="Q91" s="17"/>
      <c r="R91" s="17"/>
      <c r="S91" s="201">
        <v>0</v>
      </c>
      <c r="T91" s="171">
        <v>0</v>
      </c>
      <c r="U91" s="171">
        <v>0</v>
      </c>
      <c r="V91" t="e">
        <f>GETPIVOTDATA("Primair materiaalverbruik",$S$90,"Bestekspost","Beton - gestort")</f>
        <v>#REF!</v>
      </c>
      <c r="W91" s="242" t="e">
        <f>GETPIVOTDATA("Secundair materiaalverbruik",$S$90,"Bestekspost","Beton - gestort")</f>
        <v>#REF!</v>
      </c>
      <c r="X91" s="242" t="e">
        <f>V91+W91</f>
        <v>#REF!</v>
      </c>
      <c r="Y91" s="241" t="e">
        <f>V91/X91</f>
        <v>#REF!</v>
      </c>
      <c r="Z91" s="241" t="e">
        <f>W91/X91</f>
        <v>#REF!</v>
      </c>
    </row>
    <row r="92" spans="2:26" ht="18" x14ac:dyDescent="0.55000000000000004">
      <c r="B92" s="67" t="str">
        <f>Ontwerpberekening!B9</f>
        <v>Baseline</v>
      </c>
      <c r="C92" s="67" t="str">
        <f>Ontwerpberekening!F9</f>
        <v>Grond</v>
      </c>
      <c r="D92" s="117" t="e">
        <f>Ontwerpberekening!P9</f>
        <v>#REF!</v>
      </c>
      <c r="E92" s="76">
        <f>_xlfn.IFNA(VLOOKUP(Referentie_Materiaal_Totaal46[[#This Row],[Product]]&amp;", "&amp;"Totaal",Database_Productkaarten[#All],63,FALSE),0)</f>
        <v>1</v>
      </c>
      <c r="F92" s="118" t="e">
        <f>Referentie_Materiaal_Totaal46[[#This Row],[Hoeveelheid '[ton']]]*(1-Referentie_Materiaal_Totaal46[[#This Row],[% Secundair]])</f>
        <v>#REF!</v>
      </c>
      <c r="G92" s="118" t="e">
        <f>Referentie_Materiaal_Totaal46[[#This Row],[Hoeveelheid '[ton']]]*Referentie_Materiaal_Totaal46[[#This Row],[% Secundair]]</f>
        <v>#REF!</v>
      </c>
      <c r="H92" s="176" t="e">
        <f>Ontwerpberekening!P9*Ontwerpberekening!R9</f>
        <v>#REF!</v>
      </c>
      <c r="I92" s="176" t="e">
        <f>Referentie_Materiaal_Totaal46[[#This Row],[Hoeveelheid Vervaningen '[ton']]]*(1-Referentie_Materiaal_Totaal46[[#This Row],[% Secundair]])</f>
        <v>#REF!</v>
      </c>
      <c r="J92" s="176" t="e">
        <f>Referentie_Materiaal_Totaal46[[#This Row],[Hoeveelheid Vervaningen '[ton']]]*Referentie_Materiaal_Totaal46[[#This Row],[% Secundair]]</f>
        <v>#REF!</v>
      </c>
      <c r="K92" s="176" t="e">
        <f>Referentie_Materiaal_Totaal46[[#This Row],[Primair materiaalverbruik '[ton']]]+Referentie_Materiaal_Totaal46[[#This Row],[Primair materiaalverbruik Vervangingen '[ton']]]</f>
        <v>#REF!</v>
      </c>
      <c r="L92" s="176" t="e">
        <f>Referentie_Materiaal_Totaal46[[#This Row],[Secundair materiaalverbruik '[ton']]]+Referentie_Materiaal_Totaal46[[#This Row],[Secundair materiaalverbruik Vervangingen '[ton']]]</f>
        <v>#REF!</v>
      </c>
      <c r="M92" s="176" t="e">
        <f>Referentie_Materiaal_Totaal46[[#This Row],[Totaal Primair Materieelgebruik]]+Referentie_Materiaal_Totaal46[[#This Row],[Totaal Secundair Materieelgebruik]]</f>
        <v>#REF!</v>
      </c>
      <c r="N92" s="17"/>
      <c r="O92" s="17"/>
      <c r="P92" s="17"/>
      <c r="Q92" s="17"/>
      <c r="R92" s="17"/>
      <c r="S92" s="201" t="s">
        <v>1555</v>
      </c>
      <c r="T92" s="171" t="e">
        <v>#REF!</v>
      </c>
      <c r="U92" s="171" t="e">
        <v>#REF!</v>
      </c>
      <c r="V92" t="e">
        <f>GETPIVOTDATA("Primair materiaalverbruik",$S$90,"Bestekspost","Kunststof verharding")</f>
        <v>#REF!</v>
      </c>
      <c r="W92" s="242" t="e">
        <f>GETPIVOTDATA("Secundair materiaalverbruik",$S$90,"Bestekspost","Kunststof verharding")</f>
        <v>#REF!</v>
      </c>
      <c r="X92" s="242" t="e">
        <f t="shared" ref="X92:X98" si="0">V92+W92</f>
        <v>#REF!</v>
      </c>
      <c r="Y92" s="241" t="e">
        <f t="shared" ref="Y92:Y98" si="1">V92/X92</f>
        <v>#REF!</v>
      </c>
      <c r="Z92" s="241" t="e">
        <f t="shared" ref="Z92:Z98" si="2">W92/X92</f>
        <v>#REF!</v>
      </c>
    </row>
    <row r="93" spans="2:26" ht="18" x14ac:dyDescent="0.55000000000000004">
      <c r="B93" s="67" t="str">
        <f>Ontwerpberekening!B10</f>
        <v>Baseline</v>
      </c>
      <c r="C93" s="67" t="str">
        <f>Ontwerpberekening!F10</f>
        <v>Opsluitband 100x200</v>
      </c>
      <c r="D93" s="117" t="e">
        <f>Ontwerpberekening!P10</f>
        <v>#REF!</v>
      </c>
      <c r="E93" s="76">
        <f>_xlfn.IFNA(VLOOKUP(Referentie_Materiaal_Totaal46[[#This Row],[Product]]&amp;", "&amp;"Totaal",Database_Productkaarten[#All],63,FALSE),0)</f>
        <v>0</v>
      </c>
      <c r="F93" s="118" t="e">
        <f>Referentie_Materiaal_Totaal46[[#This Row],[Hoeveelheid '[ton']]]*(1-Referentie_Materiaal_Totaal46[[#This Row],[% Secundair]])</f>
        <v>#REF!</v>
      </c>
      <c r="G93" s="118" t="e">
        <f>Referentie_Materiaal_Totaal46[[#This Row],[Hoeveelheid '[ton']]]*Referentie_Materiaal_Totaal46[[#This Row],[% Secundair]]</f>
        <v>#REF!</v>
      </c>
      <c r="H93" s="176" t="e">
        <f>Ontwerpberekening!P10*Ontwerpberekening!R10</f>
        <v>#REF!</v>
      </c>
      <c r="I93" s="176" t="e">
        <f>Referentie_Materiaal_Totaal46[[#This Row],[Hoeveelheid Vervaningen '[ton']]]*(1-Referentie_Materiaal_Totaal46[[#This Row],[% Secundair]])</f>
        <v>#REF!</v>
      </c>
      <c r="J93" s="176" t="e">
        <f>Referentie_Materiaal_Totaal46[[#This Row],[Hoeveelheid Vervaningen '[ton']]]*Referentie_Materiaal_Totaal46[[#This Row],[% Secundair]]</f>
        <v>#REF!</v>
      </c>
      <c r="K93" s="176" t="e">
        <f>Referentie_Materiaal_Totaal46[[#This Row],[Primair materiaalverbruik '[ton']]]+Referentie_Materiaal_Totaal46[[#This Row],[Primair materiaalverbruik Vervangingen '[ton']]]</f>
        <v>#REF!</v>
      </c>
      <c r="L93" s="176" t="e">
        <f>Referentie_Materiaal_Totaal46[[#This Row],[Secundair materiaalverbruik '[ton']]]+Referentie_Materiaal_Totaal46[[#This Row],[Secundair materiaalverbruik Vervangingen '[ton']]]</f>
        <v>#REF!</v>
      </c>
      <c r="M93" s="176" t="e">
        <f>Referentie_Materiaal_Totaal46[[#This Row],[Totaal Primair Materieelgebruik]]+Referentie_Materiaal_Totaal46[[#This Row],[Totaal Secundair Materieelgebruik]]</f>
        <v>#REF!</v>
      </c>
      <c r="N93" s="17"/>
      <c r="O93" s="17"/>
      <c r="P93" s="17"/>
      <c r="Q93" s="17"/>
      <c r="R93" s="17"/>
      <c r="S93" s="201" t="s">
        <v>1556</v>
      </c>
      <c r="T93" s="171" t="e">
        <v>#REF!</v>
      </c>
      <c r="U93" s="171" t="e">
        <v>#REF!</v>
      </c>
      <c r="V93" t="e">
        <f>GETPIVOTDATA("Primair materiaalverbruik",$S$90,"Bestekspost","Asfalt - rood met zwart bitumen")</f>
        <v>#REF!</v>
      </c>
      <c r="W93" s="242" t="e">
        <f>GETPIVOTDATA("Secundair materiaalverbruik",$S$90,"Bestekspost","Asfalt - rood met zwart bitumen")</f>
        <v>#REF!</v>
      </c>
      <c r="X93" s="242" t="e">
        <f t="shared" si="0"/>
        <v>#REF!</v>
      </c>
      <c r="Y93" s="241" t="e">
        <f t="shared" si="1"/>
        <v>#REF!</v>
      </c>
      <c r="Z93" s="241" t="e">
        <f t="shared" si="2"/>
        <v>#REF!</v>
      </c>
    </row>
    <row r="94" spans="2:26" ht="18" x14ac:dyDescent="0.55000000000000004">
      <c r="B94" s="67" t="str">
        <f>Ontwerpberekening!B11</f>
        <v>Baseline</v>
      </c>
      <c r="C94" s="67" t="str">
        <f>Ontwerpberekening!F11</f>
        <v>Opsluitband 100x200</v>
      </c>
      <c r="D94" s="117" t="e">
        <f>Ontwerpberekening!P11</f>
        <v>#REF!</v>
      </c>
      <c r="E94" s="76">
        <f>_xlfn.IFNA(VLOOKUP(Referentie_Materiaal_Totaal46[[#This Row],[Product]]&amp;", "&amp;"Totaal",Database_Productkaarten[#All],63,FALSE),0)</f>
        <v>0</v>
      </c>
      <c r="F94" s="118" t="e">
        <f>Referentie_Materiaal_Totaal46[[#This Row],[Hoeveelheid '[ton']]]*(1-Referentie_Materiaal_Totaal46[[#This Row],[% Secundair]])</f>
        <v>#REF!</v>
      </c>
      <c r="G94" s="118" t="e">
        <f>Referentie_Materiaal_Totaal46[[#This Row],[Hoeveelheid '[ton']]]*Referentie_Materiaal_Totaal46[[#This Row],[% Secundair]]</f>
        <v>#REF!</v>
      </c>
      <c r="H94" s="176" t="e">
        <f>Ontwerpberekening!P11*Ontwerpberekening!R11</f>
        <v>#REF!</v>
      </c>
      <c r="I94" s="176" t="e">
        <f>Referentie_Materiaal_Totaal46[[#This Row],[Hoeveelheid Vervaningen '[ton']]]*(1-Referentie_Materiaal_Totaal46[[#This Row],[% Secundair]])</f>
        <v>#REF!</v>
      </c>
      <c r="J94" s="176" t="e">
        <f>Referentie_Materiaal_Totaal46[[#This Row],[Hoeveelheid Vervaningen '[ton']]]*Referentie_Materiaal_Totaal46[[#This Row],[% Secundair]]</f>
        <v>#REF!</v>
      </c>
      <c r="K94" s="176" t="e">
        <f>Referentie_Materiaal_Totaal46[[#This Row],[Primair materiaalverbruik '[ton']]]+Referentie_Materiaal_Totaal46[[#This Row],[Primair materiaalverbruik Vervangingen '[ton']]]</f>
        <v>#REF!</v>
      </c>
      <c r="L94" s="176" t="e">
        <f>Referentie_Materiaal_Totaal46[[#This Row],[Secundair materiaalverbruik '[ton']]]+Referentie_Materiaal_Totaal46[[#This Row],[Secundair materiaalverbruik Vervangingen '[ton']]]</f>
        <v>#REF!</v>
      </c>
      <c r="M94" s="176" t="e">
        <f>Referentie_Materiaal_Totaal46[[#This Row],[Totaal Primair Materieelgebruik]]+Referentie_Materiaal_Totaal46[[#This Row],[Totaal Secundair Materieelgebruik]]</f>
        <v>#REF!</v>
      </c>
      <c r="N94" s="17"/>
      <c r="O94" s="17"/>
      <c r="P94" s="17"/>
      <c r="Q94" s="17"/>
      <c r="R94" s="17"/>
      <c r="S94" s="201" t="s">
        <v>536</v>
      </c>
      <c r="T94" s="171" t="e">
        <v>#REF!</v>
      </c>
      <c r="U94" s="171" t="e">
        <v>#REF!</v>
      </c>
      <c r="V94" t="e">
        <f>GETPIVOTDATA("Primair materiaalverbruik",$S$90,"Bestekspost","Asfalt - rood met blanke bitumen")</f>
        <v>#REF!</v>
      </c>
      <c r="W94" s="242" t="e">
        <f>GETPIVOTDATA("Secundair materiaalverbruik",$S$90,"Bestekspost","Asfalt - rood met blanke bitumen")</f>
        <v>#REF!</v>
      </c>
      <c r="X94" s="242" t="e">
        <f t="shared" si="0"/>
        <v>#REF!</v>
      </c>
      <c r="Y94" s="241" t="e">
        <f t="shared" si="1"/>
        <v>#REF!</v>
      </c>
      <c r="Z94" s="241" t="e">
        <f t="shared" si="2"/>
        <v>#REF!</v>
      </c>
    </row>
    <row r="95" spans="2:26" ht="18" x14ac:dyDescent="0.55000000000000004">
      <c r="B95" s="67" t="str">
        <f>Ontwerpberekening!B12</f>
        <v>Baseline</v>
      </c>
      <c r="C95" s="67" t="str">
        <f>Ontwerpberekening!F12</f>
        <v>Grond</v>
      </c>
      <c r="D95" s="117" t="e">
        <f>Ontwerpberekening!P12</f>
        <v>#REF!</v>
      </c>
      <c r="E95" s="76">
        <f>_xlfn.IFNA(VLOOKUP(Referentie_Materiaal_Totaal46[[#This Row],[Product]]&amp;", "&amp;"Totaal",Database_Productkaarten[#All],63,FALSE),0)</f>
        <v>1</v>
      </c>
      <c r="F95" s="118" t="e">
        <f>Referentie_Materiaal_Totaal46[[#This Row],[Hoeveelheid '[ton']]]*(1-Referentie_Materiaal_Totaal46[[#This Row],[% Secundair]])</f>
        <v>#REF!</v>
      </c>
      <c r="G95" s="118" t="e">
        <f>Referentie_Materiaal_Totaal46[[#This Row],[Hoeveelheid '[ton']]]*Referentie_Materiaal_Totaal46[[#This Row],[% Secundair]]</f>
        <v>#REF!</v>
      </c>
      <c r="H95" s="176" t="e">
        <f>Ontwerpberekening!P12*Ontwerpberekening!R12</f>
        <v>#REF!</v>
      </c>
      <c r="I95" s="176" t="e">
        <f>Referentie_Materiaal_Totaal46[[#This Row],[Hoeveelheid Vervaningen '[ton']]]*(1-Referentie_Materiaal_Totaal46[[#This Row],[% Secundair]])</f>
        <v>#REF!</v>
      </c>
      <c r="J95" s="176" t="e">
        <f>Referentie_Materiaal_Totaal46[[#This Row],[Hoeveelheid Vervaningen '[ton']]]*Referentie_Materiaal_Totaal46[[#This Row],[% Secundair]]</f>
        <v>#REF!</v>
      </c>
      <c r="K95" s="176" t="e">
        <f>Referentie_Materiaal_Totaal46[[#This Row],[Primair materiaalverbruik '[ton']]]+Referentie_Materiaal_Totaal46[[#This Row],[Primair materiaalverbruik Vervangingen '[ton']]]</f>
        <v>#REF!</v>
      </c>
      <c r="L95" s="176" t="e">
        <f>Referentie_Materiaal_Totaal46[[#This Row],[Secundair materiaalverbruik '[ton']]]+Referentie_Materiaal_Totaal46[[#This Row],[Secundair materiaalverbruik Vervangingen '[ton']]]</f>
        <v>#REF!</v>
      </c>
      <c r="M95" s="176" t="e">
        <f>Referentie_Materiaal_Totaal46[[#This Row],[Totaal Primair Materieelgebruik]]+Referentie_Materiaal_Totaal46[[#This Row],[Totaal Secundair Materieelgebruik]]</f>
        <v>#REF!</v>
      </c>
      <c r="N95" s="17"/>
      <c r="O95" s="17"/>
      <c r="P95" s="17"/>
      <c r="Q95" s="17"/>
      <c r="R95" s="17"/>
      <c r="S95"/>
      <c r="T95"/>
      <c r="U95"/>
      <c r="V95" t="e">
        <f>GETPIVOTDATA("Primair materiaalverbruik",$S$90,"Bestekspost","Beton - prefab platen")</f>
        <v>#REF!</v>
      </c>
      <c r="W95" s="242" t="e">
        <f>GETPIVOTDATA("Secundair materiaalverbruik",$S$90,"Bestekspost","Beton - prefab platen")</f>
        <v>#REF!</v>
      </c>
      <c r="X95" s="242" t="e">
        <f t="shared" si="0"/>
        <v>#REF!</v>
      </c>
      <c r="Y95" s="241" t="e">
        <f t="shared" si="1"/>
        <v>#REF!</v>
      </c>
      <c r="Z95" s="241" t="e">
        <f t="shared" si="2"/>
        <v>#REF!</v>
      </c>
    </row>
    <row r="96" spans="2:26" ht="18" x14ac:dyDescent="0.55000000000000004">
      <c r="B96" s="67" t="str">
        <f>Ontwerpberekening!B13</f>
        <v>Baseline</v>
      </c>
      <c r="C96" s="67" t="str">
        <f>Ontwerpberekening!F13</f>
        <v>Hydraulisch Menggranulaat</v>
      </c>
      <c r="D96" s="117">
        <f>Ontwerpberekening!P13</f>
        <v>27</v>
      </c>
      <c r="E96" s="76">
        <f>_xlfn.IFNA(VLOOKUP(Referentie_Materiaal_Totaal46[[#This Row],[Product]]&amp;", "&amp;"Totaal",Database_Productkaarten[#All],63,FALSE),0)</f>
        <v>1</v>
      </c>
      <c r="F96" s="118">
        <f>Referentie_Materiaal_Totaal46[[#This Row],[Hoeveelheid '[ton']]]*(1-Referentie_Materiaal_Totaal46[[#This Row],[% Secundair]])</f>
        <v>0</v>
      </c>
      <c r="G96" s="118">
        <f>Referentie_Materiaal_Totaal46[[#This Row],[Hoeveelheid '[ton']]]*Referentie_Materiaal_Totaal46[[#This Row],[% Secundair]]</f>
        <v>27</v>
      </c>
      <c r="H96" s="176">
        <f>Ontwerpberekening!P13*Ontwerpberekening!R13</f>
        <v>0</v>
      </c>
      <c r="I96" s="176">
        <f>Referentie_Materiaal_Totaal46[[#This Row],[Hoeveelheid Vervaningen '[ton']]]*(1-Referentie_Materiaal_Totaal46[[#This Row],[% Secundair]])</f>
        <v>0</v>
      </c>
      <c r="J96" s="176">
        <f>Referentie_Materiaal_Totaal46[[#This Row],[Hoeveelheid Vervaningen '[ton']]]*Referentie_Materiaal_Totaal46[[#This Row],[% Secundair]]</f>
        <v>0</v>
      </c>
      <c r="K96" s="176">
        <f>Referentie_Materiaal_Totaal46[[#This Row],[Primair materiaalverbruik '[ton']]]+Referentie_Materiaal_Totaal46[[#This Row],[Primair materiaalverbruik Vervangingen '[ton']]]</f>
        <v>0</v>
      </c>
      <c r="L96" s="176">
        <f>Referentie_Materiaal_Totaal46[[#This Row],[Secundair materiaalverbruik '[ton']]]+Referentie_Materiaal_Totaal46[[#This Row],[Secundair materiaalverbruik Vervangingen '[ton']]]</f>
        <v>27</v>
      </c>
      <c r="M96" s="176">
        <f>Referentie_Materiaal_Totaal46[[#This Row],[Totaal Primair Materieelgebruik]]+Referentie_Materiaal_Totaal46[[#This Row],[Totaal Secundair Materieelgebruik]]</f>
        <v>27</v>
      </c>
      <c r="N96" s="17"/>
      <c r="O96" s="17"/>
      <c r="P96" s="17"/>
      <c r="Q96" s="17"/>
      <c r="R96" s="17"/>
      <c r="S96"/>
      <c r="T96"/>
      <c r="U96"/>
      <c r="V96" t="e">
        <f>GETPIVOTDATA("Primair materiaalverbruik",$S$90,"Bestekspost","Beton - elementverharding")</f>
        <v>#REF!</v>
      </c>
      <c r="W96" s="242" t="e">
        <f>GETPIVOTDATA("Secundair materiaalverbruik",$S$90,"Bestekspost","Beton - elementverharding")</f>
        <v>#REF!</v>
      </c>
      <c r="X96" s="242" t="e">
        <f t="shared" si="0"/>
        <v>#REF!</v>
      </c>
      <c r="Y96" s="241" t="e">
        <f t="shared" si="1"/>
        <v>#REF!</v>
      </c>
      <c r="Z96" s="241" t="e">
        <f t="shared" si="2"/>
        <v>#REF!</v>
      </c>
    </row>
    <row r="97" spans="2:26" ht="18" x14ac:dyDescent="0.55000000000000004">
      <c r="B97" s="67" t="str">
        <f>Ontwerpberekening!B14</f>
        <v>Baseline</v>
      </c>
      <c r="C97" s="67" t="str">
        <f>Ontwerpberekening!F14</f>
        <v>AC bin/base 50% PR - PCR 2.0</v>
      </c>
      <c r="D97" s="117">
        <f>Ontwerpberekening!P14</f>
        <v>59.25</v>
      </c>
      <c r="E97" s="76">
        <f>_xlfn.IFNA(VLOOKUP(Referentie_Materiaal_Totaal46[[#This Row],[Product]]&amp;", "&amp;"Totaal",Database_Productkaarten[#All],63,FALSE),0)</f>
        <v>0.5</v>
      </c>
      <c r="F97" s="118">
        <f>Referentie_Materiaal_Totaal46[[#This Row],[Hoeveelheid '[ton']]]*(1-Referentie_Materiaal_Totaal46[[#This Row],[% Secundair]])</f>
        <v>29.625</v>
      </c>
      <c r="G97" s="118">
        <f>Referentie_Materiaal_Totaal46[[#This Row],[Hoeveelheid '[ton']]]*Referentie_Materiaal_Totaal46[[#This Row],[% Secundair]]</f>
        <v>29.625</v>
      </c>
      <c r="H97" s="176">
        <f>Ontwerpberekening!P14*Ontwerpberekening!R14</f>
        <v>0</v>
      </c>
      <c r="I97" s="176">
        <f>Referentie_Materiaal_Totaal46[[#This Row],[Hoeveelheid Vervaningen '[ton']]]*(1-Referentie_Materiaal_Totaal46[[#This Row],[% Secundair]])</f>
        <v>0</v>
      </c>
      <c r="J97" s="176">
        <f>Referentie_Materiaal_Totaal46[[#This Row],[Hoeveelheid Vervaningen '[ton']]]*Referentie_Materiaal_Totaal46[[#This Row],[% Secundair]]</f>
        <v>0</v>
      </c>
      <c r="K97" s="176">
        <f>Referentie_Materiaal_Totaal46[[#This Row],[Primair materiaalverbruik '[ton']]]+Referentie_Materiaal_Totaal46[[#This Row],[Primair materiaalverbruik Vervangingen '[ton']]]</f>
        <v>29.625</v>
      </c>
      <c r="L97" s="176">
        <f>Referentie_Materiaal_Totaal46[[#This Row],[Secundair materiaalverbruik '[ton']]]+Referentie_Materiaal_Totaal46[[#This Row],[Secundair materiaalverbruik Vervangingen '[ton']]]</f>
        <v>29.625</v>
      </c>
      <c r="M97" s="176">
        <f>Referentie_Materiaal_Totaal46[[#This Row],[Totaal Primair Materieelgebruik]]+Referentie_Materiaal_Totaal46[[#This Row],[Totaal Secundair Materieelgebruik]]</f>
        <v>59.25</v>
      </c>
      <c r="N97" s="17"/>
      <c r="O97" s="17"/>
      <c r="P97" s="17"/>
      <c r="Q97" s="17"/>
      <c r="R97" s="17"/>
      <c r="S97"/>
      <c r="T97"/>
      <c r="U97"/>
      <c r="V97" t="e">
        <f>GETPIVOTDATA("Primair materiaalverbruik",$S$90,"Bestekspost","Geopolymeer - elementverharding")</f>
        <v>#REF!</v>
      </c>
      <c r="W97" s="242" t="e">
        <f>GETPIVOTDATA("Secundair materiaalverbruik",$S$90,"Bestekspost","Geopolymeer - elementverharding")</f>
        <v>#REF!</v>
      </c>
      <c r="X97" s="242" t="e">
        <f t="shared" si="0"/>
        <v>#REF!</v>
      </c>
      <c r="Y97" s="241" t="e">
        <f t="shared" si="1"/>
        <v>#REF!</v>
      </c>
      <c r="Z97" s="241" t="e">
        <f t="shared" si="2"/>
        <v>#REF!</v>
      </c>
    </row>
    <row r="98" spans="2:26" ht="18" x14ac:dyDescent="0.55000000000000004">
      <c r="B98" s="67" t="str">
        <f>Ontwerpberekening!B15</f>
        <v>Baseline</v>
      </c>
      <c r="C98" s="67" t="str">
        <f>Ontwerpberekening!F15</f>
        <v>AC bin/base 50% PR - PCR 2.0</v>
      </c>
      <c r="D98" s="117">
        <f>Ontwerpberekening!P15</f>
        <v>284.40000000000003</v>
      </c>
      <c r="E98" s="76">
        <f>_xlfn.IFNA(VLOOKUP(Referentie_Materiaal_Totaal46[[#This Row],[Product]]&amp;", "&amp;"Totaal",Database_Productkaarten[#All],63,FALSE),0)</f>
        <v>0.5</v>
      </c>
      <c r="F98" s="118">
        <f>Referentie_Materiaal_Totaal46[[#This Row],[Hoeveelheid '[ton']]]*(1-Referentie_Materiaal_Totaal46[[#This Row],[% Secundair]])</f>
        <v>142.20000000000002</v>
      </c>
      <c r="G98" s="118">
        <f>Referentie_Materiaal_Totaal46[[#This Row],[Hoeveelheid '[ton']]]*Referentie_Materiaal_Totaal46[[#This Row],[% Secundair]]</f>
        <v>142.20000000000002</v>
      </c>
      <c r="H98" s="176">
        <f>Ontwerpberekening!P15*Ontwerpberekening!R15</f>
        <v>0</v>
      </c>
      <c r="I98" s="176">
        <f>Referentie_Materiaal_Totaal46[[#This Row],[Hoeveelheid Vervaningen '[ton']]]*(1-Referentie_Materiaal_Totaal46[[#This Row],[% Secundair]])</f>
        <v>0</v>
      </c>
      <c r="J98" s="176">
        <f>Referentie_Materiaal_Totaal46[[#This Row],[Hoeveelheid Vervaningen '[ton']]]*Referentie_Materiaal_Totaal46[[#This Row],[% Secundair]]</f>
        <v>0</v>
      </c>
      <c r="K98" s="176">
        <f>Referentie_Materiaal_Totaal46[[#This Row],[Primair materiaalverbruik '[ton']]]+Referentie_Materiaal_Totaal46[[#This Row],[Primair materiaalverbruik Vervangingen '[ton']]]</f>
        <v>142.20000000000002</v>
      </c>
      <c r="L98" s="176">
        <f>Referentie_Materiaal_Totaal46[[#This Row],[Secundair materiaalverbruik '[ton']]]+Referentie_Materiaal_Totaal46[[#This Row],[Secundair materiaalverbruik Vervangingen '[ton']]]</f>
        <v>142.20000000000002</v>
      </c>
      <c r="M98" s="176">
        <f>Referentie_Materiaal_Totaal46[[#This Row],[Totaal Primair Materieelgebruik]]+Referentie_Materiaal_Totaal46[[#This Row],[Totaal Secundair Materieelgebruik]]</f>
        <v>284.40000000000003</v>
      </c>
      <c r="N98" s="17"/>
      <c r="O98" s="17"/>
      <c r="P98" s="17"/>
      <c r="Q98" s="17"/>
      <c r="R98" s="17"/>
      <c r="S98"/>
      <c r="T98"/>
      <c r="U98"/>
      <c r="V98" t="e">
        <f>GETPIVOTDATA("Primair materiaalverbruik",$S$90,"Bestekspost","Gebakken - elementverharding")</f>
        <v>#REF!</v>
      </c>
      <c r="W98" s="242" t="e">
        <f>GETPIVOTDATA("Secundair materiaalverbruik",$S$90,"Bestekspost","Gebakken - elementverharding")</f>
        <v>#REF!</v>
      </c>
      <c r="X98" s="242" t="e">
        <f t="shared" si="0"/>
        <v>#REF!</v>
      </c>
      <c r="Y98" s="241" t="e">
        <f t="shared" si="1"/>
        <v>#REF!</v>
      </c>
      <c r="Z98" s="241" t="e">
        <f t="shared" si="2"/>
        <v>#REF!</v>
      </c>
    </row>
    <row r="99" spans="2:26" ht="18" x14ac:dyDescent="0.55000000000000004">
      <c r="B99" s="67" t="str">
        <f>Ontwerpberekening!B16</f>
        <v>Baseline</v>
      </c>
      <c r="C99" s="67" t="str">
        <f>Ontwerpberekening!F16</f>
        <v>AC Surf 0% PR - PCR 2.0</v>
      </c>
      <c r="D99" s="117">
        <f>Ontwerpberekening!P16</f>
        <v>1690.2375</v>
      </c>
      <c r="E99" s="76">
        <f>_xlfn.IFNA(VLOOKUP(Referentie_Materiaal_Totaal46[[#This Row],[Product]]&amp;", "&amp;"Totaal",Database_Productkaarten[#All],63,FALSE),0)</f>
        <v>0</v>
      </c>
      <c r="F99" s="118">
        <f>Referentie_Materiaal_Totaal46[[#This Row],[Hoeveelheid '[ton']]]*(1-Referentie_Materiaal_Totaal46[[#This Row],[% Secundair]])</f>
        <v>1690.2375</v>
      </c>
      <c r="G99" s="118">
        <f>Referentie_Materiaal_Totaal46[[#This Row],[Hoeveelheid '[ton']]]*Referentie_Materiaal_Totaal46[[#This Row],[% Secundair]]</f>
        <v>0</v>
      </c>
      <c r="H99" s="176">
        <f>Ontwerpberekening!P16*Ontwerpberekening!R16</f>
        <v>0</v>
      </c>
      <c r="I99" s="176">
        <f>Referentie_Materiaal_Totaal46[[#This Row],[Hoeveelheid Vervaningen '[ton']]]*(1-Referentie_Materiaal_Totaal46[[#This Row],[% Secundair]])</f>
        <v>0</v>
      </c>
      <c r="J99" s="176">
        <f>Referentie_Materiaal_Totaal46[[#This Row],[Hoeveelheid Vervaningen '[ton']]]*Referentie_Materiaal_Totaal46[[#This Row],[% Secundair]]</f>
        <v>0</v>
      </c>
      <c r="K99" s="176">
        <f>Referentie_Materiaal_Totaal46[[#This Row],[Primair materiaalverbruik '[ton']]]+Referentie_Materiaal_Totaal46[[#This Row],[Primair materiaalverbruik Vervangingen '[ton']]]</f>
        <v>1690.2375</v>
      </c>
      <c r="L99" s="176">
        <f>Referentie_Materiaal_Totaal46[[#This Row],[Secundair materiaalverbruik '[ton']]]+Referentie_Materiaal_Totaal46[[#This Row],[Secundair materiaalverbruik Vervangingen '[ton']]]</f>
        <v>0</v>
      </c>
      <c r="M99" s="176">
        <f>Referentie_Materiaal_Totaal46[[#This Row],[Totaal Primair Materieelgebruik]]+Referentie_Materiaal_Totaal46[[#This Row],[Totaal Secundair Materieelgebruik]]</f>
        <v>1690.2375</v>
      </c>
      <c r="N99" s="17"/>
      <c r="O99" s="17"/>
      <c r="P99" s="17"/>
      <c r="Q99" s="17"/>
      <c r="R99" s="17"/>
      <c r="S99"/>
      <c r="T99"/>
      <c r="U99"/>
    </row>
    <row r="100" spans="2:26" ht="18" x14ac:dyDescent="0.55000000000000004">
      <c r="B100" s="67" t="str">
        <f>Ontwerpberekening!B17</f>
        <v>Baseline</v>
      </c>
      <c r="C100" s="67" t="str">
        <f>Ontwerpberekening!F17</f>
        <v>Betonstraatsteen 210x105x80</v>
      </c>
      <c r="D100" s="117" t="e">
        <f>Ontwerpberekening!P17</f>
        <v>#REF!</v>
      </c>
      <c r="E100" s="76">
        <f>_xlfn.IFNA(VLOOKUP(Referentie_Materiaal_Totaal46[[#This Row],[Product]]&amp;", "&amp;"Totaal",Database_Productkaarten[#All],63,FALSE),0)</f>
        <v>0</v>
      </c>
      <c r="F100" s="118" t="e">
        <f>Referentie_Materiaal_Totaal46[[#This Row],[Hoeveelheid '[ton']]]*(1-Referentie_Materiaal_Totaal46[[#This Row],[% Secundair]])</f>
        <v>#REF!</v>
      </c>
      <c r="G100" s="118" t="e">
        <f>Referentie_Materiaal_Totaal46[[#This Row],[Hoeveelheid '[ton']]]*Referentie_Materiaal_Totaal46[[#This Row],[% Secundair]]</f>
        <v>#REF!</v>
      </c>
      <c r="H100" s="176" t="e">
        <f>Ontwerpberekening!P17*Ontwerpberekening!R17</f>
        <v>#REF!</v>
      </c>
      <c r="I100" s="176" t="e">
        <f>Referentie_Materiaal_Totaal46[[#This Row],[Hoeveelheid Vervaningen '[ton']]]*(1-Referentie_Materiaal_Totaal46[[#This Row],[% Secundair]])</f>
        <v>#REF!</v>
      </c>
      <c r="J100" s="176" t="e">
        <f>Referentie_Materiaal_Totaal46[[#This Row],[Hoeveelheid Vervaningen '[ton']]]*Referentie_Materiaal_Totaal46[[#This Row],[% Secundair]]</f>
        <v>#REF!</v>
      </c>
      <c r="K100" s="176" t="e">
        <f>Referentie_Materiaal_Totaal46[[#This Row],[Primair materiaalverbruik '[ton']]]+Referentie_Materiaal_Totaal46[[#This Row],[Primair materiaalverbruik Vervangingen '[ton']]]</f>
        <v>#REF!</v>
      </c>
      <c r="L100" s="176" t="e">
        <f>Referentie_Materiaal_Totaal46[[#This Row],[Secundair materiaalverbruik '[ton']]]+Referentie_Materiaal_Totaal46[[#This Row],[Secundair materiaalverbruik Vervangingen '[ton']]]</f>
        <v>#REF!</v>
      </c>
      <c r="M100" s="176" t="e">
        <f>Referentie_Materiaal_Totaal46[[#This Row],[Totaal Primair Materieelgebruik]]+Referentie_Materiaal_Totaal46[[#This Row],[Totaal Secundair Materieelgebruik]]</f>
        <v>#REF!</v>
      </c>
      <c r="N100" s="17"/>
      <c r="O100" s="17"/>
      <c r="P100" s="17"/>
      <c r="Q100" s="17"/>
      <c r="R100" s="17"/>
    </row>
    <row r="101" spans="2:26" ht="18" x14ac:dyDescent="0.55000000000000004">
      <c r="B101" s="67" t="str">
        <f>Ontwerpberekening!B18</f>
        <v>Baseline</v>
      </c>
      <c r="C101" s="67" t="str">
        <f>Ontwerpberekening!F18</f>
        <v>Grond</v>
      </c>
      <c r="D101" s="117" t="e">
        <f>Ontwerpberekening!P18</f>
        <v>#REF!</v>
      </c>
      <c r="E101" s="76">
        <f>_xlfn.IFNA(VLOOKUP(Referentie_Materiaal_Totaal46[[#This Row],[Product]]&amp;", "&amp;"Totaal",Database_Productkaarten[#All],63,FALSE),0)</f>
        <v>1</v>
      </c>
      <c r="F101" s="118" t="e">
        <f>Referentie_Materiaal_Totaal46[[#This Row],[Hoeveelheid '[ton']]]*(1-Referentie_Materiaal_Totaal46[[#This Row],[% Secundair]])</f>
        <v>#REF!</v>
      </c>
      <c r="G101" s="118" t="e">
        <f>Referentie_Materiaal_Totaal46[[#This Row],[Hoeveelheid '[ton']]]*Referentie_Materiaal_Totaal46[[#This Row],[% Secundair]]</f>
        <v>#REF!</v>
      </c>
      <c r="H101" s="176" t="e">
        <f>Ontwerpberekening!P18*Ontwerpberekening!R18</f>
        <v>#REF!</v>
      </c>
      <c r="I101" s="176" t="e">
        <f>Referentie_Materiaal_Totaal46[[#This Row],[Hoeveelheid Vervaningen '[ton']]]*(1-Referentie_Materiaal_Totaal46[[#This Row],[% Secundair]])</f>
        <v>#REF!</v>
      </c>
      <c r="J101" s="176" t="e">
        <f>Referentie_Materiaal_Totaal46[[#This Row],[Hoeveelheid Vervaningen '[ton']]]*Referentie_Materiaal_Totaal46[[#This Row],[% Secundair]]</f>
        <v>#REF!</v>
      </c>
      <c r="K101" s="176" t="e">
        <f>Referentie_Materiaal_Totaal46[[#This Row],[Primair materiaalverbruik '[ton']]]+Referentie_Materiaal_Totaal46[[#This Row],[Primair materiaalverbruik Vervangingen '[ton']]]</f>
        <v>#REF!</v>
      </c>
      <c r="L101" s="176" t="e">
        <f>Referentie_Materiaal_Totaal46[[#This Row],[Secundair materiaalverbruik '[ton']]]+Referentie_Materiaal_Totaal46[[#This Row],[Secundair materiaalverbruik Vervangingen '[ton']]]</f>
        <v>#REF!</v>
      </c>
      <c r="M101" s="176" t="e">
        <f>Referentie_Materiaal_Totaal46[[#This Row],[Totaal Primair Materieelgebruik]]+Referentie_Materiaal_Totaal46[[#This Row],[Totaal Secundair Materieelgebruik]]</f>
        <v>#REF!</v>
      </c>
      <c r="N101" s="17"/>
      <c r="O101" s="17"/>
      <c r="P101" s="17"/>
      <c r="Q101" s="17"/>
      <c r="R101" s="17"/>
    </row>
    <row r="102" spans="2:26" ht="18" x14ac:dyDescent="0.55000000000000004">
      <c r="B102" s="67" t="str">
        <f>Ontwerpberekening!B19</f>
        <v>Baseline</v>
      </c>
      <c r="C102" s="67" t="str">
        <f>Ontwerpberekening!F19</f>
        <v>Opsluitband 100x200</v>
      </c>
      <c r="D102" s="117" t="e">
        <f>Ontwerpberekening!P19</f>
        <v>#REF!</v>
      </c>
      <c r="E102" s="76">
        <f>_xlfn.IFNA(VLOOKUP(Referentie_Materiaal_Totaal46[[#This Row],[Product]]&amp;", "&amp;"Totaal",Database_Productkaarten[#All],63,FALSE),0)</f>
        <v>0</v>
      </c>
      <c r="F102" s="118" t="e">
        <f>Referentie_Materiaal_Totaal46[[#This Row],[Hoeveelheid '[ton']]]*(1-Referentie_Materiaal_Totaal46[[#This Row],[% Secundair]])</f>
        <v>#REF!</v>
      </c>
      <c r="G102" s="118" t="e">
        <f>Referentie_Materiaal_Totaal46[[#This Row],[Hoeveelheid '[ton']]]*Referentie_Materiaal_Totaal46[[#This Row],[% Secundair]]</f>
        <v>#REF!</v>
      </c>
      <c r="H102" s="176" t="e">
        <f>Ontwerpberekening!P19*Ontwerpberekening!R19</f>
        <v>#REF!</v>
      </c>
      <c r="I102" s="176" t="e">
        <f>Referentie_Materiaal_Totaal46[[#This Row],[Hoeveelheid Vervaningen '[ton']]]*(1-Referentie_Materiaal_Totaal46[[#This Row],[% Secundair]])</f>
        <v>#REF!</v>
      </c>
      <c r="J102" s="176" t="e">
        <f>Referentie_Materiaal_Totaal46[[#This Row],[Hoeveelheid Vervaningen '[ton']]]*Referentie_Materiaal_Totaal46[[#This Row],[% Secundair]]</f>
        <v>#REF!</v>
      </c>
      <c r="K102" s="176" t="e">
        <f>Referentie_Materiaal_Totaal46[[#This Row],[Primair materiaalverbruik '[ton']]]+Referentie_Materiaal_Totaal46[[#This Row],[Primair materiaalverbruik Vervangingen '[ton']]]</f>
        <v>#REF!</v>
      </c>
      <c r="L102" s="176" t="e">
        <f>Referentie_Materiaal_Totaal46[[#This Row],[Secundair materiaalverbruik '[ton']]]+Referentie_Materiaal_Totaal46[[#This Row],[Secundair materiaalverbruik Vervangingen '[ton']]]</f>
        <v>#REF!</v>
      </c>
      <c r="M102" s="176" t="e">
        <f>Referentie_Materiaal_Totaal46[[#This Row],[Totaal Primair Materieelgebruik]]+Referentie_Materiaal_Totaal46[[#This Row],[Totaal Secundair Materieelgebruik]]</f>
        <v>#REF!</v>
      </c>
      <c r="N102" s="17"/>
      <c r="O102" s="17"/>
      <c r="P102" s="17"/>
      <c r="Q102" s="17"/>
      <c r="R102" s="17"/>
    </row>
    <row r="103" spans="2:26" ht="18" x14ac:dyDescent="0.55000000000000004">
      <c r="B103" s="67" t="str">
        <f>Ontwerpberekening!B20</f>
        <v>Baseline</v>
      </c>
      <c r="C103" s="67" t="str">
        <f>Ontwerpberekening!F20</f>
        <v>Opsluitband 100x200</v>
      </c>
      <c r="D103" s="117" t="e">
        <f>Ontwerpberekening!P20</f>
        <v>#REF!</v>
      </c>
      <c r="E103" s="76">
        <f>_xlfn.IFNA(VLOOKUP(Referentie_Materiaal_Totaal46[[#This Row],[Product]]&amp;", "&amp;"Totaal",Database_Productkaarten[#All],63,FALSE),0)</f>
        <v>0</v>
      </c>
      <c r="F103" s="118" t="e">
        <f>Referentie_Materiaal_Totaal46[[#This Row],[Hoeveelheid '[ton']]]*(1-Referentie_Materiaal_Totaal46[[#This Row],[% Secundair]])</f>
        <v>#REF!</v>
      </c>
      <c r="G103" s="118" t="e">
        <f>Referentie_Materiaal_Totaal46[[#This Row],[Hoeveelheid '[ton']]]*Referentie_Materiaal_Totaal46[[#This Row],[% Secundair]]</f>
        <v>#REF!</v>
      </c>
      <c r="H103" s="176" t="e">
        <f>Ontwerpberekening!P20*Ontwerpberekening!R20</f>
        <v>#REF!</v>
      </c>
      <c r="I103" s="176" t="e">
        <f>Referentie_Materiaal_Totaal46[[#This Row],[Hoeveelheid Vervaningen '[ton']]]*(1-Referentie_Materiaal_Totaal46[[#This Row],[% Secundair]])</f>
        <v>#REF!</v>
      </c>
      <c r="J103" s="176" t="e">
        <f>Referentie_Materiaal_Totaal46[[#This Row],[Hoeveelheid Vervaningen '[ton']]]*Referentie_Materiaal_Totaal46[[#This Row],[% Secundair]]</f>
        <v>#REF!</v>
      </c>
      <c r="K103" s="176" t="e">
        <f>Referentie_Materiaal_Totaal46[[#This Row],[Primair materiaalverbruik '[ton']]]+Referentie_Materiaal_Totaal46[[#This Row],[Primair materiaalverbruik Vervangingen '[ton']]]</f>
        <v>#REF!</v>
      </c>
      <c r="L103" s="176" t="e">
        <f>Referentie_Materiaal_Totaal46[[#This Row],[Secundair materiaalverbruik '[ton']]]+Referentie_Materiaal_Totaal46[[#This Row],[Secundair materiaalverbruik Vervangingen '[ton']]]</f>
        <v>#REF!</v>
      </c>
      <c r="M103" s="176" t="e">
        <f>Referentie_Materiaal_Totaal46[[#This Row],[Totaal Primair Materieelgebruik]]+Referentie_Materiaal_Totaal46[[#This Row],[Totaal Secundair Materieelgebruik]]</f>
        <v>#REF!</v>
      </c>
      <c r="N103" s="17"/>
      <c r="O103" s="17"/>
      <c r="P103" s="17"/>
      <c r="Q103" s="17"/>
      <c r="R103" s="17"/>
    </row>
    <row r="104" spans="2:26" ht="18" x14ac:dyDescent="0.55000000000000004">
      <c r="B104" s="67" t="str">
        <f>Ontwerpberekening!B21</f>
        <v>Baseline</v>
      </c>
      <c r="C104" s="67" t="str">
        <f>Ontwerpberekening!F21</f>
        <v>Grond</v>
      </c>
      <c r="D104" s="117">
        <f>Ontwerpberekening!P21</f>
        <v>0</v>
      </c>
      <c r="E104" s="76">
        <f>_xlfn.IFNA(VLOOKUP(Referentie_Materiaal_Totaal46[[#This Row],[Product]]&amp;", "&amp;"Totaal",Database_Productkaarten[#All],63,FALSE),0)</f>
        <v>1</v>
      </c>
      <c r="F104" s="118">
        <f>Referentie_Materiaal_Totaal46[[#This Row],[Hoeveelheid '[ton']]]*(1-Referentie_Materiaal_Totaal46[[#This Row],[% Secundair]])</f>
        <v>0</v>
      </c>
      <c r="G104" s="118">
        <f>Referentie_Materiaal_Totaal46[[#This Row],[Hoeveelheid '[ton']]]*Referentie_Materiaal_Totaal46[[#This Row],[% Secundair]]</f>
        <v>0</v>
      </c>
      <c r="H104" s="176">
        <f>Ontwerpberekening!P21*Ontwerpberekening!R21</f>
        <v>0</v>
      </c>
      <c r="I104" s="176">
        <f>Referentie_Materiaal_Totaal46[[#This Row],[Hoeveelheid Vervaningen '[ton']]]*(1-Referentie_Materiaal_Totaal46[[#This Row],[% Secundair]])</f>
        <v>0</v>
      </c>
      <c r="J104" s="176">
        <f>Referentie_Materiaal_Totaal46[[#This Row],[Hoeveelheid Vervaningen '[ton']]]*Referentie_Materiaal_Totaal46[[#This Row],[% Secundair]]</f>
        <v>0</v>
      </c>
      <c r="K104" s="176">
        <f>Referentie_Materiaal_Totaal46[[#This Row],[Primair materiaalverbruik '[ton']]]+Referentie_Materiaal_Totaal46[[#This Row],[Primair materiaalverbruik Vervangingen '[ton']]]</f>
        <v>0</v>
      </c>
      <c r="L104" s="176">
        <f>Referentie_Materiaal_Totaal46[[#This Row],[Secundair materiaalverbruik '[ton']]]+Referentie_Materiaal_Totaal46[[#This Row],[Secundair materiaalverbruik Vervangingen '[ton']]]</f>
        <v>0</v>
      </c>
      <c r="M104" s="176">
        <f>Referentie_Materiaal_Totaal46[[#This Row],[Totaal Primair Materieelgebruik]]+Referentie_Materiaal_Totaal46[[#This Row],[Totaal Secundair Materieelgebruik]]</f>
        <v>0</v>
      </c>
      <c r="N104" s="17"/>
      <c r="O104" s="17"/>
      <c r="P104" s="17"/>
      <c r="Q104" s="17"/>
      <c r="R104" s="17"/>
    </row>
    <row r="105" spans="2:26" ht="18" x14ac:dyDescent="0.55000000000000004">
      <c r="B105" s="67" t="str">
        <f>Ontwerpberekening!B22</f>
        <v>Variant 1</v>
      </c>
      <c r="C105" s="67" t="str">
        <f>Ontwerpberekening!F22</f>
        <v>AC Surf 30% PR - PCR 2.0</v>
      </c>
      <c r="D105" s="117">
        <f>Ontwerpberekening!P22</f>
        <v>1690.2375</v>
      </c>
      <c r="E105" s="76">
        <f>_xlfn.IFNA(VLOOKUP(Referentie_Materiaal_Totaal46[[#This Row],[Product]]&amp;", "&amp;"Totaal",Database_Productkaarten[#All],63,FALSE),0)</f>
        <v>0.3</v>
      </c>
      <c r="F105" s="118">
        <f>Referentie_Materiaal_Totaal46[[#This Row],[Hoeveelheid '[ton']]]*(1-Referentie_Materiaal_Totaal46[[#This Row],[% Secundair]])</f>
        <v>1183.16625</v>
      </c>
      <c r="G105" s="118">
        <f>Referentie_Materiaal_Totaal46[[#This Row],[Hoeveelheid '[ton']]]*Referentie_Materiaal_Totaal46[[#This Row],[% Secundair]]</f>
        <v>507.07124999999996</v>
      </c>
      <c r="H105" s="176">
        <f>Ontwerpberekening!P22*Ontwerpberekening!R22</f>
        <v>0</v>
      </c>
      <c r="I105" s="176">
        <f>Referentie_Materiaal_Totaal46[[#This Row],[Hoeveelheid Vervaningen '[ton']]]*(1-Referentie_Materiaal_Totaal46[[#This Row],[% Secundair]])</f>
        <v>0</v>
      </c>
      <c r="J105" s="176">
        <f>Referentie_Materiaal_Totaal46[[#This Row],[Hoeveelheid Vervaningen '[ton']]]*Referentie_Materiaal_Totaal46[[#This Row],[% Secundair]]</f>
        <v>0</v>
      </c>
      <c r="K105" s="176">
        <f>Referentie_Materiaal_Totaal46[[#This Row],[Primair materiaalverbruik '[ton']]]+Referentie_Materiaal_Totaal46[[#This Row],[Primair materiaalverbruik Vervangingen '[ton']]]</f>
        <v>1183.16625</v>
      </c>
      <c r="L105" s="176">
        <f>Referentie_Materiaal_Totaal46[[#This Row],[Secundair materiaalverbruik '[ton']]]+Referentie_Materiaal_Totaal46[[#This Row],[Secundair materiaalverbruik Vervangingen '[ton']]]</f>
        <v>507.07124999999996</v>
      </c>
      <c r="M105" s="176">
        <f>Referentie_Materiaal_Totaal46[[#This Row],[Totaal Primair Materieelgebruik]]+Referentie_Materiaal_Totaal46[[#This Row],[Totaal Secundair Materieelgebruik]]</f>
        <v>1690.2375</v>
      </c>
      <c r="N105" s="17"/>
      <c r="O105" s="17"/>
      <c r="P105" s="17"/>
      <c r="Q105" s="17"/>
      <c r="R105" s="17"/>
    </row>
    <row r="106" spans="2:26" ht="18" x14ac:dyDescent="0.55000000000000004">
      <c r="B106" s="67" t="str">
        <f>Ontwerpberekening!B23</f>
        <v>Variant 1</v>
      </c>
      <c r="C106" s="67" t="str">
        <f>Ontwerpberekening!F23</f>
        <v>AC bin/base 50% PR G.M. - PCR 2.0</v>
      </c>
      <c r="D106" s="117">
        <f>Ontwerpberekening!P23</f>
        <v>189.60000000000002</v>
      </c>
      <c r="E106" s="76">
        <f>_xlfn.IFNA(VLOOKUP(Referentie_Materiaal_Totaal46[[#This Row],[Product]]&amp;", "&amp;"Totaal",Database_Productkaarten[#All],63,FALSE),0)</f>
        <v>0.5</v>
      </c>
      <c r="F106" s="118">
        <f>Referentie_Materiaal_Totaal46[[#This Row],[Hoeveelheid '[ton']]]*(1-Referentie_Materiaal_Totaal46[[#This Row],[% Secundair]])</f>
        <v>94.800000000000011</v>
      </c>
      <c r="G106" s="118">
        <f>Referentie_Materiaal_Totaal46[[#This Row],[Hoeveelheid '[ton']]]*Referentie_Materiaal_Totaal46[[#This Row],[% Secundair]]</f>
        <v>94.800000000000011</v>
      </c>
      <c r="H106" s="176">
        <f>Ontwerpberekening!P23*Ontwerpberekening!R23</f>
        <v>0</v>
      </c>
      <c r="I106" s="176">
        <f>Referentie_Materiaal_Totaal46[[#This Row],[Hoeveelheid Vervaningen '[ton']]]*(1-Referentie_Materiaal_Totaal46[[#This Row],[% Secundair]])</f>
        <v>0</v>
      </c>
      <c r="J106" s="176">
        <f>Referentie_Materiaal_Totaal46[[#This Row],[Hoeveelheid Vervaningen '[ton']]]*Referentie_Materiaal_Totaal46[[#This Row],[% Secundair]]</f>
        <v>0</v>
      </c>
      <c r="K106" s="176">
        <f>Referentie_Materiaal_Totaal46[[#This Row],[Primair materiaalverbruik '[ton']]]+Referentie_Materiaal_Totaal46[[#This Row],[Primair materiaalverbruik Vervangingen '[ton']]]</f>
        <v>94.800000000000011</v>
      </c>
      <c r="L106" s="176">
        <f>Referentie_Materiaal_Totaal46[[#This Row],[Secundair materiaalverbruik '[ton']]]+Referentie_Materiaal_Totaal46[[#This Row],[Secundair materiaalverbruik Vervangingen '[ton']]]</f>
        <v>94.800000000000011</v>
      </c>
      <c r="M106" s="176">
        <f>Referentie_Materiaal_Totaal46[[#This Row],[Totaal Primair Materieelgebruik]]+Referentie_Materiaal_Totaal46[[#This Row],[Totaal Secundair Materieelgebruik]]</f>
        <v>189.60000000000002</v>
      </c>
      <c r="N106" s="17"/>
      <c r="O106" s="17"/>
      <c r="P106" s="17"/>
      <c r="Q106" s="17"/>
      <c r="R106" s="17"/>
    </row>
    <row r="107" spans="2:26" ht="18" x14ac:dyDescent="0.55000000000000004">
      <c r="B107" s="67" t="str">
        <f>Ontwerpberekening!B24</f>
        <v>Variant 1</v>
      </c>
      <c r="C107" s="67" t="str">
        <f>Ontwerpberekening!F24</f>
        <v>AC bin/base 50% PR G.M. - PCR 2.0</v>
      </c>
      <c r="D107" s="117">
        <f>Ontwerpberekening!P24</f>
        <v>59.25</v>
      </c>
      <c r="E107" s="76">
        <f>_xlfn.IFNA(VLOOKUP(Referentie_Materiaal_Totaal46[[#This Row],[Product]]&amp;", "&amp;"Totaal",Database_Productkaarten[#All],63,FALSE),0)</f>
        <v>0.5</v>
      </c>
      <c r="F107" s="118">
        <f>Referentie_Materiaal_Totaal46[[#This Row],[Hoeveelheid '[ton']]]*(1-Referentie_Materiaal_Totaal46[[#This Row],[% Secundair]])</f>
        <v>29.625</v>
      </c>
      <c r="G107" s="118">
        <f>Referentie_Materiaal_Totaal46[[#This Row],[Hoeveelheid '[ton']]]*Referentie_Materiaal_Totaal46[[#This Row],[% Secundair]]</f>
        <v>29.625</v>
      </c>
      <c r="H107" s="176">
        <f>Ontwerpberekening!P24*Ontwerpberekening!R24</f>
        <v>0</v>
      </c>
      <c r="I107" s="176">
        <f>Referentie_Materiaal_Totaal46[[#This Row],[Hoeveelheid Vervaningen '[ton']]]*(1-Referentie_Materiaal_Totaal46[[#This Row],[% Secundair]])</f>
        <v>0</v>
      </c>
      <c r="J107" s="176">
        <f>Referentie_Materiaal_Totaal46[[#This Row],[Hoeveelheid Vervaningen '[ton']]]*Referentie_Materiaal_Totaal46[[#This Row],[% Secundair]]</f>
        <v>0</v>
      </c>
      <c r="K107" s="176">
        <f>Referentie_Materiaal_Totaal46[[#This Row],[Primair materiaalverbruik '[ton']]]+Referentie_Materiaal_Totaal46[[#This Row],[Primair materiaalverbruik Vervangingen '[ton']]]</f>
        <v>29.625</v>
      </c>
      <c r="L107" s="176">
        <f>Referentie_Materiaal_Totaal46[[#This Row],[Secundair materiaalverbruik '[ton']]]+Referentie_Materiaal_Totaal46[[#This Row],[Secundair materiaalverbruik Vervangingen '[ton']]]</f>
        <v>29.625</v>
      </c>
      <c r="M107" s="176">
        <f>Referentie_Materiaal_Totaal46[[#This Row],[Totaal Primair Materieelgebruik]]+Referentie_Materiaal_Totaal46[[#This Row],[Totaal Secundair Materieelgebruik]]</f>
        <v>59.25</v>
      </c>
      <c r="N107" s="17"/>
      <c r="O107" s="17"/>
      <c r="P107" s="17"/>
      <c r="Q107" s="17"/>
      <c r="R107" s="17"/>
    </row>
    <row r="108" spans="2:26" ht="18" x14ac:dyDescent="0.55000000000000004">
      <c r="B108" s="67" t="str">
        <f>Ontwerpberekening!B25</f>
        <v>Variant 1</v>
      </c>
      <c r="C108" s="67" t="str">
        <f>Ontwerpberekening!F25</f>
        <v>Betonstraatsteen geopolymeer 210x105x80</v>
      </c>
      <c r="D108" s="117" t="e">
        <f>Ontwerpberekening!P25</f>
        <v>#REF!</v>
      </c>
      <c r="E108" s="76">
        <f>_xlfn.IFNA(VLOOKUP(Referentie_Materiaal_Totaal46[[#This Row],[Product]]&amp;", "&amp;"Totaal",Database_Productkaarten[#All],63,FALSE),0)</f>
        <v>0.24167</v>
      </c>
      <c r="F108" s="118" t="e">
        <f>Referentie_Materiaal_Totaal46[[#This Row],[Hoeveelheid '[ton']]]*(1-Referentie_Materiaal_Totaal46[[#This Row],[% Secundair]])</f>
        <v>#REF!</v>
      </c>
      <c r="G108" s="118" t="e">
        <f>Referentie_Materiaal_Totaal46[[#This Row],[Hoeveelheid '[ton']]]*Referentie_Materiaal_Totaal46[[#This Row],[% Secundair]]</f>
        <v>#REF!</v>
      </c>
      <c r="H108" s="176" t="e">
        <f>Ontwerpberekening!P25*Ontwerpberekening!R25</f>
        <v>#REF!</v>
      </c>
      <c r="I108" s="176" t="e">
        <f>Referentie_Materiaal_Totaal46[[#This Row],[Hoeveelheid Vervaningen '[ton']]]*(1-Referentie_Materiaal_Totaal46[[#This Row],[% Secundair]])</f>
        <v>#REF!</v>
      </c>
      <c r="J108" s="176" t="e">
        <f>Referentie_Materiaal_Totaal46[[#This Row],[Hoeveelheid Vervaningen '[ton']]]*Referentie_Materiaal_Totaal46[[#This Row],[% Secundair]]</f>
        <v>#REF!</v>
      </c>
      <c r="K108" s="176" t="e">
        <f>Referentie_Materiaal_Totaal46[[#This Row],[Primair materiaalverbruik '[ton']]]+Referentie_Materiaal_Totaal46[[#This Row],[Primair materiaalverbruik Vervangingen '[ton']]]</f>
        <v>#REF!</v>
      </c>
      <c r="L108" s="176" t="e">
        <f>Referentie_Materiaal_Totaal46[[#This Row],[Secundair materiaalverbruik '[ton']]]+Referentie_Materiaal_Totaal46[[#This Row],[Secundair materiaalverbruik Vervangingen '[ton']]]</f>
        <v>#REF!</v>
      </c>
      <c r="M108" s="176" t="e">
        <f>Referentie_Materiaal_Totaal46[[#This Row],[Totaal Primair Materieelgebruik]]+Referentie_Materiaal_Totaal46[[#This Row],[Totaal Secundair Materieelgebruik]]</f>
        <v>#REF!</v>
      </c>
      <c r="N108" s="17"/>
      <c r="O108" s="17"/>
      <c r="P108" s="17"/>
      <c r="Q108" s="17"/>
      <c r="R108" s="17"/>
    </row>
    <row r="109" spans="2:26" ht="18" x14ac:dyDescent="0.55000000000000004">
      <c r="B109" s="67" t="str">
        <f>Ontwerpberekening!B26</f>
        <v>Variant 1</v>
      </c>
      <c r="C109" s="67" t="str">
        <f>Ontwerpberekening!F26</f>
        <v>Grond</v>
      </c>
      <c r="D109" s="117" t="e">
        <f>Ontwerpberekening!P26</f>
        <v>#REF!</v>
      </c>
      <c r="E109" s="76">
        <f>_xlfn.IFNA(VLOOKUP(Referentie_Materiaal_Totaal46[[#This Row],[Product]]&amp;", "&amp;"Totaal",Database_Productkaarten[#All],63,FALSE),0)</f>
        <v>1</v>
      </c>
      <c r="F109" s="118" t="e">
        <f>Referentie_Materiaal_Totaal46[[#This Row],[Hoeveelheid '[ton']]]*(1-Referentie_Materiaal_Totaal46[[#This Row],[% Secundair]])</f>
        <v>#REF!</v>
      </c>
      <c r="G109" s="118" t="e">
        <f>Referentie_Materiaal_Totaal46[[#This Row],[Hoeveelheid '[ton']]]*Referentie_Materiaal_Totaal46[[#This Row],[% Secundair]]</f>
        <v>#REF!</v>
      </c>
      <c r="H109" s="176" t="e">
        <f>Ontwerpberekening!P26*Ontwerpberekening!R26</f>
        <v>#REF!</v>
      </c>
      <c r="I109" s="176" t="e">
        <f>Referentie_Materiaal_Totaal46[[#This Row],[Hoeveelheid Vervaningen '[ton']]]*(1-Referentie_Materiaal_Totaal46[[#This Row],[% Secundair]])</f>
        <v>#REF!</v>
      </c>
      <c r="J109" s="176" t="e">
        <f>Referentie_Materiaal_Totaal46[[#This Row],[Hoeveelheid Vervaningen '[ton']]]*Referentie_Materiaal_Totaal46[[#This Row],[% Secundair]]</f>
        <v>#REF!</v>
      </c>
      <c r="K109" s="176" t="e">
        <f>Referentie_Materiaal_Totaal46[[#This Row],[Primair materiaalverbruik '[ton']]]+Referentie_Materiaal_Totaal46[[#This Row],[Primair materiaalverbruik Vervangingen '[ton']]]</f>
        <v>#REF!</v>
      </c>
      <c r="L109" s="176" t="e">
        <f>Referentie_Materiaal_Totaal46[[#This Row],[Secundair materiaalverbruik '[ton']]]+Referentie_Materiaal_Totaal46[[#This Row],[Secundair materiaalverbruik Vervangingen '[ton']]]</f>
        <v>#REF!</v>
      </c>
      <c r="M109" s="176" t="e">
        <f>Referentie_Materiaal_Totaal46[[#This Row],[Totaal Primair Materieelgebruik]]+Referentie_Materiaal_Totaal46[[#This Row],[Totaal Secundair Materieelgebruik]]</f>
        <v>#REF!</v>
      </c>
      <c r="N109" s="17"/>
      <c r="O109" s="17"/>
      <c r="P109" s="17"/>
      <c r="Q109" s="17"/>
      <c r="R109" s="17"/>
    </row>
    <row r="110" spans="2:26" ht="18" x14ac:dyDescent="0.55000000000000004">
      <c r="B110" s="67" t="str">
        <f>Ontwerpberekening!B27</f>
        <v>Variant 1</v>
      </c>
      <c r="C110" s="67" t="str">
        <f>Ontwerpberekening!F27</f>
        <v>Opsluitband geopolymeer 100x200</v>
      </c>
      <c r="D110" s="117" t="e">
        <f>Ontwerpberekening!P27</f>
        <v>#REF!</v>
      </c>
      <c r="E110" s="76">
        <f>_xlfn.IFNA(VLOOKUP(Referentie_Materiaal_Totaal46[[#This Row],[Product]]&amp;", "&amp;"Totaal",Database_Productkaarten[#All],63,FALSE),0)</f>
        <v>0.24167</v>
      </c>
      <c r="F110" s="118" t="e">
        <f>Referentie_Materiaal_Totaal46[[#This Row],[Hoeveelheid '[ton']]]*(1-Referentie_Materiaal_Totaal46[[#This Row],[% Secundair]])</f>
        <v>#REF!</v>
      </c>
      <c r="G110" s="118" t="e">
        <f>Referentie_Materiaal_Totaal46[[#This Row],[Hoeveelheid '[ton']]]*Referentie_Materiaal_Totaal46[[#This Row],[% Secundair]]</f>
        <v>#REF!</v>
      </c>
      <c r="H110" s="176" t="e">
        <f>Ontwerpberekening!P27*Ontwerpberekening!R27</f>
        <v>#REF!</v>
      </c>
      <c r="I110" s="176" t="e">
        <f>Referentie_Materiaal_Totaal46[[#This Row],[Hoeveelheid Vervaningen '[ton']]]*(1-Referentie_Materiaal_Totaal46[[#This Row],[% Secundair]])</f>
        <v>#REF!</v>
      </c>
      <c r="J110" s="176" t="e">
        <f>Referentie_Materiaal_Totaal46[[#This Row],[Hoeveelheid Vervaningen '[ton']]]*Referentie_Materiaal_Totaal46[[#This Row],[% Secundair]]</f>
        <v>#REF!</v>
      </c>
      <c r="K110" s="176" t="e">
        <f>Referentie_Materiaal_Totaal46[[#This Row],[Primair materiaalverbruik '[ton']]]+Referentie_Materiaal_Totaal46[[#This Row],[Primair materiaalverbruik Vervangingen '[ton']]]</f>
        <v>#REF!</v>
      </c>
      <c r="L110" s="176" t="e">
        <f>Referentie_Materiaal_Totaal46[[#This Row],[Secundair materiaalverbruik '[ton']]]+Referentie_Materiaal_Totaal46[[#This Row],[Secundair materiaalverbruik Vervangingen '[ton']]]</f>
        <v>#REF!</v>
      </c>
      <c r="M110" s="176" t="e">
        <f>Referentie_Materiaal_Totaal46[[#This Row],[Totaal Primair Materieelgebruik]]+Referentie_Materiaal_Totaal46[[#This Row],[Totaal Secundair Materieelgebruik]]</f>
        <v>#REF!</v>
      </c>
      <c r="N110" s="17"/>
      <c r="O110" s="17"/>
      <c r="P110" s="17"/>
      <c r="Q110" s="17"/>
      <c r="R110" s="17"/>
    </row>
    <row r="111" spans="2:26" ht="18" x14ac:dyDescent="0.55000000000000004">
      <c r="B111" s="67" t="str">
        <f>Ontwerpberekening!B28</f>
        <v>Variant 1</v>
      </c>
      <c r="C111" s="67" t="str">
        <f>Ontwerpberekening!F28</f>
        <v>Opsluitband geopolymeer 100x200</v>
      </c>
      <c r="D111" s="117" t="e">
        <f>Ontwerpberekening!P28</f>
        <v>#REF!</v>
      </c>
      <c r="E111" s="76">
        <f>_xlfn.IFNA(VLOOKUP(Referentie_Materiaal_Totaal46[[#This Row],[Product]]&amp;", "&amp;"Totaal",Database_Productkaarten[#All],63,FALSE),0)</f>
        <v>0.24167</v>
      </c>
      <c r="F111" s="118" t="e">
        <f>Referentie_Materiaal_Totaal46[[#This Row],[Hoeveelheid '[ton']]]*(1-Referentie_Materiaal_Totaal46[[#This Row],[% Secundair]])</f>
        <v>#REF!</v>
      </c>
      <c r="G111" s="118" t="e">
        <f>Referentie_Materiaal_Totaal46[[#This Row],[Hoeveelheid '[ton']]]*Referentie_Materiaal_Totaal46[[#This Row],[% Secundair]]</f>
        <v>#REF!</v>
      </c>
      <c r="H111" s="176" t="e">
        <f>Ontwerpberekening!P28*Ontwerpberekening!R28</f>
        <v>#REF!</v>
      </c>
      <c r="I111" s="176" t="e">
        <f>Referentie_Materiaal_Totaal46[[#This Row],[Hoeveelheid Vervaningen '[ton']]]*(1-Referentie_Materiaal_Totaal46[[#This Row],[% Secundair]])</f>
        <v>#REF!</v>
      </c>
      <c r="J111" s="176" t="e">
        <f>Referentie_Materiaal_Totaal46[[#This Row],[Hoeveelheid Vervaningen '[ton']]]*Referentie_Materiaal_Totaal46[[#This Row],[% Secundair]]</f>
        <v>#REF!</v>
      </c>
      <c r="K111" s="176" t="e">
        <f>Referentie_Materiaal_Totaal46[[#This Row],[Primair materiaalverbruik '[ton']]]+Referentie_Materiaal_Totaal46[[#This Row],[Primair materiaalverbruik Vervangingen '[ton']]]</f>
        <v>#REF!</v>
      </c>
      <c r="L111" s="176" t="e">
        <f>Referentie_Materiaal_Totaal46[[#This Row],[Secundair materiaalverbruik '[ton']]]+Referentie_Materiaal_Totaal46[[#This Row],[Secundair materiaalverbruik Vervangingen '[ton']]]</f>
        <v>#REF!</v>
      </c>
      <c r="M111" s="176" t="e">
        <f>Referentie_Materiaal_Totaal46[[#This Row],[Totaal Primair Materieelgebruik]]+Referentie_Materiaal_Totaal46[[#This Row],[Totaal Secundair Materieelgebruik]]</f>
        <v>#REF!</v>
      </c>
      <c r="N111" s="17"/>
      <c r="O111" s="17"/>
      <c r="P111" s="17"/>
      <c r="Q111" s="17"/>
      <c r="R111" s="17"/>
    </row>
    <row r="112" spans="2:26" ht="18" x14ac:dyDescent="0.55000000000000004">
      <c r="B112" s="67" t="str">
        <f>Ontwerpberekening!B29</f>
        <v>Variant 1</v>
      </c>
      <c r="C112" s="67" t="str">
        <f>Ontwerpberekening!F29</f>
        <v>Grond</v>
      </c>
      <c r="D112" s="117" t="e">
        <f>Ontwerpberekening!P29</f>
        <v>#REF!</v>
      </c>
      <c r="E112" s="232">
        <f>_xlfn.IFNA(VLOOKUP(Referentie_Materiaal_Totaal46[[#This Row],[Product]]&amp;", "&amp;"Totaal",Database_Productkaarten[#All],63,FALSE),0)</f>
        <v>1</v>
      </c>
      <c r="F112" s="118" t="e">
        <f>Referentie_Materiaal_Totaal46[[#This Row],[Hoeveelheid '[ton']]]*(1-Referentie_Materiaal_Totaal46[[#This Row],[% Secundair]])</f>
        <v>#REF!</v>
      </c>
      <c r="G112" s="118" t="e">
        <f>Referentie_Materiaal_Totaal46[[#This Row],[Hoeveelheid '[ton']]]*Referentie_Materiaal_Totaal46[[#This Row],[% Secundair]]</f>
        <v>#REF!</v>
      </c>
      <c r="H112" s="176" t="e">
        <f>Ontwerpberekening!P29*Ontwerpberekening!R29</f>
        <v>#REF!</v>
      </c>
      <c r="I112" s="176" t="e">
        <f>Referentie_Materiaal_Totaal46[[#This Row],[Hoeveelheid Vervaningen '[ton']]]*(1-Referentie_Materiaal_Totaal46[[#This Row],[% Secundair]])</f>
        <v>#REF!</v>
      </c>
      <c r="J112" s="176" t="e">
        <f>Referentie_Materiaal_Totaal46[[#This Row],[Hoeveelheid Vervaningen '[ton']]]*Referentie_Materiaal_Totaal46[[#This Row],[% Secundair]]</f>
        <v>#REF!</v>
      </c>
      <c r="K112" s="176" t="e">
        <f>Referentie_Materiaal_Totaal46[[#This Row],[Primair materiaalverbruik '[ton']]]+Referentie_Materiaal_Totaal46[[#This Row],[Primair materiaalverbruik Vervangingen '[ton']]]</f>
        <v>#REF!</v>
      </c>
      <c r="L112" s="176" t="e">
        <f>Referentie_Materiaal_Totaal46[[#This Row],[Secundair materiaalverbruik '[ton']]]+Referentie_Materiaal_Totaal46[[#This Row],[Secundair materiaalverbruik Vervangingen '[ton']]]</f>
        <v>#REF!</v>
      </c>
      <c r="M112" s="176" t="e">
        <f>Referentie_Materiaal_Totaal46[[#This Row],[Totaal Primair Materieelgebruik]]+Referentie_Materiaal_Totaal46[[#This Row],[Totaal Secundair Materieelgebruik]]</f>
        <v>#REF!</v>
      </c>
      <c r="N112" s="17"/>
      <c r="O112" s="17"/>
      <c r="P112" s="17"/>
      <c r="Q112" s="17"/>
      <c r="R112" s="17"/>
    </row>
    <row r="113" spans="2:19" ht="18" x14ac:dyDescent="0.55000000000000004">
      <c r="B113" s="67" t="str">
        <f>Ontwerpberekening!B30</f>
        <v>Variant 1</v>
      </c>
      <c r="C113" s="67" t="str">
        <f>Ontwerpberekening!F30</f>
        <v>Hydraulisch Menggranulaat</v>
      </c>
      <c r="D113" s="117">
        <f>Ontwerpberekening!P30</f>
        <v>27</v>
      </c>
      <c r="E113" s="76">
        <f>_xlfn.IFNA(VLOOKUP(Referentie_Materiaal_Totaal46[[#This Row],[Product]]&amp;", "&amp;"Totaal",Database_Productkaarten[#All],63,FALSE),0)</f>
        <v>1</v>
      </c>
      <c r="F113" s="118">
        <f>Referentie_Materiaal_Totaal46[[#This Row],[Hoeveelheid '[ton']]]*(1-Referentie_Materiaal_Totaal46[[#This Row],[% Secundair]])</f>
        <v>0</v>
      </c>
      <c r="G113" s="118">
        <f>Referentie_Materiaal_Totaal46[[#This Row],[Hoeveelheid '[ton']]]*Referentie_Materiaal_Totaal46[[#This Row],[% Secundair]]</f>
        <v>27</v>
      </c>
      <c r="H113" s="176">
        <f>Ontwerpberekening!P30*Ontwerpberekening!R30</f>
        <v>0</v>
      </c>
      <c r="I113" s="176">
        <f>Referentie_Materiaal_Totaal46[[#This Row],[Hoeveelheid Vervaningen '[ton']]]*(1-Referentie_Materiaal_Totaal46[[#This Row],[% Secundair]])</f>
        <v>0</v>
      </c>
      <c r="J113" s="176">
        <f>Referentie_Materiaal_Totaal46[[#This Row],[Hoeveelheid Vervaningen '[ton']]]*Referentie_Materiaal_Totaal46[[#This Row],[% Secundair]]</f>
        <v>0</v>
      </c>
      <c r="K113" s="176">
        <f>Referentie_Materiaal_Totaal46[[#This Row],[Primair materiaalverbruik '[ton']]]+Referentie_Materiaal_Totaal46[[#This Row],[Primair materiaalverbruik Vervangingen '[ton']]]</f>
        <v>0</v>
      </c>
      <c r="L113" s="176">
        <f>Referentie_Materiaal_Totaal46[[#This Row],[Secundair materiaalverbruik '[ton']]]+Referentie_Materiaal_Totaal46[[#This Row],[Secundair materiaalverbruik Vervangingen '[ton']]]</f>
        <v>27</v>
      </c>
      <c r="M113" s="176">
        <f>Referentie_Materiaal_Totaal46[[#This Row],[Totaal Primair Materieelgebruik]]+Referentie_Materiaal_Totaal46[[#This Row],[Totaal Secundair Materieelgebruik]]</f>
        <v>27</v>
      </c>
      <c r="N113" s="17"/>
      <c r="O113" s="17"/>
      <c r="P113" s="17"/>
      <c r="Q113" s="17"/>
      <c r="R113" s="17"/>
    </row>
    <row r="114" spans="2:19" ht="18" x14ac:dyDescent="0.55000000000000004">
      <c r="B114" s="67" t="str">
        <f>Ontwerpberekening!B31</f>
        <v>Variant 1</v>
      </c>
      <c r="C114" s="67" t="str">
        <f>Ontwerpberekening!F31</f>
        <v>AC bin/base 50% PR - PCR 2.0</v>
      </c>
      <c r="D114" s="117">
        <f>Ontwerpberekening!P31</f>
        <v>59.25</v>
      </c>
      <c r="E114" s="76">
        <f>_xlfn.IFNA(VLOOKUP(Referentie_Materiaal_Totaal46[[#This Row],[Product]]&amp;", "&amp;"Totaal",Database_Productkaarten[#All],63,FALSE),0)</f>
        <v>0.5</v>
      </c>
      <c r="F114" s="118">
        <f>Referentie_Materiaal_Totaal46[[#This Row],[Hoeveelheid '[ton']]]*(1-Referentie_Materiaal_Totaal46[[#This Row],[% Secundair]])</f>
        <v>29.625</v>
      </c>
      <c r="G114" s="118">
        <f>Referentie_Materiaal_Totaal46[[#This Row],[Hoeveelheid '[ton']]]*Referentie_Materiaal_Totaal46[[#This Row],[% Secundair]]</f>
        <v>29.625</v>
      </c>
      <c r="H114" s="176">
        <f>Ontwerpberekening!P31*Ontwerpberekening!R31</f>
        <v>0</v>
      </c>
      <c r="I114" s="176">
        <f>Referentie_Materiaal_Totaal46[[#This Row],[Hoeveelheid Vervaningen '[ton']]]*(1-Referentie_Materiaal_Totaal46[[#This Row],[% Secundair]])</f>
        <v>0</v>
      </c>
      <c r="J114" s="176">
        <f>Referentie_Materiaal_Totaal46[[#This Row],[Hoeveelheid Vervaningen '[ton']]]*Referentie_Materiaal_Totaal46[[#This Row],[% Secundair]]</f>
        <v>0</v>
      </c>
      <c r="K114" s="176">
        <f>Referentie_Materiaal_Totaal46[[#This Row],[Primair materiaalverbruik '[ton']]]+Referentie_Materiaal_Totaal46[[#This Row],[Primair materiaalverbruik Vervangingen '[ton']]]</f>
        <v>29.625</v>
      </c>
      <c r="L114" s="176">
        <f>Referentie_Materiaal_Totaal46[[#This Row],[Secundair materiaalverbruik '[ton']]]+Referentie_Materiaal_Totaal46[[#This Row],[Secundair materiaalverbruik Vervangingen '[ton']]]</f>
        <v>29.625</v>
      </c>
      <c r="M114" s="176">
        <f>Referentie_Materiaal_Totaal46[[#This Row],[Totaal Primair Materieelgebruik]]+Referentie_Materiaal_Totaal46[[#This Row],[Totaal Secundair Materieelgebruik]]</f>
        <v>59.25</v>
      </c>
      <c r="N114" s="17"/>
      <c r="O114" s="17"/>
      <c r="P114" s="17"/>
      <c r="Q114" s="17"/>
      <c r="R114" s="17"/>
      <c r="S114" s="17"/>
    </row>
    <row r="115" spans="2:19" ht="18" x14ac:dyDescent="0.55000000000000004">
      <c r="B115" s="67" t="str">
        <f>Ontwerpberekening!B32</f>
        <v>Variant 1</v>
      </c>
      <c r="C115" s="67" t="str">
        <f>Ontwerpberekening!F32</f>
        <v>AC bin/base 50% PR - PCR 2.0</v>
      </c>
      <c r="D115" s="117">
        <f>Ontwerpberekening!P32</f>
        <v>284.40000000000003</v>
      </c>
      <c r="E115" s="76">
        <f>_xlfn.IFNA(VLOOKUP(Referentie_Materiaal_Totaal46[[#This Row],[Product]]&amp;", "&amp;"Totaal",Database_Productkaarten[#All],63,FALSE),0)</f>
        <v>0.5</v>
      </c>
      <c r="F115" s="118">
        <f>Referentie_Materiaal_Totaal46[[#This Row],[Hoeveelheid '[ton']]]*(1-Referentie_Materiaal_Totaal46[[#This Row],[% Secundair]])</f>
        <v>142.20000000000002</v>
      </c>
      <c r="G115" s="118">
        <f>Referentie_Materiaal_Totaal46[[#This Row],[Hoeveelheid '[ton']]]*Referentie_Materiaal_Totaal46[[#This Row],[% Secundair]]</f>
        <v>142.20000000000002</v>
      </c>
      <c r="H115" s="176">
        <f>Ontwerpberekening!P32*Ontwerpberekening!R32</f>
        <v>0</v>
      </c>
      <c r="I115" s="176">
        <f>Referentie_Materiaal_Totaal46[[#This Row],[Hoeveelheid Vervaningen '[ton']]]*(1-Referentie_Materiaal_Totaal46[[#This Row],[% Secundair]])</f>
        <v>0</v>
      </c>
      <c r="J115" s="176">
        <f>Referentie_Materiaal_Totaal46[[#This Row],[Hoeveelheid Vervaningen '[ton']]]*Referentie_Materiaal_Totaal46[[#This Row],[% Secundair]]</f>
        <v>0</v>
      </c>
      <c r="K115" s="176">
        <f>Referentie_Materiaal_Totaal46[[#This Row],[Primair materiaalverbruik '[ton']]]+Referentie_Materiaal_Totaal46[[#This Row],[Primair materiaalverbruik Vervangingen '[ton']]]</f>
        <v>142.20000000000002</v>
      </c>
      <c r="L115" s="176">
        <f>Referentie_Materiaal_Totaal46[[#This Row],[Secundair materiaalverbruik '[ton']]]+Referentie_Materiaal_Totaal46[[#This Row],[Secundair materiaalverbruik Vervangingen '[ton']]]</f>
        <v>142.20000000000002</v>
      </c>
      <c r="M115" s="176">
        <f>Referentie_Materiaal_Totaal46[[#This Row],[Totaal Primair Materieelgebruik]]+Referentie_Materiaal_Totaal46[[#This Row],[Totaal Secundair Materieelgebruik]]</f>
        <v>284.40000000000003</v>
      </c>
      <c r="N115" s="17"/>
      <c r="O115" s="17"/>
      <c r="P115" s="17"/>
      <c r="Q115" s="17"/>
      <c r="R115" s="17"/>
      <c r="S115" s="17"/>
    </row>
    <row r="116" spans="2:19" ht="18" x14ac:dyDescent="0.55000000000000004">
      <c r="B116" s="67" t="str">
        <f>Ontwerpberekening!B33</f>
        <v>Variant 1</v>
      </c>
      <c r="C116" s="67" t="str">
        <f>Ontwerpberekening!F33</f>
        <v>AC Surf 0% PR - PCR 2.0</v>
      </c>
      <c r="D116" s="117">
        <f>Ontwerpberekening!P33</f>
        <v>1690.2375</v>
      </c>
      <c r="E116" s="76">
        <f>_xlfn.IFNA(VLOOKUP(Referentie_Materiaal_Totaal46[[#This Row],[Product]]&amp;", "&amp;"Totaal",Database_Productkaarten[#All],63,FALSE),0)</f>
        <v>0</v>
      </c>
      <c r="F116" s="118">
        <f>Referentie_Materiaal_Totaal46[[#This Row],[Hoeveelheid '[ton']]]*(1-Referentie_Materiaal_Totaal46[[#This Row],[% Secundair]])</f>
        <v>1690.2375</v>
      </c>
      <c r="G116" s="118">
        <f>Referentie_Materiaal_Totaal46[[#This Row],[Hoeveelheid '[ton']]]*Referentie_Materiaal_Totaal46[[#This Row],[% Secundair]]</f>
        <v>0</v>
      </c>
      <c r="H116" s="176">
        <f>Ontwerpberekening!P33*Ontwerpberekening!R33</f>
        <v>0</v>
      </c>
      <c r="I116" s="176">
        <f>Referentie_Materiaal_Totaal46[[#This Row],[Hoeveelheid Vervaningen '[ton']]]*(1-Referentie_Materiaal_Totaal46[[#This Row],[% Secundair]])</f>
        <v>0</v>
      </c>
      <c r="J116" s="176">
        <f>Referentie_Materiaal_Totaal46[[#This Row],[Hoeveelheid Vervaningen '[ton']]]*Referentie_Materiaal_Totaal46[[#This Row],[% Secundair]]</f>
        <v>0</v>
      </c>
      <c r="K116" s="176">
        <f>Referentie_Materiaal_Totaal46[[#This Row],[Primair materiaalverbruik '[ton']]]+Referentie_Materiaal_Totaal46[[#This Row],[Primair materiaalverbruik Vervangingen '[ton']]]</f>
        <v>1690.2375</v>
      </c>
      <c r="L116" s="176">
        <f>Referentie_Materiaal_Totaal46[[#This Row],[Secundair materiaalverbruik '[ton']]]+Referentie_Materiaal_Totaal46[[#This Row],[Secundair materiaalverbruik Vervangingen '[ton']]]</f>
        <v>0</v>
      </c>
      <c r="M116" s="176">
        <f>Referentie_Materiaal_Totaal46[[#This Row],[Totaal Primair Materieelgebruik]]+Referentie_Materiaal_Totaal46[[#This Row],[Totaal Secundair Materieelgebruik]]</f>
        <v>1690.2375</v>
      </c>
      <c r="N116" s="17"/>
      <c r="O116" s="17"/>
      <c r="P116" s="17"/>
      <c r="Q116" s="17"/>
      <c r="R116" s="17"/>
      <c r="S116" s="17"/>
    </row>
    <row r="117" spans="2:19" ht="18" x14ac:dyDescent="0.55000000000000004">
      <c r="B117" s="67" t="str">
        <f>Ontwerpberekening!B34</f>
        <v>Variant 1</v>
      </c>
      <c r="C117" s="67" t="str">
        <f>Ontwerpberekening!F34</f>
        <v>Betonstraatsteen geopolymeer 210x105x80</v>
      </c>
      <c r="D117" s="117" t="e">
        <f>Ontwerpberekening!P34</f>
        <v>#REF!</v>
      </c>
      <c r="E117" s="232">
        <f>_xlfn.IFNA(VLOOKUP(Referentie_Materiaal_Totaal46[[#This Row],[Product]]&amp;", "&amp;"Totaal",Database_Productkaarten[#All],63,FALSE),0)</f>
        <v>0.24167</v>
      </c>
      <c r="F117" s="260" t="e">
        <f>Referentie_Materiaal_Totaal46[[#This Row],[Hoeveelheid '[ton']]]*(1-Referentie_Materiaal_Totaal46[[#This Row],[% Secundair]])</f>
        <v>#REF!</v>
      </c>
      <c r="G117" s="260" t="e">
        <f>Referentie_Materiaal_Totaal46[[#This Row],[Hoeveelheid '[ton']]]*Referentie_Materiaal_Totaal46[[#This Row],[% Secundair]]</f>
        <v>#REF!</v>
      </c>
      <c r="H117" s="263" t="e">
        <f>Ontwerpberekening!P34*Ontwerpberekening!R34</f>
        <v>#REF!</v>
      </c>
      <c r="I117" s="263" t="e">
        <f>Referentie_Materiaal_Totaal46[[#This Row],[Hoeveelheid Vervaningen '[ton']]]*(1-Referentie_Materiaal_Totaal46[[#This Row],[% Secundair]])</f>
        <v>#REF!</v>
      </c>
      <c r="J117" s="263" t="e">
        <f>Referentie_Materiaal_Totaal46[[#This Row],[Hoeveelheid Vervaningen '[ton']]]*Referentie_Materiaal_Totaal46[[#This Row],[% Secundair]]</f>
        <v>#REF!</v>
      </c>
      <c r="K117" s="263" t="e">
        <f>Referentie_Materiaal_Totaal46[[#This Row],[Primair materiaalverbruik '[ton']]]+Referentie_Materiaal_Totaal46[[#This Row],[Primair materiaalverbruik Vervangingen '[ton']]]</f>
        <v>#REF!</v>
      </c>
      <c r="L117" s="263" t="e">
        <f>Referentie_Materiaal_Totaal46[[#This Row],[Secundair materiaalverbruik '[ton']]]+Referentie_Materiaal_Totaal46[[#This Row],[Secundair materiaalverbruik Vervangingen '[ton']]]</f>
        <v>#REF!</v>
      </c>
      <c r="M117" s="263" t="e">
        <f>Referentie_Materiaal_Totaal46[[#This Row],[Totaal Primair Materieelgebruik]]+Referentie_Materiaal_Totaal46[[#This Row],[Totaal Secundair Materieelgebruik]]</f>
        <v>#REF!</v>
      </c>
      <c r="N117" s="17"/>
      <c r="O117" s="17"/>
      <c r="P117" s="17"/>
      <c r="Q117" s="17"/>
      <c r="R117" s="17"/>
      <c r="S117" s="17"/>
    </row>
    <row r="118" spans="2:19" ht="18" x14ac:dyDescent="0.55000000000000004">
      <c r="B118" s="67" t="str">
        <f>Ontwerpberekening!B35</f>
        <v>Variant 1</v>
      </c>
      <c r="C118" s="67" t="str">
        <f>Ontwerpberekening!F35</f>
        <v>Grond</v>
      </c>
      <c r="D118" s="117" t="e">
        <f>Ontwerpberekening!P35</f>
        <v>#REF!</v>
      </c>
      <c r="E118" s="232">
        <f>_xlfn.IFNA(VLOOKUP(Referentie_Materiaal_Totaal46[[#This Row],[Product]]&amp;", "&amp;"Totaal",Database_Productkaarten[#All],63,FALSE),0)</f>
        <v>1</v>
      </c>
      <c r="F118" s="260" t="e">
        <f>Referentie_Materiaal_Totaal46[[#This Row],[Hoeveelheid '[ton']]]*(1-Referentie_Materiaal_Totaal46[[#This Row],[% Secundair]])</f>
        <v>#REF!</v>
      </c>
      <c r="G118" s="260" t="e">
        <f>Referentie_Materiaal_Totaal46[[#This Row],[Hoeveelheid '[ton']]]*Referentie_Materiaal_Totaal46[[#This Row],[% Secundair]]</f>
        <v>#REF!</v>
      </c>
      <c r="H118" s="263" t="e">
        <f>Ontwerpberekening!P35*Ontwerpberekening!R35</f>
        <v>#REF!</v>
      </c>
      <c r="I118" s="263" t="e">
        <f>Referentie_Materiaal_Totaal46[[#This Row],[Hoeveelheid Vervaningen '[ton']]]*(1-Referentie_Materiaal_Totaal46[[#This Row],[% Secundair]])</f>
        <v>#REF!</v>
      </c>
      <c r="J118" s="263" t="e">
        <f>Referentie_Materiaal_Totaal46[[#This Row],[Hoeveelheid Vervaningen '[ton']]]*Referentie_Materiaal_Totaal46[[#This Row],[% Secundair]]</f>
        <v>#REF!</v>
      </c>
      <c r="K118" s="263" t="e">
        <f>Referentie_Materiaal_Totaal46[[#This Row],[Primair materiaalverbruik '[ton']]]+Referentie_Materiaal_Totaal46[[#This Row],[Primair materiaalverbruik Vervangingen '[ton']]]</f>
        <v>#REF!</v>
      </c>
      <c r="L118" s="263" t="e">
        <f>Referentie_Materiaal_Totaal46[[#This Row],[Secundair materiaalverbruik '[ton']]]+Referentie_Materiaal_Totaal46[[#This Row],[Secundair materiaalverbruik Vervangingen '[ton']]]</f>
        <v>#REF!</v>
      </c>
      <c r="M118" s="263" t="e">
        <f>Referentie_Materiaal_Totaal46[[#This Row],[Totaal Primair Materieelgebruik]]+Referentie_Materiaal_Totaal46[[#This Row],[Totaal Secundair Materieelgebruik]]</f>
        <v>#REF!</v>
      </c>
      <c r="N118" s="17"/>
      <c r="O118" s="17"/>
      <c r="P118" s="17"/>
      <c r="Q118" s="17"/>
      <c r="R118" s="17"/>
      <c r="S118" s="17"/>
    </row>
    <row r="119" spans="2:19" ht="18" x14ac:dyDescent="0.55000000000000004">
      <c r="B119" s="67" t="str">
        <f>Ontwerpberekening!B36</f>
        <v>Variant 1</v>
      </c>
      <c r="C119" s="67" t="str">
        <f>Ontwerpberekening!F36</f>
        <v>Opsluitband geopolymeer 100x200</v>
      </c>
      <c r="D119" s="117" t="e">
        <f>Ontwerpberekening!P36</f>
        <v>#REF!</v>
      </c>
      <c r="E119" s="232">
        <f>_xlfn.IFNA(VLOOKUP(Referentie_Materiaal_Totaal46[[#This Row],[Product]]&amp;", "&amp;"Totaal",Database_Productkaarten[#All],63,FALSE),0)</f>
        <v>0.24167</v>
      </c>
      <c r="F119" s="260" t="e">
        <f>Referentie_Materiaal_Totaal46[[#This Row],[Hoeveelheid '[ton']]]*(1-Referentie_Materiaal_Totaal46[[#This Row],[% Secundair]])</f>
        <v>#REF!</v>
      </c>
      <c r="G119" s="260" t="e">
        <f>Referentie_Materiaal_Totaal46[[#This Row],[Hoeveelheid '[ton']]]*Referentie_Materiaal_Totaal46[[#This Row],[% Secundair]]</f>
        <v>#REF!</v>
      </c>
      <c r="H119" s="263" t="e">
        <f>Ontwerpberekening!P36*Ontwerpberekening!R36</f>
        <v>#REF!</v>
      </c>
      <c r="I119" s="263" t="e">
        <f>Referentie_Materiaal_Totaal46[[#This Row],[Hoeveelheid Vervaningen '[ton']]]*(1-Referentie_Materiaal_Totaal46[[#This Row],[% Secundair]])</f>
        <v>#REF!</v>
      </c>
      <c r="J119" s="263" t="e">
        <f>Referentie_Materiaal_Totaal46[[#This Row],[Hoeveelheid Vervaningen '[ton']]]*Referentie_Materiaal_Totaal46[[#This Row],[% Secundair]]</f>
        <v>#REF!</v>
      </c>
      <c r="K119" s="263" t="e">
        <f>Referentie_Materiaal_Totaal46[[#This Row],[Primair materiaalverbruik '[ton']]]+Referentie_Materiaal_Totaal46[[#This Row],[Primair materiaalverbruik Vervangingen '[ton']]]</f>
        <v>#REF!</v>
      </c>
      <c r="L119" s="263" t="e">
        <f>Referentie_Materiaal_Totaal46[[#This Row],[Secundair materiaalverbruik '[ton']]]+Referentie_Materiaal_Totaal46[[#This Row],[Secundair materiaalverbruik Vervangingen '[ton']]]</f>
        <v>#REF!</v>
      </c>
      <c r="M119" s="263" t="e">
        <f>Referentie_Materiaal_Totaal46[[#This Row],[Totaal Primair Materieelgebruik]]+Referentie_Materiaal_Totaal46[[#This Row],[Totaal Secundair Materieelgebruik]]</f>
        <v>#REF!</v>
      </c>
      <c r="N119" s="17"/>
      <c r="O119" s="17"/>
      <c r="P119" s="17"/>
      <c r="Q119" s="17"/>
      <c r="R119" s="17"/>
      <c r="S119" s="17"/>
    </row>
    <row r="120" spans="2:19" ht="18" x14ac:dyDescent="0.55000000000000004">
      <c r="B120" s="67" t="str">
        <f>Ontwerpberekening!B37</f>
        <v>Variant 1</v>
      </c>
      <c r="C120" s="67" t="str">
        <f>Ontwerpberekening!F37</f>
        <v>Opsluitband geopolymeer 100x200</v>
      </c>
      <c r="D120" s="117" t="e">
        <f>Ontwerpberekening!P37</f>
        <v>#REF!</v>
      </c>
      <c r="E120" s="232">
        <f>_xlfn.IFNA(VLOOKUP(Referentie_Materiaal_Totaal46[[#This Row],[Product]]&amp;", "&amp;"Totaal",Database_Productkaarten[#All],63,FALSE),0)</f>
        <v>0.24167</v>
      </c>
      <c r="F120" s="118" t="e">
        <f>Referentie_Materiaal_Totaal46[[#This Row],[Hoeveelheid '[ton']]]*(1-Referentie_Materiaal_Totaal46[[#This Row],[% Secundair]])</f>
        <v>#REF!</v>
      </c>
      <c r="G120" s="118" t="e">
        <f>Referentie_Materiaal_Totaal46[[#This Row],[Hoeveelheid '[ton']]]*Referentie_Materiaal_Totaal46[[#This Row],[% Secundair]]</f>
        <v>#REF!</v>
      </c>
      <c r="H120" s="176" t="e">
        <f>Ontwerpberekening!P37*Ontwerpberekening!R37</f>
        <v>#REF!</v>
      </c>
      <c r="I120" s="176" t="e">
        <f>Referentie_Materiaal_Totaal46[[#This Row],[Hoeveelheid Vervaningen '[ton']]]*(1-Referentie_Materiaal_Totaal46[[#This Row],[% Secundair]])</f>
        <v>#REF!</v>
      </c>
      <c r="J120" s="176" t="e">
        <f>Referentie_Materiaal_Totaal46[[#This Row],[Hoeveelheid Vervaningen '[ton']]]*Referentie_Materiaal_Totaal46[[#This Row],[% Secundair]]</f>
        <v>#REF!</v>
      </c>
      <c r="K120" s="176" t="e">
        <f>Referentie_Materiaal_Totaal46[[#This Row],[Primair materiaalverbruik '[ton']]]+Referentie_Materiaal_Totaal46[[#This Row],[Primair materiaalverbruik Vervangingen '[ton']]]</f>
        <v>#REF!</v>
      </c>
      <c r="L120" s="176" t="e">
        <f>Referentie_Materiaal_Totaal46[[#This Row],[Secundair materiaalverbruik '[ton']]]+Referentie_Materiaal_Totaal46[[#This Row],[Secundair materiaalverbruik Vervangingen '[ton']]]</f>
        <v>#REF!</v>
      </c>
      <c r="M120" s="176" t="e">
        <f>Referentie_Materiaal_Totaal46[[#This Row],[Totaal Primair Materieelgebruik]]+Referentie_Materiaal_Totaal46[[#This Row],[Totaal Secundair Materieelgebruik]]</f>
        <v>#REF!</v>
      </c>
      <c r="N120" s="17"/>
      <c r="O120" s="17"/>
      <c r="P120" s="17"/>
      <c r="Q120" s="17"/>
      <c r="R120" s="17"/>
      <c r="S120" s="17"/>
    </row>
    <row r="121" spans="2:19" ht="18" x14ac:dyDescent="0.55000000000000004">
      <c r="B121" s="67" t="str">
        <f>Ontwerpberekening!B38</f>
        <v>Variant 1</v>
      </c>
      <c r="C121" s="67" t="str">
        <f>Ontwerpberekening!F38</f>
        <v>Grond</v>
      </c>
      <c r="D121" s="117">
        <f>Ontwerpberekening!P38</f>
        <v>0</v>
      </c>
      <c r="E121" s="232">
        <f>_xlfn.IFNA(VLOOKUP(Referentie_Materiaal_Totaal46[[#This Row],[Product]]&amp;", "&amp;"Totaal",Database_Productkaarten[#All],63,FALSE),0)</f>
        <v>1</v>
      </c>
      <c r="F121" s="260">
        <f>Referentie_Materiaal_Totaal46[[#This Row],[Hoeveelheid '[ton']]]*(1-Referentie_Materiaal_Totaal46[[#This Row],[% Secundair]])</f>
        <v>0</v>
      </c>
      <c r="G121" s="260">
        <f>Referentie_Materiaal_Totaal46[[#This Row],[Hoeveelheid '[ton']]]*Referentie_Materiaal_Totaal46[[#This Row],[% Secundair]]</f>
        <v>0</v>
      </c>
      <c r="H121" s="263">
        <f>Ontwerpberekening!P38*Ontwerpberekening!R38</f>
        <v>0</v>
      </c>
      <c r="I121" s="263">
        <f>Referentie_Materiaal_Totaal46[[#This Row],[Hoeveelheid Vervaningen '[ton']]]*(1-Referentie_Materiaal_Totaal46[[#This Row],[% Secundair]])</f>
        <v>0</v>
      </c>
      <c r="J121" s="263">
        <f>Referentie_Materiaal_Totaal46[[#This Row],[Hoeveelheid Vervaningen '[ton']]]*Referentie_Materiaal_Totaal46[[#This Row],[% Secundair]]</f>
        <v>0</v>
      </c>
      <c r="K121" s="263">
        <f>Referentie_Materiaal_Totaal46[[#This Row],[Primair materiaalverbruik '[ton']]]+Referentie_Materiaal_Totaal46[[#This Row],[Primair materiaalverbruik Vervangingen '[ton']]]</f>
        <v>0</v>
      </c>
      <c r="L121" s="263">
        <f>Referentie_Materiaal_Totaal46[[#This Row],[Secundair materiaalverbruik '[ton']]]+Referentie_Materiaal_Totaal46[[#This Row],[Secundair materiaalverbruik Vervangingen '[ton']]]</f>
        <v>0</v>
      </c>
      <c r="M121" s="263">
        <f>Referentie_Materiaal_Totaal46[[#This Row],[Totaal Primair Materieelgebruik]]+Referentie_Materiaal_Totaal46[[#This Row],[Totaal Secundair Materieelgebruik]]</f>
        <v>0</v>
      </c>
      <c r="N121" s="17"/>
      <c r="O121" s="17"/>
      <c r="P121" s="17"/>
      <c r="Q121" s="17"/>
      <c r="R121" s="17"/>
      <c r="S121" s="17"/>
    </row>
    <row r="122" spans="2:19" ht="18" x14ac:dyDescent="0.55000000000000004">
      <c r="B122" s="67">
        <f>Ontwerpberekening!B39</f>
        <v>0</v>
      </c>
      <c r="C122" s="67">
        <f>Ontwerpberekening!F39</f>
        <v>0</v>
      </c>
      <c r="D122" s="117">
        <f>Ontwerpberekening!P39</f>
        <v>0</v>
      </c>
      <c r="E122" s="232">
        <f>_xlfn.IFNA(VLOOKUP(Referentie_Materiaal_Totaal46[[#This Row],[Product]]&amp;", "&amp;"Totaal",Database_Productkaarten[#All],63,FALSE),0)</f>
        <v>0</v>
      </c>
      <c r="F122" s="260">
        <f>Referentie_Materiaal_Totaal46[[#This Row],[Hoeveelheid '[ton']]]*(1-Referentie_Materiaal_Totaal46[[#This Row],[% Secundair]])</f>
        <v>0</v>
      </c>
      <c r="G122" s="260">
        <f>Referentie_Materiaal_Totaal46[[#This Row],[Hoeveelheid '[ton']]]*Referentie_Materiaal_Totaal46[[#This Row],[% Secundair]]</f>
        <v>0</v>
      </c>
      <c r="H122" s="263">
        <f>Ontwerpberekening!P39*Ontwerpberekening!R39</f>
        <v>0</v>
      </c>
      <c r="I122" s="263">
        <f>Referentie_Materiaal_Totaal46[[#This Row],[Hoeveelheid Vervaningen '[ton']]]*(1-Referentie_Materiaal_Totaal46[[#This Row],[% Secundair]])</f>
        <v>0</v>
      </c>
      <c r="J122" s="263">
        <f>Referentie_Materiaal_Totaal46[[#This Row],[Hoeveelheid Vervaningen '[ton']]]*Referentie_Materiaal_Totaal46[[#This Row],[% Secundair]]</f>
        <v>0</v>
      </c>
      <c r="K122" s="263">
        <f>Referentie_Materiaal_Totaal46[[#This Row],[Primair materiaalverbruik '[ton']]]+Referentie_Materiaal_Totaal46[[#This Row],[Primair materiaalverbruik Vervangingen '[ton']]]</f>
        <v>0</v>
      </c>
      <c r="L122" s="263">
        <f>Referentie_Materiaal_Totaal46[[#This Row],[Secundair materiaalverbruik '[ton']]]+Referentie_Materiaal_Totaal46[[#This Row],[Secundair materiaalverbruik Vervangingen '[ton']]]</f>
        <v>0</v>
      </c>
      <c r="M122" s="263">
        <f>Referentie_Materiaal_Totaal46[[#This Row],[Totaal Primair Materieelgebruik]]+Referentie_Materiaal_Totaal46[[#This Row],[Totaal Secundair Materieelgebruik]]</f>
        <v>0</v>
      </c>
      <c r="N122" s="17"/>
      <c r="O122" s="17"/>
      <c r="P122" s="17"/>
      <c r="Q122" s="17"/>
      <c r="R122" s="17"/>
      <c r="S122" s="17"/>
    </row>
    <row r="123" spans="2:19" ht="18" x14ac:dyDescent="0.55000000000000004">
      <c r="B123" s="67">
        <f>Ontwerpberekening!B40</f>
        <v>0</v>
      </c>
      <c r="C123" s="67">
        <f>Ontwerpberekening!F40</f>
        <v>0</v>
      </c>
      <c r="D123" s="117">
        <f>Ontwerpberekening!P40</f>
        <v>0</v>
      </c>
      <c r="E123" s="232">
        <f>_xlfn.IFNA(VLOOKUP(Referentie_Materiaal_Totaal46[[#This Row],[Product]]&amp;", "&amp;"Totaal",Database_Productkaarten[#All],63,FALSE),0)</f>
        <v>0</v>
      </c>
      <c r="F123" s="260">
        <f>Referentie_Materiaal_Totaal46[[#This Row],[Hoeveelheid '[ton']]]*(1-Referentie_Materiaal_Totaal46[[#This Row],[% Secundair]])</f>
        <v>0</v>
      </c>
      <c r="G123" s="260">
        <f>Referentie_Materiaal_Totaal46[[#This Row],[Hoeveelheid '[ton']]]*Referentie_Materiaal_Totaal46[[#This Row],[% Secundair]]</f>
        <v>0</v>
      </c>
      <c r="H123" s="263">
        <f>Ontwerpberekening!P40*Ontwerpberekening!R40</f>
        <v>0</v>
      </c>
      <c r="I123" s="263">
        <f>Referentie_Materiaal_Totaal46[[#This Row],[Hoeveelheid Vervaningen '[ton']]]*(1-Referentie_Materiaal_Totaal46[[#This Row],[% Secundair]])</f>
        <v>0</v>
      </c>
      <c r="J123" s="263">
        <f>Referentie_Materiaal_Totaal46[[#This Row],[Hoeveelheid Vervaningen '[ton']]]*Referentie_Materiaal_Totaal46[[#This Row],[% Secundair]]</f>
        <v>0</v>
      </c>
      <c r="K123" s="263">
        <f>Referentie_Materiaal_Totaal46[[#This Row],[Primair materiaalverbruik '[ton']]]+Referentie_Materiaal_Totaal46[[#This Row],[Primair materiaalverbruik Vervangingen '[ton']]]</f>
        <v>0</v>
      </c>
      <c r="L123" s="263">
        <f>Referentie_Materiaal_Totaal46[[#This Row],[Secundair materiaalverbruik '[ton']]]+Referentie_Materiaal_Totaal46[[#This Row],[Secundair materiaalverbruik Vervangingen '[ton']]]</f>
        <v>0</v>
      </c>
      <c r="M123" s="263">
        <f>Referentie_Materiaal_Totaal46[[#This Row],[Totaal Primair Materieelgebruik]]+Referentie_Materiaal_Totaal46[[#This Row],[Totaal Secundair Materieelgebruik]]</f>
        <v>0</v>
      </c>
      <c r="N123" s="17"/>
      <c r="O123" s="17"/>
      <c r="P123" s="17"/>
      <c r="Q123" s="17"/>
      <c r="R123" s="17"/>
      <c r="S123" s="17"/>
    </row>
    <row r="124" spans="2:19" ht="18.5" thickBot="1" x14ac:dyDescent="0.6">
      <c r="B124" s="67">
        <f>Ontwerpberekening!B41</f>
        <v>0</v>
      </c>
      <c r="C124" s="67">
        <f>Ontwerpberekening!F41</f>
        <v>0</v>
      </c>
      <c r="D124" s="117">
        <f>Ontwerpberekening!P41</f>
        <v>0</v>
      </c>
      <c r="E124" s="232">
        <f>_xlfn.IFNA(VLOOKUP(Referentie_Materiaal_Totaal46[[#This Row],[Product]]&amp;", "&amp;"Totaal",Database_Productkaarten[#All],63,FALSE),0)</f>
        <v>0</v>
      </c>
      <c r="F124" s="118">
        <f>Referentie_Materiaal_Totaal46[[#This Row],[Hoeveelheid '[ton']]]*(1-Referentie_Materiaal_Totaal46[[#This Row],[% Secundair]])</f>
        <v>0</v>
      </c>
      <c r="G124" s="118">
        <f>Referentie_Materiaal_Totaal46[[#This Row],[Hoeveelheid '[ton']]]*Referentie_Materiaal_Totaal46[[#This Row],[% Secundair]]</f>
        <v>0</v>
      </c>
      <c r="H124" s="176">
        <f>Ontwerpberekening!P41*Ontwerpberekening!R41</f>
        <v>0</v>
      </c>
      <c r="I124" s="176">
        <f>Referentie_Materiaal_Totaal46[[#This Row],[Hoeveelheid Vervaningen '[ton']]]*(1-Referentie_Materiaal_Totaal46[[#This Row],[% Secundair]])</f>
        <v>0</v>
      </c>
      <c r="J124" s="176">
        <f>Referentie_Materiaal_Totaal46[[#This Row],[Hoeveelheid Vervaningen '[ton']]]*Referentie_Materiaal_Totaal46[[#This Row],[% Secundair]]</f>
        <v>0</v>
      </c>
      <c r="K124" s="176">
        <f>Referentie_Materiaal_Totaal46[[#This Row],[Primair materiaalverbruik '[ton']]]+Referentie_Materiaal_Totaal46[[#This Row],[Primair materiaalverbruik Vervangingen '[ton']]]</f>
        <v>0</v>
      </c>
      <c r="L124" s="176">
        <f>Referentie_Materiaal_Totaal46[[#This Row],[Secundair materiaalverbruik '[ton']]]+Referentie_Materiaal_Totaal46[[#This Row],[Secundair materiaalverbruik Vervangingen '[ton']]]</f>
        <v>0</v>
      </c>
      <c r="M124" s="176">
        <f>Referentie_Materiaal_Totaal46[[#This Row],[Totaal Primair Materieelgebruik]]+Referentie_Materiaal_Totaal46[[#This Row],[Totaal Secundair Materieelgebruik]]</f>
        <v>0</v>
      </c>
      <c r="N124" s="17"/>
      <c r="O124" s="17"/>
      <c r="P124" s="17"/>
      <c r="Q124" s="17"/>
      <c r="R124" s="17"/>
      <c r="S124" s="17"/>
    </row>
    <row r="125" spans="2:19" ht="18.5" thickTop="1" x14ac:dyDescent="0.55000000000000004">
      <c r="B125" s="68" t="s">
        <v>16</v>
      </c>
      <c r="C125" s="69"/>
      <c r="D125" s="97" t="e">
        <f>SUBTOTAL(109,Referentie_Materiaal_Totaal46[Hoeveelheid '[ton']])</f>
        <v>#REF!</v>
      </c>
      <c r="E125" s="69"/>
      <c r="F125" s="97" t="e">
        <f>SUBTOTAL(109,Referentie_Materiaal_Totaal46[Primair materiaalverbruik '[ton']])</f>
        <v>#REF!</v>
      </c>
      <c r="G125" s="97" t="e">
        <f>SUBTOTAL(109,Referentie_Materiaal_Totaal46[Secundair materiaalverbruik '[ton']])</f>
        <v>#REF!</v>
      </c>
      <c r="H125" s="180" t="e">
        <f>SUBTOTAL(109,Referentie_Materiaal_Totaal46[Hoeveelheid Vervaningen '[ton']])</f>
        <v>#REF!</v>
      </c>
      <c r="I125" s="180" t="e">
        <f>SUBTOTAL(109,Referentie_Materiaal_Totaal46[Primair materiaalverbruik Vervangingen '[ton']])</f>
        <v>#REF!</v>
      </c>
      <c r="J125" s="180" t="e">
        <f>SUBTOTAL(109,Referentie_Materiaal_Totaal46[Secundair materiaalverbruik Vervangingen '[ton']])</f>
        <v>#REF!</v>
      </c>
      <c r="K125" s="180" t="e">
        <f>SUBTOTAL(109,Referentie_Materiaal_Totaal46[Totaal Primair Materieelgebruik])</f>
        <v>#REF!</v>
      </c>
      <c r="L125" s="180" t="e">
        <f>SUBTOTAL(109,Referentie_Materiaal_Totaal46[Totaal Secundair Materieelgebruik])</f>
        <v>#REF!</v>
      </c>
      <c r="M125" s="180" t="e">
        <f>SUBTOTAL(109,Referentie_Materiaal_Totaal46[Totaal Materieelgebruik])</f>
        <v>#REF!</v>
      </c>
      <c r="N125" s="17"/>
      <c r="O125" s="17"/>
      <c r="P125" s="17"/>
      <c r="Q125" s="17"/>
      <c r="R125" s="17"/>
      <c r="S125" s="17"/>
    </row>
    <row r="126" spans="2:19" ht="18" x14ac:dyDescent="0.55000000000000004">
      <c r="B126" s="17"/>
      <c r="C126" s="17"/>
      <c r="D126" s="17"/>
      <c r="E126" s="17"/>
      <c r="F126" s="17"/>
      <c r="G126" s="17"/>
      <c r="H126" s="17"/>
      <c r="I126" s="17"/>
      <c r="J126" s="17"/>
      <c r="K126" s="17"/>
      <c r="L126" s="17"/>
      <c r="M126" s="17"/>
      <c r="N126" s="17"/>
      <c r="O126" s="17"/>
      <c r="P126" s="17"/>
    </row>
    <row r="127" spans="2:19" ht="18" x14ac:dyDescent="0.55000000000000004">
      <c r="B127" s="17"/>
      <c r="C127" s="17"/>
      <c r="D127" s="17"/>
      <c r="E127" s="17"/>
      <c r="F127" s="17"/>
      <c r="G127" s="17"/>
      <c r="H127" s="17"/>
      <c r="I127" s="17"/>
      <c r="J127" s="17"/>
      <c r="K127" s="17"/>
      <c r="L127" s="17"/>
      <c r="M127" s="17"/>
      <c r="N127" s="17"/>
      <c r="O127" s="17"/>
      <c r="P127" s="17"/>
    </row>
    <row r="128" spans="2:19" ht="20.149999999999999" customHeight="1" x14ac:dyDescent="0.65">
      <c r="B128" s="134" t="s">
        <v>367</v>
      </c>
      <c r="C128" s="134"/>
      <c r="D128" s="134"/>
      <c r="E128" s="17"/>
      <c r="F128" s="17"/>
      <c r="G128" s="17"/>
      <c r="H128" s="17"/>
      <c r="I128" s="17"/>
      <c r="J128" s="17"/>
      <c r="K128" s="17"/>
      <c r="L128" s="17"/>
      <c r="M128" s="17"/>
      <c r="N128" s="17"/>
      <c r="O128" s="17"/>
      <c r="P128" s="17"/>
    </row>
    <row r="129" spans="2:18" ht="18.5" thickBot="1" x14ac:dyDescent="0.6">
      <c r="B129" s="65" t="s">
        <v>55</v>
      </c>
      <c r="C129" s="66" t="s">
        <v>4</v>
      </c>
      <c r="D129" s="79" t="s">
        <v>19</v>
      </c>
      <c r="E129" s="80" t="s">
        <v>20</v>
      </c>
      <c r="F129" s="81" t="s">
        <v>21</v>
      </c>
      <c r="G129" s="82" t="s">
        <v>22</v>
      </c>
      <c r="H129" s="83" t="s">
        <v>23</v>
      </c>
      <c r="I129" s="84" t="s">
        <v>24</v>
      </c>
      <c r="J129" s="29" t="s">
        <v>602</v>
      </c>
      <c r="K129" s="85" t="s">
        <v>50</v>
      </c>
      <c r="L129" s="86" t="s">
        <v>25</v>
      </c>
      <c r="M129" s="87" t="s">
        <v>26</v>
      </c>
      <c r="N129" s="88" t="s">
        <v>27</v>
      </c>
      <c r="O129" s="89" t="s">
        <v>28</v>
      </c>
      <c r="P129" s="90" t="s">
        <v>51</v>
      </c>
      <c r="Q129" s="91" t="s">
        <v>52</v>
      </c>
      <c r="R129" s="192" t="s">
        <v>16</v>
      </c>
    </row>
    <row r="130" spans="2:18" ht="18.5" thickTop="1" x14ac:dyDescent="0.55000000000000004">
      <c r="B130" s="67" t="str">
        <f>Ontwerpberekening!B5</f>
        <v>Baseline</v>
      </c>
      <c r="C130" s="92" t="str">
        <f>Ontwerpberekening!F5</f>
        <v>AC Surf 0% PR - PCR 2.0</v>
      </c>
      <c r="D130" s="93">
        <f>(IF(Ontwerpberekening!C5="Nieuwe Situatie",(_xlfn.IFNA(VLOOKUP(Referentie_Hernieuwbare_Energie_Totaal47[[#This Row],[Product]]&amp;", "&amp;Referentie_Hernieuwbare_Energie_Totaal47[[#Headers],[A1]],Database_Productkaarten[#All],47,FALSE),0)*Ontwerpberekening!L5),0))/Ontwerpberekening!$A$2</f>
        <v>0</v>
      </c>
      <c r="E130" s="93">
        <f>(IF(Ontwerpberekening!C5="Nieuwe Situatie",(_xlfn.IFNA(VLOOKUP(Referentie_Hernieuwbare_Energie_Totaal47[[#This Row],[Product]]&amp;", "&amp;Referentie_Hernieuwbare_Energie_Totaal47[[#Headers],[A2]],Database_Productkaarten[#All],47,FALSE),0)*Ontwerpberekening!L5),0))/Ontwerpberekening!$A$2</f>
        <v>0</v>
      </c>
      <c r="F130" s="93">
        <f>(IF(Ontwerpberekening!C5="Nieuwe Situatie",(_xlfn.IFNA(VLOOKUP(Referentie_Hernieuwbare_Energie_Totaal47[[#This Row],[Product]]&amp;", "&amp;Referentie_Hernieuwbare_Energie_Totaal47[[#Headers],[A3]],Database_Productkaarten[#All],47,FALSE),0)*Ontwerpberekening!L5),0))/Ontwerpberekening!$A$2</f>
        <v>0</v>
      </c>
      <c r="G130" s="93">
        <f>(IF(Ontwerpberekening!C5="Nieuwe Situatie",(_xlfn.IFNA(VLOOKUP(Referentie_Hernieuwbare_Energie_Totaal47[[#This Row],[Product]]&amp;", "&amp;Referentie_Hernieuwbare_Energie_Totaal47[[#Headers],[A4]],Database_Productkaarten[#All],47,FALSE),0)*Ontwerpberekening!L5),0))/Ontwerpberekening!$A$2</f>
        <v>0</v>
      </c>
      <c r="H130" s="93">
        <f>(IF(Ontwerpberekening!C5="Nieuwe Situatie",(_xlfn.IFNA(VLOOKUP(Referentie_Hernieuwbare_Energie_Totaal47[[#This Row],[Product]]&amp;", "&amp;Referentie_Hernieuwbare_Energie_Totaal47[[#Headers],[A5]],Database_Productkaarten[#All],47,FALSE),0)*Ontwerpberekening!L5),0))/Ontwerpberekening!$A$2</f>
        <v>0</v>
      </c>
      <c r="I130" s="93">
        <f>(IF(Ontwerpberekening!C5="Nieuwe Situatie",(_xlfn.IFNA(VLOOKUP(Referentie_Hernieuwbare_Energie_Totaal47[[#This Row],[Product]]&amp;", "&amp;Referentie_Hernieuwbare_Energie_Totaal47[[#Headers],[B1]],Database_Productkaarten[#All],47,FALSE),0)*Ontwerpberekening!L5),0))/Ontwerpberekening!$A$2</f>
        <v>0</v>
      </c>
      <c r="J130" s="93"/>
      <c r="K130" s="93">
        <f>(IF(Ontwerpberekening!C5="Nieuwe Situatie",(SUM(Referentie_Hernieuwbare_Energie_Totaal47[[#This Row],[A1]:[B1]],Referentie_Hernieuwbare_Energie_Totaal47[[#This Row],[C1]:[D2]])*Ontwerpberekening!M5),0))/Ontwerpberekening!$A$2</f>
        <v>0</v>
      </c>
      <c r="L130" s="93">
        <f>_xlfn.IFNA(VLOOKUP(Referentie_Hernieuwbare_Energie_Totaal47[[#This Row],[Product]]&amp;", "&amp;Referentie_Hernieuwbare_Energie_Totaal47[[#Headers],[C1]],Database_Productkaarten[#All],47,FALSE)*Ontwerpberekening!L5,0)/Ontwerpberekening!$A$2</f>
        <v>3.3731031234335371</v>
      </c>
      <c r="M130" s="93">
        <f>_xlfn.IFNA(VLOOKUP(Referentie_Hernieuwbare_Energie_Totaal47[[#This Row],[Product]]&amp;", "&amp;Referentie_Hernieuwbare_Energie_Totaal47[[#Headers],[C2]],Database_Productkaarten[#All],47,FALSE)*Ontwerpberekening!L5,0)/Ontwerpberekening!$A$2</f>
        <v>357.42018073464004</v>
      </c>
      <c r="N130" s="93">
        <f>_xlfn.IFNA(VLOOKUP(Referentie_Hernieuwbare_Energie_Totaal47[[#This Row],[Product]]&amp;", "&amp;Referentie_Hernieuwbare_Energie_Totaal47[[#Headers],[C3]],Database_Productkaarten[#All],47,FALSE)*Ontwerpberekening!L5,0)/Ontwerpberekening!$A$2</f>
        <v>3.7819641080921582</v>
      </c>
      <c r="O130" s="93">
        <f>_xlfn.IFNA(VLOOKUP(Referentie_Hernieuwbare_Energie_Totaal47[[#This Row],[Product]]&amp;", "&amp;Referentie_Hernieuwbare_Energie_Totaal47[[#Headers],[C4]],Database_Productkaarten[#All],47,FALSE)*Ontwerpberekening!L5,0)/Ontwerpberekening!$A$2</f>
        <v>0</v>
      </c>
      <c r="P130" s="93">
        <f>(IF(Ontwerpberekening!C5="Nieuwe Situatie",(_xlfn.IFNA(VLOOKUP(Referentie_Hernieuwbare_Energie_Totaal47[[#This Row],[Product]]&amp;", "&amp;Referentie_Hernieuwbare_Energie_Totaal47[[#Headers],[D1]],Database_Productkaarten[#All],47,FALSE),0)*Ontwerpberekening!L5),0))/Ontwerpberekening!$A$2</f>
        <v>0</v>
      </c>
      <c r="Q130" s="94">
        <f>(IF(Ontwerpberekening!C5="Nieuwe Situatie",_xlfn.IFNA(VLOOKUP(Referentie_Hernieuwbare_Energie_Totaal47[[#This Row],[Product]]&amp;", "&amp;Referentie_Hernieuwbare_Energie_Totaal47[[#Headers],[D2]],Database_Productkaarten[#All],47,FALSE),0)*Ontwerpberekening!L5,0))/Ontwerpberekening!$A$2</f>
        <v>0</v>
      </c>
      <c r="R130" s="72">
        <f>SUM(Referentie_Hernieuwbare_Energie_Totaal47[[#This Row],[A1]:[D2]])</f>
        <v>364.5752479661657</v>
      </c>
    </row>
    <row r="131" spans="2:18" ht="18" x14ac:dyDescent="0.55000000000000004">
      <c r="B131" s="67" t="str">
        <f>Ontwerpberekening!B6</f>
        <v>Baseline</v>
      </c>
      <c r="C131" s="92" t="str">
        <f>Ontwerpberekening!F6</f>
        <v>AC bin/base 50% PR - PCR 2.0</v>
      </c>
      <c r="D131" s="93">
        <f>(IF(Ontwerpberekening!C6="Nieuwe Situatie",(_xlfn.IFNA(VLOOKUP(Referentie_Hernieuwbare_Energie_Totaal47[[#This Row],[Product]]&amp;", "&amp;Referentie_Hernieuwbare_Energie_Totaal47[[#Headers],[A1]],Database_Productkaarten[#All],47,FALSE),0)*Ontwerpberekening!L6),0))/Ontwerpberekening!$A$2</f>
        <v>0</v>
      </c>
      <c r="E131" s="93">
        <f>(IF(Ontwerpberekening!C6="Nieuwe Situatie",(_xlfn.IFNA(VLOOKUP(Referentie_Hernieuwbare_Energie_Totaal47[[#This Row],[Product]]&amp;", "&amp;Referentie_Hernieuwbare_Energie_Totaal47[[#Headers],[A2]],Database_Productkaarten[#All],47,FALSE),0)*Ontwerpberekening!L6),0))/Ontwerpberekening!$A$2</f>
        <v>0</v>
      </c>
      <c r="F131" s="93">
        <f>(IF(Ontwerpberekening!C6="Nieuwe Situatie",(_xlfn.IFNA(VLOOKUP(Referentie_Hernieuwbare_Energie_Totaal47[[#This Row],[Product]]&amp;", "&amp;Referentie_Hernieuwbare_Energie_Totaal47[[#Headers],[A3]],Database_Productkaarten[#All],47,FALSE),0)*Ontwerpberekening!L6),0))/Ontwerpberekening!$A$2</f>
        <v>0</v>
      </c>
      <c r="G131" s="93">
        <f>(IF(Ontwerpberekening!C6="Nieuwe Situatie",(_xlfn.IFNA(VLOOKUP(Referentie_Hernieuwbare_Energie_Totaal47[[#This Row],[Product]]&amp;", "&amp;Referentie_Hernieuwbare_Energie_Totaal47[[#Headers],[A4]],Database_Productkaarten[#All],47,FALSE),0)*Ontwerpberekening!L6),0))/Ontwerpberekening!$A$2</f>
        <v>0</v>
      </c>
      <c r="H131" s="93">
        <f>(IF(Ontwerpberekening!C6="Nieuwe Situatie",(_xlfn.IFNA(VLOOKUP(Referentie_Hernieuwbare_Energie_Totaal47[[#This Row],[Product]]&amp;", "&amp;Referentie_Hernieuwbare_Energie_Totaal47[[#Headers],[A5]],Database_Productkaarten[#All],47,FALSE),0)*Ontwerpberekening!L6),0))/Ontwerpberekening!$A$2</f>
        <v>0</v>
      </c>
      <c r="I131" s="93">
        <f>(IF(Ontwerpberekening!C6="Nieuwe Situatie",(_xlfn.IFNA(VLOOKUP(Referentie_Hernieuwbare_Energie_Totaal47[[#This Row],[Product]]&amp;", "&amp;Referentie_Hernieuwbare_Energie_Totaal47[[#Headers],[B1]],Database_Productkaarten[#All],47,FALSE),0)*Ontwerpberekening!L6),0))/Ontwerpberekening!$A$2</f>
        <v>0</v>
      </c>
      <c r="J131" s="93"/>
      <c r="K131" s="93">
        <f>(IF(Ontwerpberekening!C6="Nieuwe Situatie",(SUM(Referentie_Hernieuwbare_Energie_Totaal47[[#This Row],[A1]:[B1]],Referentie_Hernieuwbare_Energie_Totaal47[[#This Row],[C1]:[D2]])*Ontwerpberekening!M6),0))/Ontwerpberekening!$A$2</f>
        <v>0</v>
      </c>
      <c r="L131" s="93">
        <f>_xlfn.IFNA(VLOOKUP(Referentie_Hernieuwbare_Energie_Totaal47[[#This Row],[Product]]&amp;", "&amp;Referentie_Hernieuwbare_Energie_Totaal47[[#Headers],[C1]],Database_Productkaarten[#All],47,FALSE)*Ontwerpberekening!L6,0)/Ontwerpberekening!$A$2</f>
        <v>0.61279408094462406</v>
      </c>
      <c r="M131" s="93">
        <f>_xlfn.IFNA(VLOOKUP(Referentie_Hernieuwbare_Energie_Totaal47[[#This Row],[Product]]&amp;", "&amp;Referentie_Hernieuwbare_Energie_Totaal47[[#Headers],[C2]],Database_Productkaarten[#All],47,FALSE)*Ontwerpberekening!L6,0)/Ontwerpberekening!$A$2</f>
        <v>27.828335239680001</v>
      </c>
      <c r="N131" s="93">
        <f>_xlfn.IFNA(VLOOKUP(Referentie_Hernieuwbare_Energie_Totaal47[[#This Row],[Product]]&amp;", "&amp;Referentie_Hernieuwbare_Energie_Totaal47[[#Headers],[C3]],Database_Productkaarten[#All],47,FALSE)*Ontwerpberekening!L6,0)/Ontwerpberekening!$A$2</f>
        <v>0.29445949344092254</v>
      </c>
      <c r="O131" s="93">
        <f>_xlfn.IFNA(VLOOKUP(Referentie_Hernieuwbare_Energie_Totaal47[[#This Row],[Product]]&amp;", "&amp;Referentie_Hernieuwbare_Energie_Totaal47[[#Headers],[C4]],Database_Productkaarten[#All],47,FALSE)*Ontwerpberekening!L6,0)/Ontwerpberekening!$A$2</f>
        <v>0</v>
      </c>
      <c r="P131" s="93">
        <f>(IF(Ontwerpberekening!C6="Nieuwe Situatie",(_xlfn.IFNA(VLOOKUP(Referentie_Hernieuwbare_Energie_Totaal47[[#This Row],[Product]]&amp;", "&amp;Referentie_Hernieuwbare_Energie_Totaal47[[#Headers],[D1]],Database_Productkaarten[#All],47,FALSE),0)*Ontwerpberekening!L6),0))/Ontwerpberekening!$A$2</f>
        <v>0</v>
      </c>
      <c r="Q131" s="94">
        <f>(IF(Ontwerpberekening!C6="Nieuwe Situatie",_xlfn.IFNA(VLOOKUP(Referentie_Hernieuwbare_Energie_Totaal47[[#This Row],[Product]]&amp;", "&amp;Referentie_Hernieuwbare_Energie_Totaal47[[#Headers],[D2]],Database_Productkaarten[#All],47,FALSE),0)*Ontwerpberekening!L6,0))/Ontwerpberekening!$A$2</f>
        <v>0</v>
      </c>
      <c r="R131" s="72">
        <f>SUM(Referentie_Hernieuwbare_Energie_Totaal47[[#This Row],[A1]:[D2]])</f>
        <v>28.735588814065547</v>
      </c>
    </row>
    <row r="132" spans="2:18" ht="18" x14ac:dyDescent="0.55000000000000004">
      <c r="B132" s="67" t="str">
        <f>Ontwerpberekening!B7</f>
        <v>Baseline</v>
      </c>
      <c r="C132" s="92" t="str">
        <f>Ontwerpberekening!F7</f>
        <v>AC bin/base 50% PR - PCR 2.0</v>
      </c>
      <c r="D132" s="93">
        <f>(IF(Ontwerpberekening!C7="Nieuwe Situatie",(_xlfn.IFNA(VLOOKUP(Referentie_Hernieuwbare_Energie_Totaal47[[#This Row],[Product]]&amp;", "&amp;Referentie_Hernieuwbare_Energie_Totaal47[[#Headers],[A1]],Database_Productkaarten[#All],47,FALSE),0)*Ontwerpberekening!L7),0))/Ontwerpberekening!$A$2</f>
        <v>0</v>
      </c>
      <c r="E132" s="93">
        <f>(IF(Ontwerpberekening!C7="Nieuwe Situatie",(_xlfn.IFNA(VLOOKUP(Referentie_Hernieuwbare_Energie_Totaal47[[#This Row],[Product]]&amp;", "&amp;Referentie_Hernieuwbare_Energie_Totaal47[[#Headers],[A2]],Database_Productkaarten[#All],47,FALSE),0)*Ontwerpberekening!L7),0))/Ontwerpberekening!$A$2</f>
        <v>0</v>
      </c>
      <c r="F132" s="93">
        <f>(IF(Ontwerpberekening!C7="Nieuwe Situatie",(_xlfn.IFNA(VLOOKUP(Referentie_Hernieuwbare_Energie_Totaal47[[#This Row],[Product]]&amp;", "&amp;Referentie_Hernieuwbare_Energie_Totaal47[[#Headers],[A3]],Database_Productkaarten[#All],47,FALSE),0)*Ontwerpberekening!L7),0))/Ontwerpberekening!$A$2</f>
        <v>0</v>
      </c>
      <c r="G132" s="93">
        <f>(IF(Ontwerpberekening!C7="Nieuwe Situatie",(_xlfn.IFNA(VLOOKUP(Referentie_Hernieuwbare_Energie_Totaal47[[#This Row],[Product]]&amp;", "&amp;Referentie_Hernieuwbare_Energie_Totaal47[[#Headers],[A4]],Database_Productkaarten[#All],47,FALSE),0)*Ontwerpberekening!L7),0))/Ontwerpberekening!$A$2</f>
        <v>0</v>
      </c>
      <c r="H132" s="93">
        <f>(IF(Ontwerpberekening!C7="Nieuwe Situatie",(_xlfn.IFNA(VLOOKUP(Referentie_Hernieuwbare_Energie_Totaal47[[#This Row],[Product]]&amp;", "&amp;Referentie_Hernieuwbare_Energie_Totaal47[[#Headers],[A5]],Database_Productkaarten[#All],47,FALSE),0)*Ontwerpberekening!L7),0))/Ontwerpberekening!$A$2</f>
        <v>0</v>
      </c>
      <c r="I132" s="93">
        <f>(IF(Ontwerpberekening!C7="Nieuwe Situatie",(_xlfn.IFNA(VLOOKUP(Referentie_Hernieuwbare_Energie_Totaal47[[#This Row],[Product]]&amp;", "&amp;Referentie_Hernieuwbare_Energie_Totaal47[[#Headers],[B1]],Database_Productkaarten[#All],47,FALSE),0)*Ontwerpberekening!L7),0))/Ontwerpberekening!$A$2</f>
        <v>0</v>
      </c>
      <c r="J132" s="93"/>
      <c r="K132" s="93">
        <f>(IF(Ontwerpberekening!C7="Nieuwe Situatie",(SUM(Referentie_Hernieuwbare_Energie_Totaal47[[#This Row],[A1]:[B1]],Referentie_Hernieuwbare_Energie_Totaal47[[#This Row],[C1]:[D2]])*Ontwerpberekening!M7),0))/Ontwerpberekening!$A$2</f>
        <v>0</v>
      </c>
      <c r="L132" s="93">
        <f>_xlfn.IFNA(VLOOKUP(Referentie_Hernieuwbare_Energie_Totaal47[[#This Row],[Product]]&amp;", "&amp;Referentie_Hernieuwbare_Energie_Totaal47[[#Headers],[C1]],Database_Productkaarten[#All],47,FALSE)*Ontwerpberekening!L7,0)/Ontwerpberekening!$A$2</f>
        <v>0.19149815029519501</v>
      </c>
      <c r="M132" s="93">
        <f>_xlfn.IFNA(VLOOKUP(Referentie_Hernieuwbare_Energie_Totaal47[[#This Row],[Product]]&amp;", "&amp;Referentie_Hernieuwbare_Energie_Totaal47[[#Headers],[C2]],Database_Productkaarten[#All],47,FALSE)*Ontwerpberekening!L7,0)/Ontwerpberekening!$A$2</f>
        <v>8.6963547624000004</v>
      </c>
      <c r="N132" s="93">
        <f>_xlfn.IFNA(VLOOKUP(Referentie_Hernieuwbare_Energie_Totaal47[[#This Row],[Product]]&amp;", "&amp;Referentie_Hernieuwbare_Energie_Totaal47[[#Headers],[C3]],Database_Productkaarten[#All],47,FALSE)*Ontwerpberekening!L7,0)/Ontwerpberekening!$A$2</f>
        <v>9.2018591700288296E-2</v>
      </c>
      <c r="O132" s="93">
        <f>_xlfn.IFNA(VLOOKUP(Referentie_Hernieuwbare_Energie_Totaal47[[#This Row],[Product]]&amp;", "&amp;Referentie_Hernieuwbare_Energie_Totaal47[[#Headers],[C4]],Database_Productkaarten[#All],47,FALSE)*Ontwerpberekening!L7,0)/Ontwerpberekening!$A$2</f>
        <v>0</v>
      </c>
      <c r="P132" s="93">
        <f>(IF(Ontwerpberekening!C7="Nieuwe Situatie",(_xlfn.IFNA(VLOOKUP(Referentie_Hernieuwbare_Energie_Totaal47[[#This Row],[Product]]&amp;", "&amp;Referentie_Hernieuwbare_Energie_Totaal47[[#Headers],[D1]],Database_Productkaarten[#All],47,FALSE),0)*Ontwerpberekening!L7),0))/Ontwerpberekening!$A$2</f>
        <v>0</v>
      </c>
      <c r="Q132" s="94">
        <f>(IF(Ontwerpberekening!C7="Nieuwe Situatie",_xlfn.IFNA(VLOOKUP(Referentie_Hernieuwbare_Energie_Totaal47[[#This Row],[Product]]&amp;", "&amp;Referentie_Hernieuwbare_Energie_Totaal47[[#Headers],[D2]],Database_Productkaarten[#All],47,FALSE),0)*Ontwerpberekening!L7,0))/Ontwerpberekening!$A$2</f>
        <v>0</v>
      </c>
      <c r="R132" s="72">
        <f>SUM(Referentie_Hernieuwbare_Energie_Totaal47[[#This Row],[A1]:[D2]])</f>
        <v>8.9798715043954829</v>
      </c>
    </row>
    <row r="133" spans="2:18" ht="18" x14ac:dyDescent="0.55000000000000004">
      <c r="B133" s="67" t="str">
        <f>Ontwerpberekening!B8</f>
        <v>Baseline</v>
      </c>
      <c r="C133" s="92" t="str">
        <f>Ontwerpberekening!F8</f>
        <v>Betonstraatsteen 210x105x80</v>
      </c>
      <c r="D133" s="93">
        <f>(IF(Ontwerpberekening!C8="Nieuwe Situatie",(_xlfn.IFNA(VLOOKUP(Referentie_Hernieuwbare_Energie_Totaal47[[#This Row],[Product]]&amp;", "&amp;Referentie_Hernieuwbare_Energie_Totaal47[[#Headers],[A1]],Database_Productkaarten[#All],47,FALSE),0)*Ontwerpberekening!L8),0))/Ontwerpberekening!$A$2</f>
        <v>0</v>
      </c>
      <c r="E133" s="93">
        <f>(IF(Ontwerpberekening!C8="Nieuwe Situatie",(_xlfn.IFNA(VLOOKUP(Referentie_Hernieuwbare_Energie_Totaal47[[#This Row],[Product]]&amp;", "&amp;Referentie_Hernieuwbare_Energie_Totaal47[[#Headers],[A2]],Database_Productkaarten[#All],47,FALSE),0)*Ontwerpberekening!L8),0))/Ontwerpberekening!$A$2</f>
        <v>0</v>
      </c>
      <c r="F133" s="93">
        <f>(IF(Ontwerpberekening!C8="Nieuwe Situatie",(_xlfn.IFNA(VLOOKUP(Referentie_Hernieuwbare_Energie_Totaal47[[#This Row],[Product]]&amp;", "&amp;Referentie_Hernieuwbare_Energie_Totaal47[[#Headers],[A3]],Database_Productkaarten[#All],47,FALSE),0)*Ontwerpberekening!L8),0))/Ontwerpberekening!$A$2</f>
        <v>0</v>
      </c>
      <c r="G133" s="93">
        <f>(IF(Ontwerpberekening!C8="Nieuwe Situatie",(_xlfn.IFNA(VLOOKUP(Referentie_Hernieuwbare_Energie_Totaal47[[#This Row],[Product]]&amp;", "&amp;Referentie_Hernieuwbare_Energie_Totaal47[[#Headers],[A4]],Database_Productkaarten[#All],47,FALSE),0)*Ontwerpberekening!L8),0))/Ontwerpberekening!$A$2</f>
        <v>0</v>
      </c>
      <c r="H133" s="93">
        <f>(IF(Ontwerpberekening!C8="Nieuwe Situatie",(_xlfn.IFNA(VLOOKUP(Referentie_Hernieuwbare_Energie_Totaal47[[#This Row],[Product]]&amp;", "&amp;Referentie_Hernieuwbare_Energie_Totaal47[[#Headers],[A5]],Database_Productkaarten[#All],47,FALSE),0)*Ontwerpberekening!L8),0))/Ontwerpberekening!$A$2</f>
        <v>0</v>
      </c>
      <c r="I133" s="93">
        <f>(IF(Ontwerpberekening!C8="Nieuwe Situatie",(_xlfn.IFNA(VLOOKUP(Referentie_Hernieuwbare_Energie_Totaal47[[#This Row],[Product]]&amp;", "&amp;Referentie_Hernieuwbare_Energie_Totaal47[[#Headers],[B1]],Database_Productkaarten[#All],47,FALSE),0)*Ontwerpberekening!L8),0))/Ontwerpberekening!$A$2</f>
        <v>0</v>
      </c>
      <c r="J133" s="93"/>
      <c r="K133" s="93">
        <f>(IF(Ontwerpberekening!C8="Nieuwe Situatie",(SUM(Referentie_Hernieuwbare_Energie_Totaal47[[#This Row],[A1]:[B1]],Referentie_Hernieuwbare_Energie_Totaal47[[#This Row],[C1]:[D2]])*Ontwerpberekening!M8),0))/Ontwerpberekening!$A$2</f>
        <v>0</v>
      </c>
      <c r="L133" s="93">
        <f>_xlfn.IFNA(VLOOKUP(Referentie_Hernieuwbare_Energie_Totaal47[[#This Row],[Product]]&amp;", "&amp;Referentie_Hernieuwbare_Energie_Totaal47[[#Headers],[C1]],Database_Productkaarten[#All],47,FALSE)*Ontwerpberekening!L8,0)/Ontwerpberekening!$A$2</f>
        <v>0</v>
      </c>
      <c r="M133" s="93">
        <f>_xlfn.IFNA(VLOOKUP(Referentie_Hernieuwbare_Energie_Totaal47[[#This Row],[Product]]&amp;", "&amp;Referentie_Hernieuwbare_Energie_Totaal47[[#Headers],[C2]],Database_Productkaarten[#All],47,FALSE)*Ontwerpberekening!L8,0)/Ontwerpberekening!$A$2</f>
        <v>0</v>
      </c>
      <c r="N133" s="93">
        <f>_xlfn.IFNA(VLOOKUP(Referentie_Hernieuwbare_Energie_Totaal47[[#This Row],[Product]]&amp;", "&amp;Referentie_Hernieuwbare_Energie_Totaal47[[#Headers],[C3]],Database_Productkaarten[#All],47,FALSE)*Ontwerpberekening!L8,0)/Ontwerpberekening!$A$2</f>
        <v>0</v>
      </c>
      <c r="O133" s="93">
        <f>_xlfn.IFNA(VLOOKUP(Referentie_Hernieuwbare_Energie_Totaal47[[#This Row],[Product]]&amp;", "&amp;Referentie_Hernieuwbare_Energie_Totaal47[[#Headers],[C4]],Database_Productkaarten[#All],47,FALSE)*Ontwerpberekening!L8,0)/Ontwerpberekening!$A$2</f>
        <v>0</v>
      </c>
      <c r="P133" s="93">
        <f>(IF(Ontwerpberekening!C8="Nieuwe Situatie",(_xlfn.IFNA(VLOOKUP(Referentie_Hernieuwbare_Energie_Totaal47[[#This Row],[Product]]&amp;", "&amp;Referentie_Hernieuwbare_Energie_Totaal47[[#Headers],[D1]],Database_Productkaarten[#All],47,FALSE),0)*Ontwerpberekening!L8),0))/Ontwerpberekening!$A$2</f>
        <v>0</v>
      </c>
      <c r="Q133" s="94">
        <f>(IF(Ontwerpberekening!C8="Nieuwe Situatie",_xlfn.IFNA(VLOOKUP(Referentie_Hernieuwbare_Energie_Totaal47[[#This Row],[Product]]&amp;", "&amp;Referentie_Hernieuwbare_Energie_Totaal47[[#Headers],[D2]],Database_Productkaarten[#All],47,FALSE),0)*Ontwerpberekening!L8,0))/Ontwerpberekening!$A$2</f>
        <v>0</v>
      </c>
      <c r="R133" s="72">
        <f>SUM(Referentie_Hernieuwbare_Energie_Totaal47[[#This Row],[A1]:[D2]])</f>
        <v>0</v>
      </c>
    </row>
    <row r="134" spans="2:18" ht="18" x14ac:dyDescent="0.55000000000000004">
      <c r="B134" s="67" t="str">
        <f>Ontwerpberekening!B9</f>
        <v>Baseline</v>
      </c>
      <c r="C134" s="92" t="str">
        <f>Ontwerpberekening!F9</f>
        <v>Grond</v>
      </c>
      <c r="D134" s="93">
        <f>(IF(Ontwerpberekening!C9="Nieuwe Situatie",(_xlfn.IFNA(VLOOKUP(Referentie_Hernieuwbare_Energie_Totaal47[[#This Row],[Product]]&amp;", "&amp;Referentie_Hernieuwbare_Energie_Totaal47[[#Headers],[A1]],Database_Productkaarten[#All],47,FALSE),0)*Ontwerpberekening!L9),0))/Ontwerpberekening!$A$2</f>
        <v>0</v>
      </c>
      <c r="E134" s="93">
        <f>(IF(Ontwerpberekening!C9="Nieuwe Situatie",(_xlfn.IFNA(VLOOKUP(Referentie_Hernieuwbare_Energie_Totaal47[[#This Row],[Product]]&amp;", "&amp;Referentie_Hernieuwbare_Energie_Totaal47[[#Headers],[A2]],Database_Productkaarten[#All],47,FALSE),0)*Ontwerpberekening!L9),0))/Ontwerpberekening!$A$2</f>
        <v>0</v>
      </c>
      <c r="F134" s="93">
        <f>(IF(Ontwerpberekening!C9="Nieuwe Situatie",(_xlfn.IFNA(VLOOKUP(Referentie_Hernieuwbare_Energie_Totaal47[[#This Row],[Product]]&amp;", "&amp;Referentie_Hernieuwbare_Energie_Totaal47[[#Headers],[A3]],Database_Productkaarten[#All],47,FALSE),0)*Ontwerpberekening!L9),0))/Ontwerpberekening!$A$2</f>
        <v>0</v>
      </c>
      <c r="G134" s="93">
        <f>(IF(Ontwerpberekening!C9="Nieuwe Situatie",(_xlfn.IFNA(VLOOKUP(Referentie_Hernieuwbare_Energie_Totaal47[[#This Row],[Product]]&amp;", "&amp;Referentie_Hernieuwbare_Energie_Totaal47[[#Headers],[A4]],Database_Productkaarten[#All],47,FALSE),0)*Ontwerpberekening!L9),0))/Ontwerpberekening!$A$2</f>
        <v>0</v>
      </c>
      <c r="H134" s="93">
        <f>(IF(Ontwerpberekening!C9="Nieuwe Situatie",(_xlfn.IFNA(VLOOKUP(Referentie_Hernieuwbare_Energie_Totaal47[[#This Row],[Product]]&amp;", "&amp;Referentie_Hernieuwbare_Energie_Totaal47[[#Headers],[A5]],Database_Productkaarten[#All],47,FALSE),0)*Ontwerpberekening!L9),0))/Ontwerpberekening!$A$2</f>
        <v>0</v>
      </c>
      <c r="I134" s="93">
        <f>(IF(Ontwerpberekening!C9="Nieuwe Situatie",(_xlfn.IFNA(VLOOKUP(Referentie_Hernieuwbare_Energie_Totaal47[[#This Row],[Product]]&amp;", "&amp;Referentie_Hernieuwbare_Energie_Totaal47[[#Headers],[B1]],Database_Productkaarten[#All],47,FALSE),0)*Ontwerpberekening!L9),0))/Ontwerpberekening!$A$2</f>
        <v>0</v>
      </c>
      <c r="J134" s="93"/>
      <c r="K134" s="93">
        <f>(IF(Ontwerpberekening!C9="Nieuwe Situatie",(SUM(Referentie_Hernieuwbare_Energie_Totaal47[[#This Row],[A1]:[B1]],Referentie_Hernieuwbare_Energie_Totaal47[[#This Row],[C1]:[D2]])*Ontwerpberekening!M9),0))/Ontwerpberekening!$A$2</f>
        <v>0</v>
      </c>
      <c r="L134" s="93">
        <f>_xlfn.IFNA(VLOOKUP(Referentie_Hernieuwbare_Energie_Totaal47[[#This Row],[Product]]&amp;", "&amp;Referentie_Hernieuwbare_Energie_Totaal47[[#Headers],[C1]],Database_Productkaarten[#All],47,FALSE)*Ontwerpberekening!L9,0)/Ontwerpberekening!$A$2</f>
        <v>0</v>
      </c>
      <c r="M134" s="93">
        <f>_xlfn.IFNA(VLOOKUP(Referentie_Hernieuwbare_Energie_Totaal47[[#This Row],[Product]]&amp;", "&amp;Referentie_Hernieuwbare_Energie_Totaal47[[#Headers],[C2]],Database_Productkaarten[#All],47,FALSE)*Ontwerpberekening!L9,0)/Ontwerpberekening!$A$2</f>
        <v>0</v>
      </c>
      <c r="N134" s="93">
        <f>_xlfn.IFNA(VLOOKUP(Referentie_Hernieuwbare_Energie_Totaal47[[#This Row],[Product]]&amp;", "&amp;Referentie_Hernieuwbare_Energie_Totaal47[[#Headers],[C3]],Database_Productkaarten[#All],47,FALSE)*Ontwerpberekening!L9,0)/Ontwerpberekening!$A$2</f>
        <v>0</v>
      </c>
      <c r="O134" s="93">
        <f>_xlfn.IFNA(VLOOKUP(Referentie_Hernieuwbare_Energie_Totaal47[[#This Row],[Product]]&amp;", "&amp;Referentie_Hernieuwbare_Energie_Totaal47[[#Headers],[C4]],Database_Productkaarten[#All],47,FALSE)*Ontwerpberekening!L9,0)/Ontwerpberekening!$A$2</f>
        <v>0</v>
      </c>
      <c r="P134" s="93">
        <f>(IF(Ontwerpberekening!C9="Nieuwe Situatie",(_xlfn.IFNA(VLOOKUP(Referentie_Hernieuwbare_Energie_Totaal47[[#This Row],[Product]]&amp;", "&amp;Referentie_Hernieuwbare_Energie_Totaal47[[#Headers],[D1]],Database_Productkaarten[#All],47,FALSE),0)*Ontwerpberekening!L9),0))/Ontwerpberekening!$A$2</f>
        <v>0</v>
      </c>
      <c r="Q134" s="94">
        <f>(IF(Ontwerpberekening!C9="Nieuwe Situatie",_xlfn.IFNA(VLOOKUP(Referentie_Hernieuwbare_Energie_Totaal47[[#This Row],[Product]]&amp;", "&amp;Referentie_Hernieuwbare_Energie_Totaal47[[#Headers],[D2]],Database_Productkaarten[#All],47,FALSE),0)*Ontwerpberekening!L9,0))/Ontwerpberekening!$A$2</f>
        <v>0</v>
      </c>
      <c r="R134" s="72">
        <f>SUM(Referentie_Hernieuwbare_Energie_Totaal47[[#This Row],[A1]:[D2]])</f>
        <v>0</v>
      </c>
    </row>
    <row r="135" spans="2:18" ht="18" x14ac:dyDescent="0.55000000000000004">
      <c r="B135" s="67" t="str">
        <f>Ontwerpberekening!B10</f>
        <v>Baseline</v>
      </c>
      <c r="C135" s="92" t="str">
        <f>Ontwerpberekening!F10</f>
        <v>Opsluitband 100x200</v>
      </c>
      <c r="D135" s="93">
        <f>(IF(Ontwerpberekening!C10="Nieuwe Situatie",(_xlfn.IFNA(VLOOKUP(Referentie_Hernieuwbare_Energie_Totaal47[[#This Row],[Product]]&amp;", "&amp;Referentie_Hernieuwbare_Energie_Totaal47[[#Headers],[A1]],Database_Productkaarten[#All],47,FALSE),0)*Ontwerpberekening!L10),0))/Ontwerpberekening!$A$2</f>
        <v>0</v>
      </c>
      <c r="E135" s="93">
        <f>(IF(Ontwerpberekening!C10="Nieuwe Situatie",(_xlfn.IFNA(VLOOKUP(Referentie_Hernieuwbare_Energie_Totaal47[[#This Row],[Product]]&amp;", "&amp;Referentie_Hernieuwbare_Energie_Totaal47[[#Headers],[A2]],Database_Productkaarten[#All],47,FALSE),0)*Ontwerpberekening!L10),0))/Ontwerpberekening!$A$2</f>
        <v>0</v>
      </c>
      <c r="F135" s="93">
        <f>(IF(Ontwerpberekening!C10="Nieuwe Situatie",(_xlfn.IFNA(VLOOKUP(Referentie_Hernieuwbare_Energie_Totaal47[[#This Row],[Product]]&amp;", "&amp;Referentie_Hernieuwbare_Energie_Totaal47[[#Headers],[A3]],Database_Productkaarten[#All],47,FALSE),0)*Ontwerpberekening!L10),0))/Ontwerpberekening!$A$2</f>
        <v>0</v>
      </c>
      <c r="G135" s="93">
        <f>(IF(Ontwerpberekening!C10="Nieuwe Situatie",(_xlfn.IFNA(VLOOKUP(Referentie_Hernieuwbare_Energie_Totaal47[[#This Row],[Product]]&amp;", "&amp;Referentie_Hernieuwbare_Energie_Totaal47[[#Headers],[A4]],Database_Productkaarten[#All],47,FALSE),0)*Ontwerpberekening!L10),0))/Ontwerpberekening!$A$2</f>
        <v>0</v>
      </c>
      <c r="H135" s="93">
        <f>(IF(Ontwerpberekening!C10="Nieuwe Situatie",(_xlfn.IFNA(VLOOKUP(Referentie_Hernieuwbare_Energie_Totaal47[[#This Row],[Product]]&amp;", "&amp;Referentie_Hernieuwbare_Energie_Totaal47[[#Headers],[A5]],Database_Productkaarten[#All],47,FALSE),0)*Ontwerpberekening!L10),0))/Ontwerpberekening!$A$2</f>
        <v>0</v>
      </c>
      <c r="I135" s="93">
        <f>(IF(Ontwerpberekening!C10="Nieuwe Situatie",(_xlfn.IFNA(VLOOKUP(Referentie_Hernieuwbare_Energie_Totaal47[[#This Row],[Product]]&amp;", "&amp;Referentie_Hernieuwbare_Energie_Totaal47[[#Headers],[B1]],Database_Productkaarten[#All],47,FALSE),0)*Ontwerpberekening!L10),0))/Ontwerpberekening!$A$2</f>
        <v>0</v>
      </c>
      <c r="J135" s="93"/>
      <c r="K135" s="93">
        <f>(IF(Ontwerpberekening!C10="Nieuwe Situatie",(SUM(Referentie_Hernieuwbare_Energie_Totaal47[[#This Row],[A1]:[B1]],Referentie_Hernieuwbare_Energie_Totaal47[[#This Row],[C1]:[D2]])*Ontwerpberekening!M10),0))/Ontwerpberekening!$A$2</f>
        <v>0</v>
      </c>
      <c r="L135" s="93">
        <f>_xlfn.IFNA(VLOOKUP(Referentie_Hernieuwbare_Energie_Totaal47[[#This Row],[Product]]&amp;", "&amp;Referentie_Hernieuwbare_Energie_Totaal47[[#Headers],[C1]],Database_Productkaarten[#All],47,FALSE)*Ontwerpberekening!L10,0)/Ontwerpberekening!$A$2</f>
        <v>0</v>
      </c>
      <c r="M135" s="93">
        <f>_xlfn.IFNA(VLOOKUP(Referentie_Hernieuwbare_Energie_Totaal47[[#This Row],[Product]]&amp;", "&amp;Referentie_Hernieuwbare_Energie_Totaal47[[#Headers],[C2]],Database_Productkaarten[#All],47,FALSE)*Ontwerpberekening!L10,0)/Ontwerpberekening!$A$2</f>
        <v>0</v>
      </c>
      <c r="N135" s="93">
        <f>_xlfn.IFNA(VLOOKUP(Referentie_Hernieuwbare_Energie_Totaal47[[#This Row],[Product]]&amp;", "&amp;Referentie_Hernieuwbare_Energie_Totaal47[[#Headers],[C3]],Database_Productkaarten[#All],47,FALSE)*Ontwerpberekening!L10,0)/Ontwerpberekening!$A$2</f>
        <v>0</v>
      </c>
      <c r="O135" s="93">
        <f>_xlfn.IFNA(VLOOKUP(Referentie_Hernieuwbare_Energie_Totaal47[[#This Row],[Product]]&amp;", "&amp;Referentie_Hernieuwbare_Energie_Totaal47[[#Headers],[C4]],Database_Productkaarten[#All],47,FALSE)*Ontwerpberekening!L10,0)/Ontwerpberekening!$A$2</f>
        <v>0</v>
      </c>
      <c r="P135" s="93">
        <f>(IF(Ontwerpberekening!C10="Nieuwe Situatie",(_xlfn.IFNA(VLOOKUP(Referentie_Hernieuwbare_Energie_Totaal47[[#This Row],[Product]]&amp;", "&amp;Referentie_Hernieuwbare_Energie_Totaal47[[#Headers],[D1]],Database_Productkaarten[#All],47,FALSE),0)*Ontwerpberekening!L10),0))/Ontwerpberekening!$A$2</f>
        <v>0</v>
      </c>
      <c r="Q135" s="94">
        <f>(IF(Ontwerpberekening!C10="Nieuwe Situatie",_xlfn.IFNA(VLOOKUP(Referentie_Hernieuwbare_Energie_Totaal47[[#This Row],[Product]]&amp;", "&amp;Referentie_Hernieuwbare_Energie_Totaal47[[#Headers],[D2]],Database_Productkaarten[#All],47,FALSE),0)*Ontwerpberekening!L10,0))/Ontwerpberekening!$A$2</f>
        <v>0</v>
      </c>
      <c r="R135" s="72">
        <f>SUM(Referentie_Hernieuwbare_Energie_Totaal47[[#This Row],[A1]:[D2]])</f>
        <v>0</v>
      </c>
    </row>
    <row r="136" spans="2:18" ht="18" x14ac:dyDescent="0.55000000000000004">
      <c r="B136" s="67" t="str">
        <f>Ontwerpberekening!B11</f>
        <v>Baseline</v>
      </c>
      <c r="C136" s="92" t="str">
        <f>Ontwerpberekening!F11</f>
        <v>Opsluitband 100x200</v>
      </c>
      <c r="D136" s="93">
        <f>(IF(Ontwerpberekening!C11="Nieuwe Situatie",(_xlfn.IFNA(VLOOKUP(Referentie_Hernieuwbare_Energie_Totaal47[[#This Row],[Product]]&amp;", "&amp;Referentie_Hernieuwbare_Energie_Totaal47[[#Headers],[A1]],Database_Productkaarten[#All],47,FALSE),0)*Ontwerpberekening!L11),0))/Ontwerpberekening!$A$2</f>
        <v>0</v>
      </c>
      <c r="E136" s="93">
        <f>(IF(Ontwerpberekening!C11="Nieuwe Situatie",(_xlfn.IFNA(VLOOKUP(Referentie_Hernieuwbare_Energie_Totaal47[[#This Row],[Product]]&amp;", "&amp;Referentie_Hernieuwbare_Energie_Totaal47[[#Headers],[A2]],Database_Productkaarten[#All],47,FALSE),0)*Ontwerpberekening!L11),0))/Ontwerpberekening!$A$2</f>
        <v>0</v>
      </c>
      <c r="F136" s="93">
        <f>(IF(Ontwerpberekening!C11="Nieuwe Situatie",(_xlfn.IFNA(VLOOKUP(Referentie_Hernieuwbare_Energie_Totaal47[[#This Row],[Product]]&amp;", "&amp;Referentie_Hernieuwbare_Energie_Totaal47[[#Headers],[A3]],Database_Productkaarten[#All],47,FALSE),0)*Ontwerpberekening!L11),0))/Ontwerpberekening!$A$2</f>
        <v>0</v>
      </c>
      <c r="G136" s="93">
        <f>(IF(Ontwerpberekening!C11="Nieuwe Situatie",(_xlfn.IFNA(VLOOKUP(Referentie_Hernieuwbare_Energie_Totaal47[[#This Row],[Product]]&amp;", "&amp;Referentie_Hernieuwbare_Energie_Totaal47[[#Headers],[A4]],Database_Productkaarten[#All],47,FALSE),0)*Ontwerpberekening!L11),0))/Ontwerpberekening!$A$2</f>
        <v>0</v>
      </c>
      <c r="H136" s="93">
        <f>(IF(Ontwerpberekening!C11="Nieuwe Situatie",(_xlfn.IFNA(VLOOKUP(Referentie_Hernieuwbare_Energie_Totaal47[[#This Row],[Product]]&amp;", "&amp;Referentie_Hernieuwbare_Energie_Totaal47[[#Headers],[A5]],Database_Productkaarten[#All],47,FALSE),0)*Ontwerpberekening!L11),0))/Ontwerpberekening!$A$2</f>
        <v>0</v>
      </c>
      <c r="I136" s="93">
        <f>(IF(Ontwerpberekening!C11="Nieuwe Situatie",(_xlfn.IFNA(VLOOKUP(Referentie_Hernieuwbare_Energie_Totaal47[[#This Row],[Product]]&amp;", "&amp;Referentie_Hernieuwbare_Energie_Totaal47[[#Headers],[B1]],Database_Productkaarten[#All],47,FALSE),0)*Ontwerpberekening!L11),0))/Ontwerpberekening!$A$2</f>
        <v>0</v>
      </c>
      <c r="J136" s="93"/>
      <c r="K136" s="93">
        <f>(IF(Ontwerpberekening!C11="Nieuwe Situatie",(SUM(Referentie_Hernieuwbare_Energie_Totaal47[[#This Row],[A1]:[B1]],Referentie_Hernieuwbare_Energie_Totaal47[[#This Row],[C1]:[D2]])*Ontwerpberekening!M11),0))/Ontwerpberekening!$A$2</f>
        <v>0</v>
      </c>
      <c r="L136" s="93">
        <f>_xlfn.IFNA(VLOOKUP(Referentie_Hernieuwbare_Energie_Totaal47[[#This Row],[Product]]&amp;", "&amp;Referentie_Hernieuwbare_Energie_Totaal47[[#Headers],[C1]],Database_Productkaarten[#All],47,FALSE)*Ontwerpberekening!L11,0)/Ontwerpberekening!$A$2</f>
        <v>0</v>
      </c>
      <c r="M136" s="93">
        <f>_xlfn.IFNA(VLOOKUP(Referentie_Hernieuwbare_Energie_Totaal47[[#This Row],[Product]]&amp;", "&amp;Referentie_Hernieuwbare_Energie_Totaal47[[#Headers],[C2]],Database_Productkaarten[#All],47,FALSE)*Ontwerpberekening!L11,0)/Ontwerpberekening!$A$2</f>
        <v>0</v>
      </c>
      <c r="N136" s="93">
        <f>_xlfn.IFNA(VLOOKUP(Referentie_Hernieuwbare_Energie_Totaal47[[#This Row],[Product]]&amp;", "&amp;Referentie_Hernieuwbare_Energie_Totaal47[[#Headers],[C3]],Database_Productkaarten[#All],47,FALSE)*Ontwerpberekening!L11,0)/Ontwerpberekening!$A$2</f>
        <v>0</v>
      </c>
      <c r="O136" s="93">
        <f>_xlfn.IFNA(VLOOKUP(Referentie_Hernieuwbare_Energie_Totaal47[[#This Row],[Product]]&amp;", "&amp;Referentie_Hernieuwbare_Energie_Totaal47[[#Headers],[C4]],Database_Productkaarten[#All],47,FALSE)*Ontwerpberekening!L11,0)/Ontwerpberekening!$A$2</f>
        <v>0</v>
      </c>
      <c r="P136" s="93">
        <f>(IF(Ontwerpberekening!C11="Nieuwe Situatie",(_xlfn.IFNA(VLOOKUP(Referentie_Hernieuwbare_Energie_Totaal47[[#This Row],[Product]]&amp;", "&amp;Referentie_Hernieuwbare_Energie_Totaal47[[#Headers],[D1]],Database_Productkaarten[#All],47,FALSE),0)*Ontwerpberekening!L11),0))/Ontwerpberekening!$A$2</f>
        <v>0</v>
      </c>
      <c r="Q136" s="94">
        <f>(IF(Ontwerpberekening!C11="Nieuwe Situatie",_xlfn.IFNA(VLOOKUP(Referentie_Hernieuwbare_Energie_Totaal47[[#This Row],[Product]]&amp;", "&amp;Referentie_Hernieuwbare_Energie_Totaal47[[#Headers],[D2]],Database_Productkaarten[#All],47,FALSE),0)*Ontwerpberekening!L11,0))/Ontwerpberekening!$A$2</f>
        <v>0</v>
      </c>
      <c r="R136" s="72">
        <f>SUM(Referentie_Hernieuwbare_Energie_Totaal47[[#This Row],[A1]:[D2]])</f>
        <v>0</v>
      </c>
    </row>
    <row r="137" spans="2:18" ht="18" x14ac:dyDescent="0.55000000000000004">
      <c r="B137" s="67" t="str">
        <f>Ontwerpberekening!B12</f>
        <v>Baseline</v>
      </c>
      <c r="C137" s="92" t="str">
        <f>Ontwerpberekening!F12</f>
        <v>Grond</v>
      </c>
      <c r="D137" s="93">
        <f>(IF(Ontwerpberekening!C12="Nieuwe Situatie",(_xlfn.IFNA(VLOOKUP(Referentie_Hernieuwbare_Energie_Totaal47[[#This Row],[Product]]&amp;", "&amp;Referentie_Hernieuwbare_Energie_Totaal47[[#Headers],[A1]],Database_Productkaarten[#All],47,FALSE),0)*Ontwerpberekening!L12),0))/Ontwerpberekening!$A$2</f>
        <v>0</v>
      </c>
      <c r="E137" s="93">
        <f>(IF(Ontwerpberekening!C12="Nieuwe Situatie",(_xlfn.IFNA(VLOOKUP(Referentie_Hernieuwbare_Energie_Totaal47[[#This Row],[Product]]&amp;", "&amp;Referentie_Hernieuwbare_Energie_Totaal47[[#Headers],[A2]],Database_Productkaarten[#All],47,FALSE),0)*Ontwerpberekening!L12),0))/Ontwerpberekening!$A$2</f>
        <v>0</v>
      </c>
      <c r="F137" s="93">
        <f>(IF(Ontwerpberekening!C12="Nieuwe Situatie",(_xlfn.IFNA(VLOOKUP(Referentie_Hernieuwbare_Energie_Totaal47[[#This Row],[Product]]&amp;", "&amp;Referentie_Hernieuwbare_Energie_Totaal47[[#Headers],[A3]],Database_Productkaarten[#All],47,FALSE),0)*Ontwerpberekening!L12),0))/Ontwerpberekening!$A$2</f>
        <v>0</v>
      </c>
      <c r="G137" s="93">
        <f>(IF(Ontwerpberekening!C12="Nieuwe Situatie",(_xlfn.IFNA(VLOOKUP(Referentie_Hernieuwbare_Energie_Totaal47[[#This Row],[Product]]&amp;", "&amp;Referentie_Hernieuwbare_Energie_Totaal47[[#Headers],[A4]],Database_Productkaarten[#All],47,FALSE),0)*Ontwerpberekening!L12),0))/Ontwerpberekening!$A$2</f>
        <v>0</v>
      </c>
      <c r="H137" s="93">
        <f>(IF(Ontwerpberekening!C12="Nieuwe Situatie",(_xlfn.IFNA(VLOOKUP(Referentie_Hernieuwbare_Energie_Totaal47[[#This Row],[Product]]&amp;", "&amp;Referentie_Hernieuwbare_Energie_Totaal47[[#Headers],[A5]],Database_Productkaarten[#All],47,FALSE),0)*Ontwerpberekening!L12),0))/Ontwerpberekening!$A$2</f>
        <v>0</v>
      </c>
      <c r="I137" s="93">
        <f>(IF(Ontwerpberekening!C12="Nieuwe Situatie",(_xlfn.IFNA(VLOOKUP(Referentie_Hernieuwbare_Energie_Totaal47[[#This Row],[Product]]&amp;", "&amp;Referentie_Hernieuwbare_Energie_Totaal47[[#Headers],[B1]],Database_Productkaarten[#All],47,FALSE),0)*Ontwerpberekening!L12),0))/Ontwerpberekening!$A$2</f>
        <v>0</v>
      </c>
      <c r="J137" s="93"/>
      <c r="K137" s="93">
        <f>(IF(Ontwerpberekening!C12="Nieuwe Situatie",(SUM(Referentie_Hernieuwbare_Energie_Totaal47[[#This Row],[A1]:[B1]],Referentie_Hernieuwbare_Energie_Totaal47[[#This Row],[C1]:[D2]])*Ontwerpberekening!M12),0))/Ontwerpberekening!$A$2</f>
        <v>0</v>
      </c>
      <c r="L137" s="93">
        <f>_xlfn.IFNA(VLOOKUP(Referentie_Hernieuwbare_Energie_Totaal47[[#This Row],[Product]]&amp;", "&amp;Referentie_Hernieuwbare_Energie_Totaal47[[#Headers],[C1]],Database_Productkaarten[#All],47,FALSE)*Ontwerpberekening!L12,0)/Ontwerpberekening!$A$2</f>
        <v>0</v>
      </c>
      <c r="M137" s="93">
        <f>_xlfn.IFNA(VLOOKUP(Referentie_Hernieuwbare_Energie_Totaal47[[#This Row],[Product]]&amp;", "&amp;Referentie_Hernieuwbare_Energie_Totaal47[[#Headers],[C2]],Database_Productkaarten[#All],47,FALSE)*Ontwerpberekening!L12,0)/Ontwerpberekening!$A$2</f>
        <v>0</v>
      </c>
      <c r="N137" s="93">
        <f>_xlfn.IFNA(VLOOKUP(Referentie_Hernieuwbare_Energie_Totaal47[[#This Row],[Product]]&amp;", "&amp;Referentie_Hernieuwbare_Energie_Totaal47[[#Headers],[C3]],Database_Productkaarten[#All],47,FALSE)*Ontwerpberekening!L12,0)/Ontwerpberekening!$A$2</f>
        <v>0</v>
      </c>
      <c r="O137" s="93">
        <f>_xlfn.IFNA(VLOOKUP(Referentie_Hernieuwbare_Energie_Totaal47[[#This Row],[Product]]&amp;", "&amp;Referentie_Hernieuwbare_Energie_Totaal47[[#Headers],[C4]],Database_Productkaarten[#All],47,FALSE)*Ontwerpberekening!L12,0)/Ontwerpberekening!$A$2</f>
        <v>0</v>
      </c>
      <c r="P137" s="93">
        <f>(IF(Ontwerpberekening!C12="Nieuwe Situatie",(_xlfn.IFNA(VLOOKUP(Referentie_Hernieuwbare_Energie_Totaal47[[#This Row],[Product]]&amp;", "&amp;Referentie_Hernieuwbare_Energie_Totaal47[[#Headers],[D1]],Database_Productkaarten[#All],47,FALSE),0)*Ontwerpberekening!L12),0))/Ontwerpberekening!$A$2</f>
        <v>0</v>
      </c>
      <c r="Q137" s="94">
        <f>(IF(Ontwerpberekening!C12="Nieuwe Situatie",_xlfn.IFNA(VLOOKUP(Referentie_Hernieuwbare_Energie_Totaal47[[#This Row],[Product]]&amp;", "&amp;Referentie_Hernieuwbare_Energie_Totaal47[[#Headers],[D2]],Database_Productkaarten[#All],47,FALSE),0)*Ontwerpberekening!L12,0))/Ontwerpberekening!$A$2</f>
        <v>0</v>
      </c>
      <c r="R137" s="72">
        <f>SUM(Referentie_Hernieuwbare_Energie_Totaal47[[#This Row],[A1]:[D2]])</f>
        <v>0</v>
      </c>
    </row>
    <row r="138" spans="2:18" ht="18" x14ac:dyDescent="0.55000000000000004">
      <c r="B138" s="67" t="str">
        <f>Ontwerpberekening!B13</f>
        <v>Baseline</v>
      </c>
      <c r="C138" s="92" t="str">
        <f>Ontwerpberekening!F13</f>
        <v>Hydraulisch Menggranulaat</v>
      </c>
      <c r="D138" s="93">
        <f>(IF(Ontwerpberekening!C13="Nieuwe Situatie",(_xlfn.IFNA(VLOOKUP(Referentie_Hernieuwbare_Energie_Totaal47[[#This Row],[Product]]&amp;", "&amp;Referentie_Hernieuwbare_Energie_Totaal47[[#Headers],[A1]],Database_Productkaarten[#All],47,FALSE),0)*Ontwerpberekening!L13),0))/Ontwerpberekening!$A$2</f>
        <v>0</v>
      </c>
      <c r="E138" s="93">
        <f>(IF(Ontwerpberekening!C13="Nieuwe Situatie",(_xlfn.IFNA(VLOOKUP(Referentie_Hernieuwbare_Energie_Totaal47[[#This Row],[Product]]&amp;", "&amp;Referentie_Hernieuwbare_Energie_Totaal47[[#Headers],[A2]],Database_Productkaarten[#All],47,FALSE),0)*Ontwerpberekening!L13),0))/Ontwerpberekening!$A$2</f>
        <v>0</v>
      </c>
      <c r="F138" s="93">
        <f>(IF(Ontwerpberekening!C13="Nieuwe Situatie",(_xlfn.IFNA(VLOOKUP(Referentie_Hernieuwbare_Energie_Totaal47[[#This Row],[Product]]&amp;", "&amp;Referentie_Hernieuwbare_Energie_Totaal47[[#Headers],[A3]],Database_Productkaarten[#All],47,FALSE),0)*Ontwerpberekening!L13),0))/Ontwerpberekening!$A$2</f>
        <v>0</v>
      </c>
      <c r="G138" s="93">
        <f>(IF(Ontwerpberekening!C13="Nieuwe Situatie",(_xlfn.IFNA(VLOOKUP(Referentie_Hernieuwbare_Energie_Totaal47[[#This Row],[Product]]&amp;", "&amp;Referentie_Hernieuwbare_Energie_Totaal47[[#Headers],[A4]],Database_Productkaarten[#All],47,FALSE),0)*Ontwerpberekening!L13),0))/Ontwerpberekening!$A$2</f>
        <v>1.14222405</v>
      </c>
      <c r="H138" s="93">
        <f>(IF(Ontwerpberekening!C13="Nieuwe Situatie",(_xlfn.IFNA(VLOOKUP(Referentie_Hernieuwbare_Energie_Totaal47[[#This Row],[Product]]&amp;", "&amp;Referentie_Hernieuwbare_Energie_Totaal47[[#Headers],[A5]],Database_Productkaarten[#All],47,FALSE),0)*Ontwerpberekening!L13),0))/Ontwerpberekening!$A$2</f>
        <v>2.7961650520435185E-8</v>
      </c>
      <c r="I138" s="93">
        <f>(IF(Ontwerpberekening!C13="Nieuwe Situatie",(_xlfn.IFNA(VLOOKUP(Referentie_Hernieuwbare_Energie_Totaal47[[#This Row],[Product]]&amp;", "&amp;Referentie_Hernieuwbare_Energie_Totaal47[[#Headers],[B1]],Database_Productkaarten[#All],47,FALSE),0)*Ontwerpberekening!L13),0))/Ontwerpberekening!$A$2</f>
        <v>0</v>
      </c>
      <c r="J138" s="93"/>
      <c r="K138" s="93">
        <f>(IF(Ontwerpberekening!C13="Nieuwe Situatie",(SUM(Referentie_Hernieuwbare_Energie_Totaal47[[#This Row],[A1]:[B1]],Referentie_Hernieuwbare_Energie_Totaal47[[#This Row],[C1]:[D2]])*Ontwerpberekening!M13),0))/Ontwerpberekening!$A$2</f>
        <v>1.3706688935539805E-2</v>
      </c>
      <c r="L138" s="93">
        <f>_xlfn.IFNA(VLOOKUP(Referentie_Hernieuwbare_Energie_Totaal47[[#This Row],[Product]]&amp;", "&amp;Referentie_Hernieuwbare_Energie_Totaal47[[#Headers],[C1]],Database_Productkaarten[#All],47,FALSE)*Ontwerpberekening!L13,0)/Ontwerpberekening!$A$2</f>
        <v>2.7961650520435185E-8</v>
      </c>
      <c r="M138" s="93">
        <f>_xlfn.IFNA(VLOOKUP(Referentie_Hernieuwbare_Energie_Totaal47[[#This Row],[Product]]&amp;", "&amp;Referentie_Hernieuwbare_Energie_Totaal47[[#Headers],[C2]],Database_Productkaarten[#All],47,FALSE)*Ontwerpberekening!L13,0)/Ontwerpberekening!$A$2</f>
        <v>1.14222405</v>
      </c>
      <c r="N138" s="93">
        <f>_xlfn.IFNA(VLOOKUP(Referentie_Hernieuwbare_Energie_Totaal47[[#This Row],[Product]]&amp;", "&amp;Referentie_Hernieuwbare_Energie_Totaal47[[#Headers],[C3]],Database_Productkaarten[#All],47,FALSE)*Ontwerpberekening!L13,0)/Ontwerpberekening!$A$2</f>
        <v>0</v>
      </c>
      <c r="O138" s="93">
        <f>_xlfn.IFNA(VLOOKUP(Referentie_Hernieuwbare_Energie_Totaal47[[#This Row],[Product]]&amp;", "&amp;Referentie_Hernieuwbare_Energie_Totaal47[[#Headers],[C4]],Database_Productkaarten[#All],47,FALSE)*Ontwerpberekening!L13,0)/Ontwerpberekening!$A$2</f>
        <v>0</v>
      </c>
      <c r="P138" s="93">
        <f>(IF(Ontwerpberekening!C13="Nieuwe Situatie",(_xlfn.IFNA(VLOOKUP(Referentie_Hernieuwbare_Energie_Totaal47[[#This Row],[Product]]&amp;", "&amp;Referentie_Hernieuwbare_Energie_Totaal47[[#Headers],[D1]],Database_Productkaarten[#All],47,FALSE),0)*Ontwerpberekening!L13),0))/Ontwerpberekening!$A$2</f>
        <v>0</v>
      </c>
      <c r="Q138" s="94">
        <f>(IF(Ontwerpberekening!C13="Nieuwe Situatie",_xlfn.IFNA(VLOOKUP(Referentie_Hernieuwbare_Energie_Totaal47[[#This Row],[Product]]&amp;", "&amp;Referentie_Hernieuwbare_Energie_Totaal47[[#Headers],[D2]],Database_Productkaarten[#All],47,FALSE),0)*Ontwerpberekening!L13,0))/Ontwerpberekening!$A$2</f>
        <v>0</v>
      </c>
      <c r="R138" s="72">
        <f>SUM(Referentie_Hernieuwbare_Energie_Totaal47[[#This Row],[A1]:[D2]])</f>
        <v>2.2981548448588409</v>
      </c>
    </row>
    <row r="139" spans="2:18" ht="18" x14ac:dyDescent="0.55000000000000004">
      <c r="B139" s="67" t="str">
        <f>Ontwerpberekening!B14</f>
        <v>Baseline</v>
      </c>
      <c r="C139" s="92" t="str">
        <f>Ontwerpberekening!F14</f>
        <v>AC bin/base 50% PR - PCR 2.0</v>
      </c>
      <c r="D139" s="93">
        <f>(IF(Ontwerpberekening!C14="Nieuwe Situatie",(_xlfn.IFNA(VLOOKUP(Referentie_Hernieuwbare_Energie_Totaal47[[#This Row],[Product]]&amp;", "&amp;Referentie_Hernieuwbare_Energie_Totaal47[[#Headers],[A1]],Database_Productkaarten[#All],47,FALSE),0)*Ontwerpberekening!L14),0))/Ontwerpberekening!$A$2</f>
        <v>8.7222627538642303</v>
      </c>
      <c r="E139" s="93">
        <f>(IF(Ontwerpberekening!C14="Nieuwe Situatie",(_xlfn.IFNA(VLOOKUP(Referentie_Hernieuwbare_Energie_Totaal47[[#This Row],[Product]]&amp;", "&amp;Referentie_Hernieuwbare_Energie_Totaal47[[#Headers],[A2]],Database_Productkaarten[#All],47,FALSE),0)*Ontwerpberekening!L14),0))/Ontwerpberekening!$A$2</f>
        <v>3.4184511377505102</v>
      </c>
      <c r="F139" s="93">
        <f>(IF(Ontwerpberekening!C14="Nieuwe Situatie",(_xlfn.IFNA(VLOOKUP(Referentie_Hernieuwbare_Energie_Totaal47[[#This Row],[Product]]&amp;", "&amp;Referentie_Hernieuwbare_Energie_Totaal47[[#Headers],[A3]],Database_Productkaarten[#All],47,FALSE),0)*Ontwerpberekening!L14),0))/Ontwerpberekening!$A$2</f>
        <v>5.0869073521177004</v>
      </c>
      <c r="G139" s="93">
        <f>(IF(Ontwerpberekening!C14="Nieuwe Situatie",(_xlfn.IFNA(VLOOKUP(Referentie_Hernieuwbare_Energie_Totaal47[[#This Row],[Product]]&amp;", "&amp;Referentie_Hernieuwbare_Energie_Totaal47[[#Headers],[A4]],Database_Productkaarten[#All],47,FALSE),0)*Ontwerpberekening!L14),0))/Ontwerpberekening!$A$2</f>
        <v>0.63474917099999995</v>
      </c>
      <c r="H139" s="93">
        <f>(IF(Ontwerpberekening!C14="Nieuwe Situatie",(_xlfn.IFNA(VLOOKUP(Referentie_Hernieuwbare_Energie_Totaal47[[#This Row],[Product]]&amp;", "&amp;Referentie_Hernieuwbare_Energie_Totaal47[[#Headers],[A5]],Database_Productkaarten[#All],47,FALSE),0)*Ontwerpberekening!L14),0))/Ontwerpberekening!$A$2</f>
        <v>7.9583646875925201E-2</v>
      </c>
      <c r="I139" s="93">
        <f>(IF(Ontwerpberekening!C14="Nieuwe Situatie",(_xlfn.IFNA(VLOOKUP(Referentie_Hernieuwbare_Energie_Totaal47[[#This Row],[Product]]&amp;", "&amp;Referentie_Hernieuwbare_Energie_Totaal47[[#Headers],[B1]],Database_Productkaarten[#All],47,FALSE),0)*Ontwerpberekening!L14),0))/Ontwerpberekening!$A$2</f>
        <v>0</v>
      </c>
      <c r="J139" s="93"/>
      <c r="K139" s="93">
        <f>(IF(Ontwerpberekening!C14="Nieuwe Situatie",(SUM(Referentie_Hernieuwbare_Energie_Totaal47[[#This Row],[A1]:[B1]],Referentie_Hernieuwbare_Energie_Totaal47[[#This Row],[C1]:[D2]])*Ontwerpberekening!M14),0))/Ontwerpberekening!$A$2</f>
        <v>0.18701406420671751</v>
      </c>
      <c r="L139" s="93">
        <f>_xlfn.IFNA(VLOOKUP(Referentie_Hernieuwbare_Energie_Totaal47[[#This Row],[Product]]&amp;", "&amp;Referentie_Hernieuwbare_Energie_Totaal47[[#Headers],[C1]],Database_Productkaarten[#All],47,FALSE)*Ontwerpberekening!L14,0)/Ontwerpberekening!$A$2</f>
        <v>0.19149815029519501</v>
      </c>
      <c r="M139" s="93">
        <f>_xlfn.IFNA(VLOOKUP(Referentie_Hernieuwbare_Energie_Totaal47[[#This Row],[Product]]&amp;", "&amp;Referentie_Hernieuwbare_Energie_Totaal47[[#Headers],[C2]],Database_Productkaarten[#All],47,FALSE)*Ontwerpberekening!L14,0)/Ontwerpberekening!$A$2</f>
        <v>8.6963547624000004</v>
      </c>
      <c r="N139" s="93">
        <f>_xlfn.IFNA(VLOOKUP(Referentie_Hernieuwbare_Energie_Totaal47[[#This Row],[Product]]&amp;", "&amp;Referentie_Hernieuwbare_Energie_Totaal47[[#Headers],[C3]],Database_Productkaarten[#All],47,FALSE)*Ontwerpberekening!L14,0)/Ontwerpberekening!$A$2</f>
        <v>9.2018591700288296E-2</v>
      </c>
      <c r="O139" s="93">
        <f>_xlfn.IFNA(VLOOKUP(Referentie_Hernieuwbare_Energie_Totaal47[[#This Row],[Product]]&amp;", "&amp;Referentie_Hernieuwbare_Energie_Totaal47[[#Headers],[C4]],Database_Productkaarten[#All],47,FALSE)*Ontwerpberekening!L14,0)/Ontwerpberekening!$A$2</f>
        <v>0</v>
      </c>
      <c r="P139" s="93">
        <f>(IF(Ontwerpberekening!C14="Nieuwe Situatie",(_xlfn.IFNA(VLOOKUP(Referentie_Hernieuwbare_Energie_Totaal47[[#This Row],[Product]]&amp;", "&amp;Referentie_Hernieuwbare_Energie_Totaal47[[#Headers],[D1]],Database_Productkaarten[#All],47,FALSE),0)*Ontwerpberekening!L14),0))/Ontwerpberekening!$A$2</f>
        <v>-8.2204191453320998</v>
      </c>
      <c r="Q139" s="94">
        <f>(IF(Ontwerpberekening!C14="Nieuwe Situatie",_xlfn.IFNA(VLOOKUP(Referentie_Hernieuwbare_Energie_Totaal47[[#This Row],[Product]]&amp;", "&amp;Referentie_Hernieuwbare_Energie_Totaal47[[#Headers],[D2]],Database_Productkaarten[#All],47,FALSE),0)*Ontwerpberekening!L14,0))/Ontwerpberekening!$A$2</f>
        <v>0</v>
      </c>
      <c r="R139" s="72">
        <f>SUM(Referentie_Hernieuwbare_Energie_Totaal47[[#This Row],[A1]:[D2]])</f>
        <v>18.888420484878466</v>
      </c>
    </row>
    <row r="140" spans="2:18" ht="18" x14ac:dyDescent="0.55000000000000004">
      <c r="B140" s="67" t="str">
        <f>Ontwerpberekening!B15</f>
        <v>Baseline</v>
      </c>
      <c r="C140" s="92" t="str">
        <f>Ontwerpberekening!F15</f>
        <v>AC bin/base 50% PR - PCR 2.0</v>
      </c>
      <c r="D140" s="93">
        <f>(IF(Ontwerpberekening!C15="Nieuwe Situatie",(_xlfn.IFNA(VLOOKUP(Referentie_Hernieuwbare_Energie_Totaal47[[#This Row],[Product]]&amp;", "&amp;Referentie_Hernieuwbare_Energie_Totaal47[[#Headers],[A1]],Database_Productkaarten[#All],47,FALSE),0)*Ontwerpberekening!L15),0))/Ontwerpberekening!$A$2</f>
        <v>41.866861218548301</v>
      </c>
      <c r="E140" s="93">
        <f>(IF(Ontwerpberekening!C15="Nieuwe Situatie",(_xlfn.IFNA(VLOOKUP(Referentie_Hernieuwbare_Energie_Totaal47[[#This Row],[Product]]&amp;", "&amp;Referentie_Hernieuwbare_Energie_Totaal47[[#Headers],[A2]],Database_Productkaarten[#All],47,FALSE),0)*Ontwerpberekening!L15),0))/Ontwerpberekening!$A$2</f>
        <v>16.408565461202446</v>
      </c>
      <c r="F140" s="93">
        <f>(IF(Ontwerpberekening!C15="Nieuwe Situatie",(_xlfn.IFNA(VLOOKUP(Referentie_Hernieuwbare_Energie_Totaal47[[#This Row],[Product]]&amp;", "&amp;Referentie_Hernieuwbare_Energie_Totaal47[[#Headers],[A3]],Database_Productkaarten[#All],47,FALSE),0)*Ontwerpberekening!L15),0))/Ontwerpberekening!$A$2</f>
        <v>24.41715529016496</v>
      </c>
      <c r="G140" s="93">
        <f>(IF(Ontwerpberekening!C15="Nieuwe Situatie",(_xlfn.IFNA(VLOOKUP(Referentie_Hernieuwbare_Energie_Totaal47[[#This Row],[Product]]&amp;", "&amp;Referentie_Hernieuwbare_Energie_Totaal47[[#Headers],[A4]],Database_Productkaarten[#All],47,FALSE),0)*Ontwerpberekening!L15),0))/Ontwerpberekening!$A$2</f>
        <v>3.0467960208</v>
      </c>
      <c r="H140" s="93">
        <f>(IF(Ontwerpberekening!C15="Nieuwe Situatie",(_xlfn.IFNA(VLOOKUP(Referentie_Hernieuwbare_Energie_Totaal47[[#This Row],[Product]]&amp;", "&amp;Referentie_Hernieuwbare_Energie_Totaal47[[#Headers],[A5]],Database_Productkaarten[#All],47,FALSE),0)*Ontwerpberekening!L15),0))/Ontwerpberekening!$A$2</f>
        <v>0.38200150500444097</v>
      </c>
      <c r="I140" s="93">
        <f>(IF(Ontwerpberekening!C15="Nieuwe Situatie",(_xlfn.IFNA(VLOOKUP(Referentie_Hernieuwbare_Energie_Totaal47[[#This Row],[Product]]&amp;", "&amp;Referentie_Hernieuwbare_Energie_Totaal47[[#Headers],[B1]],Database_Productkaarten[#All],47,FALSE),0)*Ontwerpberekening!L15),0))/Ontwerpberekening!$A$2</f>
        <v>0</v>
      </c>
      <c r="J140" s="93"/>
      <c r="K140" s="93">
        <f>(IF(Ontwerpberekening!C15="Nieuwe Situatie",(SUM(Referentie_Hernieuwbare_Energie_Totaal47[[#This Row],[A1]:[B1]],Referentie_Hernieuwbare_Energie_Totaal47[[#This Row],[C1]:[D2]])*Ontwerpberekening!M15),0))/Ontwerpberekening!$A$2</f>
        <v>0.89766750819224395</v>
      </c>
      <c r="L140" s="93">
        <f>_xlfn.IFNA(VLOOKUP(Referentie_Hernieuwbare_Energie_Totaal47[[#This Row],[Product]]&amp;", "&amp;Referentie_Hernieuwbare_Energie_Totaal47[[#Headers],[C1]],Database_Productkaarten[#All],47,FALSE)*Ontwerpberekening!L15,0)/Ontwerpberekening!$A$2</f>
        <v>0.91919112141693604</v>
      </c>
      <c r="M140" s="93">
        <f>_xlfn.IFNA(VLOOKUP(Referentie_Hernieuwbare_Energie_Totaal47[[#This Row],[Product]]&amp;", "&amp;Referentie_Hernieuwbare_Energie_Totaal47[[#Headers],[C2]],Database_Productkaarten[#All],47,FALSE)*Ontwerpberekening!L15,0)/Ontwerpberekening!$A$2</f>
        <v>41.742502859520002</v>
      </c>
      <c r="N140" s="93">
        <f>_xlfn.IFNA(VLOOKUP(Referentie_Hernieuwbare_Energie_Totaal47[[#This Row],[Product]]&amp;", "&amp;Referentie_Hernieuwbare_Energie_Totaal47[[#Headers],[C3]],Database_Productkaarten[#All],47,FALSE)*Ontwerpberekening!L15,0)/Ontwerpberekening!$A$2</f>
        <v>0.44168924016138383</v>
      </c>
      <c r="O140" s="93">
        <f>_xlfn.IFNA(VLOOKUP(Referentie_Hernieuwbare_Energie_Totaal47[[#This Row],[Product]]&amp;", "&amp;Referentie_Hernieuwbare_Energie_Totaal47[[#Headers],[C4]],Database_Productkaarten[#All],47,FALSE)*Ontwerpberekening!L15,0)/Ontwerpberekening!$A$2</f>
        <v>0</v>
      </c>
      <c r="P140" s="93">
        <f>(IF(Ontwerpberekening!C15="Nieuwe Situatie",(_xlfn.IFNA(VLOOKUP(Referentie_Hernieuwbare_Energie_Totaal47[[#This Row],[Product]]&amp;", "&amp;Referentie_Hernieuwbare_Energie_Totaal47[[#Headers],[D1]],Database_Productkaarten[#All],47,FALSE),0)*Ontwerpberekening!L15),0))/Ontwerpberekening!$A$2</f>
        <v>-39.458011897594076</v>
      </c>
      <c r="Q140" s="94">
        <f>(IF(Ontwerpberekening!C15="Nieuwe Situatie",_xlfn.IFNA(VLOOKUP(Referentie_Hernieuwbare_Energie_Totaal47[[#This Row],[Product]]&amp;", "&amp;Referentie_Hernieuwbare_Energie_Totaal47[[#Headers],[D2]],Database_Productkaarten[#All],47,FALSE),0)*Ontwerpberekening!L15,0))/Ontwerpberekening!$A$2</f>
        <v>0</v>
      </c>
      <c r="R140" s="72">
        <f>SUM(Referentie_Hernieuwbare_Energie_Totaal47[[#This Row],[A1]:[D2]])</f>
        <v>90.664418327416627</v>
      </c>
    </row>
    <row r="141" spans="2:18" ht="18" x14ac:dyDescent="0.55000000000000004">
      <c r="B141" s="67" t="str">
        <f>Ontwerpberekening!B16</f>
        <v>Baseline</v>
      </c>
      <c r="C141" s="92" t="str">
        <f>Ontwerpberekening!F16</f>
        <v>AC Surf 0% PR - PCR 2.0</v>
      </c>
      <c r="D141" s="93">
        <f>(IF(Ontwerpberekening!C16="Nieuwe Situatie",(_xlfn.IFNA(VLOOKUP(Referentie_Hernieuwbare_Energie_Totaal47[[#This Row],[Product]]&amp;", "&amp;Referentie_Hernieuwbare_Energie_Totaal47[[#Headers],[A1]],Database_Productkaarten[#All],47,FALSE),0)*Ontwerpberekening!L16),0))/Ontwerpberekening!$A$2</f>
        <v>1040.875798061315</v>
      </c>
      <c r="E141" s="93">
        <f>(IF(Ontwerpberekening!C16="Nieuwe Situatie",(_xlfn.IFNA(VLOOKUP(Referentie_Hernieuwbare_Energie_Totaal47[[#This Row],[Product]]&amp;", "&amp;Referentie_Hernieuwbare_Energie_Totaal47[[#Headers],[A2]],Database_Productkaarten[#All],47,FALSE),0)*Ontwerpberekening!L16),0))/Ontwerpberekening!$A$2</f>
        <v>358.49019479226905</v>
      </c>
      <c r="F141" s="93">
        <f>(IF(Ontwerpberekening!C16="Nieuwe Situatie",(_xlfn.IFNA(VLOOKUP(Referentie_Hernieuwbare_Energie_Totaal47[[#This Row],[Product]]&amp;", "&amp;Referentie_Hernieuwbare_Energie_Totaal47[[#Headers],[A3]],Database_Productkaarten[#All],47,FALSE),0)*Ontwerpberekening!L16),0))/Ontwerpberekening!$A$2</f>
        <v>289.26794448892576</v>
      </c>
      <c r="G141" s="93">
        <f>(IF(Ontwerpberekening!C16="Nieuwe Situatie",(_xlfn.IFNA(VLOOKUP(Referentie_Hernieuwbare_Energie_Totaal47[[#This Row],[Product]]&amp;", "&amp;Referentie_Hernieuwbare_Energie_Totaal47[[#Headers],[A4]],Database_Productkaarten[#All],47,FALSE),0)*Ontwerpberekening!L16),0))/Ontwerpberekening!$A$2</f>
        <v>26.088190928099998</v>
      </c>
      <c r="H141" s="93">
        <f>(IF(Ontwerpberekening!C16="Nieuwe Situatie",(_xlfn.IFNA(VLOOKUP(Referentie_Hernieuwbare_Energie_Totaal47[[#This Row],[Product]]&amp;", "&amp;Referentie_Hernieuwbare_Energie_Totaal47[[#Headers],[A5]],Database_Productkaarten[#All],47,FALSE),0)*Ontwerpberekening!L16),0))/Ontwerpberekening!$A$2</f>
        <v>5.9284842775498392</v>
      </c>
      <c r="I141" s="93">
        <f>(IF(Ontwerpberekening!C16="Nieuwe Situatie",(_xlfn.IFNA(VLOOKUP(Referentie_Hernieuwbare_Energie_Totaal47[[#This Row],[Product]]&amp;", "&amp;Referentie_Hernieuwbare_Energie_Totaal47[[#Headers],[B1]],Database_Productkaarten[#All],47,FALSE),0)*Ontwerpberekening!L16),0))/Ontwerpberekening!$A$2</f>
        <v>0</v>
      </c>
      <c r="J141" s="93"/>
      <c r="K141" s="93">
        <f>(IF(Ontwerpberekening!C16="Nieuwe Situatie",(SUM(Referentie_Hernieuwbare_Energie_Totaal47[[#This Row],[A1]:[B1]],Referentie_Hernieuwbare_Energie_Totaal47[[#This Row],[C1]:[D2]])*Ontwerpberekening!M16),0))/Ontwerpberekening!$A$2</f>
        <v>9.9178091679302085</v>
      </c>
      <c r="L141" s="93">
        <f>_xlfn.IFNA(VLOOKUP(Referentie_Hernieuwbare_Energie_Totaal47[[#This Row],[Product]]&amp;", "&amp;Referentie_Hernieuwbare_Energie_Totaal47[[#Headers],[C1]],Database_Productkaarten[#All],47,FALSE)*Ontwerpberekening!L16,0)/Ontwerpberekening!$A$2</f>
        <v>3.3731031234335371</v>
      </c>
      <c r="M141" s="93">
        <f>_xlfn.IFNA(VLOOKUP(Referentie_Hernieuwbare_Energie_Totaal47[[#This Row],[Product]]&amp;", "&amp;Referentie_Hernieuwbare_Energie_Totaal47[[#Headers],[C2]],Database_Productkaarten[#All],47,FALSE)*Ontwerpberekening!L16,0)/Ontwerpberekening!$A$2</f>
        <v>357.42018073464004</v>
      </c>
      <c r="N141" s="93">
        <f>_xlfn.IFNA(VLOOKUP(Referentie_Hernieuwbare_Energie_Totaal47[[#This Row],[Product]]&amp;", "&amp;Referentie_Hernieuwbare_Energie_Totaal47[[#Headers],[C3]],Database_Productkaarten[#All],47,FALSE)*Ontwerpberekening!L16,0)/Ontwerpberekening!$A$2</f>
        <v>3.7819641080921582</v>
      </c>
      <c r="O141" s="93">
        <f>_xlfn.IFNA(VLOOKUP(Referentie_Hernieuwbare_Energie_Totaal47[[#This Row],[Product]]&amp;", "&amp;Referentie_Hernieuwbare_Energie_Totaal47[[#Headers],[C4]],Database_Productkaarten[#All],47,FALSE)*Ontwerpberekening!L16,0)/Ontwerpberekening!$A$2</f>
        <v>0</v>
      </c>
      <c r="P141" s="93">
        <f>(IF(Ontwerpberekening!C16="Nieuwe Situatie",(_xlfn.IFNA(VLOOKUP(Referentie_Hernieuwbare_Energie_Totaal47[[#This Row],[Product]]&amp;", "&amp;Referentie_Hernieuwbare_Energie_Totaal47[[#Headers],[D1]],Database_Productkaarten[#All],47,FALSE),0)*Ontwerpberekening!L16),0))/Ontwerpberekening!$A$2</f>
        <v>-668.39597938143856</v>
      </c>
      <c r="Q141" s="94">
        <f>(IF(Ontwerpberekening!C16="Nieuwe Situatie",_xlfn.IFNA(VLOOKUP(Referentie_Hernieuwbare_Energie_Totaal47[[#This Row],[Product]]&amp;", "&amp;Referentie_Hernieuwbare_Energie_Totaal47[[#Headers],[D2]],Database_Productkaarten[#All],47,FALSE),0)*Ontwerpberekening!L16,0))/Ontwerpberekening!$A$2</f>
        <v>0</v>
      </c>
      <c r="R141" s="72">
        <f>SUM(Referentie_Hernieuwbare_Energie_Totaal47[[#This Row],[A1]:[D2]])</f>
        <v>1426.7476903008171</v>
      </c>
    </row>
    <row r="142" spans="2:18" ht="18" x14ac:dyDescent="0.55000000000000004">
      <c r="B142" s="67" t="str">
        <f>Ontwerpberekening!B17</f>
        <v>Baseline</v>
      </c>
      <c r="C142" s="92" t="str">
        <f>Ontwerpberekening!F17</f>
        <v>Betonstraatsteen 210x105x80</v>
      </c>
      <c r="D142" s="93">
        <f>(IF(Ontwerpberekening!C17="Nieuwe Situatie",(_xlfn.IFNA(VLOOKUP(Referentie_Hernieuwbare_Energie_Totaal47[[#This Row],[Product]]&amp;", "&amp;Referentie_Hernieuwbare_Energie_Totaal47[[#Headers],[A1]],Database_Productkaarten[#All],47,FALSE),0)*Ontwerpberekening!L17),0))/Ontwerpberekening!$A$2</f>
        <v>0</v>
      </c>
      <c r="E142" s="93">
        <f>(IF(Ontwerpberekening!C17="Nieuwe Situatie",(_xlfn.IFNA(VLOOKUP(Referentie_Hernieuwbare_Energie_Totaal47[[#This Row],[Product]]&amp;", "&amp;Referentie_Hernieuwbare_Energie_Totaal47[[#Headers],[A2]],Database_Productkaarten[#All],47,FALSE),0)*Ontwerpberekening!L17),0))/Ontwerpberekening!$A$2</f>
        <v>0</v>
      </c>
      <c r="F142" s="93">
        <f>(IF(Ontwerpberekening!C17="Nieuwe Situatie",(_xlfn.IFNA(VLOOKUP(Referentie_Hernieuwbare_Energie_Totaal47[[#This Row],[Product]]&amp;", "&amp;Referentie_Hernieuwbare_Energie_Totaal47[[#Headers],[A3]],Database_Productkaarten[#All],47,FALSE),0)*Ontwerpberekening!L17),0))/Ontwerpberekening!$A$2</f>
        <v>0</v>
      </c>
      <c r="G142" s="93">
        <f>(IF(Ontwerpberekening!C17="Nieuwe Situatie",(_xlfn.IFNA(VLOOKUP(Referentie_Hernieuwbare_Energie_Totaal47[[#This Row],[Product]]&amp;", "&amp;Referentie_Hernieuwbare_Energie_Totaal47[[#Headers],[A4]],Database_Productkaarten[#All],47,FALSE),0)*Ontwerpberekening!L17),0))/Ontwerpberekening!$A$2</f>
        <v>0</v>
      </c>
      <c r="H142" s="93">
        <f>(IF(Ontwerpberekening!C17="Nieuwe Situatie",(_xlfn.IFNA(VLOOKUP(Referentie_Hernieuwbare_Energie_Totaal47[[#This Row],[Product]]&amp;", "&amp;Referentie_Hernieuwbare_Energie_Totaal47[[#Headers],[A5]],Database_Productkaarten[#All],47,FALSE),0)*Ontwerpberekening!L17),0))/Ontwerpberekening!$A$2</f>
        <v>0</v>
      </c>
      <c r="I142" s="93">
        <f>(IF(Ontwerpberekening!C17="Nieuwe Situatie",(_xlfn.IFNA(VLOOKUP(Referentie_Hernieuwbare_Energie_Totaal47[[#This Row],[Product]]&amp;", "&amp;Referentie_Hernieuwbare_Energie_Totaal47[[#Headers],[B1]],Database_Productkaarten[#All],47,FALSE),0)*Ontwerpberekening!L17),0))/Ontwerpberekening!$A$2</f>
        <v>0</v>
      </c>
      <c r="J142" s="93"/>
      <c r="K142" s="93">
        <f>(IF(Ontwerpberekening!C17="Nieuwe Situatie",(SUM(Referentie_Hernieuwbare_Energie_Totaal47[[#This Row],[A1]:[B1]],Referentie_Hernieuwbare_Energie_Totaal47[[#This Row],[C1]:[D2]])*Ontwerpberekening!M17),0))/Ontwerpberekening!$A$2</f>
        <v>0</v>
      </c>
      <c r="L142" s="93">
        <f>_xlfn.IFNA(VLOOKUP(Referentie_Hernieuwbare_Energie_Totaal47[[#This Row],[Product]]&amp;", "&amp;Referentie_Hernieuwbare_Energie_Totaal47[[#Headers],[C1]],Database_Productkaarten[#All],47,FALSE)*Ontwerpberekening!L17,0)/Ontwerpberekening!$A$2</f>
        <v>0</v>
      </c>
      <c r="M142" s="93">
        <f>_xlfn.IFNA(VLOOKUP(Referentie_Hernieuwbare_Energie_Totaal47[[#This Row],[Product]]&amp;", "&amp;Referentie_Hernieuwbare_Energie_Totaal47[[#Headers],[C2]],Database_Productkaarten[#All],47,FALSE)*Ontwerpberekening!L17,0)/Ontwerpberekening!$A$2</f>
        <v>0</v>
      </c>
      <c r="N142" s="93">
        <f>_xlfn.IFNA(VLOOKUP(Referentie_Hernieuwbare_Energie_Totaal47[[#This Row],[Product]]&amp;", "&amp;Referentie_Hernieuwbare_Energie_Totaal47[[#Headers],[C3]],Database_Productkaarten[#All],47,FALSE)*Ontwerpberekening!L17,0)/Ontwerpberekening!$A$2</f>
        <v>0</v>
      </c>
      <c r="O142" s="93">
        <f>_xlfn.IFNA(VLOOKUP(Referentie_Hernieuwbare_Energie_Totaal47[[#This Row],[Product]]&amp;", "&amp;Referentie_Hernieuwbare_Energie_Totaal47[[#Headers],[C4]],Database_Productkaarten[#All],47,FALSE)*Ontwerpberekening!L17,0)/Ontwerpberekening!$A$2</f>
        <v>0</v>
      </c>
      <c r="P142" s="93">
        <f>(IF(Ontwerpberekening!C17="Nieuwe Situatie",(_xlfn.IFNA(VLOOKUP(Referentie_Hernieuwbare_Energie_Totaal47[[#This Row],[Product]]&amp;", "&amp;Referentie_Hernieuwbare_Energie_Totaal47[[#Headers],[D1]],Database_Productkaarten[#All],47,FALSE),0)*Ontwerpberekening!L17),0))/Ontwerpberekening!$A$2</f>
        <v>0</v>
      </c>
      <c r="Q142" s="94">
        <f>(IF(Ontwerpberekening!C17="Nieuwe Situatie",_xlfn.IFNA(VLOOKUP(Referentie_Hernieuwbare_Energie_Totaal47[[#This Row],[Product]]&amp;", "&amp;Referentie_Hernieuwbare_Energie_Totaal47[[#Headers],[D2]],Database_Productkaarten[#All],47,FALSE),0)*Ontwerpberekening!L17,0))/Ontwerpberekening!$A$2</f>
        <v>0</v>
      </c>
      <c r="R142" s="72">
        <f>SUM(Referentie_Hernieuwbare_Energie_Totaal47[[#This Row],[A1]:[D2]])</f>
        <v>0</v>
      </c>
    </row>
    <row r="143" spans="2:18" ht="18" x14ac:dyDescent="0.55000000000000004">
      <c r="B143" s="67" t="str">
        <f>Ontwerpberekening!B18</f>
        <v>Baseline</v>
      </c>
      <c r="C143" s="92" t="str">
        <f>Ontwerpberekening!F18</f>
        <v>Grond</v>
      </c>
      <c r="D143" s="93">
        <f>(IF(Ontwerpberekening!C18="Nieuwe Situatie",(_xlfn.IFNA(VLOOKUP(Referentie_Hernieuwbare_Energie_Totaal47[[#This Row],[Product]]&amp;", "&amp;Referentie_Hernieuwbare_Energie_Totaal47[[#Headers],[A1]],Database_Productkaarten[#All],47,FALSE),0)*Ontwerpberekening!L18),0))/Ontwerpberekening!$A$2</f>
        <v>0</v>
      </c>
      <c r="E143" s="93">
        <f>(IF(Ontwerpberekening!C18="Nieuwe Situatie",(_xlfn.IFNA(VLOOKUP(Referentie_Hernieuwbare_Energie_Totaal47[[#This Row],[Product]]&amp;", "&amp;Referentie_Hernieuwbare_Energie_Totaal47[[#Headers],[A2]],Database_Productkaarten[#All],47,FALSE),0)*Ontwerpberekening!L18),0))/Ontwerpberekening!$A$2</f>
        <v>0</v>
      </c>
      <c r="F143" s="93">
        <f>(IF(Ontwerpberekening!C18="Nieuwe Situatie",(_xlfn.IFNA(VLOOKUP(Referentie_Hernieuwbare_Energie_Totaal47[[#This Row],[Product]]&amp;", "&amp;Referentie_Hernieuwbare_Energie_Totaal47[[#Headers],[A3]],Database_Productkaarten[#All],47,FALSE),0)*Ontwerpberekening!L18),0))/Ontwerpberekening!$A$2</f>
        <v>0</v>
      </c>
      <c r="G143" s="93">
        <f>(IF(Ontwerpberekening!C18="Nieuwe Situatie",(_xlfn.IFNA(VLOOKUP(Referentie_Hernieuwbare_Energie_Totaal47[[#This Row],[Product]]&amp;", "&amp;Referentie_Hernieuwbare_Energie_Totaal47[[#Headers],[A4]],Database_Productkaarten[#All],47,FALSE),0)*Ontwerpberekening!L18),0))/Ontwerpberekening!$A$2</f>
        <v>0.22844481000000003</v>
      </c>
      <c r="H143" s="93">
        <f>(IF(Ontwerpberekening!C18="Nieuwe Situatie",(_xlfn.IFNA(VLOOKUP(Referentie_Hernieuwbare_Energie_Totaal47[[#This Row],[Product]]&amp;", "&amp;Referentie_Hernieuwbare_Energie_Totaal47[[#Headers],[A5]],Database_Productkaarten[#All],47,FALSE),0)*Ontwerpberekening!L18),0))/Ontwerpberekening!$A$2</f>
        <v>6.2913713670979159E-9</v>
      </c>
      <c r="I143" s="93">
        <f>(IF(Ontwerpberekening!C18="Nieuwe Situatie",(_xlfn.IFNA(VLOOKUP(Referentie_Hernieuwbare_Energie_Totaal47[[#This Row],[Product]]&amp;", "&amp;Referentie_Hernieuwbare_Energie_Totaal47[[#Headers],[B1]],Database_Productkaarten[#All],47,FALSE),0)*Ontwerpberekening!L18),0))/Ontwerpberekening!$A$2</f>
        <v>0</v>
      </c>
      <c r="J143" s="93"/>
      <c r="K143" s="93">
        <f>(IF(Ontwerpberekening!C18="Nieuwe Situatie",(SUM(Referentie_Hernieuwbare_Energie_Totaal47[[#This Row],[A1]:[B1]],Referentie_Hernieuwbare_Energie_Totaal47[[#This Row],[C1]:[D2]])*Ontwerpberekening!M18),0))/Ontwerpberekening!$A$2</f>
        <v>2.741337795496457E-5</v>
      </c>
      <c r="L143" s="93">
        <f>_xlfn.IFNA(VLOOKUP(Referentie_Hernieuwbare_Energie_Totaal47[[#This Row],[Product]]&amp;", "&amp;Referentie_Hernieuwbare_Energie_Totaal47[[#Headers],[C1]],Database_Productkaarten[#All],47,FALSE)*Ontwerpberekening!L18,0)/Ontwerpberekening!$A$2</f>
        <v>6.2913713670979159E-9</v>
      </c>
      <c r="M143" s="93">
        <f>_xlfn.IFNA(VLOOKUP(Referentie_Hernieuwbare_Energie_Totaal47[[#This Row],[Product]]&amp;", "&amp;Referentie_Hernieuwbare_Energie_Totaal47[[#Headers],[C2]],Database_Productkaarten[#All],47,FALSE)*Ontwerpberekening!L18,0)/Ontwerpberekening!$A$2</f>
        <v>0.22844481000000003</v>
      </c>
      <c r="N143" s="93">
        <f>_xlfn.IFNA(VLOOKUP(Referentie_Hernieuwbare_Energie_Totaal47[[#This Row],[Product]]&amp;", "&amp;Referentie_Hernieuwbare_Energie_Totaal47[[#Headers],[C3]],Database_Productkaarten[#All],47,FALSE)*Ontwerpberekening!L18,0)/Ontwerpberekening!$A$2</f>
        <v>0</v>
      </c>
      <c r="O143" s="93">
        <f>_xlfn.IFNA(VLOOKUP(Referentie_Hernieuwbare_Energie_Totaal47[[#This Row],[Product]]&amp;", "&amp;Referentie_Hernieuwbare_Energie_Totaal47[[#Headers],[C4]],Database_Productkaarten[#All],47,FALSE)*Ontwerpberekening!L18,0)/Ontwerpberekening!$A$2</f>
        <v>0</v>
      </c>
      <c r="P143" s="93">
        <f>(IF(Ontwerpberekening!C18="Nieuwe Situatie",(_xlfn.IFNA(VLOOKUP(Referentie_Hernieuwbare_Energie_Totaal47[[#This Row],[Product]]&amp;", "&amp;Referentie_Hernieuwbare_Energie_Totaal47[[#Headers],[D1]],Database_Productkaarten[#All],47,FALSE),0)*Ontwerpberekening!L18),0))/Ontwerpberekening!$A$2</f>
        <v>0</v>
      </c>
      <c r="Q143" s="94">
        <f>(IF(Ontwerpberekening!C18="Nieuwe Situatie",_xlfn.IFNA(VLOOKUP(Referentie_Hernieuwbare_Energie_Totaal47[[#This Row],[Product]]&amp;", "&amp;Referentie_Hernieuwbare_Energie_Totaal47[[#Headers],[D2]],Database_Productkaarten[#All],47,FALSE),0)*Ontwerpberekening!L18,0))/Ontwerpberekening!$A$2</f>
        <v>0</v>
      </c>
      <c r="R143" s="72">
        <f>SUM(Referentie_Hernieuwbare_Energie_Totaal47[[#This Row],[A1]:[D2]])</f>
        <v>0.45691704596069777</v>
      </c>
    </row>
    <row r="144" spans="2:18" ht="18" x14ac:dyDescent="0.55000000000000004">
      <c r="B144" s="67" t="str">
        <f>Ontwerpberekening!B19</f>
        <v>Baseline</v>
      </c>
      <c r="C144" s="92" t="str">
        <f>Ontwerpberekening!F19</f>
        <v>Opsluitband 100x200</v>
      </c>
      <c r="D144" s="93">
        <f>(IF(Ontwerpberekening!C19="Nieuwe Situatie",(_xlfn.IFNA(VLOOKUP(Referentie_Hernieuwbare_Energie_Totaal47[[#This Row],[Product]]&amp;", "&amp;Referentie_Hernieuwbare_Energie_Totaal47[[#Headers],[A1]],Database_Productkaarten[#All],47,FALSE),0)*Ontwerpberekening!L19),0))/Ontwerpberekening!$A$2</f>
        <v>0</v>
      </c>
      <c r="E144" s="93">
        <f>(IF(Ontwerpberekening!C19="Nieuwe Situatie",(_xlfn.IFNA(VLOOKUP(Referentie_Hernieuwbare_Energie_Totaal47[[#This Row],[Product]]&amp;", "&amp;Referentie_Hernieuwbare_Energie_Totaal47[[#Headers],[A2]],Database_Productkaarten[#All],47,FALSE),0)*Ontwerpberekening!L19),0))/Ontwerpberekening!$A$2</f>
        <v>0</v>
      </c>
      <c r="F144" s="93">
        <f>(IF(Ontwerpberekening!C19="Nieuwe Situatie",(_xlfn.IFNA(VLOOKUP(Referentie_Hernieuwbare_Energie_Totaal47[[#This Row],[Product]]&amp;", "&amp;Referentie_Hernieuwbare_Energie_Totaal47[[#Headers],[A3]],Database_Productkaarten[#All],47,FALSE),0)*Ontwerpberekening!L19),0))/Ontwerpberekening!$A$2</f>
        <v>0</v>
      </c>
      <c r="G144" s="93">
        <f>(IF(Ontwerpberekening!C19="Nieuwe Situatie",(_xlfn.IFNA(VLOOKUP(Referentie_Hernieuwbare_Energie_Totaal47[[#This Row],[Product]]&amp;", "&amp;Referentie_Hernieuwbare_Energie_Totaal47[[#Headers],[A4]],Database_Productkaarten[#All],47,FALSE),0)*Ontwerpberekening!L19),0))/Ontwerpberekening!$A$2</f>
        <v>0</v>
      </c>
      <c r="H144" s="93">
        <f>(IF(Ontwerpberekening!C19="Nieuwe Situatie",(_xlfn.IFNA(VLOOKUP(Referentie_Hernieuwbare_Energie_Totaal47[[#This Row],[Product]]&amp;", "&amp;Referentie_Hernieuwbare_Energie_Totaal47[[#Headers],[A5]],Database_Productkaarten[#All],47,FALSE),0)*Ontwerpberekening!L19),0))/Ontwerpberekening!$A$2</f>
        <v>0</v>
      </c>
      <c r="I144" s="93">
        <f>(IF(Ontwerpberekening!C19="Nieuwe Situatie",(_xlfn.IFNA(VLOOKUP(Referentie_Hernieuwbare_Energie_Totaal47[[#This Row],[Product]]&amp;", "&amp;Referentie_Hernieuwbare_Energie_Totaal47[[#Headers],[B1]],Database_Productkaarten[#All],47,FALSE),0)*Ontwerpberekening!L19),0))/Ontwerpberekening!$A$2</f>
        <v>0</v>
      </c>
      <c r="J144" s="93"/>
      <c r="K144" s="93">
        <f>(IF(Ontwerpberekening!C19="Nieuwe Situatie",(SUM(Referentie_Hernieuwbare_Energie_Totaal47[[#This Row],[A1]:[B1]],Referentie_Hernieuwbare_Energie_Totaal47[[#This Row],[C1]:[D2]])*Ontwerpberekening!M19),0))/Ontwerpberekening!$A$2</f>
        <v>0</v>
      </c>
      <c r="L144" s="93">
        <f>_xlfn.IFNA(VLOOKUP(Referentie_Hernieuwbare_Energie_Totaal47[[#This Row],[Product]]&amp;", "&amp;Referentie_Hernieuwbare_Energie_Totaal47[[#Headers],[C1]],Database_Productkaarten[#All],47,FALSE)*Ontwerpberekening!L19,0)/Ontwerpberekening!$A$2</f>
        <v>0</v>
      </c>
      <c r="M144" s="93">
        <f>_xlfn.IFNA(VLOOKUP(Referentie_Hernieuwbare_Energie_Totaal47[[#This Row],[Product]]&amp;", "&amp;Referentie_Hernieuwbare_Energie_Totaal47[[#Headers],[C2]],Database_Productkaarten[#All],47,FALSE)*Ontwerpberekening!L19,0)/Ontwerpberekening!$A$2</f>
        <v>0</v>
      </c>
      <c r="N144" s="93">
        <f>_xlfn.IFNA(VLOOKUP(Referentie_Hernieuwbare_Energie_Totaal47[[#This Row],[Product]]&amp;", "&amp;Referentie_Hernieuwbare_Energie_Totaal47[[#Headers],[C3]],Database_Productkaarten[#All],47,FALSE)*Ontwerpberekening!L19,0)/Ontwerpberekening!$A$2</f>
        <v>0</v>
      </c>
      <c r="O144" s="93">
        <f>_xlfn.IFNA(VLOOKUP(Referentie_Hernieuwbare_Energie_Totaal47[[#This Row],[Product]]&amp;", "&amp;Referentie_Hernieuwbare_Energie_Totaal47[[#Headers],[C4]],Database_Productkaarten[#All],47,FALSE)*Ontwerpberekening!L19,0)/Ontwerpberekening!$A$2</f>
        <v>0</v>
      </c>
      <c r="P144" s="93">
        <f>(IF(Ontwerpberekening!C19="Nieuwe Situatie",(_xlfn.IFNA(VLOOKUP(Referentie_Hernieuwbare_Energie_Totaal47[[#This Row],[Product]]&amp;", "&amp;Referentie_Hernieuwbare_Energie_Totaal47[[#Headers],[D1]],Database_Productkaarten[#All],47,FALSE),0)*Ontwerpberekening!L19),0))/Ontwerpberekening!$A$2</f>
        <v>0</v>
      </c>
      <c r="Q144" s="94">
        <f>(IF(Ontwerpberekening!C19="Nieuwe Situatie",_xlfn.IFNA(VLOOKUP(Referentie_Hernieuwbare_Energie_Totaal47[[#This Row],[Product]]&amp;", "&amp;Referentie_Hernieuwbare_Energie_Totaal47[[#Headers],[D2]],Database_Productkaarten[#All],47,FALSE),0)*Ontwerpberekening!L19,0))/Ontwerpberekening!$A$2</f>
        <v>0</v>
      </c>
      <c r="R144" s="72">
        <f>SUM(Referentie_Hernieuwbare_Energie_Totaal47[[#This Row],[A1]:[D2]])</f>
        <v>0</v>
      </c>
    </row>
    <row r="145" spans="2:18" ht="18" x14ac:dyDescent="0.55000000000000004">
      <c r="B145" s="67" t="str">
        <f>Ontwerpberekening!B20</f>
        <v>Baseline</v>
      </c>
      <c r="C145" s="92" t="str">
        <f>Ontwerpberekening!F20</f>
        <v>Opsluitband 100x200</v>
      </c>
      <c r="D145" s="93">
        <f>(IF(Ontwerpberekening!C20="Nieuwe Situatie",(_xlfn.IFNA(VLOOKUP(Referentie_Hernieuwbare_Energie_Totaal47[[#This Row],[Product]]&amp;", "&amp;Referentie_Hernieuwbare_Energie_Totaal47[[#Headers],[A1]],Database_Productkaarten[#All],47,FALSE),0)*Ontwerpberekening!L20),0))/Ontwerpberekening!$A$2</f>
        <v>0</v>
      </c>
      <c r="E145" s="93">
        <f>(IF(Ontwerpberekening!C20="Nieuwe Situatie",(_xlfn.IFNA(VLOOKUP(Referentie_Hernieuwbare_Energie_Totaal47[[#This Row],[Product]]&amp;", "&amp;Referentie_Hernieuwbare_Energie_Totaal47[[#Headers],[A2]],Database_Productkaarten[#All],47,FALSE),0)*Ontwerpberekening!L20),0))/Ontwerpberekening!$A$2</f>
        <v>0</v>
      </c>
      <c r="F145" s="93">
        <f>(IF(Ontwerpberekening!C20="Nieuwe Situatie",(_xlfn.IFNA(VLOOKUP(Referentie_Hernieuwbare_Energie_Totaal47[[#This Row],[Product]]&amp;", "&amp;Referentie_Hernieuwbare_Energie_Totaal47[[#Headers],[A3]],Database_Productkaarten[#All],47,FALSE),0)*Ontwerpberekening!L20),0))/Ontwerpberekening!$A$2</f>
        <v>0</v>
      </c>
      <c r="G145" s="93">
        <f>(IF(Ontwerpberekening!C20="Nieuwe Situatie",(_xlfn.IFNA(VLOOKUP(Referentie_Hernieuwbare_Energie_Totaal47[[#This Row],[Product]]&amp;", "&amp;Referentie_Hernieuwbare_Energie_Totaal47[[#Headers],[A4]],Database_Productkaarten[#All],47,FALSE),0)*Ontwerpberekening!L20),0))/Ontwerpberekening!$A$2</f>
        <v>0</v>
      </c>
      <c r="H145" s="93">
        <f>(IF(Ontwerpberekening!C20="Nieuwe Situatie",(_xlfn.IFNA(VLOOKUP(Referentie_Hernieuwbare_Energie_Totaal47[[#This Row],[Product]]&amp;", "&amp;Referentie_Hernieuwbare_Energie_Totaal47[[#Headers],[A5]],Database_Productkaarten[#All],47,FALSE),0)*Ontwerpberekening!L20),0))/Ontwerpberekening!$A$2</f>
        <v>0</v>
      </c>
      <c r="I145" s="93">
        <f>(IF(Ontwerpberekening!C20="Nieuwe Situatie",(_xlfn.IFNA(VLOOKUP(Referentie_Hernieuwbare_Energie_Totaal47[[#This Row],[Product]]&amp;", "&amp;Referentie_Hernieuwbare_Energie_Totaal47[[#Headers],[B1]],Database_Productkaarten[#All],47,FALSE),0)*Ontwerpberekening!L20),0))/Ontwerpberekening!$A$2</f>
        <v>0</v>
      </c>
      <c r="J145" s="93"/>
      <c r="K145" s="93">
        <f>(IF(Ontwerpberekening!C20="Nieuwe Situatie",(SUM(Referentie_Hernieuwbare_Energie_Totaal47[[#This Row],[A1]:[B1]],Referentie_Hernieuwbare_Energie_Totaal47[[#This Row],[C1]:[D2]])*Ontwerpberekening!M20),0))/Ontwerpberekening!$A$2</f>
        <v>0</v>
      </c>
      <c r="L145" s="93">
        <f>_xlfn.IFNA(VLOOKUP(Referentie_Hernieuwbare_Energie_Totaal47[[#This Row],[Product]]&amp;", "&amp;Referentie_Hernieuwbare_Energie_Totaal47[[#Headers],[C1]],Database_Productkaarten[#All],47,FALSE)*Ontwerpberekening!L20,0)/Ontwerpberekening!$A$2</f>
        <v>0</v>
      </c>
      <c r="M145" s="93">
        <f>_xlfn.IFNA(VLOOKUP(Referentie_Hernieuwbare_Energie_Totaal47[[#This Row],[Product]]&amp;", "&amp;Referentie_Hernieuwbare_Energie_Totaal47[[#Headers],[C2]],Database_Productkaarten[#All],47,FALSE)*Ontwerpberekening!L20,0)/Ontwerpberekening!$A$2</f>
        <v>0</v>
      </c>
      <c r="N145" s="93">
        <f>_xlfn.IFNA(VLOOKUP(Referentie_Hernieuwbare_Energie_Totaal47[[#This Row],[Product]]&amp;", "&amp;Referentie_Hernieuwbare_Energie_Totaal47[[#Headers],[C3]],Database_Productkaarten[#All],47,FALSE)*Ontwerpberekening!L20,0)/Ontwerpberekening!$A$2</f>
        <v>0</v>
      </c>
      <c r="O145" s="93">
        <f>_xlfn.IFNA(VLOOKUP(Referentie_Hernieuwbare_Energie_Totaal47[[#This Row],[Product]]&amp;", "&amp;Referentie_Hernieuwbare_Energie_Totaal47[[#Headers],[C4]],Database_Productkaarten[#All],47,FALSE)*Ontwerpberekening!L20,0)/Ontwerpberekening!$A$2</f>
        <v>0</v>
      </c>
      <c r="P145" s="93">
        <f>(IF(Ontwerpberekening!C20="Nieuwe Situatie",(_xlfn.IFNA(VLOOKUP(Referentie_Hernieuwbare_Energie_Totaal47[[#This Row],[Product]]&amp;", "&amp;Referentie_Hernieuwbare_Energie_Totaal47[[#Headers],[D1]],Database_Productkaarten[#All],47,FALSE),0)*Ontwerpberekening!L20),0))/Ontwerpberekening!$A$2</f>
        <v>0</v>
      </c>
      <c r="Q145" s="94">
        <f>(IF(Ontwerpberekening!C20="Nieuwe Situatie",_xlfn.IFNA(VLOOKUP(Referentie_Hernieuwbare_Energie_Totaal47[[#This Row],[Product]]&amp;", "&amp;Referentie_Hernieuwbare_Energie_Totaal47[[#Headers],[D2]],Database_Productkaarten[#All],47,FALSE),0)*Ontwerpberekening!L20,0))/Ontwerpberekening!$A$2</f>
        <v>0</v>
      </c>
      <c r="R145" s="72">
        <f>SUM(Referentie_Hernieuwbare_Energie_Totaal47[[#This Row],[A1]:[D2]])</f>
        <v>0</v>
      </c>
    </row>
    <row r="146" spans="2:18" ht="18" x14ac:dyDescent="0.55000000000000004">
      <c r="B146" s="67" t="str">
        <f>Ontwerpberekening!B21</f>
        <v>Baseline</v>
      </c>
      <c r="C146" s="92" t="str">
        <f>Ontwerpberekening!F21</f>
        <v>Grond</v>
      </c>
      <c r="D146" s="93">
        <f>(IF(Ontwerpberekening!C21="Nieuwe Situatie",(_xlfn.IFNA(VLOOKUP(Referentie_Hernieuwbare_Energie_Totaal47[[#This Row],[Product]]&amp;", "&amp;Referentie_Hernieuwbare_Energie_Totaal47[[#Headers],[A1]],Database_Productkaarten[#All],47,FALSE),0)*Ontwerpberekening!L21),0))/Ontwerpberekening!$A$2</f>
        <v>0</v>
      </c>
      <c r="E146" s="93">
        <f>(IF(Ontwerpberekening!C21="Nieuwe Situatie",(_xlfn.IFNA(VLOOKUP(Referentie_Hernieuwbare_Energie_Totaal47[[#This Row],[Product]]&amp;", "&amp;Referentie_Hernieuwbare_Energie_Totaal47[[#Headers],[A2]],Database_Productkaarten[#All],47,FALSE),0)*Ontwerpberekening!L21),0))/Ontwerpberekening!$A$2</f>
        <v>0</v>
      </c>
      <c r="F146" s="93">
        <f>(IF(Ontwerpberekening!C21="Nieuwe Situatie",(_xlfn.IFNA(VLOOKUP(Referentie_Hernieuwbare_Energie_Totaal47[[#This Row],[Product]]&amp;", "&amp;Referentie_Hernieuwbare_Energie_Totaal47[[#Headers],[A3]],Database_Productkaarten[#All],47,FALSE),0)*Ontwerpberekening!L21),0))/Ontwerpberekening!$A$2</f>
        <v>0</v>
      </c>
      <c r="G146" s="93">
        <f>(IF(Ontwerpberekening!C21="Nieuwe Situatie",(_xlfn.IFNA(VLOOKUP(Referentie_Hernieuwbare_Energie_Totaal47[[#This Row],[Product]]&amp;", "&amp;Referentie_Hernieuwbare_Energie_Totaal47[[#Headers],[A4]],Database_Productkaarten[#All],47,FALSE),0)*Ontwerpberekening!L21),0))/Ontwerpberekening!$A$2</f>
        <v>0</v>
      </c>
      <c r="H146" s="93">
        <f>(IF(Ontwerpberekening!C21="Nieuwe Situatie",(_xlfn.IFNA(VLOOKUP(Referentie_Hernieuwbare_Energie_Totaal47[[#This Row],[Product]]&amp;", "&amp;Referentie_Hernieuwbare_Energie_Totaal47[[#Headers],[A5]],Database_Productkaarten[#All],47,FALSE),0)*Ontwerpberekening!L21),0))/Ontwerpberekening!$A$2</f>
        <v>0</v>
      </c>
      <c r="I146" s="93">
        <f>(IF(Ontwerpberekening!C21="Nieuwe Situatie",(_xlfn.IFNA(VLOOKUP(Referentie_Hernieuwbare_Energie_Totaal47[[#This Row],[Product]]&amp;", "&amp;Referentie_Hernieuwbare_Energie_Totaal47[[#Headers],[B1]],Database_Productkaarten[#All],47,FALSE),0)*Ontwerpberekening!L21),0))/Ontwerpberekening!$A$2</f>
        <v>0</v>
      </c>
      <c r="J146" s="93"/>
      <c r="K146" s="93">
        <f>(IF(Ontwerpberekening!C21="Nieuwe Situatie",(SUM(Referentie_Hernieuwbare_Energie_Totaal47[[#This Row],[A1]:[B1]],Referentie_Hernieuwbare_Energie_Totaal47[[#This Row],[C1]:[D2]])*Ontwerpberekening!M21),0))/Ontwerpberekening!$A$2</f>
        <v>0</v>
      </c>
      <c r="L146" s="93">
        <f>_xlfn.IFNA(VLOOKUP(Referentie_Hernieuwbare_Energie_Totaal47[[#This Row],[Product]]&amp;", "&amp;Referentie_Hernieuwbare_Energie_Totaal47[[#Headers],[C1]],Database_Productkaarten[#All],47,FALSE)*Ontwerpberekening!L21,0)/Ontwerpberekening!$A$2</f>
        <v>0</v>
      </c>
      <c r="M146" s="93">
        <f>_xlfn.IFNA(VLOOKUP(Referentie_Hernieuwbare_Energie_Totaal47[[#This Row],[Product]]&amp;", "&amp;Referentie_Hernieuwbare_Energie_Totaal47[[#Headers],[C2]],Database_Productkaarten[#All],47,FALSE)*Ontwerpberekening!L21,0)/Ontwerpberekening!$A$2</f>
        <v>0</v>
      </c>
      <c r="N146" s="93">
        <f>_xlfn.IFNA(VLOOKUP(Referentie_Hernieuwbare_Energie_Totaal47[[#This Row],[Product]]&amp;", "&amp;Referentie_Hernieuwbare_Energie_Totaal47[[#Headers],[C3]],Database_Productkaarten[#All],47,FALSE)*Ontwerpberekening!L21,0)/Ontwerpberekening!$A$2</f>
        <v>0</v>
      </c>
      <c r="O146" s="93">
        <f>_xlfn.IFNA(VLOOKUP(Referentie_Hernieuwbare_Energie_Totaal47[[#This Row],[Product]]&amp;", "&amp;Referentie_Hernieuwbare_Energie_Totaal47[[#Headers],[C4]],Database_Productkaarten[#All],47,FALSE)*Ontwerpberekening!L21,0)/Ontwerpberekening!$A$2</f>
        <v>0</v>
      </c>
      <c r="P146" s="93">
        <f>(IF(Ontwerpberekening!C21="Nieuwe Situatie",(_xlfn.IFNA(VLOOKUP(Referentie_Hernieuwbare_Energie_Totaal47[[#This Row],[Product]]&amp;", "&amp;Referentie_Hernieuwbare_Energie_Totaal47[[#Headers],[D1]],Database_Productkaarten[#All],47,FALSE),0)*Ontwerpberekening!L21),0))/Ontwerpberekening!$A$2</f>
        <v>0</v>
      </c>
      <c r="Q146" s="94">
        <f>(IF(Ontwerpberekening!C21="Nieuwe Situatie",_xlfn.IFNA(VLOOKUP(Referentie_Hernieuwbare_Energie_Totaal47[[#This Row],[Product]]&amp;", "&amp;Referentie_Hernieuwbare_Energie_Totaal47[[#Headers],[D2]],Database_Productkaarten[#All],47,FALSE),0)*Ontwerpberekening!L21,0))/Ontwerpberekening!$A$2</f>
        <v>0</v>
      </c>
      <c r="R146" s="72">
        <f>SUM(Referentie_Hernieuwbare_Energie_Totaal47[[#This Row],[A1]:[D2]])</f>
        <v>0</v>
      </c>
    </row>
    <row r="147" spans="2:18" ht="18" x14ac:dyDescent="0.55000000000000004">
      <c r="B147" s="67" t="str">
        <f>Ontwerpberekening!B22</f>
        <v>Variant 1</v>
      </c>
      <c r="C147" s="92" t="str">
        <f>Ontwerpberekening!F22</f>
        <v>AC Surf 30% PR - PCR 2.0</v>
      </c>
      <c r="D147" s="93">
        <f>(IF(Ontwerpberekening!C22="Nieuwe Situatie",(_xlfn.IFNA(VLOOKUP(Referentie_Hernieuwbare_Energie_Totaal47[[#This Row],[Product]]&amp;", "&amp;Referentie_Hernieuwbare_Energie_Totaal47[[#Headers],[A1]],Database_Productkaarten[#All],47,FALSE),0)*Ontwerpberekening!L22),0))/Ontwerpberekening!$A$2</f>
        <v>0</v>
      </c>
      <c r="E147" s="93">
        <f>(IF(Ontwerpberekening!C22="Nieuwe Situatie",(_xlfn.IFNA(VLOOKUP(Referentie_Hernieuwbare_Energie_Totaal47[[#This Row],[Product]]&amp;", "&amp;Referentie_Hernieuwbare_Energie_Totaal47[[#Headers],[A2]],Database_Productkaarten[#All],47,FALSE),0)*Ontwerpberekening!L22),0))/Ontwerpberekening!$A$2</f>
        <v>0</v>
      </c>
      <c r="F147" s="93">
        <f>(IF(Ontwerpberekening!C22="Nieuwe Situatie",(_xlfn.IFNA(VLOOKUP(Referentie_Hernieuwbare_Energie_Totaal47[[#This Row],[Product]]&amp;", "&amp;Referentie_Hernieuwbare_Energie_Totaal47[[#Headers],[A3]],Database_Productkaarten[#All],47,FALSE),0)*Ontwerpberekening!L22),0))/Ontwerpberekening!$A$2</f>
        <v>0</v>
      </c>
      <c r="G147" s="93">
        <f>(IF(Ontwerpberekening!C22="Nieuwe Situatie",(_xlfn.IFNA(VLOOKUP(Referentie_Hernieuwbare_Energie_Totaal47[[#This Row],[Product]]&amp;", "&amp;Referentie_Hernieuwbare_Energie_Totaal47[[#Headers],[A4]],Database_Productkaarten[#All],47,FALSE),0)*Ontwerpberekening!L22),0))/Ontwerpberekening!$A$2</f>
        <v>0</v>
      </c>
      <c r="H147" s="93">
        <f>(IF(Ontwerpberekening!C22="Nieuwe Situatie",(_xlfn.IFNA(VLOOKUP(Referentie_Hernieuwbare_Energie_Totaal47[[#This Row],[Product]]&amp;", "&amp;Referentie_Hernieuwbare_Energie_Totaal47[[#Headers],[A5]],Database_Productkaarten[#All],47,FALSE),0)*Ontwerpberekening!L22),0))/Ontwerpberekening!$A$2</f>
        <v>0</v>
      </c>
      <c r="I147" s="93">
        <f>(IF(Ontwerpberekening!C22="Nieuwe Situatie",(_xlfn.IFNA(VLOOKUP(Referentie_Hernieuwbare_Energie_Totaal47[[#This Row],[Product]]&amp;", "&amp;Referentie_Hernieuwbare_Energie_Totaal47[[#Headers],[B1]],Database_Productkaarten[#All],47,FALSE),0)*Ontwerpberekening!L22),0))/Ontwerpberekening!$A$2</f>
        <v>0</v>
      </c>
      <c r="J147" s="93"/>
      <c r="K147" s="93">
        <f>(IF(Ontwerpberekening!C22="Nieuwe Situatie",(SUM(Referentie_Hernieuwbare_Energie_Totaal47[[#This Row],[A1]:[B1]],Referentie_Hernieuwbare_Energie_Totaal47[[#This Row],[C1]:[D2]])*Ontwerpberekening!M22),0))/Ontwerpberekening!$A$2</f>
        <v>0</v>
      </c>
      <c r="L147" s="93">
        <f>_xlfn.IFNA(VLOOKUP(Referentie_Hernieuwbare_Energie_Totaal47[[#This Row],[Product]]&amp;", "&amp;Referentie_Hernieuwbare_Energie_Totaal47[[#Headers],[C1]],Database_Productkaarten[#All],47,FALSE)*Ontwerpberekening!L22,0)/Ontwerpberekening!$A$2</f>
        <v>3.37310312343357</v>
      </c>
      <c r="M147" s="93">
        <f>_xlfn.IFNA(VLOOKUP(Referentie_Hernieuwbare_Energie_Totaal47[[#This Row],[Product]]&amp;", "&amp;Referentie_Hernieuwbare_Energie_Totaal47[[#Headers],[C2]],Database_Productkaarten[#All],47,FALSE)*Ontwerpberekening!L22,0)/Ontwerpberekening!$A$2</f>
        <v>357.42018073464004</v>
      </c>
      <c r="N147" s="93">
        <f>_xlfn.IFNA(VLOOKUP(Referentie_Hernieuwbare_Energie_Totaal47[[#This Row],[Product]]&amp;", "&amp;Referentie_Hernieuwbare_Energie_Totaal47[[#Headers],[C3]],Database_Productkaarten[#All],47,FALSE)*Ontwerpberekening!L22,0)/Ontwerpberekening!$A$2</f>
        <v>3.7819641080921991</v>
      </c>
      <c r="O147" s="93">
        <f>_xlfn.IFNA(VLOOKUP(Referentie_Hernieuwbare_Energie_Totaal47[[#This Row],[Product]]&amp;", "&amp;Referentie_Hernieuwbare_Energie_Totaal47[[#Headers],[C4]],Database_Productkaarten[#All],47,FALSE)*Ontwerpberekening!L22,0)/Ontwerpberekening!$A$2</f>
        <v>0</v>
      </c>
      <c r="P147" s="93">
        <f>(IF(Ontwerpberekening!C22="Nieuwe Situatie",(_xlfn.IFNA(VLOOKUP(Referentie_Hernieuwbare_Energie_Totaal47[[#This Row],[Product]]&amp;", "&amp;Referentie_Hernieuwbare_Energie_Totaal47[[#Headers],[D1]],Database_Productkaarten[#All],47,FALSE),0)*Ontwerpberekening!L22),0))/Ontwerpberekening!$A$2</f>
        <v>0</v>
      </c>
      <c r="Q147" s="94">
        <f>(IF(Ontwerpberekening!C22="Nieuwe Situatie",_xlfn.IFNA(VLOOKUP(Referentie_Hernieuwbare_Energie_Totaal47[[#This Row],[Product]]&amp;", "&amp;Referentie_Hernieuwbare_Energie_Totaal47[[#Headers],[D2]],Database_Productkaarten[#All],47,FALSE),0)*Ontwerpberekening!L22,0))/Ontwerpberekening!$A$2</f>
        <v>0</v>
      </c>
      <c r="R147" s="72">
        <f>SUM(Referentie_Hernieuwbare_Energie_Totaal47[[#This Row],[A1]:[D2]])</f>
        <v>364.57524796616582</v>
      </c>
    </row>
    <row r="148" spans="2:18" ht="18" x14ac:dyDescent="0.55000000000000004">
      <c r="B148" s="67" t="str">
        <f>Ontwerpberekening!B23</f>
        <v>Variant 1</v>
      </c>
      <c r="C148" s="92" t="str">
        <f>Ontwerpberekening!F23</f>
        <v>AC bin/base 50% PR G.M. - PCR 2.0</v>
      </c>
      <c r="D148" s="93">
        <f>(IF(Ontwerpberekening!C23="Nieuwe Situatie",(_xlfn.IFNA(VLOOKUP(Referentie_Hernieuwbare_Energie_Totaal47[[#This Row],[Product]]&amp;", "&amp;Referentie_Hernieuwbare_Energie_Totaal47[[#Headers],[A1]],Database_Productkaarten[#All],47,FALSE),0)*Ontwerpberekening!L23),0))/Ontwerpberekening!$A$2</f>
        <v>0</v>
      </c>
      <c r="E148" s="93">
        <f>(IF(Ontwerpberekening!C23="Nieuwe Situatie",(_xlfn.IFNA(VLOOKUP(Referentie_Hernieuwbare_Energie_Totaal47[[#This Row],[Product]]&amp;", "&amp;Referentie_Hernieuwbare_Energie_Totaal47[[#Headers],[A2]],Database_Productkaarten[#All],47,FALSE),0)*Ontwerpberekening!L23),0))/Ontwerpberekening!$A$2</f>
        <v>0</v>
      </c>
      <c r="F148" s="93">
        <f>(IF(Ontwerpberekening!C23="Nieuwe Situatie",(_xlfn.IFNA(VLOOKUP(Referentie_Hernieuwbare_Energie_Totaal47[[#This Row],[Product]]&amp;", "&amp;Referentie_Hernieuwbare_Energie_Totaal47[[#Headers],[A3]],Database_Productkaarten[#All],47,FALSE),0)*Ontwerpberekening!L23),0))/Ontwerpberekening!$A$2</f>
        <v>0</v>
      </c>
      <c r="G148" s="93">
        <f>(IF(Ontwerpberekening!C23="Nieuwe Situatie",(_xlfn.IFNA(VLOOKUP(Referentie_Hernieuwbare_Energie_Totaal47[[#This Row],[Product]]&amp;", "&amp;Referentie_Hernieuwbare_Energie_Totaal47[[#Headers],[A4]],Database_Productkaarten[#All],47,FALSE),0)*Ontwerpberekening!L23),0))/Ontwerpberekening!$A$2</f>
        <v>0</v>
      </c>
      <c r="H148" s="93">
        <f>(IF(Ontwerpberekening!C23="Nieuwe Situatie",(_xlfn.IFNA(VLOOKUP(Referentie_Hernieuwbare_Energie_Totaal47[[#This Row],[Product]]&amp;", "&amp;Referentie_Hernieuwbare_Energie_Totaal47[[#Headers],[A5]],Database_Productkaarten[#All],47,FALSE),0)*Ontwerpberekening!L23),0))/Ontwerpberekening!$A$2</f>
        <v>0</v>
      </c>
      <c r="I148" s="93">
        <f>(IF(Ontwerpberekening!C23="Nieuwe Situatie",(_xlfn.IFNA(VLOOKUP(Referentie_Hernieuwbare_Energie_Totaal47[[#This Row],[Product]]&amp;", "&amp;Referentie_Hernieuwbare_Energie_Totaal47[[#Headers],[B1]],Database_Productkaarten[#All],47,FALSE),0)*Ontwerpberekening!L23),0))/Ontwerpberekening!$A$2</f>
        <v>0</v>
      </c>
      <c r="J148" s="93"/>
      <c r="K148" s="93">
        <f>(IF(Ontwerpberekening!C23="Nieuwe Situatie",(SUM(Referentie_Hernieuwbare_Energie_Totaal47[[#This Row],[A1]:[B1]],Referentie_Hernieuwbare_Energie_Totaal47[[#This Row],[C1]:[D2]])*Ontwerpberekening!M23),0))/Ontwerpberekening!$A$2</f>
        <v>0</v>
      </c>
      <c r="L148" s="93">
        <f>_xlfn.IFNA(VLOOKUP(Referentie_Hernieuwbare_Energie_Totaal47[[#This Row],[Product]]&amp;", "&amp;Referentie_Hernieuwbare_Energie_Totaal47[[#Headers],[C1]],Database_Productkaarten[#All],47,FALSE)*Ontwerpberekening!L23,0)/Ontwerpberekening!$A$2</f>
        <v>0.61279408373055999</v>
      </c>
      <c r="M148" s="93">
        <f>_xlfn.IFNA(VLOOKUP(Referentie_Hernieuwbare_Energie_Totaal47[[#This Row],[Product]]&amp;", "&amp;Referentie_Hernieuwbare_Energie_Totaal47[[#Headers],[C2]],Database_Productkaarten[#All],47,FALSE)*Ontwerpberekening!L23,0)/Ontwerpberekening!$A$2</f>
        <v>27.828335239680001</v>
      </c>
      <c r="N148" s="93">
        <f>_xlfn.IFNA(VLOOKUP(Referentie_Hernieuwbare_Energie_Totaal47[[#This Row],[Product]]&amp;", "&amp;Referentie_Hernieuwbare_Energie_Totaal47[[#Headers],[C3]],Database_Productkaarten[#All],47,FALSE)*Ontwerpberekening!L23,0)/Ontwerpberekening!$A$2</f>
        <v>0.29445949477961919</v>
      </c>
      <c r="O148" s="93">
        <f>_xlfn.IFNA(VLOOKUP(Referentie_Hernieuwbare_Energie_Totaal47[[#This Row],[Product]]&amp;", "&amp;Referentie_Hernieuwbare_Energie_Totaal47[[#Headers],[C4]],Database_Productkaarten[#All],47,FALSE)*Ontwerpberekening!L23,0)/Ontwerpberekening!$A$2</f>
        <v>0</v>
      </c>
      <c r="P148" s="93">
        <f>(IF(Ontwerpberekening!C23="Nieuwe Situatie",(_xlfn.IFNA(VLOOKUP(Referentie_Hernieuwbare_Energie_Totaal47[[#This Row],[Product]]&amp;", "&amp;Referentie_Hernieuwbare_Energie_Totaal47[[#Headers],[D1]],Database_Productkaarten[#All],47,FALSE),0)*Ontwerpberekening!L23),0))/Ontwerpberekening!$A$2</f>
        <v>0</v>
      </c>
      <c r="Q148" s="94">
        <f>(IF(Ontwerpberekening!C23="Nieuwe Situatie",_xlfn.IFNA(VLOOKUP(Referentie_Hernieuwbare_Energie_Totaal47[[#This Row],[Product]]&amp;", "&amp;Referentie_Hernieuwbare_Energie_Totaal47[[#Headers],[D2]],Database_Productkaarten[#All],47,FALSE),0)*Ontwerpberekening!L23,0))/Ontwerpberekening!$A$2</f>
        <v>0</v>
      </c>
      <c r="R148" s="72">
        <f>SUM(Referentie_Hernieuwbare_Energie_Totaal47[[#This Row],[A1]:[D2]])</f>
        <v>28.73558881819018</v>
      </c>
    </row>
    <row r="149" spans="2:18" ht="18" x14ac:dyDescent="0.55000000000000004">
      <c r="B149" s="67" t="str">
        <f>Ontwerpberekening!B24</f>
        <v>Variant 1</v>
      </c>
      <c r="C149" s="92" t="str">
        <f>Ontwerpberekening!F24</f>
        <v>AC bin/base 50% PR G.M. - PCR 2.0</v>
      </c>
      <c r="D149" s="93">
        <f>(IF(Ontwerpberekening!C24="Nieuwe Situatie",(_xlfn.IFNA(VLOOKUP(Referentie_Hernieuwbare_Energie_Totaal47[[#This Row],[Product]]&amp;", "&amp;Referentie_Hernieuwbare_Energie_Totaal47[[#Headers],[A1]],Database_Productkaarten[#All],47,FALSE),0)*Ontwerpberekening!L24),0))/Ontwerpberekening!$A$2</f>
        <v>0</v>
      </c>
      <c r="E149" s="93">
        <f>(IF(Ontwerpberekening!C24="Nieuwe Situatie",(_xlfn.IFNA(VLOOKUP(Referentie_Hernieuwbare_Energie_Totaal47[[#This Row],[Product]]&amp;", "&amp;Referentie_Hernieuwbare_Energie_Totaal47[[#Headers],[A2]],Database_Productkaarten[#All],47,FALSE),0)*Ontwerpberekening!L24),0))/Ontwerpberekening!$A$2</f>
        <v>0</v>
      </c>
      <c r="F149" s="93">
        <f>(IF(Ontwerpberekening!C24="Nieuwe Situatie",(_xlfn.IFNA(VLOOKUP(Referentie_Hernieuwbare_Energie_Totaal47[[#This Row],[Product]]&amp;", "&amp;Referentie_Hernieuwbare_Energie_Totaal47[[#Headers],[A3]],Database_Productkaarten[#All],47,FALSE),0)*Ontwerpberekening!L24),0))/Ontwerpberekening!$A$2</f>
        <v>0</v>
      </c>
      <c r="G149" s="93">
        <f>(IF(Ontwerpberekening!C24="Nieuwe Situatie",(_xlfn.IFNA(VLOOKUP(Referentie_Hernieuwbare_Energie_Totaal47[[#This Row],[Product]]&amp;", "&amp;Referentie_Hernieuwbare_Energie_Totaal47[[#Headers],[A4]],Database_Productkaarten[#All],47,FALSE),0)*Ontwerpberekening!L24),0))/Ontwerpberekening!$A$2</f>
        <v>0</v>
      </c>
      <c r="H149" s="93">
        <f>(IF(Ontwerpberekening!C24="Nieuwe Situatie",(_xlfn.IFNA(VLOOKUP(Referentie_Hernieuwbare_Energie_Totaal47[[#This Row],[Product]]&amp;", "&amp;Referentie_Hernieuwbare_Energie_Totaal47[[#Headers],[A5]],Database_Productkaarten[#All],47,FALSE),0)*Ontwerpberekening!L24),0))/Ontwerpberekening!$A$2</f>
        <v>0</v>
      </c>
      <c r="I149" s="93">
        <f>(IF(Ontwerpberekening!C24="Nieuwe Situatie",(_xlfn.IFNA(VLOOKUP(Referentie_Hernieuwbare_Energie_Totaal47[[#This Row],[Product]]&amp;", "&amp;Referentie_Hernieuwbare_Energie_Totaal47[[#Headers],[B1]],Database_Productkaarten[#All],47,FALSE),0)*Ontwerpberekening!L24),0))/Ontwerpberekening!$A$2</f>
        <v>0</v>
      </c>
      <c r="J149" s="93"/>
      <c r="K149" s="93">
        <f>(IF(Ontwerpberekening!C24="Nieuwe Situatie",(SUM(Referentie_Hernieuwbare_Energie_Totaal47[[#This Row],[A1]:[B1]],Referentie_Hernieuwbare_Energie_Totaal47[[#This Row],[C1]:[D2]])*Ontwerpberekening!M24),0))/Ontwerpberekening!$A$2</f>
        <v>0</v>
      </c>
      <c r="L149" s="93">
        <f>_xlfn.IFNA(VLOOKUP(Referentie_Hernieuwbare_Energie_Totaal47[[#This Row],[Product]]&amp;", "&amp;Referentie_Hernieuwbare_Energie_Totaal47[[#Headers],[C1]],Database_Productkaarten[#All],47,FALSE)*Ontwerpberekening!L24,0)/Ontwerpberekening!$A$2</f>
        <v>0.19149815116579996</v>
      </c>
      <c r="M149" s="93">
        <f>_xlfn.IFNA(VLOOKUP(Referentie_Hernieuwbare_Energie_Totaal47[[#This Row],[Product]]&amp;", "&amp;Referentie_Hernieuwbare_Energie_Totaal47[[#Headers],[C2]],Database_Productkaarten[#All],47,FALSE)*Ontwerpberekening!L24,0)/Ontwerpberekening!$A$2</f>
        <v>8.6963547624000004</v>
      </c>
      <c r="N149" s="93">
        <f>_xlfn.IFNA(VLOOKUP(Referentie_Hernieuwbare_Energie_Totaal47[[#This Row],[Product]]&amp;", "&amp;Referentie_Hernieuwbare_Energie_Totaal47[[#Headers],[C3]],Database_Productkaarten[#All],47,FALSE)*Ontwerpberekening!L24,0)/Ontwerpberekening!$A$2</f>
        <v>9.2018592118631004E-2</v>
      </c>
      <c r="O149" s="93">
        <f>_xlfn.IFNA(VLOOKUP(Referentie_Hernieuwbare_Energie_Totaal47[[#This Row],[Product]]&amp;", "&amp;Referentie_Hernieuwbare_Energie_Totaal47[[#Headers],[C4]],Database_Productkaarten[#All],47,FALSE)*Ontwerpberekening!L24,0)/Ontwerpberekening!$A$2</f>
        <v>0</v>
      </c>
      <c r="P149" s="93">
        <f>(IF(Ontwerpberekening!C24="Nieuwe Situatie",(_xlfn.IFNA(VLOOKUP(Referentie_Hernieuwbare_Energie_Totaal47[[#This Row],[Product]]&amp;", "&amp;Referentie_Hernieuwbare_Energie_Totaal47[[#Headers],[D1]],Database_Productkaarten[#All],47,FALSE),0)*Ontwerpberekening!L24),0))/Ontwerpberekening!$A$2</f>
        <v>0</v>
      </c>
      <c r="Q149" s="94">
        <f>(IF(Ontwerpberekening!C24="Nieuwe Situatie",_xlfn.IFNA(VLOOKUP(Referentie_Hernieuwbare_Energie_Totaal47[[#This Row],[Product]]&amp;", "&amp;Referentie_Hernieuwbare_Energie_Totaal47[[#Headers],[D2]],Database_Productkaarten[#All],47,FALSE),0)*Ontwerpberekening!L24,0))/Ontwerpberekening!$A$2</f>
        <v>0</v>
      </c>
      <c r="R149" s="72">
        <f>SUM(Referentie_Hernieuwbare_Energie_Totaal47[[#This Row],[A1]:[D2]])</f>
        <v>8.9798715056844305</v>
      </c>
    </row>
    <row r="150" spans="2:18" ht="18" x14ac:dyDescent="0.55000000000000004">
      <c r="B150" s="67" t="str">
        <f>Ontwerpberekening!B25</f>
        <v>Variant 1</v>
      </c>
      <c r="C150" s="92" t="str">
        <f>Ontwerpberekening!F25</f>
        <v>Betonstraatsteen geopolymeer 210x105x80</v>
      </c>
      <c r="D150" s="93">
        <f>(IF(Ontwerpberekening!C25="Nieuwe Situatie",(_xlfn.IFNA(VLOOKUP(Referentie_Hernieuwbare_Energie_Totaal47[[#This Row],[Product]]&amp;", "&amp;Referentie_Hernieuwbare_Energie_Totaal47[[#Headers],[A1]],Database_Productkaarten[#All],47,FALSE),0)*Ontwerpberekening!L25),0))/Ontwerpberekening!$A$2</f>
        <v>0</v>
      </c>
      <c r="E150" s="93">
        <f>(IF(Ontwerpberekening!C25="Nieuwe Situatie",(_xlfn.IFNA(VLOOKUP(Referentie_Hernieuwbare_Energie_Totaal47[[#This Row],[Product]]&amp;", "&amp;Referentie_Hernieuwbare_Energie_Totaal47[[#Headers],[A2]],Database_Productkaarten[#All],47,FALSE),0)*Ontwerpberekening!L25),0))/Ontwerpberekening!$A$2</f>
        <v>0</v>
      </c>
      <c r="F150" s="93">
        <f>(IF(Ontwerpberekening!C25="Nieuwe Situatie",(_xlfn.IFNA(VLOOKUP(Referentie_Hernieuwbare_Energie_Totaal47[[#This Row],[Product]]&amp;", "&amp;Referentie_Hernieuwbare_Energie_Totaal47[[#Headers],[A3]],Database_Productkaarten[#All],47,FALSE),0)*Ontwerpberekening!L25),0))/Ontwerpberekening!$A$2</f>
        <v>0</v>
      </c>
      <c r="G150" s="93">
        <f>(IF(Ontwerpberekening!C25="Nieuwe Situatie",(_xlfn.IFNA(VLOOKUP(Referentie_Hernieuwbare_Energie_Totaal47[[#This Row],[Product]]&amp;", "&amp;Referentie_Hernieuwbare_Energie_Totaal47[[#Headers],[A4]],Database_Productkaarten[#All],47,FALSE),0)*Ontwerpberekening!L25),0))/Ontwerpberekening!$A$2</f>
        <v>0</v>
      </c>
      <c r="H150" s="93">
        <f>(IF(Ontwerpberekening!C25="Nieuwe Situatie",(_xlfn.IFNA(VLOOKUP(Referentie_Hernieuwbare_Energie_Totaal47[[#This Row],[Product]]&amp;", "&amp;Referentie_Hernieuwbare_Energie_Totaal47[[#Headers],[A5]],Database_Productkaarten[#All],47,FALSE),0)*Ontwerpberekening!L25),0))/Ontwerpberekening!$A$2</f>
        <v>0</v>
      </c>
      <c r="I150" s="93">
        <f>(IF(Ontwerpberekening!C25="Nieuwe Situatie",(_xlfn.IFNA(VLOOKUP(Referentie_Hernieuwbare_Energie_Totaal47[[#This Row],[Product]]&amp;", "&amp;Referentie_Hernieuwbare_Energie_Totaal47[[#Headers],[B1]],Database_Productkaarten[#All],47,FALSE),0)*Ontwerpberekening!L25),0))/Ontwerpberekening!$A$2</f>
        <v>0</v>
      </c>
      <c r="J150" s="93"/>
      <c r="K150" s="93">
        <f>(IF(Ontwerpberekening!C25="Nieuwe Situatie",(SUM(Referentie_Hernieuwbare_Energie_Totaal47[[#This Row],[A1]:[B1]],Referentie_Hernieuwbare_Energie_Totaal47[[#This Row],[C1]:[D2]])*Ontwerpberekening!M25),0))/Ontwerpberekening!$A$2</f>
        <v>0</v>
      </c>
      <c r="L150" s="93">
        <f>_xlfn.IFNA(VLOOKUP(Referentie_Hernieuwbare_Energie_Totaal47[[#This Row],[Product]]&amp;", "&amp;Referentie_Hernieuwbare_Energie_Totaal47[[#Headers],[C1]],Database_Productkaarten[#All],47,FALSE)*Ontwerpberekening!L25,0)/Ontwerpberekening!$A$2</f>
        <v>0</v>
      </c>
      <c r="M150" s="93">
        <f>_xlfn.IFNA(VLOOKUP(Referentie_Hernieuwbare_Energie_Totaal47[[#This Row],[Product]]&amp;", "&amp;Referentie_Hernieuwbare_Energie_Totaal47[[#Headers],[C2]],Database_Productkaarten[#All],47,FALSE)*Ontwerpberekening!L25,0)/Ontwerpberekening!$A$2</f>
        <v>0</v>
      </c>
      <c r="N150" s="93">
        <f>_xlfn.IFNA(VLOOKUP(Referentie_Hernieuwbare_Energie_Totaal47[[#This Row],[Product]]&amp;", "&amp;Referentie_Hernieuwbare_Energie_Totaal47[[#Headers],[C3]],Database_Productkaarten[#All],47,FALSE)*Ontwerpberekening!L25,0)/Ontwerpberekening!$A$2</f>
        <v>0</v>
      </c>
      <c r="O150" s="93">
        <f>_xlfn.IFNA(VLOOKUP(Referentie_Hernieuwbare_Energie_Totaal47[[#This Row],[Product]]&amp;", "&amp;Referentie_Hernieuwbare_Energie_Totaal47[[#Headers],[C4]],Database_Productkaarten[#All],47,FALSE)*Ontwerpberekening!L25,0)/Ontwerpberekening!$A$2</f>
        <v>0</v>
      </c>
      <c r="P150" s="93">
        <f>(IF(Ontwerpberekening!C25="Nieuwe Situatie",(_xlfn.IFNA(VLOOKUP(Referentie_Hernieuwbare_Energie_Totaal47[[#This Row],[Product]]&amp;", "&amp;Referentie_Hernieuwbare_Energie_Totaal47[[#Headers],[D1]],Database_Productkaarten[#All],47,FALSE),0)*Ontwerpberekening!L25),0))/Ontwerpberekening!$A$2</f>
        <v>0</v>
      </c>
      <c r="Q150" s="94">
        <f>(IF(Ontwerpberekening!C25="Nieuwe Situatie",_xlfn.IFNA(VLOOKUP(Referentie_Hernieuwbare_Energie_Totaal47[[#This Row],[Product]]&amp;", "&amp;Referentie_Hernieuwbare_Energie_Totaal47[[#Headers],[D2]],Database_Productkaarten[#All],47,FALSE),0)*Ontwerpberekening!L25,0))/Ontwerpberekening!$A$2</f>
        <v>0</v>
      </c>
      <c r="R150" s="72">
        <f>SUM(Referentie_Hernieuwbare_Energie_Totaal47[[#This Row],[A1]:[D2]])</f>
        <v>0</v>
      </c>
    </row>
    <row r="151" spans="2:18" ht="18" x14ac:dyDescent="0.55000000000000004">
      <c r="B151" s="67" t="str">
        <f>Ontwerpberekening!B26</f>
        <v>Variant 1</v>
      </c>
      <c r="C151" s="92" t="str">
        <f>Ontwerpberekening!F26</f>
        <v>Grond</v>
      </c>
      <c r="D151" s="93">
        <f>(IF(Ontwerpberekening!C26="Nieuwe Situatie",(_xlfn.IFNA(VLOOKUP(Referentie_Hernieuwbare_Energie_Totaal47[[#This Row],[Product]]&amp;", "&amp;Referentie_Hernieuwbare_Energie_Totaal47[[#Headers],[A1]],Database_Productkaarten[#All],47,FALSE),0)*Ontwerpberekening!L26),0))/Ontwerpberekening!$A$2</f>
        <v>0</v>
      </c>
      <c r="E151" s="93">
        <f>(IF(Ontwerpberekening!C26="Nieuwe Situatie",(_xlfn.IFNA(VLOOKUP(Referentie_Hernieuwbare_Energie_Totaal47[[#This Row],[Product]]&amp;", "&amp;Referentie_Hernieuwbare_Energie_Totaal47[[#Headers],[A2]],Database_Productkaarten[#All],47,FALSE),0)*Ontwerpberekening!L26),0))/Ontwerpberekening!$A$2</f>
        <v>0</v>
      </c>
      <c r="F151" s="93">
        <f>(IF(Ontwerpberekening!C26="Nieuwe Situatie",(_xlfn.IFNA(VLOOKUP(Referentie_Hernieuwbare_Energie_Totaal47[[#This Row],[Product]]&amp;", "&amp;Referentie_Hernieuwbare_Energie_Totaal47[[#Headers],[A3]],Database_Productkaarten[#All],47,FALSE),0)*Ontwerpberekening!L26),0))/Ontwerpberekening!$A$2</f>
        <v>0</v>
      </c>
      <c r="G151" s="93">
        <f>(IF(Ontwerpberekening!C26="Nieuwe Situatie",(_xlfn.IFNA(VLOOKUP(Referentie_Hernieuwbare_Energie_Totaal47[[#This Row],[Product]]&amp;", "&amp;Referentie_Hernieuwbare_Energie_Totaal47[[#Headers],[A4]],Database_Productkaarten[#All],47,FALSE),0)*Ontwerpberekening!L26),0))/Ontwerpberekening!$A$2</f>
        <v>0</v>
      </c>
      <c r="H151" s="93">
        <f>(IF(Ontwerpberekening!C26="Nieuwe Situatie",(_xlfn.IFNA(VLOOKUP(Referentie_Hernieuwbare_Energie_Totaal47[[#This Row],[Product]]&amp;", "&amp;Referentie_Hernieuwbare_Energie_Totaal47[[#Headers],[A5]],Database_Productkaarten[#All],47,FALSE),0)*Ontwerpberekening!L26),0))/Ontwerpberekening!$A$2</f>
        <v>0</v>
      </c>
      <c r="I151" s="93">
        <f>(IF(Ontwerpberekening!C26="Nieuwe Situatie",(_xlfn.IFNA(VLOOKUP(Referentie_Hernieuwbare_Energie_Totaal47[[#This Row],[Product]]&amp;", "&amp;Referentie_Hernieuwbare_Energie_Totaal47[[#Headers],[B1]],Database_Productkaarten[#All],47,FALSE),0)*Ontwerpberekening!L26),0))/Ontwerpberekening!$A$2</f>
        <v>0</v>
      </c>
      <c r="J151" s="93"/>
      <c r="K151" s="93">
        <f>(IF(Ontwerpberekening!C26="Nieuwe Situatie",(SUM(Referentie_Hernieuwbare_Energie_Totaal47[[#This Row],[A1]:[B1]],Referentie_Hernieuwbare_Energie_Totaal47[[#This Row],[C1]:[D2]])*Ontwerpberekening!M26),0))/Ontwerpberekening!$A$2</f>
        <v>0</v>
      </c>
      <c r="L151" s="93">
        <f>_xlfn.IFNA(VLOOKUP(Referentie_Hernieuwbare_Energie_Totaal47[[#This Row],[Product]]&amp;", "&amp;Referentie_Hernieuwbare_Energie_Totaal47[[#Headers],[C1]],Database_Productkaarten[#All],47,FALSE)*Ontwerpberekening!L26,0)/Ontwerpberekening!$A$2</f>
        <v>0</v>
      </c>
      <c r="M151" s="93">
        <f>_xlfn.IFNA(VLOOKUP(Referentie_Hernieuwbare_Energie_Totaal47[[#This Row],[Product]]&amp;", "&amp;Referentie_Hernieuwbare_Energie_Totaal47[[#Headers],[C2]],Database_Productkaarten[#All],47,FALSE)*Ontwerpberekening!L26,0)/Ontwerpberekening!$A$2</f>
        <v>0</v>
      </c>
      <c r="N151" s="93">
        <f>_xlfn.IFNA(VLOOKUP(Referentie_Hernieuwbare_Energie_Totaal47[[#This Row],[Product]]&amp;", "&amp;Referentie_Hernieuwbare_Energie_Totaal47[[#Headers],[C3]],Database_Productkaarten[#All],47,FALSE)*Ontwerpberekening!L26,0)/Ontwerpberekening!$A$2</f>
        <v>0</v>
      </c>
      <c r="O151" s="93">
        <f>_xlfn.IFNA(VLOOKUP(Referentie_Hernieuwbare_Energie_Totaal47[[#This Row],[Product]]&amp;", "&amp;Referentie_Hernieuwbare_Energie_Totaal47[[#Headers],[C4]],Database_Productkaarten[#All],47,FALSE)*Ontwerpberekening!L26,0)/Ontwerpberekening!$A$2</f>
        <v>0</v>
      </c>
      <c r="P151" s="93">
        <f>(IF(Ontwerpberekening!C26="Nieuwe Situatie",(_xlfn.IFNA(VLOOKUP(Referentie_Hernieuwbare_Energie_Totaal47[[#This Row],[Product]]&amp;", "&amp;Referentie_Hernieuwbare_Energie_Totaal47[[#Headers],[D1]],Database_Productkaarten[#All],47,FALSE),0)*Ontwerpberekening!L26),0))/Ontwerpberekening!$A$2</f>
        <v>0</v>
      </c>
      <c r="Q151" s="94">
        <f>(IF(Ontwerpberekening!C26="Nieuwe Situatie",_xlfn.IFNA(VLOOKUP(Referentie_Hernieuwbare_Energie_Totaal47[[#This Row],[Product]]&amp;", "&amp;Referentie_Hernieuwbare_Energie_Totaal47[[#Headers],[D2]],Database_Productkaarten[#All],47,FALSE),0)*Ontwerpberekening!L26,0))/Ontwerpberekening!$A$2</f>
        <v>0</v>
      </c>
      <c r="R151" s="72">
        <f>SUM(Referentie_Hernieuwbare_Energie_Totaal47[[#This Row],[A1]:[D2]])</f>
        <v>0</v>
      </c>
    </row>
    <row r="152" spans="2:18" ht="18" x14ac:dyDescent="0.55000000000000004">
      <c r="B152" s="67" t="str">
        <f>Ontwerpberekening!B27</f>
        <v>Variant 1</v>
      </c>
      <c r="C152" s="92" t="str">
        <f>Ontwerpberekening!F27</f>
        <v>Opsluitband geopolymeer 100x200</v>
      </c>
      <c r="D152" s="93">
        <f>(IF(Ontwerpberekening!C27="Nieuwe Situatie",(_xlfn.IFNA(VLOOKUP(Referentie_Hernieuwbare_Energie_Totaal47[[#This Row],[Product]]&amp;", "&amp;Referentie_Hernieuwbare_Energie_Totaal47[[#Headers],[A1]],Database_Productkaarten[#All],47,FALSE),0)*Ontwerpberekening!L27),0))/Ontwerpberekening!$A$2</f>
        <v>0</v>
      </c>
      <c r="E152" s="93">
        <f>(IF(Ontwerpberekening!C27="Nieuwe Situatie",(_xlfn.IFNA(VLOOKUP(Referentie_Hernieuwbare_Energie_Totaal47[[#This Row],[Product]]&amp;", "&amp;Referentie_Hernieuwbare_Energie_Totaal47[[#Headers],[A2]],Database_Productkaarten[#All],47,FALSE),0)*Ontwerpberekening!L27),0))/Ontwerpberekening!$A$2</f>
        <v>0</v>
      </c>
      <c r="F152" s="93">
        <f>(IF(Ontwerpberekening!C27="Nieuwe Situatie",(_xlfn.IFNA(VLOOKUP(Referentie_Hernieuwbare_Energie_Totaal47[[#This Row],[Product]]&amp;", "&amp;Referentie_Hernieuwbare_Energie_Totaal47[[#Headers],[A3]],Database_Productkaarten[#All],47,FALSE),0)*Ontwerpberekening!L27),0))/Ontwerpberekening!$A$2</f>
        <v>0</v>
      </c>
      <c r="G152" s="93">
        <f>(IF(Ontwerpberekening!C27="Nieuwe Situatie",(_xlfn.IFNA(VLOOKUP(Referentie_Hernieuwbare_Energie_Totaal47[[#This Row],[Product]]&amp;", "&amp;Referentie_Hernieuwbare_Energie_Totaal47[[#Headers],[A4]],Database_Productkaarten[#All],47,FALSE),0)*Ontwerpberekening!L27),0))/Ontwerpberekening!$A$2</f>
        <v>0</v>
      </c>
      <c r="H152" s="93">
        <f>(IF(Ontwerpberekening!C27="Nieuwe Situatie",(_xlfn.IFNA(VLOOKUP(Referentie_Hernieuwbare_Energie_Totaal47[[#This Row],[Product]]&amp;", "&amp;Referentie_Hernieuwbare_Energie_Totaal47[[#Headers],[A5]],Database_Productkaarten[#All],47,FALSE),0)*Ontwerpberekening!L27),0))/Ontwerpberekening!$A$2</f>
        <v>0</v>
      </c>
      <c r="I152" s="93">
        <f>(IF(Ontwerpberekening!C27="Nieuwe Situatie",(_xlfn.IFNA(VLOOKUP(Referentie_Hernieuwbare_Energie_Totaal47[[#This Row],[Product]]&amp;", "&amp;Referentie_Hernieuwbare_Energie_Totaal47[[#Headers],[B1]],Database_Productkaarten[#All],47,FALSE),0)*Ontwerpberekening!L27),0))/Ontwerpberekening!$A$2</f>
        <v>0</v>
      </c>
      <c r="J152" s="93"/>
      <c r="K152" s="93">
        <f>(IF(Ontwerpberekening!C27="Nieuwe Situatie",(SUM(Referentie_Hernieuwbare_Energie_Totaal47[[#This Row],[A1]:[B1]],Referentie_Hernieuwbare_Energie_Totaal47[[#This Row],[C1]:[D2]])*Ontwerpberekening!M27),0))/Ontwerpberekening!$A$2</f>
        <v>0</v>
      </c>
      <c r="L152" s="93">
        <f>_xlfn.IFNA(VLOOKUP(Referentie_Hernieuwbare_Energie_Totaal47[[#This Row],[Product]]&amp;", "&amp;Referentie_Hernieuwbare_Energie_Totaal47[[#Headers],[C1]],Database_Productkaarten[#All],47,FALSE)*Ontwerpberekening!L27,0)/Ontwerpberekening!$A$2</f>
        <v>0</v>
      </c>
      <c r="M152" s="93">
        <f>_xlfn.IFNA(VLOOKUP(Referentie_Hernieuwbare_Energie_Totaal47[[#This Row],[Product]]&amp;", "&amp;Referentie_Hernieuwbare_Energie_Totaal47[[#Headers],[C2]],Database_Productkaarten[#All],47,FALSE)*Ontwerpberekening!L27,0)/Ontwerpberekening!$A$2</f>
        <v>0</v>
      </c>
      <c r="N152" s="93">
        <f>_xlfn.IFNA(VLOOKUP(Referentie_Hernieuwbare_Energie_Totaal47[[#This Row],[Product]]&amp;", "&amp;Referentie_Hernieuwbare_Energie_Totaal47[[#Headers],[C3]],Database_Productkaarten[#All],47,FALSE)*Ontwerpberekening!L27,0)/Ontwerpberekening!$A$2</f>
        <v>0</v>
      </c>
      <c r="O152" s="93">
        <f>_xlfn.IFNA(VLOOKUP(Referentie_Hernieuwbare_Energie_Totaal47[[#This Row],[Product]]&amp;", "&amp;Referentie_Hernieuwbare_Energie_Totaal47[[#Headers],[C4]],Database_Productkaarten[#All],47,FALSE)*Ontwerpberekening!L27,0)/Ontwerpberekening!$A$2</f>
        <v>0</v>
      </c>
      <c r="P152" s="93">
        <f>(IF(Ontwerpberekening!C27="Nieuwe Situatie",(_xlfn.IFNA(VLOOKUP(Referentie_Hernieuwbare_Energie_Totaal47[[#This Row],[Product]]&amp;", "&amp;Referentie_Hernieuwbare_Energie_Totaal47[[#Headers],[D1]],Database_Productkaarten[#All],47,FALSE),0)*Ontwerpberekening!L27),0))/Ontwerpberekening!$A$2</f>
        <v>0</v>
      </c>
      <c r="Q152" s="94">
        <f>(IF(Ontwerpberekening!C27="Nieuwe Situatie",_xlfn.IFNA(VLOOKUP(Referentie_Hernieuwbare_Energie_Totaal47[[#This Row],[Product]]&amp;", "&amp;Referentie_Hernieuwbare_Energie_Totaal47[[#Headers],[D2]],Database_Productkaarten[#All],47,FALSE),0)*Ontwerpberekening!L27,0))/Ontwerpberekening!$A$2</f>
        <v>0</v>
      </c>
      <c r="R152" s="72">
        <f>SUM(Referentie_Hernieuwbare_Energie_Totaal47[[#This Row],[A1]:[D2]])</f>
        <v>0</v>
      </c>
    </row>
    <row r="153" spans="2:18" ht="18" x14ac:dyDescent="0.55000000000000004">
      <c r="B153" s="67" t="str">
        <f>Ontwerpberekening!B28</f>
        <v>Variant 1</v>
      </c>
      <c r="C153" s="92" t="str">
        <f>Ontwerpberekening!F28</f>
        <v>Opsluitband geopolymeer 100x200</v>
      </c>
      <c r="D153" s="93">
        <f>(IF(Ontwerpberekening!C28="Nieuwe Situatie",(_xlfn.IFNA(VLOOKUP(Referentie_Hernieuwbare_Energie_Totaal47[[#This Row],[Product]]&amp;", "&amp;Referentie_Hernieuwbare_Energie_Totaal47[[#Headers],[A1]],Database_Productkaarten[#All],47,FALSE),0)*Ontwerpberekening!L28),0))/Ontwerpberekening!$A$2</f>
        <v>0</v>
      </c>
      <c r="E153" s="93">
        <f>(IF(Ontwerpberekening!C28="Nieuwe Situatie",(_xlfn.IFNA(VLOOKUP(Referentie_Hernieuwbare_Energie_Totaal47[[#This Row],[Product]]&amp;", "&amp;Referentie_Hernieuwbare_Energie_Totaal47[[#Headers],[A2]],Database_Productkaarten[#All],47,FALSE),0)*Ontwerpberekening!L28),0))/Ontwerpberekening!$A$2</f>
        <v>0</v>
      </c>
      <c r="F153" s="93">
        <f>(IF(Ontwerpberekening!C28="Nieuwe Situatie",(_xlfn.IFNA(VLOOKUP(Referentie_Hernieuwbare_Energie_Totaal47[[#This Row],[Product]]&amp;", "&amp;Referentie_Hernieuwbare_Energie_Totaal47[[#Headers],[A3]],Database_Productkaarten[#All],47,FALSE),0)*Ontwerpberekening!L28),0))/Ontwerpberekening!$A$2</f>
        <v>0</v>
      </c>
      <c r="G153" s="93">
        <f>(IF(Ontwerpberekening!C28="Nieuwe Situatie",(_xlfn.IFNA(VLOOKUP(Referentie_Hernieuwbare_Energie_Totaal47[[#This Row],[Product]]&amp;", "&amp;Referentie_Hernieuwbare_Energie_Totaal47[[#Headers],[A4]],Database_Productkaarten[#All],47,FALSE),0)*Ontwerpberekening!L28),0))/Ontwerpberekening!$A$2</f>
        <v>0</v>
      </c>
      <c r="H153" s="93">
        <f>(IF(Ontwerpberekening!C28="Nieuwe Situatie",(_xlfn.IFNA(VLOOKUP(Referentie_Hernieuwbare_Energie_Totaal47[[#This Row],[Product]]&amp;", "&amp;Referentie_Hernieuwbare_Energie_Totaal47[[#Headers],[A5]],Database_Productkaarten[#All],47,FALSE),0)*Ontwerpberekening!L28),0))/Ontwerpberekening!$A$2</f>
        <v>0</v>
      </c>
      <c r="I153" s="93">
        <f>(IF(Ontwerpberekening!C28="Nieuwe Situatie",(_xlfn.IFNA(VLOOKUP(Referentie_Hernieuwbare_Energie_Totaal47[[#This Row],[Product]]&amp;", "&amp;Referentie_Hernieuwbare_Energie_Totaal47[[#Headers],[B1]],Database_Productkaarten[#All],47,FALSE),0)*Ontwerpberekening!L28),0))/Ontwerpberekening!$A$2</f>
        <v>0</v>
      </c>
      <c r="J153" s="93"/>
      <c r="K153" s="93">
        <f>(IF(Ontwerpberekening!C28="Nieuwe Situatie",(SUM(Referentie_Hernieuwbare_Energie_Totaal47[[#This Row],[A1]:[B1]],Referentie_Hernieuwbare_Energie_Totaal47[[#This Row],[C1]:[D2]])*Ontwerpberekening!M28),0))/Ontwerpberekening!$A$2</f>
        <v>0</v>
      </c>
      <c r="L153" s="93">
        <f>_xlfn.IFNA(VLOOKUP(Referentie_Hernieuwbare_Energie_Totaal47[[#This Row],[Product]]&amp;", "&amp;Referentie_Hernieuwbare_Energie_Totaal47[[#Headers],[C1]],Database_Productkaarten[#All],47,FALSE)*Ontwerpberekening!L28,0)/Ontwerpberekening!$A$2</f>
        <v>0</v>
      </c>
      <c r="M153" s="93">
        <f>_xlfn.IFNA(VLOOKUP(Referentie_Hernieuwbare_Energie_Totaal47[[#This Row],[Product]]&amp;", "&amp;Referentie_Hernieuwbare_Energie_Totaal47[[#Headers],[C2]],Database_Productkaarten[#All],47,FALSE)*Ontwerpberekening!L28,0)/Ontwerpberekening!$A$2</f>
        <v>0</v>
      </c>
      <c r="N153" s="93">
        <f>_xlfn.IFNA(VLOOKUP(Referentie_Hernieuwbare_Energie_Totaal47[[#This Row],[Product]]&amp;", "&amp;Referentie_Hernieuwbare_Energie_Totaal47[[#Headers],[C3]],Database_Productkaarten[#All],47,FALSE)*Ontwerpberekening!L28,0)/Ontwerpberekening!$A$2</f>
        <v>0</v>
      </c>
      <c r="O153" s="93">
        <f>_xlfn.IFNA(VLOOKUP(Referentie_Hernieuwbare_Energie_Totaal47[[#This Row],[Product]]&amp;", "&amp;Referentie_Hernieuwbare_Energie_Totaal47[[#Headers],[C4]],Database_Productkaarten[#All],47,FALSE)*Ontwerpberekening!L28,0)/Ontwerpberekening!$A$2</f>
        <v>0</v>
      </c>
      <c r="P153" s="93">
        <f>(IF(Ontwerpberekening!C28="Nieuwe Situatie",(_xlfn.IFNA(VLOOKUP(Referentie_Hernieuwbare_Energie_Totaal47[[#This Row],[Product]]&amp;", "&amp;Referentie_Hernieuwbare_Energie_Totaal47[[#Headers],[D1]],Database_Productkaarten[#All],47,FALSE),0)*Ontwerpberekening!L28),0))/Ontwerpberekening!$A$2</f>
        <v>0</v>
      </c>
      <c r="Q153" s="94">
        <f>(IF(Ontwerpberekening!C28="Nieuwe Situatie",_xlfn.IFNA(VLOOKUP(Referentie_Hernieuwbare_Energie_Totaal47[[#This Row],[Product]]&amp;", "&amp;Referentie_Hernieuwbare_Energie_Totaal47[[#Headers],[D2]],Database_Productkaarten[#All],47,FALSE),0)*Ontwerpberekening!L28,0))/Ontwerpberekening!$A$2</f>
        <v>0</v>
      </c>
      <c r="R153" s="72">
        <f>SUM(Referentie_Hernieuwbare_Energie_Totaal47[[#This Row],[A1]:[D2]])</f>
        <v>0</v>
      </c>
    </row>
    <row r="154" spans="2:18" ht="18" x14ac:dyDescent="0.55000000000000004">
      <c r="B154" s="67" t="str">
        <f>Ontwerpberekening!B29</f>
        <v>Variant 1</v>
      </c>
      <c r="C154" s="96" t="str">
        <f>Ontwerpberekening!F29</f>
        <v>Grond</v>
      </c>
      <c r="D154" s="93">
        <f>(IF(Ontwerpberekening!C29="Nieuwe Situatie",(_xlfn.IFNA(VLOOKUP(Referentie_Hernieuwbare_Energie_Totaal47[[#This Row],[Product]]&amp;", "&amp;Referentie_Hernieuwbare_Energie_Totaal47[[#Headers],[A1]],Database_Productkaarten[#All],47,FALSE),0)*Ontwerpberekening!L29),0))/Ontwerpberekening!$A$2</f>
        <v>0</v>
      </c>
      <c r="E154" s="93">
        <f>(IF(Ontwerpberekening!C29="Nieuwe Situatie",(_xlfn.IFNA(VLOOKUP(Referentie_Hernieuwbare_Energie_Totaal47[[#This Row],[Product]]&amp;", "&amp;Referentie_Hernieuwbare_Energie_Totaal47[[#Headers],[A2]],Database_Productkaarten[#All],47,FALSE),0)*Ontwerpberekening!L29),0))/Ontwerpberekening!$A$2</f>
        <v>0</v>
      </c>
      <c r="F154" s="93">
        <f>(IF(Ontwerpberekening!C29="Nieuwe Situatie",(_xlfn.IFNA(VLOOKUP(Referentie_Hernieuwbare_Energie_Totaal47[[#This Row],[Product]]&amp;", "&amp;Referentie_Hernieuwbare_Energie_Totaal47[[#Headers],[A3]],Database_Productkaarten[#All],47,FALSE),0)*Ontwerpberekening!L29),0))/Ontwerpberekening!$A$2</f>
        <v>0</v>
      </c>
      <c r="G154" s="93">
        <f>(IF(Ontwerpberekening!C29="Nieuwe Situatie",(_xlfn.IFNA(VLOOKUP(Referentie_Hernieuwbare_Energie_Totaal47[[#This Row],[Product]]&amp;", "&amp;Referentie_Hernieuwbare_Energie_Totaal47[[#Headers],[A4]],Database_Productkaarten[#All],47,FALSE),0)*Ontwerpberekening!L29),0))/Ontwerpberekening!$A$2</f>
        <v>0</v>
      </c>
      <c r="H154" s="93">
        <f>(IF(Ontwerpberekening!C29="Nieuwe Situatie",(_xlfn.IFNA(VLOOKUP(Referentie_Hernieuwbare_Energie_Totaal47[[#This Row],[Product]]&amp;", "&amp;Referentie_Hernieuwbare_Energie_Totaal47[[#Headers],[A5]],Database_Productkaarten[#All],47,FALSE),0)*Ontwerpberekening!L29),0))/Ontwerpberekening!$A$2</f>
        <v>0</v>
      </c>
      <c r="I154" s="93">
        <f>(IF(Ontwerpberekening!C29="Nieuwe Situatie",(_xlfn.IFNA(VLOOKUP(Referentie_Hernieuwbare_Energie_Totaal47[[#This Row],[Product]]&amp;", "&amp;Referentie_Hernieuwbare_Energie_Totaal47[[#Headers],[B1]],Database_Productkaarten[#All],47,FALSE),0)*Ontwerpberekening!L29),0))/Ontwerpberekening!$A$2</f>
        <v>0</v>
      </c>
      <c r="J154" s="93"/>
      <c r="K154" s="93">
        <f>(IF(Ontwerpberekening!C29="Nieuwe Situatie",(SUM(Referentie_Hernieuwbare_Energie_Totaal47[[#This Row],[A1]:[B1]],Referentie_Hernieuwbare_Energie_Totaal47[[#This Row],[C1]:[D2]])*Ontwerpberekening!M29),0))/Ontwerpberekening!$A$2</f>
        <v>0</v>
      </c>
      <c r="L154" s="93">
        <f>_xlfn.IFNA(VLOOKUP(Referentie_Hernieuwbare_Energie_Totaal47[[#This Row],[Product]]&amp;", "&amp;Referentie_Hernieuwbare_Energie_Totaal47[[#Headers],[C1]],Database_Productkaarten[#All],47,FALSE)*Ontwerpberekening!L29,0)/Ontwerpberekening!$A$2</f>
        <v>0</v>
      </c>
      <c r="M154" s="93">
        <f>_xlfn.IFNA(VLOOKUP(Referentie_Hernieuwbare_Energie_Totaal47[[#This Row],[Product]]&amp;", "&amp;Referentie_Hernieuwbare_Energie_Totaal47[[#Headers],[C2]],Database_Productkaarten[#All],47,FALSE)*Ontwerpberekening!L29,0)/Ontwerpberekening!$A$2</f>
        <v>0</v>
      </c>
      <c r="N154" s="93">
        <f>_xlfn.IFNA(VLOOKUP(Referentie_Hernieuwbare_Energie_Totaal47[[#This Row],[Product]]&amp;", "&amp;Referentie_Hernieuwbare_Energie_Totaal47[[#Headers],[C3]],Database_Productkaarten[#All],47,FALSE)*Ontwerpberekening!L29,0)/Ontwerpberekening!$A$2</f>
        <v>0</v>
      </c>
      <c r="O154" s="93">
        <f>_xlfn.IFNA(VLOOKUP(Referentie_Hernieuwbare_Energie_Totaal47[[#This Row],[Product]]&amp;", "&amp;Referentie_Hernieuwbare_Energie_Totaal47[[#Headers],[C4]],Database_Productkaarten[#All],47,FALSE)*Ontwerpberekening!L29,0)/Ontwerpberekening!$A$2</f>
        <v>0</v>
      </c>
      <c r="P154" s="93">
        <f>(IF(Ontwerpberekening!C29="Nieuwe Situatie",(_xlfn.IFNA(VLOOKUP(Referentie_Hernieuwbare_Energie_Totaal47[[#This Row],[Product]]&amp;", "&amp;Referentie_Hernieuwbare_Energie_Totaal47[[#Headers],[D1]],Database_Productkaarten[#All],47,FALSE),0)*Ontwerpberekening!L29),0))/Ontwerpberekening!$A$2</f>
        <v>0</v>
      </c>
      <c r="Q154" s="95">
        <f>(IF(Ontwerpberekening!C29="Nieuwe Situatie",_xlfn.IFNA(VLOOKUP(Referentie_Hernieuwbare_Energie_Totaal47[[#This Row],[Product]]&amp;", "&amp;Referentie_Hernieuwbare_Energie_Totaal47[[#Headers],[D2]],Database_Productkaarten[#All],47,FALSE),0)*Ontwerpberekening!L29,0))/Ontwerpberekening!$A$2</f>
        <v>0</v>
      </c>
      <c r="R154" s="72">
        <f>SUM(Referentie_Hernieuwbare_Energie_Totaal47[[#This Row],[A1]:[D2]])</f>
        <v>0</v>
      </c>
    </row>
    <row r="155" spans="2:18" ht="18" x14ac:dyDescent="0.55000000000000004">
      <c r="B155" s="67" t="str">
        <f>Ontwerpberekening!B30</f>
        <v>Variant 1</v>
      </c>
      <c r="C155" s="92" t="str">
        <f>Ontwerpberekening!F30</f>
        <v>Hydraulisch Menggranulaat</v>
      </c>
      <c r="D155" s="93">
        <f>(IF(Ontwerpberekening!C30="Nieuwe Situatie",(_xlfn.IFNA(VLOOKUP(Referentie_Hernieuwbare_Energie_Totaal47[[#This Row],[Product]]&amp;", "&amp;Referentie_Hernieuwbare_Energie_Totaal47[[#Headers],[A1]],Database_Productkaarten[#All],47,FALSE),0)*Ontwerpberekening!L30),0))/Ontwerpberekening!$A$2</f>
        <v>0</v>
      </c>
      <c r="E155" s="93">
        <f>(IF(Ontwerpberekening!C30="Nieuwe Situatie",(_xlfn.IFNA(VLOOKUP(Referentie_Hernieuwbare_Energie_Totaal47[[#This Row],[Product]]&amp;", "&amp;Referentie_Hernieuwbare_Energie_Totaal47[[#Headers],[A2]],Database_Productkaarten[#All],47,FALSE),0)*Ontwerpberekening!L30),0))/Ontwerpberekening!$A$2</f>
        <v>0</v>
      </c>
      <c r="F155" s="93">
        <f>(IF(Ontwerpberekening!C30="Nieuwe Situatie",(_xlfn.IFNA(VLOOKUP(Referentie_Hernieuwbare_Energie_Totaal47[[#This Row],[Product]]&amp;", "&amp;Referentie_Hernieuwbare_Energie_Totaal47[[#Headers],[A3]],Database_Productkaarten[#All],47,FALSE),0)*Ontwerpberekening!L30),0))/Ontwerpberekening!$A$2</f>
        <v>0</v>
      </c>
      <c r="G155" s="93">
        <f>(IF(Ontwerpberekening!C30="Nieuwe Situatie",(_xlfn.IFNA(VLOOKUP(Referentie_Hernieuwbare_Energie_Totaal47[[#This Row],[Product]]&amp;", "&amp;Referentie_Hernieuwbare_Energie_Totaal47[[#Headers],[A4]],Database_Productkaarten[#All],47,FALSE),0)*Ontwerpberekening!L30),0))/Ontwerpberekening!$A$2</f>
        <v>1.14222405</v>
      </c>
      <c r="H155" s="93">
        <f>(IF(Ontwerpberekening!C30="Nieuwe Situatie",(_xlfn.IFNA(VLOOKUP(Referentie_Hernieuwbare_Energie_Totaal47[[#This Row],[Product]]&amp;", "&amp;Referentie_Hernieuwbare_Energie_Totaal47[[#Headers],[A5]],Database_Productkaarten[#All],47,FALSE),0)*Ontwerpberekening!L30),0))/Ontwerpberekening!$A$2</f>
        <v>2.7961650520435185E-8</v>
      </c>
      <c r="I155" s="93">
        <f>(IF(Ontwerpberekening!C30="Nieuwe Situatie",(_xlfn.IFNA(VLOOKUP(Referentie_Hernieuwbare_Energie_Totaal47[[#This Row],[Product]]&amp;", "&amp;Referentie_Hernieuwbare_Energie_Totaal47[[#Headers],[B1]],Database_Productkaarten[#All],47,FALSE),0)*Ontwerpberekening!L30),0))/Ontwerpberekening!$A$2</f>
        <v>0</v>
      </c>
      <c r="J155" s="93"/>
      <c r="K155" s="93">
        <f>(IF(Ontwerpberekening!C30="Nieuwe Situatie",(SUM(Referentie_Hernieuwbare_Energie_Totaal47[[#This Row],[A1]:[B1]],Referentie_Hernieuwbare_Energie_Totaal47[[#This Row],[C1]:[D2]])*Ontwerpberekening!M30),0))/Ontwerpberekening!$A$2</f>
        <v>1.3706688935539805E-2</v>
      </c>
      <c r="L155" s="93">
        <f>_xlfn.IFNA(VLOOKUP(Referentie_Hernieuwbare_Energie_Totaal47[[#This Row],[Product]]&amp;", "&amp;Referentie_Hernieuwbare_Energie_Totaal47[[#Headers],[C1]],Database_Productkaarten[#All],47,FALSE)*Ontwerpberekening!L30,0)/Ontwerpberekening!$A$2</f>
        <v>2.7961650520435185E-8</v>
      </c>
      <c r="M155" s="93">
        <f>_xlfn.IFNA(VLOOKUP(Referentie_Hernieuwbare_Energie_Totaal47[[#This Row],[Product]]&amp;", "&amp;Referentie_Hernieuwbare_Energie_Totaal47[[#Headers],[C2]],Database_Productkaarten[#All],47,FALSE)*Ontwerpberekening!L30,0)/Ontwerpberekening!$A$2</f>
        <v>1.14222405</v>
      </c>
      <c r="N155" s="93">
        <f>_xlfn.IFNA(VLOOKUP(Referentie_Hernieuwbare_Energie_Totaal47[[#This Row],[Product]]&amp;", "&amp;Referentie_Hernieuwbare_Energie_Totaal47[[#Headers],[C3]],Database_Productkaarten[#All],47,FALSE)*Ontwerpberekening!L30,0)/Ontwerpberekening!$A$2</f>
        <v>0</v>
      </c>
      <c r="O155" s="93">
        <f>_xlfn.IFNA(VLOOKUP(Referentie_Hernieuwbare_Energie_Totaal47[[#This Row],[Product]]&amp;", "&amp;Referentie_Hernieuwbare_Energie_Totaal47[[#Headers],[C4]],Database_Productkaarten[#All],47,FALSE)*Ontwerpberekening!L30,0)/Ontwerpberekening!$A$2</f>
        <v>0</v>
      </c>
      <c r="P155" s="93">
        <f>(IF(Ontwerpberekening!C30="Nieuwe Situatie",(_xlfn.IFNA(VLOOKUP(Referentie_Hernieuwbare_Energie_Totaal47[[#This Row],[Product]]&amp;", "&amp;Referentie_Hernieuwbare_Energie_Totaal47[[#Headers],[D1]],Database_Productkaarten[#All],47,FALSE),0)*Ontwerpberekening!L30),0))/Ontwerpberekening!$A$2</f>
        <v>0</v>
      </c>
      <c r="Q155" s="94">
        <f>(IF(Ontwerpberekening!C30="Nieuwe Situatie",_xlfn.IFNA(VLOOKUP(Referentie_Hernieuwbare_Energie_Totaal47[[#This Row],[Product]]&amp;", "&amp;Referentie_Hernieuwbare_Energie_Totaal47[[#Headers],[D2]],Database_Productkaarten[#All],47,FALSE),0)*Ontwerpberekening!L30,0))/Ontwerpberekening!$A$2</f>
        <v>0</v>
      </c>
      <c r="R155" s="72">
        <f>SUM(Referentie_Hernieuwbare_Energie_Totaal47[[#This Row],[A1]:[D2]])</f>
        <v>2.2981548448588409</v>
      </c>
    </row>
    <row r="156" spans="2:18" ht="18" x14ac:dyDescent="0.55000000000000004">
      <c r="B156" s="67" t="str">
        <f>Ontwerpberekening!B31</f>
        <v>Variant 1</v>
      </c>
      <c r="C156" s="92" t="str">
        <f>Ontwerpberekening!F31</f>
        <v>AC bin/base 50% PR - PCR 2.0</v>
      </c>
      <c r="D156" s="93">
        <f>(IF(Ontwerpberekening!C31="Nieuwe Situatie",(_xlfn.IFNA(VLOOKUP(Referentie_Hernieuwbare_Energie_Totaal47[[#This Row],[Product]]&amp;", "&amp;Referentie_Hernieuwbare_Energie_Totaal47[[#Headers],[A1]],Database_Productkaarten[#All],47,FALSE),0)*Ontwerpberekening!L31),0))/Ontwerpberekening!$A$2</f>
        <v>8.7222627538642303</v>
      </c>
      <c r="E156" s="93">
        <f>(IF(Ontwerpberekening!C31="Nieuwe Situatie",(_xlfn.IFNA(VLOOKUP(Referentie_Hernieuwbare_Energie_Totaal47[[#This Row],[Product]]&amp;", "&amp;Referentie_Hernieuwbare_Energie_Totaal47[[#Headers],[A2]],Database_Productkaarten[#All],47,FALSE),0)*Ontwerpberekening!L31),0))/Ontwerpberekening!$A$2</f>
        <v>3.4184511377505102</v>
      </c>
      <c r="F156" s="93">
        <f>(IF(Ontwerpberekening!C31="Nieuwe Situatie",(_xlfn.IFNA(VLOOKUP(Referentie_Hernieuwbare_Energie_Totaal47[[#This Row],[Product]]&amp;", "&amp;Referentie_Hernieuwbare_Energie_Totaal47[[#Headers],[A3]],Database_Productkaarten[#All],47,FALSE),0)*Ontwerpberekening!L31),0))/Ontwerpberekening!$A$2</f>
        <v>5.0869073521177004</v>
      </c>
      <c r="G156" s="93">
        <f>(IF(Ontwerpberekening!C31="Nieuwe Situatie",(_xlfn.IFNA(VLOOKUP(Referentie_Hernieuwbare_Energie_Totaal47[[#This Row],[Product]]&amp;", "&amp;Referentie_Hernieuwbare_Energie_Totaal47[[#Headers],[A4]],Database_Productkaarten[#All],47,FALSE),0)*Ontwerpberekening!L31),0))/Ontwerpberekening!$A$2</f>
        <v>0.63474917099999995</v>
      </c>
      <c r="H156" s="93">
        <f>(IF(Ontwerpberekening!C31="Nieuwe Situatie",(_xlfn.IFNA(VLOOKUP(Referentie_Hernieuwbare_Energie_Totaal47[[#This Row],[Product]]&amp;", "&amp;Referentie_Hernieuwbare_Energie_Totaal47[[#Headers],[A5]],Database_Productkaarten[#All],47,FALSE),0)*Ontwerpberekening!L31),0))/Ontwerpberekening!$A$2</f>
        <v>7.9583646875925201E-2</v>
      </c>
      <c r="I156" s="93">
        <f>(IF(Ontwerpberekening!C31="Nieuwe Situatie",(_xlfn.IFNA(VLOOKUP(Referentie_Hernieuwbare_Energie_Totaal47[[#This Row],[Product]]&amp;", "&amp;Referentie_Hernieuwbare_Energie_Totaal47[[#Headers],[B1]],Database_Productkaarten[#All],47,FALSE),0)*Ontwerpberekening!L31),0))/Ontwerpberekening!$A$2</f>
        <v>0</v>
      </c>
      <c r="J156" s="93"/>
      <c r="K156" s="93">
        <f>(IF(Ontwerpberekening!C31="Nieuwe Situatie",(SUM(Referentie_Hernieuwbare_Energie_Totaal47[[#This Row],[A1]:[B1]],Referentie_Hernieuwbare_Energie_Totaal47[[#This Row],[C1]:[D2]])*Ontwerpberekening!M31),0))/Ontwerpberekening!$A$2</f>
        <v>0.18701406420671751</v>
      </c>
      <c r="L156" s="93">
        <f>_xlfn.IFNA(VLOOKUP(Referentie_Hernieuwbare_Energie_Totaal47[[#This Row],[Product]]&amp;", "&amp;Referentie_Hernieuwbare_Energie_Totaal47[[#Headers],[C1]],Database_Productkaarten[#All],47,FALSE)*Ontwerpberekening!L31,0)/Ontwerpberekening!$A$2</f>
        <v>0.19149815029519501</v>
      </c>
      <c r="M156" s="93">
        <f>_xlfn.IFNA(VLOOKUP(Referentie_Hernieuwbare_Energie_Totaal47[[#This Row],[Product]]&amp;", "&amp;Referentie_Hernieuwbare_Energie_Totaal47[[#Headers],[C2]],Database_Productkaarten[#All],47,FALSE)*Ontwerpberekening!L31,0)/Ontwerpberekening!$A$2</f>
        <v>8.6963547624000004</v>
      </c>
      <c r="N156" s="93">
        <f>_xlfn.IFNA(VLOOKUP(Referentie_Hernieuwbare_Energie_Totaal47[[#This Row],[Product]]&amp;", "&amp;Referentie_Hernieuwbare_Energie_Totaal47[[#Headers],[C3]],Database_Productkaarten[#All],47,FALSE)*Ontwerpberekening!L31,0)/Ontwerpberekening!$A$2</f>
        <v>9.2018591700288296E-2</v>
      </c>
      <c r="O156" s="93">
        <f>_xlfn.IFNA(VLOOKUP(Referentie_Hernieuwbare_Energie_Totaal47[[#This Row],[Product]]&amp;", "&amp;Referentie_Hernieuwbare_Energie_Totaal47[[#Headers],[C4]],Database_Productkaarten[#All],47,FALSE)*Ontwerpberekening!L31,0)/Ontwerpberekening!$A$2</f>
        <v>0</v>
      </c>
      <c r="P156" s="93">
        <f>(IF(Ontwerpberekening!C31="Nieuwe Situatie",(_xlfn.IFNA(VLOOKUP(Referentie_Hernieuwbare_Energie_Totaal47[[#This Row],[Product]]&amp;", "&amp;Referentie_Hernieuwbare_Energie_Totaal47[[#Headers],[D1]],Database_Productkaarten[#All],47,FALSE),0)*Ontwerpberekening!L31),0))/Ontwerpberekening!$A$2</f>
        <v>-8.2204191453320998</v>
      </c>
      <c r="Q156" s="94">
        <f>(IF(Ontwerpberekening!C31="Nieuwe Situatie",_xlfn.IFNA(VLOOKUP(Referentie_Hernieuwbare_Energie_Totaal47[[#This Row],[Product]]&amp;", "&amp;Referentie_Hernieuwbare_Energie_Totaal47[[#Headers],[D2]],Database_Productkaarten[#All],47,FALSE),0)*Ontwerpberekening!L31,0))/Ontwerpberekening!$A$2</f>
        <v>0</v>
      </c>
      <c r="R156" s="72">
        <f>SUM(Referentie_Hernieuwbare_Energie_Totaal47[[#This Row],[A1]:[D2]])</f>
        <v>18.888420484878466</v>
      </c>
    </row>
    <row r="157" spans="2:18" ht="18" x14ac:dyDescent="0.55000000000000004">
      <c r="B157" s="67" t="str">
        <f>Ontwerpberekening!B32</f>
        <v>Variant 1</v>
      </c>
      <c r="C157" s="92" t="str">
        <f>Ontwerpberekening!F32</f>
        <v>AC bin/base 50% PR - PCR 2.0</v>
      </c>
      <c r="D157" s="93">
        <f>(IF(Ontwerpberekening!C32="Nieuwe Situatie",(_xlfn.IFNA(VLOOKUP(Referentie_Hernieuwbare_Energie_Totaal47[[#This Row],[Product]]&amp;", "&amp;Referentie_Hernieuwbare_Energie_Totaal47[[#Headers],[A1]],Database_Productkaarten[#All],47,FALSE),0)*Ontwerpberekening!L32),0))/Ontwerpberekening!$A$2</f>
        <v>41.866861218548301</v>
      </c>
      <c r="E157" s="93">
        <f>(IF(Ontwerpberekening!C32="Nieuwe Situatie",(_xlfn.IFNA(VLOOKUP(Referentie_Hernieuwbare_Energie_Totaal47[[#This Row],[Product]]&amp;", "&amp;Referentie_Hernieuwbare_Energie_Totaal47[[#Headers],[A2]],Database_Productkaarten[#All],47,FALSE),0)*Ontwerpberekening!L32),0))/Ontwerpberekening!$A$2</f>
        <v>16.408565461202446</v>
      </c>
      <c r="F157" s="93">
        <f>(IF(Ontwerpberekening!C32="Nieuwe Situatie",(_xlfn.IFNA(VLOOKUP(Referentie_Hernieuwbare_Energie_Totaal47[[#This Row],[Product]]&amp;", "&amp;Referentie_Hernieuwbare_Energie_Totaal47[[#Headers],[A3]],Database_Productkaarten[#All],47,FALSE),0)*Ontwerpberekening!L32),0))/Ontwerpberekening!$A$2</f>
        <v>24.41715529016496</v>
      </c>
      <c r="G157" s="93">
        <f>(IF(Ontwerpberekening!C32="Nieuwe Situatie",(_xlfn.IFNA(VLOOKUP(Referentie_Hernieuwbare_Energie_Totaal47[[#This Row],[Product]]&amp;", "&amp;Referentie_Hernieuwbare_Energie_Totaal47[[#Headers],[A4]],Database_Productkaarten[#All],47,FALSE),0)*Ontwerpberekening!L32),0))/Ontwerpberekening!$A$2</f>
        <v>3.0467960208</v>
      </c>
      <c r="H157" s="93">
        <f>(IF(Ontwerpberekening!C32="Nieuwe Situatie",(_xlfn.IFNA(VLOOKUP(Referentie_Hernieuwbare_Energie_Totaal47[[#This Row],[Product]]&amp;", "&amp;Referentie_Hernieuwbare_Energie_Totaal47[[#Headers],[A5]],Database_Productkaarten[#All],47,FALSE),0)*Ontwerpberekening!L32),0))/Ontwerpberekening!$A$2</f>
        <v>0.38200150500444097</v>
      </c>
      <c r="I157" s="93">
        <f>(IF(Ontwerpberekening!C32="Nieuwe Situatie",(_xlfn.IFNA(VLOOKUP(Referentie_Hernieuwbare_Energie_Totaal47[[#This Row],[Product]]&amp;", "&amp;Referentie_Hernieuwbare_Energie_Totaal47[[#Headers],[B1]],Database_Productkaarten[#All],47,FALSE),0)*Ontwerpberekening!L32),0))/Ontwerpberekening!$A$2</f>
        <v>0</v>
      </c>
      <c r="J157" s="93"/>
      <c r="K157" s="93">
        <f>(IF(Ontwerpberekening!C32="Nieuwe Situatie",(SUM(Referentie_Hernieuwbare_Energie_Totaal47[[#This Row],[A1]:[B1]],Referentie_Hernieuwbare_Energie_Totaal47[[#This Row],[C1]:[D2]])*Ontwerpberekening!M32),0))/Ontwerpberekening!$A$2</f>
        <v>0.89766750819224395</v>
      </c>
      <c r="L157" s="93">
        <f>_xlfn.IFNA(VLOOKUP(Referentie_Hernieuwbare_Energie_Totaal47[[#This Row],[Product]]&amp;", "&amp;Referentie_Hernieuwbare_Energie_Totaal47[[#Headers],[C1]],Database_Productkaarten[#All],47,FALSE)*Ontwerpberekening!L32,0)/Ontwerpberekening!$A$2</f>
        <v>0.91919112141693604</v>
      </c>
      <c r="M157" s="93">
        <f>_xlfn.IFNA(VLOOKUP(Referentie_Hernieuwbare_Energie_Totaal47[[#This Row],[Product]]&amp;", "&amp;Referentie_Hernieuwbare_Energie_Totaal47[[#Headers],[C2]],Database_Productkaarten[#All],47,FALSE)*Ontwerpberekening!L32,0)/Ontwerpberekening!$A$2</f>
        <v>41.742502859520002</v>
      </c>
      <c r="N157" s="93">
        <f>_xlfn.IFNA(VLOOKUP(Referentie_Hernieuwbare_Energie_Totaal47[[#This Row],[Product]]&amp;", "&amp;Referentie_Hernieuwbare_Energie_Totaal47[[#Headers],[C3]],Database_Productkaarten[#All],47,FALSE)*Ontwerpberekening!L32,0)/Ontwerpberekening!$A$2</f>
        <v>0.44168924016138383</v>
      </c>
      <c r="O157" s="93">
        <f>_xlfn.IFNA(VLOOKUP(Referentie_Hernieuwbare_Energie_Totaal47[[#This Row],[Product]]&amp;", "&amp;Referentie_Hernieuwbare_Energie_Totaal47[[#Headers],[C4]],Database_Productkaarten[#All],47,FALSE)*Ontwerpberekening!L32,0)/Ontwerpberekening!$A$2</f>
        <v>0</v>
      </c>
      <c r="P157" s="93">
        <f>(IF(Ontwerpberekening!C32="Nieuwe Situatie",(_xlfn.IFNA(VLOOKUP(Referentie_Hernieuwbare_Energie_Totaal47[[#This Row],[Product]]&amp;", "&amp;Referentie_Hernieuwbare_Energie_Totaal47[[#Headers],[D1]],Database_Productkaarten[#All],47,FALSE),0)*Ontwerpberekening!L32),0))/Ontwerpberekening!$A$2</f>
        <v>-39.458011897594076</v>
      </c>
      <c r="Q157" s="94">
        <f>(IF(Ontwerpberekening!C32="Nieuwe Situatie",_xlfn.IFNA(VLOOKUP(Referentie_Hernieuwbare_Energie_Totaal47[[#This Row],[Product]]&amp;", "&amp;Referentie_Hernieuwbare_Energie_Totaal47[[#Headers],[D2]],Database_Productkaarten[#All],47,FALSE),0)*Ontwerpberekening!L32,0))/Ontwerpberekening!$A$2</f>
        <v>0</v>
      </c>
      <c r="R157" s="72">
        <f>SUM(Referentie_Hernieuwbare_Energie_Totaal47[[#This Row],[A1]:[D2]])</f>
        <v>90.664418327416627</v>
      </c>
    </row>
    <row r="158" spans="2:18" ht="18" x14ac:dyDescent="0.55000000000000004">
      <c r="B158" s="67" t="str">
        <f>Ontwerpberekening!B33</f>
        <v>Variant 1</v>
      </c>
      <c r="C158" s="92" t="str">
        <f>Ontwerpberekening!F33</f>
        <v>AC Surf 0% PR - PCR 2.0</v>
      </c>
      <c r="D158" s="93">
        <f>(IF(Ontwerpberekening!C33="Nieuwe Situatie",(_xlfn.IFNA(VLOOKUP(Referentie_Hernieuwbare_Energie_Totaal47[[#This Row],[Product]]&amp;", "&amp;Referentie_Hernieuwbare_Energie_Totaal47[[#Headers],[A1]],Database_Productkaarten[#All],47,FALSE),0)*Ontwerpberekening!L33),0))/Ontwerpberekening!$A$2</f>
        <v>1040.875798061315</v>
      </c>
      <c r="E158" s="93">
        <f>(IF(Ontwerpberekening!C33="Nieuwe Situatie",(_xlfn.IFNA(VLOOKUP(Referentie_Hernieuwbare_Energie_Totaal47[[#This Row],[Product]]&amp;", "&amp;Referentie_Hernieuwbare_Energie_Totaal47[[#Headers],[A2]],Database_Productkaarten[#All],47,FALSE),0)*Ontwerpberekening!L33),0))/Ontwerpberekening!$A$2</f>
        <v>358.49019479226905</v>
      </c>
      <c r="F158" s="93">
        <f>(IF(Ontwerpberekening!C33="Nieuwe Situatie",(_xlfn.IFNA(VLOOKUP(Referentie_Hernieuwbare_Energie_Totaal47[[#This Row],[Product]]&amp;", "&amp;Referentie_Hernieuwbare_Energie_Totaal47[[#Headers],[A3]],Database_Productkaarten[#All],47,FALSE),0)*Ontwerpberekening!L33),0))/Ontwerpberekening!$A$2</f>
        <v>289.26794448892576</v>
      </c>
      <c r="G158" s="93">
        <f>(IF(Ontwerpberekening!C33="Nieuwe Situatie",(_xlfn.IFNA(VLOOKUP(Referentie_Hernieuwbare_Energie_Totaal47[[#This Row],[Product]]&amp;", "&amp;Referentie_Hernieuwbare_Energie_Totaal47[[#Headers],[A4]],Database_Productkaarten[#All],47,FALSE),0)*Ontwerpberekening!L33),0))/Ontwerpberekening!$A$2</f>
        <v>26.088190928099998</v>
      </c>
      <c r="H158" s="93">
        <f>(IF(Ontwerpberekening!C33="Nieuwe Situatie",(_xlfn.IFNA(VLOOKUP(Referentie_Hernieuwbare_Energie_Totaal47[[#This Row],[Product]]&amp;", "&amp;Referentie_Hernieuwbare_Energie_Totaal47[[#Headers],[A5]],Database_Productkaarten[#All],47,FALSE),0)*Ontwerpberekening!L33),0))/Ontwerpberekening!$A$2</f>
        <v>5.9284842775498392</v>
      </c>
      <c r="I158" s="93">
        <f>(IF(Ontwerpberekening!C33="Nieuwe Situatie",(_xlfn.IFNA(VLOOKUP(Referentie_Hernieuwbare_Energie_Totaal47[[#This Row],[Product]]&amp;", "&amp;Referentie_Hernieuwbare_Energie_Totaal47[[#Headers],[B1]],Database_Productkaarten[#All],47,FALSE),0)*Ontwerpberekening!L33),0))/Ontwerpberekening!$A$2</f>
        <v>0</v>
      </c>
      <c r="J158" s="93"/>
      <c r="K158" s="93">
        <f>(IF(Ontwerpberekening!C33="Nieuwe Situatie",(SUM(Referentie_Hernieuwbare_Energie_Totaal47[[#This Row],[A1]:[B1]],Referentie_Hernieuwbare_Energie_Totaal47[[#This Row],[C1]:[D2]])*Ontwerpberekening!M33),0))/Ontwerpberekening!$A$2</f>
        <v>9.9178091679302085</v>
      </c>
      <c r="L158" s="93">
        <f>_xlfn.IFNA(VLOOKUP(Referentie_Hernieuwbare_Energie_Totaal47[[#This Row],[Product]]&amp;", "&amp;Referentie_Hernieuwbare_Energie_Totaal47[[#Headers],[C1]],Database_Productkaarten[#All],47,FALSE)*Ontwerpberekening!L33,0)/Ontwerpberekening!$A$2</f>
        <v>3.3731031234335371</v>
      </c>
      <c r="M158" s="93">
        <f>_xlfn.IFNA(VLOOKUP(Referentie_Hernieuwbare_Energie_Totaal47[[#This Row],[Product]]&amp;", "&amp;Referentie_Hernieuwbare_Energie_Totaal47[[#Headers],[C2]],Database_Productkaarten[#All],47,FALSE)*Ontwerpberekening!L33,0)/Ontwerpberekening!$A$2</f>
        <v>357.42018073464004</v>
      </c>
      <c r="N158" s="93">
        <f>_xlfn.IFNA(VLOOKUP(Referentie_Hernieuwbare_Energie_Totaal47[[#This Row],[Product]]&amp;", "&amp;Referentie_Hernieuwbare_Energie_Totaal47[[#Headers],[C3]],Database_Productkaarten[#All],47,FALSE)*Ontwerpberekening!L33,0)/Ontwerpberekening!$A$2</f>
        <v>3.7819641080921582</v>
      </c>
      <c r="O158" s="93">
        <f>_xlfn.IFNA(VLOOKUP(Referentie_Hernieuwbare_Energie_Totaal47[[#This Row],[Product]]&amp;", "&amp;Referentie_Hernieuwbare_Energie_Totaal47[[#Headers],[C4]],Database_Productkaarten[#All],47,FALSE)*Ontwerpberekening!L33,0)/Ontwerpberekening!$A$2</f>
        <v>0</v>
      </c>
      <c r="P158" s="93">
        <f>(IF(Ontwerpberekening!C33="Nieuwe Situatie",(_xlfn.IFNA(VLOOKUP(Referentie_Hernieuwbare_Energie_Totaal47[[#This Row],[Product]]&amp;", "&amp;Referentie_Hernieuwbare_Energie_Totaal47[[#Headers],[D1]],Database_Productkaarten[#All],47,FALSE),0)*Ontwerpberekening!L33),0))/Ontwerpberekening!$A$2</f>
        <v>-668.39597938143856</v>
      </c>
      <c r="Q158" s="94">
        <f>(IF(Ontwerpberekening!C33="Nieuwe Situatie",_xlfn.IFNA(VLOOKUP(Referentie_Hernieuwbare_Energie_Totaal47[[#This Row],[Product]]&amp;", "&amp;Referentie_Hernieuwbare_Energie_Totaal47[[#Headers],[D2]],Database_Productkaarten[#All],47,FALSE),0)*Ontwerpberekening!L33,0))/Ontwerpberekening!$A$2</f>
        <v>0</v>
      </c>
      <c r="R158" s="72">
        <f>SUM(Referentie_Hernieuwbare_Energie_Totaal47[[#This Row],[A1]:[D2]])</f>
        <v>1426.7476903008171</v>
      </c>
    </row>
    <row r="159" spans="2:18" ht="18" x14ac:dyDescent="0.55000000000000004">
      <c r="B159" s="67" t="str">
        <f>Ontwerpberekening!B34</f>
        <v>Variant 1</v>
      </c>
      <c r="C159" s="92" t="str">
        <f>Ontwerpberekening!F34</f>
        <v>Betonstraatsteen geopolymeer 210x105x80</v>
      </c>
      <c r="D159" s="93">
        <f>(IF(Ontwerpberekening!C34="Nieuwe Situatie",(_xlfn.IFNA(VLOOKUP(Referentie_Hernieuwbare_Energie_Totaal47[[#This Row],[Product]]&amp;", "&amp;Referentie_Hernieuwbare_Energie_Totaal47[[#Headers],[A1]],Database_Productkaarten[#All],47,FALSE),0)*Ontwerpberekening!L34),0))/Ontwerpberekening!$A$2</f>
        <v>0</v>
      </c>
      <c r="E159" s="93">
        <f>(IF(Ontwerpberekening!C34="Nieuwe Situatie",(_xlfn.IFNA(VLOOKUP(Referentie_Hernieuwbare_Energie_Totaal47[[#This Row],[Product]]&amp;", "&amp;Referentie_Hernieuwbare_Energie_Totaal47[[#Headers],[A2]],Database_Productkaarten[#All],47,FALSE),0)*Ontwerpberekening!L34),0))/Ontwerpberekening!$A$2</f>
        <v>0</v>
      </c>
      <c r="F159" s="93">
        <f>(IF(Ontwerpberekening!C34="Nieuwe Situatie",(_xlfn.IFNA(VLOOKUP(Referentie_Hernieuwbare_Energie_Totaal47[[#This Row],[Product]]&amp;", "&amp;Referentie_Hernieuwbare_Energie_Totaal47[[#Headers],[A3]],Database_Productkaarten[#All],47,FALSE),0)*Ontwerpberekening!L34),0))/Ontwerpberekening!$A$2</f>
        <v>0</v>
      </c>
      <c r="G159" s="93">
        <f>(IF(Ontwerpberekening!C34="Nieuwe Situatie",(_xlfn.IFNA(VLOOKUP(Referentie_Hernieuwbare_Energie_Totaal47[[#This Row],[Product]]&amp;", "&amp;Referentie_Hernieuwbare_Energie_Totaal47[[#Headers],[A4]],Database_Productkaarten[#All],47,FALSE),0)*Ontwerpberekening!L34),0))/Ontwerpberekening!$A$2</f>
        <v>0</v>
      </c>
      <c r="H159" s="93">
        <f>(IF(Ontwerpberekening!C34="Nieuwe Situatie",(_xlfn.IFNA(VLOOKUP(Referentie_Hernieuwbare_Energie_Totaal47[[#This Row],[Product]]&amp;", "&amp;Referentie_Hernieuwbare_Energie_Totaal47[[#Headers],[A5]],Database_Productkaarten[#All],47,FALSE),0)*Ontwerpberekening!L34),0))/Ontwerpberekening!$A$2</f>
        <v>0</v>
      </c>
      <c r="I159" s="93">
        <f>(IF(Ontwerpberekening!C34="Nieuwe Situatie",(_xlfn.IFNA(VLOOKUP(Referentie_Hernieuwbare_Energie_Totaal47[[#This Row],[Product]]&amp;", "&amp;Referentie_Hernieuwbare_Energie_Totaal47[[#Headers],[B1]],Database_Productkaarten[#All],47,FALSE),0)*Ontwerpberekening!L34),0))/Ontwerpberekening!$A$2</f>
        <v>0</v>
      </c>
      <c r="J159" s="93"/>
      <c r="K159" s="93">
        <f>(IF(Ontwerpberekening!C34="Nieuwe Situatie",(SUM(Referentie_Hernieuwbare_Energie_Totaal47[[#This Row],[A1]:[B1]],Referentie_Hernieuwbare_Energie_Totaal47[[#This Row],[C1]:[D2]])*Ontwerpberekening!M34),0))/Ontwerpberekening!$A$2</f>
        <v>0</v>
      </c>
      <c r="L159" s="93">
        <f>_xlfn.IFNA(VLOOKUP(Referentie_Hernieuwbare_Energie_Totaal47[[#This Row],[Product]]&amp;", "&amp;Referentie_Hernieuwbare_Energie_Totaal47[[#Headers],[C1]],Database_Productkaarten[#All],47,FALSE)*Ontwerpberekening!L34,0)/Ontwerpberekening!$A$2</f>
        <v>0</v>
      </c>
      <c r="M159" s="93">
        <f>_xlfn.IFNA(VLOOKUP(Referentie_Hernieuwbare_Energie_Totaal47[[#This Row],[Product]]&amp;", "&amp;Referentie_Hernieuwbare_Energie_Totaal47[[#Headers],[C2]],Database_Productkaarten[#All],47,FALSE)*Ontwerpberekening!L34,0)/Ontwerpberekening!$A$2</f>
        <v>0</v>
      </c>
      <c r="N159" s="93">
        <f>_xlfn.IFNA(VLOOKUP(Referentie_Hernieuwbare_Energie_Totaal47[[#This Row],[Product]]&amp;", "&amp;Referentie_Hernieuwbare_Energie_Totaal47[[#Headers],[C3]],Database_Productkaarten[#All],47,FALSE)*Ontwerpberekening!L34,0)/Ontwerpberekening!$A$2</f>
        <v>0</v>
      </c>
      <c r="O159" s="93">
        <f>_xlfn.IFNA(VLOOKUP(Referentie_Hernieuwbare_Energie_Totaal47[[#This Row],[Product]]&amp;", "&amp;Referentie_Hernieuwbare_Energie_Totaal47[[#Headers],[C4]],Database_Productkaarten[#All],47,FALSE)*Ontwerpberekening!L34,0)/Ontwerpberekening!$A$2</f>
        <v>0</v>
      </c>
      <c r="P159" s="93">
        <f>(IF(Ontwerpberekening!C34="Nieuwe Situatie",(_xlfn.IFNA(VLOOKUP(Referentie_Hernieuwbare_Energie_Totaal47[[#This Row],[Product]]&amp;", "&amp;Referentie_Hernieuwbare_Energie_Totaal47[[#Headers],[D1]],Database_Productkaarten[#All],47,FALSE),0)*Ontwerpberekening!L34),0))/Ontwerpberekening!$A$2</f>
        <v>0</v>
      </c>
      <c r="Q159" s="94">
        <f>(IF(Ontwerpberekening!C34="Nieuwe Situatie",_xlfn.IFNA(VLOOKUP(Referentie_Hernieuwbare_Energie_Totaal47[[#This Row],[Product]]&amp;", "&amp;Referentie_Hernieuwbare_Energie_Totaal47[[#Headers],[D2]],Database_Productkaarten[#All],47,FALSE),0)*Ontwerpberekening!L34,0))/Ontwerpberekening!$A$2</f>
        <v>0</v>
      </c>
      <c r="R159" s="72">
        <f>SUM(Referentie_Hernieuwbare_Energie_Totaal47[[#This Row],[A1]:[D2]])</f>
        <v>0</v>
      </c>
    </row>
    <row r="160" spans="2:18" ht="18" x14ac:dyDescent="0.55000000000000004">
      <c r="B160" s="67" t="str">
        <f>Ontwerpberekening!B35</f>
        <v>Variant 1</v>
      </c>
      <c r="C160" s="92" t="str">
        <f>Ontwerpberekening!F35</f>
        <v>Grond</v>
      </c>
      <c r="D160" s="93">
        <f>(IF(Ontwerpberekening!C35="Nieuwe Situatie",(_xlfn.IFNA(VLOOKUP(Referentie_Hernieuwbare_Energie_Totaal47[[#This Row],[Product]]&amp;", "&amp;Referentie_Hernieuwbare_Energie_Totaal47[[#Headers],[A1]],Database_Productkaarten[#All],47,FALSE),0)*Ontwerpberekening!L35),0))/Ontwerpberekening!$A$2</f>
        <v>0</v>
      </c>
      <c r="E160" s="93">
        <f>(IF(Ontwerpberekening!C35="Nieuwe Situatie",(_xlfn.IFNA(VLOOKUP(Referentie_Hernieuwbare_Energie_Totaal47[[#This Row],[Product]]&amp;", "&amp;Referentie_Hernieuwbare_Energie_Totaal47[[#Headers],[A2]],Database_Productkaarten[#All],47,FALSE),0)*Ontwerpberekening!L35),0))/Ontwerpberekening!$A$2</f>
        <v>0</v>
      </c>
      <c r="F160" s="93">
        <f>(IF(Ontwerpberekening!C35="Nieuwe Situatie",(_xlfn.IFNA(VLOOKUP(Referentie_Hernieuwbare_Energie_Totaal47[[#This Row],[Product]]&amp;", "&amp;Referentie_Hernieuwbare_Energie_Totaal47[[#Headers],[A3]],Database_Productkaarten[#All],47,FALSE),0)*Ontwerpberekening!L35),0))/Ontwerpberekening!$A$2</f>
        <v>0</v>
      </c>
      <c r="G160" s="93">
        <f>(IF(Ontwerpberekening!C35="Nieuwe Situatie",(_xlfn.IFNA(VLOOKUP(Referentie_Hernieuwbare_Energie_Totaal47[[#This Row],[Product]]&amp;", "&amp;Referentie_Hernieuwbare_Energie_Totaal47[[#Headers],[A4]],Database_Productkaarten[#All],47,FALSE),0)*Ontwerpberekening!L35),0))/Ontwerpberekening!$A$2</f>
        <v>0</v>
      </c>
      <c r="H160" s="93">
        <f>(IF(Ontwerpberekening!C35="Nieuwe Situatie",(_xlfn.IFNA(VLOOKUP(Referentie_Hernieuwbare_Energie_Totaal47[[#This Row],[Product]]&amp;", "&amp;Referentie_Hernieuwbare_Energie_Totaal47[[#Headers],[A5]],Database_Productkaarten[#All],47,FALSE),0)*Ontwerpberekening!L35),0))/Ontwerpberekening!$A$2</f>
        <v>0</v>
      </c>
      <c r="I160" s="93">
        <f>(IF(Ontwerpberekening!C35="Nieuwe Situatie",(_xlfn.IFNA(VLOOKUP(Referentie_Hernieuwbare_Energie_Totaal47[[#This Row],[Product]]&amp;", "&amp;Referentie_Hernieuwbare_Energie_Totaal47[[#Headers],[B1]],Database_Productkaarten[#All],47,FALSE),0)*Ontwerpberekening!L35),0))/Ontwerpberekening!$A$2</f>
        <v>0</v>
      </c>
      <c r="J160" s="93"/>
      <c r="K160" s="93">
        <f>(IF(Ontwerpberekening!C35="Nieuwe Situatie",(SUM(Referentie_Hernieuwbare_Energie_Totaal47[[#This Row],[A1]:[B1]],Referentie_Hernieuwbare_Energie_Totaal47[[#This Row],[C1]:[D2]])*Ontwerpberekening!M35),0))/Ontwerpberekening!$A$2</f>
        <v>0</v>
      </c>
      <c r="L160" s="93">
        <f>_xlfn.IFNA(VLOOKUP(Referentie_Hernieuwbare_Energie_Totaal47[[#This Row],[Product]]&amp;", "&amp;Referentie_Hernieuwbare_Energie_Totaal47[[#Headers],[C1]],Database_Productkaarten[#All],47,FALSE)*Ontwerpberekening!L35,0)/Ontwerpberekening!$A$2</f>
        <v>0</v>
      </c>
      <c r="M160" s="93">
        <f>_xlfn.IFNA(VLOOKUP(Referentie_Hernieuwbare_Energie_Totaal47[[#This Row],[Product]]&amp;", "&amp;Referentie_Hernieuwbare_Energie_Totaal47[[#Headers],[C2]],Database_Productkaarten[#All],47,FALSE)*Ontwerpberekening!L35,0)/Ontwerpberekening!$A$2</f>
        <v>0</v>
      </c>
      <c r="N160" s="93">
        <f>_xlfn.IFNA(VLOOKUP(Referentie_Hernieuwbare_Energie_Totaal47[[#This Row],[Product]]&amp;", "&amp;Referentie_Hernieuwbare_Energie_Totaal47[[#Headers],[C3]],Database_Productkaarten[#All],47,FALSE)*Ontwerpberekening!L35,0)/Ontwerpberekening!$A$2</f>
        <v>0</v>
      </c>
      <c r="O160" s="93">
        <f>_xlfn.IFNA(VLOOKUP(Referentie_Hernieuwbare_Energie_Totaal47[[#This Row],[Product]]&amp;", "&amp;Referentie_Hernieuwbare_Energie_Totaal47[[#Headers],[C4]],Database_Productkaarten[#All],47,FALSE)*Ontwerpberekening!L35,0)/Ontwerpberekening!$A$2</f>
        <v>0</v>
      </c>
      <c r="P160" s="93">
        <f>(IF(Ontwerpberekening!C35="Nieuwe Situatie",(_xlfn.IFNA(VLOOKUP(Referentie_Hernieuwbare_Energie_Totaal47[[#This Row],[Product]]&amp;", "&amp;Referentie_Hernieuwbare_Energie_Totaal47[[#Headers],[D1]],Database_Productkaarten[#All],47,FALSE),0)*Ontwerpberekening!L35),0))/Ontwerpberekening!$A$2</f>
        <v>0</v>
      </c>
      <c r="Q160" s="94">
        <f>(IF(Ontwerpberekening!C35="Nieuwe Situatie",_xlfn.IFNA(VLOOKUP(Referentie_Hernieuwbare_Energie_Totaal47[[#This Row],[Product]]&amp;", "&amp;Referentie_Hernieuwbare_Energie_Totaal47[[#Headers],[D2]],Database_Productkaarten[#All],47,FALSE),0)*Ontwerpberekening!L35,0))/Ontwerpberekening!$A$2</f>
        <v>0</v>
      </c>
      <c r="R160" s="72">
        <f>SUM(Referentie_Hernieuwbare_Energie_Totaal47[[#This Row],[A1]:[D2]])</f>
        <v>0</v>
      </c>
    </row>
    <row r="161" spans="2:18" ht="18" x14ac:dyDescent="0.55000000000000004">
      <c r="B161" s="67" t="str">
        <f>Ontwerpberekening!B36</f>
        <v>Variant 1</v>
      </c>
      <c r="C161" s="92" t="str">
        <f>Ontwerpberekening!F36</f>
        <v>Opsluitband geopolymeer 100x200</v>
      </c>
      <c r="D161" s="93">
        <f>(IF(Ontwerpberekening!C36="Nieuwe Situatie",(_xlfn.IFNA(VLOOKUP(Referentie_Hernieuwbare_Energie_Totaal47[[#This Row],[Product]]&amp;", "&amp;Referentie_Hernieuwbare_Energie_Totaal47[[#Headers],[A1]],Database_Productkaarten[#All],47,FALSE),0)*Ontwerpberekening!L36),0))/Ontwerpberekening!$A$2</f>
        <v>0</v>
      </c>
      <c r="E161" s="93">
        <f>(IF(Ontwerpberekening!C36="Nieuwe Situatie",(_xlfn.IFNA(VLOOKUP(Referentie_Hernieuwbare_Energie_Totaal47[[#This Row],[Product]]&amp;", "&amp;Referentie_Hernieuwbare_Energie_Totaal47[[#Headers],[A2]],Database_Productkaarten[#All],47,FALSE),0)*Ontwerpberekening!L36),0))/Ontwerpberekening!$A$2</f>
        <v>0</v>
      </c>
      <c r="F161" s="93">
        <f>(IF(Ontwerpberekening!C36="Nieuwe Situatie",(_xlfn.IFNA(VLOOKUP(Referentie_Hernieuwbare_Energie_Totaal47[[#This Row],[Product]]&amp;", "&amp;Referentie_Hernieuwbare_Energie_Totaal47[[#Headers],[A3]],Database_Productkaarten[#All],47,FALSE),0)*Ontwerpberekening!L36),0))/Ontwerpberekening!$A$2</f>
        <v>0</v>
      </c>
      <c r="G161" s="93">
        <f>(IF(Ontwerpberekening!C36="Nieuwe Situatie",(_xlfn.IFNA(VLOOKUP(Referentie_Hernieuwbare_Energie_Totaal47[[#This Row],[Product]]&amp;", "&amp;Referentie_Hernieuwbare_Energie_Totaal47[[#Headers],[A4]],Database_Productkaarten[#All],47,FALSE),0)*Ontwerpberekening!L36),0))/Ontwerpberekening!$A$2</f>
        <v>0</v>
      </c>
      <c r="H161" s="93">
        <f>(IF(Ontwerpberekening!C36="Nieuwe Situatie",(_xlfn.IFNA(VLOOKUP(Referentie_Hernieuwbare_Energie_Totaal47[[#This Row],[Product]]&amp;", "&amp;Referentie_Hernieuwbare_Energie_Totaal47[[#Headers],[A5]],Database_Productkaarten[#All],47,FALSE),0)*Ontwerpberekening!L36),0))/Ontwerpberekening!$A$2</f>
        <v>0</v>
      </c>
      <c r="I161" s="93">
        <f>(IF(Ontwerpberekening!C36="Nieuwe Situatie",(_xlfn.IFNA(VLOOKUP(Referentie_Hernieuwbare_Energie_Totaal47[[#This Row],[Product]]&amp;", "&amp;Referentie_Hernieuwbare_Energie_Totaal47[[#Headers],[B1]],Database_Productkaarten[#All],47,FALSE),0)*Ontwerpberekening!L36),0))/Ontwerpberekening!$A$2</f>
        <v>0</v>
      </c>
      <c r="J161" s="93"/>
      <c r="K161" s="93">
        <f>(IF(Ontwerpberekening!C36="Nieuwe Situatie",(SUM(Referentie_Hernieuwbare_Energie_Totaal47[[#This Row],[A1]:[B1]],Referentie_Hernieuwbare_Energie_Totaal47[[#This Row],[C1]:[D2]])*Ontwerpberekening!M36),0))/Ontwerpberekening!$A$2</f>
        <v>0</v>
      </c>
      <c r="L161" s="93">
        <f>_xlfn.IFNA(VLOOKUP(Referentie_Hernieuwbare_Energie_Totaal47[[#This Row],[Product]]&amp;", "&amp;Referentie_Hernieuwbare_Energie_Totaal47[[#Headers],[C1]],Database_Productkaarten[#All],47,FALSE)*Ontwerpberekening!L36,0)/Ontwerpberekening!$A$2</f>
        <v>0</v>
      </c>
      <c r="M161" s="93">
        <f>_xlfn.IFNA(VLOOKUP(Referentie_Hernieuwbare_Energie_Totaal47[[#This Row],[Product]]&amp;", "&amp;Referentie_Hernieuwbare_Energie_Totaal47[[#Headers],[C2]],Database_Productkaarten[#All],47,FALSE)*Ontwerpberekening!L36,0)/Ontwerpberekening!$A$2</f>
        <v>0</v>
      </c>
      <c r="N161" s="93">
        <f>_xlfn.IFNA(VLOOKUP(Referentie_Hernieuwbare_Energie_Totaal47[[#This Row],[Product]]&amp;", "&amp;Referentie_Hernieuwbare_Energie_Totaal47[[#Headers],[C3]],Database_Productkaarten[#All],47,FALSE)*Ontwerpberekening!L36,0)/Ontwerpberekening!$A$2</f>
        <v>0</v>
      </c>
      <c r="O161" s="93">
        <f>_xlfn.IFNA(VLOOKUP(Referentie_Hernieuwbare_Energie_Totaal47[[#This Row],[Product]]&amp;", "&amp;Referentie_Hernieuwbare_Energie_Totaal47[[#Headers],[C4]],Database_Productkaarten[#All],47,FALSE)*Ontwerpberekening!L36,0)/Ontwerpberekening!$A$2</f>
        <v>0</v>
      </c>
      <c r="P161" s="93">
        <f>(IF(Ontwerpberekening!C36="Nieuwe Situatie",(_xlfn.IFNA(VLOOKUP(Referentie_Hernieuwbare_Energie_Totaal47[[#This Row],[Product]]&amp;", "&amp;Referentie_Hernieuwbare_Energie_Totaal47[[#Headers],[D1]],Database_Productkaarten[#All],47,FALSE),0)*Ontwerpberekening!L36),0))/Ontwerpberekening!$A$2</f>
        <v>0</v>
      </c>
      <c r="Q161" s="94">
        <f>(IF(Ontwerpberekening!C36="Nieuwe Situatie",_xlfn.IFNA(VLOOKUP(Referentie_Hernieuwbare_Energie_Totaal47[[#This Row],[Product]]&amp;", "&amp;Referentie_Hernieuwbare_Energie_Totaal47[[#Headers],[D2]],Database_Productkaarten[#All],47,FALSE),0)*Ontwerpberekening!L36,0))/Ontwerpberekening!$A$2</f>
        <v>0</v>
      </c>
      <c r="R161" s="72">
        <f>SUM(Referentie_Hernieuwbare_Energie_Totaal47[[#This Row],[A1]:[D2]])</f>
        <v>0</v>
      </c>
    </row>
    <row r="162" spans="2:18" ht="18" x14ac:dyDescent="0.55000000000000004">
      <c r="B162" s="67" t="str">
        <f>Ontwerpberekening!B37</f>
        <v>Variant 1</v>
      </c>
      <c r="C162" s="92" t="str">
        <f>Ontwerpberekening!F37</f>
        <v>Opsluitband geopolymeer 100x200</v>
      </c>
      <c r="D162" s="93">
        <f>(IF(Ontwerpberekening!C37="Nieuwe Situatie",(_xlfn.IFNA(VLOOKUP(Referentie_Hernieuwbare_Energie_Totaal47[[#This Row],[Product]]&amp;", "&amp;Referentie_Hernieuwbare_Energie_Totaal47[[#Headers],[A1]],Database_Productkaarten[#All],47,FALSE),0)*Ontwerpberekening!L37),0))/Ontwerpberekening!$A$2</f>
        <v>0</v>
      </c>
      <c r="E162" s="93">
        <f>(IF(Ontwerpberekening!C37="Nieuwe Situatie",(_xlfn.IFNA(VLOOKUP(Referentie_Hernieuwbare_Energie_Totaal47[[#This Row],[Product]]&amp;", "&amp;Referentie_Hernieuwbare_Energie_Totaal47[[#Headers],[A2]],Database_Productkaarten[#All],47,FALSE),0)*Ontwerpberekening!L37),0))/Ontwerpberekening!$A$2</f>
        <v>0</v>
      </c>
      <c r="F162" s="93">
        <f>(IF(Ontwerpberekening!C37="Nieuwe Situatie",(_xlfn.IFNA(VLOOKUP(Referentie_Hernieuwbare_Energie_Totaal47[[#This Row],[Product]]&amp;", "&amp;Referentie_Hernieuwbare_Energie_Totaal47[[#Headers],[A3]],Database_Productkaarten[#All],47,FALSE),0)*Ontwerpberekening!L37),0))/Ontwerpberekening!$A$2</f>
        <v>0</v>
      </c>
      <c r="G162" s="93">
        <f>(IF(Ontwerpberekening!C37="Nieuwe Situatie",(_xlfn.IFNA(VLOOKUP(Referentie_Hernieuwbare_Energie_Totaal47[[#This Row],[Product]]&amp;", "&amp;Referentie_Hernieuwbare_Energie_Totaal47[[#Headers],[A4]],Database_Productkaarten[#All],47,FALSE),0)*Ontwerpberekening!L37),0))/Ontwerpberekening!$A$2</f>
        <v>0</v>
      </c>
      <c r="H162" s="93">
        <f>(IF(Ontwerpberekening!C37="Nieuwe Situatie",(_xlfn.IFNA(VLOOKUP(Referentie_Hernieuwbare_Energie_Totaal47[[#This Row],[Product]]&amp;", "&amp;Referentie_Hernieuwbare_Energie_Totaal47[[#Headers],[A5]],Database_Productkaarten[#All],47,FALSE),0)*Ontwerpberekening!L37),0))/Ontwerpberekening!$A$2</f>
        <v>0</v>
      </c>
      <c r="I162" s="93">
        <f>(IF(Ontwerpberekening!C37="Nieuwe Situatie",(_xlfn.IFNA(VLOOKUP(Referentie_Hernieuwbare_Energie_Totaal47[[#This Row],[Product]]&amp;", "&amp;Referentie_Hernieuwbare_Energie_Totaal47[[#Headers],[B1]],Database_Productkaarten[#All],47,FALSE),0)*Ontwerpberekening!L37),0))/Ontwerpberekening!$A$2</f>
        <v>0</v>
      </c>
      <c r="J162" s="93"/>
      <c r="K162" s="93">
        <f>(IF(Ontwerpberekening!C37="Nieuwe Situatie",(SUM(Referentie_Hernieuwbare_Energie_Totaal47[[#This Row],[A1]:[B1]],Referentie_Hernieuwbare_Energie_Totaal47[[#This Row],[C1]:[D2]])*Ontwerpberekening!M37),0))/Ontwerpberekening!$A$2</f>
        <v>0</v>
      </c>
      <c r="L162" s="93">
        <f>_xlfn.IFNA(VLOOKUP(Referentie_Hernieuwbare_Energie_Totaal47[[#This Row],[Product]]&amp;", "&amp;Referentie_Hernieuwbare_Energie_Totaal47[[#Headers],[C1]],Database_Productkaarten[#All],47,FALSE)*Ontwerpberekening!L37,0)/Ontwerpberekening!$A$2</f>
        <v>0</v>
      </c>
      <c r="M162" s="93">
        <f>_xlfn.IFNA(VLOOKUP(Referentie_Hernieuwbare_Energie_Totaal47[[#This Row],[Product]]&amp;", "&amp;Referentie_Hernieuwbare_Energie_Totaal47[[#Headers],[C2]],Database_Productkaarten[#All],47,FALSE)*Ontwerpberekening!L37,0)/Ontwerpberekening!$A$2</f>
        <v>0</v>
      </c>
      <c r="N162" s="93">
        <f>_xlfn.IFNA(VLOOKUP(Referentie_Hernieuwbare_Energie_Totaal47[[#This Row],[Product]]&amp;", "&amp;Referentie_Hernieuwbare_Energie_Totaal47[[#Headers],[C3]],Database_Productkaarten[#All],47,FALSE)*Ontwerpberekening!L37,0)/Ontwerpberekening!$A$2</f>
        <v>0</v>
      </c>
      <c r="O162" s="93">
        <f>_xlfn.IFNA(VLOOKUP(Referentie_Hernieuwbare_Energie_Totaal47[[#This Row],[Product]]&amp;", "&amp;Referentie_Hernieuwbare_Energie_Totaal47[[#Headers],[C4]],Database_Productkaarten[#All],47,FALSE)*Ontwerpberekening!L37,0)/Ontwerpberekening!$A$2</f>
        <v>0</v>
      </c>
      <c r="P162" s="93">
        <f>(IF(Ontwerpberekening!C37="Nieuwe Situatie",(_xlfn.IFNA(VLOOKUP(Referentie_Hernieuwbare_Energie_Totaal47[[#This Row],[Product]]&amp;", "&amp;Referentie_Hernieuwbare_Energie_Totaal47[[#Headers],[D1]],Database_Productkaarten[#All],47,FALSE),0)*Ontwerpberekening!L37),0))/Ontwerpberekening!$A$2</f>
        <v>0</v>
      </c>
      <c r="Q162" s="94">
        <f>(IF(Ontwerpberekening!C37="Nieuwe Situatie",_xlfn.IFNA(VLOOKUP(Referentie_Hernieuwbare_Energie_Totaal47[[#This Row],[Product]]&amp;", "&amp;Referentie_Hernieuwbare_Energie_Totaal47[[#Headers],[D2]],Database_Productkaarten[#All],47,FALSE),0)*Ontwerpberekening!L37,0))/Ontwerpberekening!$A$2</f>
        <v>0</v>
      </c>
      <c r="R162" s="72">
        <f>SUM(Referentie_Hernieuwbare_Energie_Totaal47[[#This Row],[A1]:[D2]])</f>
        <v>0</v>
      </c>
    </row>
    <row r="163" spans="2:18" ht="18" x14ac:dyDescent="0.55000000000000004">
      <c r="B163" s="67" t="str">
        <f>Ontwerpberekening!B38</f>
        <v>Variant 1</v>
      </c>
      <c r="C163" s="96" t="str">
        <f>Ontwerpberekening!F38</f>
        <v>Grond</v>
      </c>
      <c r="D163" s="93">
        <f>(IF(Ontwerpberekening!C38="Nieuwe Situatie",(_xlfn.IFNA(VLOOKUP(Referentie_Hernieuwbare_Energie_Totaal47[[#This Row],[Product]]&amp;", "&amp;Referentie_Hernieuwbare_Energie_Totaal47[[#Headers],[A1]],Database_Productkaarten[#All],47,FALSE),0)*Ontwerpberekening!L38),0))/Ontwerpberekening!$A$2</f>
        <v>0</v>
      </c>
      <c r="E163" s="93">
        <f>(IF(Ontwerpberekening!C38="Nieuwe Situatie",(_xlfn.IFNA(VLOOKUP(Referentie_Hernieuwbare_Energie_Totaal47[[#This Row],[Product]]&amp;", "&amp;Referentie_Hernieuwbare_Energie_Totaal47[[#Headers],[A2]],Database_Productkaarten[#All],47,FALSE),0)*Ontwerpberekening!L38),0))/Ontwerpberekening!$A$2</f>
        <v>0</v>
      </c>
      <c r="F163" s="93">
        <f>(IF(Ontwerpberekening!C38="Nieuwe Situatie",(_xlfn.IFNA(VLOOKUP(Referentie_Hernieuwbare_Energie_Totaal47[[#This Row],[Product]]&amp;", "&amp;Referentie_Hernieuwbare_Energie_Totaal47[[#Headers],[A3]],Database_Productkaarten[#All],47,FALSE),0)*Ontwerpberekening!L38),0))/Ontwerpberekening!$A$2</f>
        <v>0</v>
      </c>
      <c r="G163" s="93">
        <f>(IF(Ontwerpberekening!C38="Nieuwe Situatie",(_xlfn.IFNA(VLOOKUP(Referentie_Hernieuwbare_Energie_Totaal47[[#This Row],[Product]]&amp;", "&amp;Referentie_Hernieuwbare_Energie_Totaal47[[#Headers],[A4]],Database_Productkaarten[#All],47,FALSE),0)*Ontwerpberekening!L38),0))/Ontwerpberekening!$A$2</f>
        <v>0</v>
      </c>
      <c r="H163" s="93">
        <f>(IF(Ontwerpberekening!C38="Nieuwe Situatie",(_xlfn.IFNA(VLOOKUP(Referentie_Hernieuwbare_Energie_Totaal47[[#This Row],[Product]]&amp;", "&amp;Referentie_Hernieuwbare_Energie_Totaal47[[#Headers],[A5]],Database_Productkaarten[#All],47,FALSE),0)*Ontwerpberekening!L38),0))/Ontwerpberekening!$A$2</f>
        <v>0</v>
      </c>
      <c r="I163" s="93">
        <f>(IF(Ontwerpberekening!C38="Nieuwe Situatie",(_xlfn.IFNA(VLOOKUP(Referentie_Hernieuwbare_Energie_Totaal47[[#This Row],[Product]]&amp;", "&amp;Referentie_Hernieuwbare_Energie_Totaal47[[#Headers],[B1]],Database_Productkaarten[#All],47,FALSE),0)*Ontwerpberekening!L38),0))/Ontwerpberekening!$A$2</f>
        <v>0</v>
      </c>
      <c r="J163" s="93"/>
      <c r="K163" s="93">
        <f>(IF(Ontwerpberekening!C38="Nieuwe Situatie",(SUM(Referentie_Hernieuwbare_Energie_Totaal47[[#This Row],[A1]:[B1]],Referentie_Hernieuwbare_Energie_Totaal47[[#This Row],[C1]:[D2]])*Ontwerpberekening!M38),0))/Ontwerpberekening!$A$2</f>
        <v>0</v>
      </c>
      <c r="L163" s="93">
        <f>_xlfn.IFNA(VLOOKUP(Referentie_Hernieuwbare_Energie_Totaal47[[#This Row],[Product]]&amp;", "&amp;Referentie_Hernieuwbare_Energie_Totaal47[[#Headers],[C1]],Database_Productkaarten[#All],47,FALSE)*Ontwerpberekening!L38,0)/Ontwerpberekening!$A$2</f>
        <v>0</v>
      </c>
      <c r="M163" s="93">
        <f>_xlfn.IFNA(VLOOKUP(Referentie_Hernieuwbare_Energie_Totaal47[[#This Row],[Product]]&amp;", "&amp;Referentie_Hernieuwbare_Energie_Totaal47[[#Headers],[C2]],Database_Productkaarten[#All],47,FALSE)*Ontwerpberekening!L38,0)/Ontwerpberekening!$A$2</f>
        <v>0</v>
      </c>
      <c r="N163" s="93">
        <f>_xlfn.IFNA(VLOOKUP(Referentie_Hernieuwbare_Energie_Totaal47[[#This Row],[Product]]&amp;", "&amp;Referentie_Hernieuwbare_Energie_Totaal47[[#Headers],[C3]],Database_Productkaarten[#All],47,FALSE)*Ontwerpberekening!L38,0)/Ontwerpberekening!$A$2</f>
        <v>0</v>
      </c>
      <c r="O163" s="93">
        <f>_xlfn.IFNA(VLOOKUP(Referentie_Hernieuwbare_Energie_Totaal47[[#This Row],[Product]]&amp;", "&amp;Referentie_Hernieuwbare_Energie_Totaal47[[#Headers],[C4]],Database_Productkaarten[#All],47,FALSE)*Ontwerpberekening!L38,0)/Ontwerpberekening!$A$2</f>
        <v>0</v>
      </c>
      <c r="P163" s="93">
        <f>(IF(Ontwerpberekening!C38="Nieuwe Situatie",(_xlfn.IFNA(VLOOKUP(Referentie_Hernieuwbare_Energie_Totaal47[[#This Row],[Product]]&amp;", "&amp;Referentie_Hernieuwbare_Energie_Totaal47[[#Headers],[D1]],Database_Productkaarten[#All],47,FALSE),0)*Ontwerpberekening!L38),0))/Ontwerpberekening!$A$2</f>
        <v>0</v>
      </c>
      <c r="Q163" s="95">
        <f>(IF(Ontwerpberekening!C38="Nieuwe Situatie",_xlfn.IFNA(VLOOKUP(Referentie_Hernieuwbare_Energie_Totaal47[[#This Row],[Product]]&amp;", "&amp;Referentie_Hernieuwbare_Energie_Totaal47[[#Headers],[D2]],Database_Productkaarten[#All],47,FALSE),0)*Ontwerpberekening!L38,0))/Ontwerpberekening!$A$2</f>
        <v>0</v>
      </c>
      <c r="R163" s="72">
        <f>SUM(Referentie_Hernieuwbare_Energie_Totaal47[[#This Row],[A1]:[D2]])</f>
        <v>0</v>
      </c>
    </row>
    <row r="164" spans="2:18" ht="18" x14ac:dyDescent="0.55000000000000004">
      <c r="B164" s="67">
        <f>Ontwerpberekening!B39</f>
        <v>0</v>
      </c>
      <c r="C164" s="96">
        <f>Ontwerpberekening!F39</f>
        <v>0</v>
      </c>
      <c r="D164" s="93">
        <f>(IF(Ontwerpberekening!C39="Nieuwe Situatie",(_xlfn.IFNA(VLOOKUP(Referentie_Hernieuwbare_Energie_Totaal47[[#This Row],[Product]]&amp;", "&amp;Referentie_Hernieuwbare_Energie_Totaal47[[#Headers],[A1]],Database_Productkaarten[#All],47,FALSE),0)*Ontwerpberekening!L39),0))/Ontwerpberekening!$A$2</f>
        <v>0</v>
      </c>
      <c r="E164" s="93">
        <f>(IF(Ontwerpberekening!C39="Nieuwe Situatie",(_xlfn.IFNA(VLOOKUP(Referentie_Hernieuwbare_Energie_Totaal47[[#This Row],[Product]]&amp;", "&amp;Referentie_Hernieuwbare_Energie_Totaal47[[#Headers],[A2]],Database_Productkaarten[#All],47,FALSE),0)*Ontwerpberekening!L39),0))/Ontwerpberekening!$A$2</f>
        <v>0</v>
      </c>
      <c r="F164" s="93">
        <f>(IF(Ontwerpberekening!C39="Nieuwe Situatie",(_xlfn.IFNA(VLOOKUP(Referentie_Hernieuwbare_Energie_Totaal47[[#This Row],[Product]]&amp;", "&amp;Referentie_Hernieuwbare_Energie_Totaal47[[#Headers],[A3]],Database_Productkaarten[#All],47,FALSE),0)*Ontwerpberekening!L39),0))/Ontwerpberekening!$A$2</f>
        <v>0</v>
      </c>
      <c r="G164" s="93">
        <f>(IF(Ontwerpberekening!C39="Nieuwe Situatie",(_xlfn.IFNA(VLOOKUP(Referentie_Hernieuwbare_Energie_Totaal47[[#This Row],[Product]]&amp;", "&amp;Referentie_Hernieuwbare_Energie_Totaal47[[#Headers],[A4]],Database_Productkaarten[#All],47,FALSE),0)*Ontwerpberekening!L39),0))/Ontwerpberekening!$A$2</f>
        <v>0</v>
      </c>
      <c r="H164" s="93">
        <f>(IF(Ontwerpberekening!C39="Nieuwe Situatie",(_xlfn.IFNA(VLOOKUP(Referentie_Hernieuwbare_Energie_Totaal47[[#This Row],[Product]]&amp;", "&amp;Referentie_Hernieuwbare_Energie_Totaal47[[#Headers],[A5]],Database_Productkaarten[#All],47,FALSE),0)*Ontwerpberekening!L39),0))/Ontwerpberekening!$A$2</f>
        <v>0</v>
      </c>
      <c r="I164" s="93">
        <f>(IF(Ontwerpberekening!C39="Nieuwe Situatie",(_xlfn.IFNA(VLOOKUP(Referentie_Hernieuwbare_Energie_Totaal47[[#This Row],[Product]]&amp;", "&amp;Referentie_Hernieuwbare_Energie_Totaal47[[#Headers],[B1]],Database_Productkaarten[#All],47,FALSE),0)*Ontwerpberekening!L39),0))/Ontwerpberekening!$A$2</f>
        <v>0</v>
      </c>
      <c r="J164" s="93"/>
      <c r="K164" s="93">
        <f>(IF(Ontwerpberekening!C39="Nieuwe Situatie",(SUM(Referentie_Hernieuwbare_Energie_Totaal47[[#This Row],[A1]:[B1]],Referentie_Hernieuwbare_Energie_Totaal47[[#This Row],[C1]:[D2]])*Ontwerpberekening!M39),0))/Ontwerpberekening!$A$2</f>
        <v>0</v>
      </c>
      <c r="L164" s="93">
        <f>_xlfn.IFNA(VLOOKUP(Referentie_Hernieuwbare_Energie_Totaal47[[#This Row],[Product]]&amp;", "&amp;Referentie_Hernieuwbare_Energie_Totaal47[[#Headers],[C1]],Database_Productkaarten[#All],47,FALSE)*Ontwerpberekening!L39,0)/Ontwerpberekening!$A$2</f>
        <v>0</v>
      </c>
      <c r="M164" s="93">
        <f>_xlfn.IFNA(VLOOKUP(Referentie_Hernieuwbare_Energie_Totaal47[[#This Row],[Product]]&amp;", "&amp;Referentie_Hernieuwbare_Energie_Totaal47[[#Headers],[C2]],Database_Productkaarten[#All],47,FALSE)*Ontwerpberekening!L39,0)/Ontwerpberekening!$A$2</f>
        <v>0</v>
      </c>
      <c r="N164" s="93">
        <f>_xlfn.IFNA(VLOOKUP(Referentie_Hernieuwbare_Energie_Totaal47[[#This Row],[Product]]&amp;", "&amp;Referentie_Hernieuwbare_Energie_Totaal47[[#Headers],[C3]],Database_Productkaarten[#All],47,FALSE)*Ontwerpberekening!L39,0)/Ontwerpberekening!$A$2</f>
        <v>0</v>
      </c>
      <c r="O164" s="93">
        <f>_xlfn.IFNA(VLOOKUP(Referentie_Hernieuwbare_Energie_Totaal47[[#This Row],[Product]]&amp;", "&amp;Referentie_Hernieuwbare_Energie_Totaal47[[#Headers],[C4]],Database_Productkaarten[#All],47,FALSE)*Ontwerpberekening!L39,0)/Ontwerpberekening!$A$2</f>
        <v>0</v>
      </c>
      <c r="P164" s="93">
        <f>(IF(Ontwerpberekening!C39="Nieuwe Situatie",(_xlfn.IFNA(VLOOKUP(Referentie_Hernieuwbare_Energie_Totaal47[[#This Row],[Product]]&amp;", "&amp;Referentie_Hernieuwbare_Energie_Totaal47[[#Headers],[D1]],Database_Productkaarten[#All],47,FALSE),0)*Ontwerpberekening!L39),0))/Ontwerpberekening!$A$2</f>
        <v>0</v>
      </c>
      <c r="Q164" s="95">
        <f>(IF(Ontwerpberekening!C39="Nieuwe Situatie",_xlfn.IFNA(VLOOKUP(Referentie_Hernieuwbare_Energie_Totaal47[[#This Row],[Product]]&amp;", "&amp;Referentie_Hernieuwbare_Energie_Totaal47[[#Headers],[D2]],Database_Productkaarten[#All],47,FALSE),0)*Ontwerpberekening!L39,0))/Ontwerpberekening!$A$2</f>
        <v>0</v>
      </c>
      <c r="R164" s="72">
        <f>SUM(Referentie_Hernieuwbare_Energie_Totaal47[[#This Row],[A1]:[D2]])</f>
        <v>0</v>
      </c>
    </row>
    <row r="165" spans="2:18" ht="18" x14ac:dyDescent="0.55000000000000004">
      <c r="B165" s="67">
        <f>Ontwerpberekening!B40</f>
        <v>0</v>
      </c>
      <c r="C165" s="96">
        <f>Ontwerpberekening!F40</f>
        <v>0</v>
      </c>
      <c r="D165" s="93">
        <f>(IF(Ontwerpberekening!C40="Nieuwe Situatie",(_xlfn.IFNA(VLOOKUP(Referentie_Hernieuwbare_Energie_Totaal47[[#This Row],[Product]]&amp;", "&amp;Referentie_Hernieuwbare_Energie_Totaal47[[#Headers],[A1]],Database_Productkaarten[#All],47,FALSE),0)*Ontwerpberekening!L40),0))/Ontwerpberekening!$A$2</f>
        <v>0</v>
      </c>
      <c r="E165" s="93">
        <f>(IF(Ontwerpberekening!C40="Nieuwe Situatie",(_xlfn.IFNA(VLOOKUP(Referentie_Hernieuwbare_Energie_Totaal47[[#This Row],[Product]]&amp;", "&amp;Referentie_Hernieuwbare_Energie_Totaal47[[#Headers],[A2]],Database_Productkaarten[#All],47,FALSE),0)*Ontwerpberekening!L40),0))/Ontwerpberekening!$A$2</f>
        <v>0</v>
      </c>
      <c r="F165" s="93">
        <f>(IF(Ontwerpberekening!C40="Nieuwe Situatie",(_xlfn.IFNA(VLOOKUP(Referentie_Hernieuwbare_Energie_Totaal47[[#This Row],[Product]]&amp;", "&amp;Referentie_Hernieuwbare_Energie_Totaal47[[#Headers],[A3]],Database_Productkaarten[#All],47,FALSE),0)*Ontwerpberekening!L40),0))/Ontwerpberekening!$A$2</f>
        <v>0</v>
      </c>
      <c r="G165" s="93">
        <f>(IF(Ontwerpberekening!C40="Nieuwe Situatie",(_xlfn.IFNA(VLOOKUP(Referentie_Hernieuwbare_Energie_Totaal47[[#This Row],[Product]]&amp;", "&amp;Referentie_Hernieuwbare_Energie_Totaal47[[#Headers],[A4]],Database_Productkaarten[#All],47,FALSE),0)*Ontwerpberekening!L40),0))/Ontwerpberekening!$A$2</f>
        <v>0</v>
      </c>
      <c r="H165" s="93">
        <f>(IF(Ontwerpberekening!C40="Nieuwe Situatie",(_xlfn.IFNA(VLOOKUP(Referentie_Hernieuwbare_Energie_Totaal47[[#This Row],[Product]]&amp;", "&amp;Referentie_Hernieuwbare_Energie_Totaal47[[#Headers],[A5]],Database_Productkaarten[#All],47,FALSE),0)*Ontwerpberekening!L40),0))/Ontwerpberekening!$A$2</f>
        <v>0</v>
      </c>
      <c r="I165" s="93">
        <f>(IF(Ontwerpberekening!C40="Nieuwe Situatie",(_xlfn.IFNA(VLOOKUP(Referentie_Hernieuwbare_Energie_Totaal47[[#This Row],[Product]]&amp;", "&amp;Referentie_Hernieuwbare_Energie_Totaal47[[#Headers],[B1]],Database_Productkaarten[#All],47,FALSE),0)*Ontwerpberekening!L40),0))/Ontwerpberekening!$A$2</f>
        <v>0</v>
      </c>
      <c r="J165" s="93"/>
      <c r="K165" s="93">
        <f>(IF(Ontwerpberekening!C40="Nieuwe Situatie",(SUM(Referentie_Hernieuwbare_Energie_Totaal47[[#This Row],[A1]:[B1]],Referentie_Hernieuwbare_Energie_Totaal47[[#This Row],[C1]:[D2]])*Ontwerpberekening!M40),0))/Ontwerpberekening!$A$2</f>
        <v>0</v>
      </c>
      <c r="L165" s="93">
        <f>_xlfn.IFNA(VLOOKUP(Referentie_Hernieuwbare_Energie_Totaal47[[#This Row],[Product]]&amp;", "&amp;Referentie_Hernieuwbare_Energie_Totaal47[[#Headers],[C1]],Database_Productkaarten[#All],47,FALSE)*Ontwerpberekening!L40,0)/Ontwerpberekening!$A$2</f>
        <v>0</v>
      </c>
      <c r="M165" s="93">
        <f>_xlfn.IFNA(VLOOKUP(Referentie_Hernieuwbare_Energie_Totaal47[[#This Row],[Product]]&amp;", "&amp;Referentie_Hernieuwbare_Energie_Totaal47[[#Headers],[C2]],Database_Productkaarten[#All],47,FALSE)*Ontwerpberekening!L40,0)/Ontwerpberekening!$A$2</f>
        <v>0</v>
      </c>
      <c r="N165" s="93">
        <f>_xlfn.IFNA(VLOOKUP(Referentie_Hernieuwbare_Energie_Totaal47[[#This Row],[Product]]&amp;", "&amp;Referentie_Hernieuwbare_Energie_Totaal47[[#Headers],[C3]],Database_Productkaarten[#All],47,FALSE)*Ontwerpberekening!L40,0)/Ontwerpberekening!$A$2</f>
        <v>0</v>
      </c>
      <c r="O165" s="93">
        <f>_xlfn.IFNA(VLOOKUP(Referentie_Hernieuwbare_Energie_Totaal47[[#This Row],[Product]]&amp;", "&amp;Referentie_Hernieuwbare_Energie_Totaal47[[#Headers],[C4]],Database_Productkaarten[#All],47,FALSE)*Ontwerpberekening!L40,0)/Ontwerpberekening!$A$2</f>
        <v>0</v>
      </c>
      <c r="P165" s="93">
        <f>(IF(Ontwerpberekening!C40="Nieuwe Situatie",(_xlfn.IFNA(VLOOKUP(Referentie_Hernieuwbare_Energie_Totaal47[[#This Row],[Product]]&amp;", "&amp;Referentie_Hernieuwbare_Energie_Totaal47[[#Headers],[D1]],Database_Productkaarten[#All],47,FALSE),0)*Ontwerpberekening!L40),0))/Ontwerpberekening!$A$2</f>
        <v>0</v>
      </c>
      <c r="Q165" s="95">
        <f>(IF(Ontwerpberekening!C40="Nieuwe Situatie",_xlfn.IFNA(VLOOKUP(Referentie_Hernieuwbare_Energie_Totaal47[[#This Row],[Product]]&amp;", "&amp;Referentie_Hernieuwbare_Energie_Totaal47[[#Headers],[D2]],Database_Productkaarten[#All],47,FALSE),0)*Ontwerpberekening!L40,0))/Ontwerpberekening!$A$2</f>
        <v>0</v>
      </c>
      <c r="R165" s="72">
        <f>SUM(Referentie_Hernieuwbare_Energie_Totaal47[[#This Row],[A1]:[D2]])</f>
        <v>0</v>
      </c>
    </row>
    <row r="166" spans="2:18" ht="18.5" thickBot="1" x14ac:dyDescent="0.6">
      <c r="B166" s="67">
        <f>Ontwerpberekening!B41</f>
        <v>0</v>
      </c>
      <c r="C166" s="96">
        <f>Ontwerpberekening!F41</f>
        <v>0</v>
      </c>
      <c r="D166" s="93">
        <f>(IF(Ontwerpberekening!C41="Nieuwe Situatie",(_xlfn.IFNA(VLOOKUP(Referentie_Hernieuwbare_Energie_Totaal47[[#This Row],[Product]]&amp;", "&amp;Referentie_Hernieuwbare_Energie_Totaal47[[#Headers],[A1]],Database_Productkaarten[#All],47,FALSE),0)*Ontwerpberekening!L41),0))/Ontwerpberekening!$A$2</f>
        <v>0</v>
      </c>
      <c r="E166" s="93">
        <f>(IF(Ontwerpberekening!C41="Nieuwe Situatie",(_xlfn.IFNA(VLOOKUP(Referentie_Hernieuwbare_Energie_Totaal47[[#This Row],[Product]]&amp;", "&amp;Referentie_Hernieuwbare_Energie_Totaal47[[#Headers],[A2]],Database_Productkaarten[#All],47,FALSE),0)*Ontwerpberekening!L41),0))/Ontwerpberekening!$A$2</f>
        <v>0</v>
      </c>
      <c r="F166" s="93">
        <f>(IF(Ontwerpberekening!C41="Nieuwe Situatie",(_xlfn.IFNA(VLOOKUP(Referentie_Hernieuwbare_Energie_Totaal47[[#This Row],[Product]]&amp;", "&amp;Referentie_Hernieuwbare_Energie_Totaal47[[#Headers],[A3]],Database_Productkaarten[#All],47,FALSE),0)*Ontwerpberekening!L41),0))/Ontwerpberekening!$A$2</f>
        <v>0</v>
      </c>
      <c r="G166" s="93">
        <f>(IF(Ontwerpberekening!C41="Nieuwe Situatie",(_xlfn.IFNA(VLOOKUP(Referentie_Hernieuwbare_Energie_Totaal47[[#This Row],[Product]]&amp;", "&amp;Referentie_Hernieuwbare_Energie_Totaal47[[#Headers],[A4]],Database_Productkaarten[#All],47,FALSE),0)*Ontwerpberekening!L41),0))/Ontwerpberekening!$A$2</f>
        <v>0</v>
      </c>
      <c r="H166" s="93">
        <f>(IF(Ontwerpberekening!C41="Nieuwe Situatie",(_xlfn.IFNA(VLOOKUP(Referentie_Hernieuwbare_Energie_Totaal47[[#This Row],[Product]]&amp;", "&amp;Referentie_Hernieuwbare_Energie_Totaal47[[#Headers],[A5]],Database_Productkaarten[#All],47,FALSE),0)*Ontwerpberekening!L41),0))/Ontwerpberekening!$A$2</f>
        <v>0</v>
      </c>
      <c r="I166" s="93">
        <f>(IF(Ontwerpberekening!C41="Nieuwe Situatie",(_xlfn.IFNA(VLOOKUP(Referentie_Hernieuwbare_Energie_Totaal47[[#This Row],[Product]]&amp;", "&amp;Referentie_Hernieuwbare_Energie_Totaal47[[#Headers],[B1]],Database_Productkaarten[#All],47,FALSE),0)*Ontwerpberekening!L41),0))/Ontwerpberekening!$A$2</f>
        <v>0</v>
      </c>
      <c r="J166" s="93"/>
      <c r="K166" s="93">
        <f>(IF(Ontwerpberekening!C41="Nieuwe Situatie",(SUM(Referentie_Hernieuwbare_Energie_Totaal47[[#This Row],[A1]:[B1]],Referentie_Hernieuwbare_Energie_Totaal47[[#This Row],[C1]:[D2]])*Ontwerpberekening!M41),0))/Ontwerpberekening!$A$2</f>
        <v>0</v>
      </c>
      <c r="L166" s="93">
        <f>_xlfn.IFNA(VLOOKUP(Referentie_Hernieuwbare_Energie_Totaal47[[#This Row],[Product]]&amp;", "&amp;Referentie_Hernieuwbare_Energie_Totaal47[[#Headers],[C1]],Database_Productkaarten[#All],47,FALSE)*Ontwerpberekening!L41,0)/Ontwerpberekening!$A$2</f>
        <v>0</v>
      </c>
      <c r="M166" s="93">
        <f>_xlfn.IFNA(VLOOKUP(Referentie_Hernieuwbare_Energie_Totaal47[[#This Row],[Product]]&amp;", "&amp;Referentie_Hernieuwbare_Energie_Totaal47[[#Headers],[C2]],Database_Productkaarten[#All],47,FALSE)*Ontwerpberekening!L41,0)/Ontwerpberekening!$A$2</f>
        <v>0</v>
      </c>
      <c r="N166" s="93">
        <f>_xlfn.IFNA(VLOOKUP(Referentie_Hernieuwbare_Energie_Totaal47[[#This Row],[Product]]&amp;", "&amp;Referentie_Hernieuwbare_Energie_Totaal47[[#Headers],[C3]],Database_Productkaarten[#All],47,FALSE)*Ontwerpberekening!L41,0)/Ontwerpberekening!$A$2</f>
        <v>0</v>
      </c>
      <c r="O166" s="93">
        <f>_xlfn.IFNA(VLOOKUP(Referentie_Hernieuwbare_Energie_Totaal47[[#This Row],[Product]]&amp;", "&amp;Referentie_Hernieuwbare_Energie_Totaal47[[#Headers],[C4]],Database_Productkaarten[#All],47,FALSE)*Ontwerpberekening!L41,0)/Ontwerpberekening!$A$2</f>
        <v>0</v>
      </c>
      <c r="P166" s="93">
        <f>(IF(Ontwerpberekening!C41="Nieuwe Situatie",(_xlfn.IFNA(VLOOKUP(Referentie_Hernieuwbare_Energie_Totaal47[[#This Row],[Product]]&amp;", "&amp;Referentie_Hernieuwbare_Energie_Totaal47[[#Headers],[D1]],Database_Productkaarten[#All],47,FALSE),0)*Ontwerpberekening!L41),0))/Ontwerpberekening!$A$2</f>
        <v>0</v>
      </c>
      <c r="Q166" s="95">
        <f>(IF(Ontwerpberekening!C41="Nieuwe Situatie",_xlfn.IFNA(VLOOKUP(Referentie_Hernieuwbare_Energie_Totaal47[[#This Row],[Product]]&amp;", "&amp;Referentie_Hernieuwbare_Energie_Totaal47[[#Headers],[D2]],Database_Productkaarten[#All],47,FALSE),0)*Ontwerpberekening!L41,0))/Ontwerpberekening!$A$2</f>
        <v>0</v>
      </c>
      <c r="R166" s="72">
        <f>SUM(Referentie_Hernieuwbare_Energie_Totaal47[[#This Row],[A1]:[D2]])</f>
        <v>0</v>
      </c>
    </row>
    <row r="167" spans="2:18" ht="18.5" thickTop="1" x14ac:dyDescent="0.55000000000000004">
      <c r="B167" s="68" t="s">
        <v>16</v>
      </c>
      <c r="C167" s="69"/>
      <c r="D167" s="213">
        <f>SUBTOTAL(109,Referentie_Hernieuwbare_Energie_Totaal47[A1])</f>
        <v>2182.9298440674552</v>
      </c>
      <c r="E167" s="213">
        <f>SUBTOTAL(109,Referentie_Hernieuwbare_Energie_Totaal47[A2])</f>
        <v>756.63442278244406</v>
      </c>
      <c r="F167" s="213">
        <f>SUBTOTAL(109,Referentie_Hernieuwbare_Energie_Totaal47[A3])</f>
        <v>637.54401426241679</v>
      </c>
      <c r="G167" s="213">
        <f>SUBTOTAL(109,Referentie_Hernieuwbare_Energie_Totaal47[A4])</f>
        <v>62.052365149800004</v>
      </c>
      <c r="H167" s="213">
        <f>SUBTOTAL(109,Referentie_Hernieuwbare_Energie_Totaal47[A5])</f>
        <v>12.780138921075082</v>
      </c>
      <c r="I167" s="213">
        <f>SUBTOTAL(109,Referentie_Hernieuwbare_Energie_Totaal47[B1])</f>
        <v>0</v>
      </c>
      <c r="J167" s="213"/>
      <c r="K167" s="213">
        <f>SUBTOTAL(109,Referentie_Hernieuwbare_Energie_Totaal47[B4])</f>
        <v>22.032422271907375</v>
      </c>
      <c r="L167" s="213">
        <f>SUBTOTAL(109,Referentie_Hernieuwbare_Energie_Totaal47[C1])</f>
        <v>17.322375565509294</v>
      </c>
      <c r="M167" s="213">
        <f>SUBTOTAL(109,Referentie_Hernieuwbare_Energie_Totaal47[C2])</f>
        <v>1606.1207110965604</v>
      </c>
      <c r="N167" s="213">
        <f>SUBTOTAL(109,Referentie_Hernieuwbare_Energie_Totaal47[C3])</f>
        <v>16.96822826813148</v>
      </c>
      <c r="O167" s="213">
        <f>SUBTOTAL(109,Referentie_Hernieuwbare_Energie_Totaal47[C4])</f>
        <v>0</v>
      </c>
      <c r="P167" s="213">
        <f>SUBTOTAL(109,Referentie_Hernieuwbare_Energie_Totaal47[D1])</f>
        <v>-1432.1488208487294</v>
      </c>
      <c r="Q167" s="214">
        <f>SUBTOTAL(109,Referentie_Hernieuwbare_Energie_Totaal47[D2])</f>
        <v>0</v>
      </c>
      <c r="R167" s="215">
        <f>SUBTOTAL(109,Referentie_Hernieuwbare_Energie_Totaal47[Totaal])</f>
        <v>3882.2357015365696</v>
      </c>
    </row>
    <row r="168" spans="2:18" ht="18" x14ac:dyDescent="0.55000000000000004">
      <c r="B168" s="17"/>
      <c r="C168" s="17"/>
      <c r="D168" s="17"/>
      <c r="E168" s="17"/>
      <c r="F168" s="17"/>
      <c r="G168" s="17"/>
      <c r="H168" s="17"/>
      <c r="I168" s="17"/>
      <c r="J168" s="17"/>
      <c r="K168" s="17"/>
      <c r="L168" s="17"/>
      <c r="M168" s="17"/>
      <c r="N168" s="17"/>
      <c r="O168" s="17"/>
      <c r="P168" s="17"/>
    </row>
    <row r="169" spans="2:18" ht="18" x14ac:dyDescent="0.55000000000000004">
      <c r="B169" s="17"/>
      <c r="C169" s="17"/>
      <c r="D169" s="17"/>
      <c r="E169" s="17"/>
      <c r="F169" s="17"/>
      <c r="G169" s="17"/>
      <c r="H169" s="17"/>
      <c r="I169" s="17"/>
      <c r="J169" s="17"/>
      <c r="K169" s="17"/>
      <c r="L169" s="17"/>
      <c r="M169" s="17"/>
      <c r="N169" s="17"/>
      <c r="O169" s="17"/>
      <c r="P169" s="17"/>
    </row>
    <row r="170" spans="2:18" ht="22" x14ac:dyDescent="0.65">
      <c r="B170" s="134" t="s">
        <v>366</v>
      </c>
      <c r="C170" s="134"/>
      <c r="D170" s="134"/>
      <c r="E170" s="17"/>
      <c r="F170" s="17"/>
      <c r="G170" s="17"/>
      <c r="H170" s="17"/>
      <c r="I170" s="17"/>
      <c r="J170" s="17"/>
      <c r="K170" s="17"/>
      <c r="L170" s="17"/>
      <c r="M170" s="17"/>
      <c r="N170" s="17"/>
      <c r="O170" s="17"/>
      <c r="P170" s="17"/>
    </row>
    <row r="171" spans="2:18" ht="18.5" thickBot="1" x14ac:dyDescent="0.6">
      <c r="B171" s="65" t="s">
        <v>55</v>
      </c>
      <c r="C171" s="66" t="s">
        <v>4</v>
      </c>
      <c r="D171" s="79" t="s">
        <v>19</v>
      </c>
      <c r="E171" s="80" t="s">
        <v>20</v>
      </c>
      <c r="F171" s="81" t="s">
        <v>21</v>
      </c>
      <c r="G171" s="82" t="s">
        <v>22</v>
      </c>
      <c r="H171" s="83" t="s">
        <v>23</v>
      </c>
      <c r="I171" s="84" t="s">
        <v>24</v>
      </c>
      <c r="J171" s="84" t="s">
        <v>604</v>
      </c>
      <c r="K171" s="85" t="s">
        <v>50</v>
      </c>
      <c r="L171" s="86" t="s">
        <v>25</v>
      </c>
      <c r="M171" s="87" t="s">
        <v>26</v>
      </c>
      <c r="N171" s="88" t="s">
        <v>27</v>
      </c>
      <c r="O171" s="89" t="s">
        <v>28</v>
      </c>
      <c r="P171" s="90" t="s">
        <v>51</v>
      </c>
      <c r="Q171" s="91" t="s">
        <v>52</v>
      </c>
      <c r="R171" s="192" t="s">
        <v>16</v>
      </c>
    </row>
    <row r="172" spans="2:18" ht="18.5" thickTop="1" x14ac:dyDescent="0.55000000000000004">
      <c r="B172" s="67" t="str">
        <f>Ontwerpberekening!B5</f>
        <v>Baseline</v>
      </c>
      <c r="C172" s="92" t="str">
        <f>Ontwerpberekening!F5</f>
        <v>AC Surf 0% PR - PCR 2.0</v>
      </c>
      <c r="D172" s="93">
        <f>(IF(Ontwerpberekening!C5="Nieuwe Situatie",(_xlfn.IFNA(VLOOKUP(Referentie_Fossiele_Energie_Totaal48[[#This Row],[Product]]&amp;", "&amp;Referentie_Fossiele_Energie_Totaal48[[#Headers],[A1]],Database_Productkaarten[#All],50,FALSE),0)*Ontwerpberekening!L5),0))/Ontwerpberekening!$A$2</f>
        <v>0</v>
      </c>
      <c r="E172" s="93">
        <f>(IF(Ontwerpberekening!C5="Nieuwe Situatie",(_xlfn.IFNA(VLOOKUP(Referentie_Fossiele_Energie_Totaal48[[#This Row],[Product]]&amp;", "&amp;Referentie_Fossiele_Energie_Totaal48[[#Headers],[A2]],Database_Productkaarten[#All],50,FALSE),0)*Ontwerpberekening!L5),0))/Ontwerpberekening!$A$2</f>
        <v>0</v>
      </c>
      <c r="F172" s="93">
        <f>(IF(Ontwerpberekening!C5="Nieuwe Situatie",(_xlfn.IFNA(VLOOKUP(Referentie_Fossiele_Energie_Totaal48[[#This Row],[Product]]&amp;", "&amp;Referentie_Fossiele_Energie_Totaal48[[#Headers],[A3]],Database_Productkaarten[#All],50,FALSE),0)*Ontwerpberekening!L5),0))/Ontwerpberekening!$A$2</f>
        <v>0</v>
      </c>
      <c r="G172" s="93">
        <f>(IF(Ontwerpberekening!C5="Nieuwe Situatie",(_xlfn.IFNA(VLOOKUP(Referentie_Fossiele_Energie_Totaal48[[#This Row],[Product]]&amp;", "&amp;Referentie_Fossiele_Energie_Totaal48[[#Headers],[A4]],Database_Productkaarten[#All],50,FALSE),0)*Ontwerpberekening!L5),0))/Ontwerpberekening!$A$2</f>
        <v>0</v>
      </c>
      <c r="H172" s="93">
        <f>(IF(Ontwerpberekening!C5="Nieuwe Situatie",(_xlfn.IFNA(VLOOKUP(Referentie_Fossiele_Energie_Totaal48[[#This Row],[Product]]&amp;", "&amp;Referentie_Fossiele_Energie_Totaal48[[#Headers],[A5]],Database_Productkaarten[#All],50,FALSE),0)*Ontwerpberekening!L5),0))/Ontwerpberekening!$A$2</f>
        <v>0</v>
      </c>
      <c r="I172" s="93">
        <f>(IF(Ontwerpberekening!C5="Nieuwe Situatie",(_xlfn.IFNA(VLOOKUP(Referentie_Fossiele_Energie_Totaal48[[#This Row],[Product]]&amp;", "&amp;Referentie_Fossiele_Energie_Totaal48[[#Headers],[B1]],Database_Productkaarten[#All],50,FALSE),0)*Ontwerpberekening!L5),0))/Ontwerpberekening!$A$2</f>
        <v>0</v>
      </c>
      <c r="J172" s="93"/>
      <c r="K172" s="93">
        <f>(IF(Ontwerpberekening!C5="Nieuwe Situatie",(SUM(Referentie_Fossiele_Energie_Totaal48[[#This Row],[A1]:[B1]],Referentie_Fossiele_Energie_Totaal48[[#This Row],[C1]:[D2]])*Ontwerpberekening!M5),0))/Ontwerpberekening!$A$2</f>
        <v>0</v>
      </c>
      <c r="L172" s="93">
        <f>_xlfn.IFNA(VLOOKUP(Referentie_Fossiele_Energie_Totaal48[[#This Row],[Product]]&amp;", "&amp;Referentie_Fossiele_Energie_Totaal48[[#Headers],[C1]],Database_Productkaarten[#All],50,FALSE)*Ontwerpberekening!L5,0)/Ontwerpberekening!$A$2</f>
        <v>651.71125516004281</v>
      </c>
      <c r="M172" s="93">
        <f>_xlfn.IFNA(VLOOKUP(Referentie_Fossiele_Energie_Totaal48[[#This Row],[Product]]&amp;", "&amp;Referentie_Fossiele_Energie_Totaal48[[#Headers],[C2]],Database_Productkaarten[#All],50,FALSE)*Ontwerpberekening!L5,0)/Ontwerpberekening!$A$2</f>
        <v>2283.5657609208001</v>
      </c>
      <c r="N172" s="93">
        <f>_xlfn.IFNA(VLOOKUP(Referentie_Fossiele_Energie_Totaal48[[#This Row],[Product]]&amp;", "&amp;Referentie_Fossiele_Energie_Totaal48[[#Headers],[C3]],Database_Productkaarten[#All],50,FALSE)*Ontwerpberekening!L5,0)/Ontwerpberekening!$A$2</f>
        <v>730.70655881580683</v>
      </c>
      <c r="O172" s="93">
        <f>_xlfn.IFNA(VLOOKUP(Referentie_Fossiele_Energie_Totaal48[[#This Row],[Product]]&amp;", "&amp;Referentie_Fossiele_Energie_Totaal48[[#Headers],[C4]],Database_Productkaarten[#All],50,FALSE)*Ontwerpberekening!L5,0)/Ontwerpberekening!$A$2</f>
        <v>0</v>
      </c>
      <c r="P172" s="93">
        <f>(IF(Ontwerpberekening!C5="Nieuwe Situatie",(_xlfn.IFNA(VLOOKUP(Referentie_Fossiele_Energie_Totaal48[[#This Row],[Product]]&amp;", "&amp;Referentie_Fossiele_Energie_Totaal48[[#Headers],[D1]],Database_Productkaarten[#All],50,FALSE),0)*Ontwerpberekening!L5),0))/Ontwerpberekening!$A$2</f>
        <v>0</v>
      </c>
      <c r="Q172" s="94">
        <f>(IF(Ontwerpberekening!C5="Nieuwe Situatie",_xlfn.IFNA(VLOOKUP(Referentie_Fossiele_Energie_Totaal48[[#This Row],[Product]]&amp;", "&amp;Referentie_Fossiele_Energie_Totaal48[[#Headers],[D2]],Database_Productkaarten[#All],50,FALSE),0)*Ontwerpberekening!L5,0))/Ontwerpberekening!$A$2</f>
        <v>0</v>
      </c>
      <c r="R172" s="72">
        <f>SUM(Referentie_Fossiele_Energie_Totaal48[[#This Row],[A1]:[D2]])</f>
        <v>3665.9835748966498</v>
      </c>
    </row>
    <row r="173" spans="2:18" ht="18" x14ac:dyDescent="0.55000000000000004">
      <c r="B173" s="67" t="str">
        <f>Ontwerpberekening!B6</f>
        <v>Baseline</v>
      </c>
      <c r="C173" s="92" t="str">
        <f>Ontwerpberekening!F6</f>
        <v>AC bin/base 50% PR - PCR 2.0</v>
      </c>
      <c r="D173" s="93">
        <f>(IF(Ontwerpberekening!C6="Nieuwe Situatie",(_xlfn.IFNA(VLOOKUP(Referentie_Fossiele_Energie_Totaal48[[#This Row],[Product]]&amp;", "&amp;Referentie_Fossiele_Energie_Totaal48[[#Headers],[A1]],Database_Productkaarten[#All],50,FALSE),0)*Ontwerpberekening!L6),0))/Ontwerpberekening!$A$2</f>
        <v>0</v>
      </c>
      <c r="E173" s="93">
        <f>(IF(Ontwerpberekening!C6="Nieuwe Situatie",(_xlfn.IFNA(VLOOKUP(Referentie_Fossiele_Energie_Totaal48[[#This Row],[Product]]&amp;", "&amp;Referentie_Fossiele_Energie_Totaal48[[#Headers],[A2]],Database_Productkaarten[#All],50,FALSE),0)*Ontwerpberekening!L6),0))/Ontwerpberekening!$A$2</f>
        <v>0</v>
      </c>
      <c r="F173" s="93">
        <f>(IF(Ontwerpberekening!C6="Nieuwe Situatie",(_xlfn.IFNA(VLOOKUP(Referentie_Fossiele_Energie_Totaal48[[#This Row],[Product]]&amp;", "&amp;Referentie_Fossiele_Energie_Totaal48[[#Headers],[A3]],Database_Productkaarten[#All],50,FALSE),0)*Ontwerpberekening!L6),0))/Ontwerpberekening!$A$2</f>
        <v>0</v>
      </c>
      <c r="G173" s="93">
        <f>(IF(Ontwerpberekening!C6="Nieuwe Situatie",(_xlfn.IFNA(VLOOKUP(Referentie_Fossiele_Energie_Totaal48[[#This Row],[Product]]&amp;", "&amp;Referentie_Fossiele_Energie_Totaal48[[#Headers],[A4]],Database_Productkaarten[#All],50,FALSE),0)*Ontwerpberekening!L6),0))/Ontwerpberekening!$A$2</f>
        <v>0</v>
      </c>
      <c r="H173" s="93">
        <f>(IF(Ontwerpberekening!C6="Nieuwe Situatie",(_xlfn.IFNA(VLOOKUP(Referentie_Fossiele_Energie_Totaal48[[#This Row],[Product]]&amp;", "&amp;Referentie_Fossiele_Energie_Totaal48[[#Headers],[A5]],Database_Productkaarten[#All],50,FALSE),0)*Ontwerpberekening!L6),0))/Ontwerpberekening!$A$2</f>
        <v>0</v>
      </c>
      <c r="I173" s="93">
        <f>(IF(Ontwerpberekening!C6="Nieuwe Situatie",(_xlfn.IFNA(VLOOKUP(Referentie_Fossiele_Energie_Totaal48[[#This Row],[Product]]&amp;", "&amp;Referentie_Fossiele_Energie_Totaal48[[#Headers],[B1]],Database_Productkaarten[#All],50,FALSE),0)*Ontwerpberekening!L6),0))/Ontwerpberekening!$A$2</f>
        <v>0</v>
      </c>
      <c r="J173" s="93"/>
      <c r="K173" s="93">
        <f>(IF(Ontwerpberekening!C6="Nieuwe Situatie",(SUM(Referentie_Fossiele_Energie_Totaal48[[#This Row],[A1]:[B1]],Referentie_Fossiele_Energie_Totaal48[[#This Row],[C1]:[D2]])*Ontwerpberekening!M6),0))/Ontwerpberekening!$A$2</f>
        <v>0</v>
      </c>
      <c r="L173" s="93">
        <f>_xlfn.IFNA(VLOOKUP(Referentie_Fossiele_Energie_Totaal48[[#This Row],[Product]]&amp;", "&amp;Referentie_Fossiele_Energie_Totaal48[[#Headers],[C1]],Database_Productkaarten[#All],50,FALSE)*Ontwerpberekening!L6,0)/Ontwerpberekening!$A$2</f>
        <v>118.39685495836289</v>
      </c>
      <c r="M173" s="93">
        <f>_xlfn.IFNA(VLOOKUP(Referentie_Fossiele_Energie_Totaal48[[#This Row],[Product]]&amp;", "&amp;Referentie_Fossiele_Energie_Totaal48[[#Headers],[C2]],Database_Productkaarten[#All],50,FALSE)*Ontwerpberekening!L6,0)/Ontwerpberekening!$A$2</f>
        <v>177.7958743296</v>
      </c>
      <c r="N173" s="93">
        <f>_xlfn.IFNA(VLOOKUP(Referentie_Fossiele_Energie_Totaal48[[#This Row],[Product]]&amp;", "&amp;Referentie_Fossiele_Energie_Totaal48[[#Headers],[C3]],Database_Productkaarten[#All],50,FALSE)*Ontwerpberekening!L6,0)/Ontwerpberekening!$A$2</f>
        <v>56.891995239732793</v>
      </c>
      <c r="O173" s="93">
        <f>_xlfn.IFNA(VLOOKUP(Referentie_Fossiele_Energie_Totaal48[[#This Row],[Product]]&amp;", "&amp;Referentie_Fossiele_Energie_Totaal48[[#Headers],[C4]],Database_Productkaarten[#All],50,FALSE)*Ontwerpberekening!L6,0)/Ontwerpberekening!$A$2</f>
        <v>0</v>
      </c>
      <c r="P173" s="93">
        <f>(IF(Ontwerpberekening!C6="Nieuwe Situatie",(_xlfn.IFNA(VLOOKUP(Referentie_Fossiele_Energie_Totaal48[[#This Row],[Product]]&amp;", "&amp;Referentie_Fossiele_Energie_Totaal48[[#Headers],[D1]],Database_Productkaarten[#All],50,FALSE),0)*Ontwerpberekening!L6),0))/Ontwerpberekening!$A$2</f>
        <v>0</v>
      </c>
      <c r="Q173" s="94">
        <f>(IF(Ontwerpberekening!C6="Nieuwe Situatie",_xlfn.IFNA(VLOOKUP(Referentie_Fossiele_Energie_Totaal48[[#This Row],[Product]]&amp;", "&amp;Referentie_Fossiele_Energie_Totaal48[[#Headers],[D2]],Database_Productkaarten[#All],50,FALSE),0)*Ontwerpberekening!L6,0))/Ontwerpberekening!$A$2</f>
        <v>0</v>
      </c>
      <c r="R173" s="72">
        <f>SUM(Referentie_Fossiele_Energie_Totaal48[[#This Row],[A1]:[D2]])</f>
        <v>353.0847245276957</v>
      </c>
    </row>
    <row r="174" spans="2:18" ht="18" x14ac:dyDescent="0.55000000000000004">
      <c r="B174" s="67" t="str">
        <f>Ontwerpberekening!B7</f>
        <v>Baseline</v>
      </c>
      <c r="C174" s="92" t="str">
        <f>Ontwerpberekening!F7</f>
        <v>AC bin/base 50% PR - PCR 2.0</v>
      </c>
      <c r="D174" s="93">
        <f>(IF(Ontwerpberekening!C7="Nieuwe Situatie",(_xlfn.IFNA(VLOOKUP(Referentie_Fossiele_Energie_Totaal48[[#This Row],[Product]]&amp;", "&amp;Referentie_Fossiele_Energie_Totaal48[[#Headers],[A1]],Database_Productkaarten[#All],50,FALSE),0)*Ontwerpberekening!L7),0))/Ontwerpberekening!$A$2</f>
        <v>0</v>
      </c>
      <c r="E174" s="93">
        <f>(IF(Ontwerpberekening!C7="Nieuwe Situatie",(_xlfn.IFNA(VLOOKUP(Referentie_Fossiele_Energie_Totaal48[[#This Row],[Product]]&amp;", "&amp;Referentie_Fossiele_Energie_Totaal48[[#Headers],[A2]],Database_Productkaarten[#All],50,FALSE),0)*Ontwerpberekening!L7),0))/Ontwerpberekening!$A$2</f>
        <v>0</v>
      </c>
      <c r="F174" s="93">
        <f>(IF(Ontwerpberekening!C7="Nieuwe Situatie",(_xlfn.IFNA(VLOOKUP(Referentie_Fossiele_Energie_Totaal48[[#This Row],[Product]]&amp;", "&amp;Referentie_Fossiele_Energie_Totaal48[[#Headers],[A3]],Database_Productkaarten[#All],50,FALSE),0)*Ontwerpberekening!L7),0))/Ontwerpberekening!$A$2</f>
        <v>0</v>
      </c>
      <c r="G174" s="93">
        <f>(IF(Ontwerpberekening!C7="Nieuwe Situatie",(_xlfn.IFNA(VLOOKUP(Referentie_Fossiele_Energie_Totaal48[[#This Row],[Product]]&amp;", "&amp;Referentie_Fossiele_Energie_Totaal48[[#Headers],[A4]],Database_Productkaarten[#All],50,FALSE),0)*Ontwerpberekening!L7),0))/Ontwerpberekening!$A$2</f>
        <v>0</v>
      </c>
      <c r="H174" s="93">
        <f>(IF(Ontwerpberekening!C7="Nieuwe Situatie",(_xlfn.IFNA(VLOOKUP(Referentie_Fossiele_Energie_Totaal48[[#This Row],[Product]]&amp;", "&amp;Referentie_Fossiele_Energie_Totaal48[[#Headers],[A5]],Database_Productkaarten[#All],50,FALSE),0)*Ontwerpberekening!L7),0))/Ontwerpberekening!$A$2</f>
        <v>0</v>
      </c>
      <c r="I174" s="93">
        <f>(IF(Ontwerpberekening!C7="Nieuwe Situatie",(_xlfn.IFNA(VLOOKUP(Referentie_Fossiele_Energie_Totaal48[[#This Row],[Product]]&amp;", "&amp;Referentie_Fossiele_Energie_Totaal48[[#Headers],[B1]],Database_Productkaarten[#All],50,FALSE),0)*Ontwerpberekening!L7),0))/Ontwerpberekening!$A$2</f>
        <v>0</v>
      </c>
      <c r="J174" s="93"/>
      <c r="K174" s="93">
        <f>(IF(Ontwerpberekening!C7="Nieuwe Situatie",(SUM(Referentie_Fossiele_Energie_Totaal48[[#This Row],[A1]:[B1]],Referentie_Fossiele_Energie_Totaal48[[#This Row],[C1]:[D2]])*Ontwerpberekening!M7),0))/Ontwerpberekening!$A$2</f>
        <v>0</v>
      </c>
      <c r="L174" s="93">
        <f>_xlfn.IFNA(VLOOKUP(Referentie_Fossiele_Energie_Totaal48[[#This Row],[Product]]&amp;", "&amp;Referentie_Fossiele_Energie_Totaal48[[#Headers],[C1]],Database_Productkaarten[#All],50,FALSE)*Ontwerpberekening!L7,0)/Ontwerpberekening!$A$2</f>
        <v>36.999017174488401</v>
      </c>
      <c r="M174" s="93">
        <f>_xlfn.IFNA(VLOOKUP(Referentie_Fossiele_Energie_Totaal48[[#This Row],[Product]]&amp;", "&amp;Referentie_Fossiele_Energie_Totaal48[[#Headers],[C2]],Database_Productkaarten[#All],50,FALSE)*Ontwerpberekening!L7,0)/Ontwerpberekening!$A$2</f>
        <v>55.561210727999999</v>
      </c>
      <c r="N174" s="93">
        <f>_xlfn.IFNA(VLOOKUP(Referentie_Fossiele_Energie_Totaal48[[#This Row],[Product]]&amp;", "&amp;Referentie_Fossiele_Energie_Totaal48[[#Headers],[C3]],Database_Productkaarten[#All],50,FALSE)*Ontwerpberekening!L7,0)/Ontwerpberekening!$A$2</f>
        <v>17.778748512416499</v>
      </c>
      <c r="O174" s="93">
        <f>_xlfn.IFNA(VLOOKUP(Referentie_Fossiele_Energie_Totaal48[[#This Row],[Product]]&amp;", "&amp;Referentie_Fossiele_Energie_Totaal48[[#Headers],[C4]],Database_Productkaarten[#All],50,FALSE)*Ontwerpberekening!L7,0)/Ontwerpberekening!$A$2</f>
        <v>0</v>
      </c>
      <c r="P174" s="93">
        <f>(IF(Ontwerpberekening!C7="Nieuwe Situatie",(_xlfn.IFNA(VLOOKUP(Referentie_Fossiele_Energie_Totaal48[[#This Row],[Product]]&amp;", "&amp;Referentie_Fossiele_Energie_Totaal48[[#Headers],[D1]],Database_Productkaarten[#All],50,FALSE),0)*Ontwerpberekening!L7),0))/Ontwerpberekening!$A$2</f>
        <v>0</v>
      </c>
      <c r="Q174" s="94">
        <f>(IF(Ontwerpberekening!C7="Nieuwe Situatie",_xlfn.IFNA(VLOOKUP(Referentie_Fossiele_Energie_Totaal48[[#This Row],[Product]]&amp;", "&amp;Referentie_Fossiele_Energie_Totaal48[[#Headers],[D2]],Database_Productkaarten[#All],50,FALSE),0)*Ontwerpberekening!L7,0))/Ontwerpberekening!$A$2</f>
        <v>0</v>
      </c>
      <c r="R174" s="72">
        <f>SUM(Referentie_Fossiele_Energie_Totaal48[[#This Row],[A1]:[D2]])</f>
        <v>110.33897641490491</v>
      </c>
    </row>
    <row r="175" spans="2:18" ht="18" x14ac:dyDescent="0.55000000000000004">
      <c r="B175" s="67" t="str">
        <f>Ontwerpberekening!B8</f>
        <v>Baseline</v>
      </c>
      <c r="C175" s="92" t="str">
        <f>Ontwerpberekening!F8</f>
        <v>Betonstraatsteen 210x105x80</v>
      </c>
      <c r="D175" s="93">
        <f>(IF(Ontwerpberekening!C8="Nieuwe Situatie",(_xlfn.IFNA(VLOOKUP(Referentie_Fossiele_Energie_Totaal48[[#This Row],[Product]]&amp;", "&amp;Referentie_Fossiele_Energie_Totaal48[[#Headers],[A1]],Database_Productkaarten[#All],50,FALSE),0)*Ontwerpberekening!L8),0))/Ontwerpberekening!$A$2</f>
        <v>0</v>
      </c>
      <c r="E175" s="93">
        <f>(IF(Ontwerpberekening!C8="Nieuwe Situatie",(_xlfn.IFNA(VLOOKUP(Referentie_Fossiele_Energie_Totaal48[[#This Row],[Product]]&amp;", "&amp;Referentie_Fossiele_Energie_Totaal48[[#Headers],[A2]],Database_Productkaarten[#All],50,FALSE),0)*Ontwerpberekening!L8),0))/Ontwerpberekening!$A$2</f>
        <v>0</v>
      </c>
      <c r="F175" s="93">
        <f>(IF(Ontwerpberekening!C8="Nieuwe Situatie",(_xlfn.IFNA(VLOOKUP(Referentie_Fossiele_Energie_Totaal48[[#This Row],[Product]]&amp;", "&amp;Referentie_Fossiele_Energie_Totaal48[[#Headers],[A3]],Database_Productkaarten[#All],50,FALSE),0)*Ontwerpberekening!L8),0))/Ontwerpberekening!$A$2</f>
        <v>0</v>
      </c>
      <c r="G175" s="93">
        <f>(IF(Ontwerpberekening!C8="Nieuwe Situatie",(_xlfn.IFNA(VLOOKUP(Referentie_Fossiele_Energie_Totaal48[[#This Row],[Product]]&amp;", "&amp;Referentie_Fossiele_Energie_Totaal48[[#Headers],[A4]],Database_Productkaarten[#All],50,FALSE),0)*Ontwerpberekening!L8),0))/Ontwerpberekening!$A$2</f>
        <v>0</v>
      </c>
      <c r="H175" s="93">
        <f>(IF(Ontwerpberekening!C8="Nieuwe Situatie",(_xlfn.IFNA(VLOOKUP(Referentie_Fossiele_Energie_Totaal48[[#This Row],[Product]]&amp;", "&amp;Referentie_Fossiele_Energie_Totaal48[[#Headers],[A5]],Database_Productkaarten[#All],50,FALSE),0)*Ontwerpberekening!L8),0))/Ontwerpberekening!$A$2</f>
        <v>0</v>
      </c>
      <c r="I175" s="93">
        <f>(IF(Ontwerpberekening!C8="Nieuwe Situatie",(_xlfn.IFNA(VLOOKUP(Referentie_Fossiele_Energie_Totaal48[[#This Row],[Product]]&amp;", "&amp;Referentie_Fossiele_Energie_Totaal48[[#Headers],[B1]],Database_Productkaarten[#All],50,FALSE),0)*Ontwerpberekening!L8),0))/Ontwerpberekening!$A$2</f>
        <v>0</v>
      </c>
      <c r="J175" s="93"/>
      <c r="K175" s="93">
        <f>(IF(Ontwerpberekening!C8="Nieuwe Situatie",(SUM(Referentie_Fossiele_Energie_Totaal48[[#This Row],[A1]:[B1]],Referentie_Fossiele_Energie_Totaal48[[#This Row],[C1]:[D2]])*Ontwerpberekening!M8),0))/Ontwerpberekening!$A$2</f>
        <v>0</v>
      </c>
      <c r="L175" s="93">
        <f>_xlfn.IFNA(VLOOKUP(Referentie_Fossiele_Energie_Totaal48[[#This Row],[Product]]&amp;", "&amp;Referentie_Fossiele_Energie_Totaal48[[#Headers],[C1]],Database_Productkaarten[#All],50,FALSE)*Ontwerpberekening!L8,0)/Ontwerpberekening!$A$2</f>
        <v>0</v>
      </c>
      <c r="M175" s="93">
        <f>_xlfn.IFNA(VLOOKUP(Referentie_Fossiele_Energie_Totaal48[[#This Row],[Product]]&amp;", "&amp;Referentie_Fossiele_Energie_Totaal48[[#Headers],[C2]],Database_Productkaarten[#All],50,FALSE)*Ontwerpberekening!L8,0)/Ontwerpberekening!$A$2</f>
        <v>0</v>
      </c>
      <c r="N175" s="93">
        <f>_xlfn.IFNA(VLOOKUP(Referentie_Fossiele_Energie_Totaal48[[#This Row],[Product]]&amp;", "&amp;Referentie_Fossiele_Energie_Totaal48[[#Headers],[C3]],Database_Productkaarten[#All],50,FALSE)*Ontwerpberekening!L8,0)/Ontwerpberekening!$A$2</f>
        <v>0</v>
      </c>
      <c r="O175" s="93">
        <f>_xlfn.IFNA(VLOOKUP(Referentie_Fossiele_Energie_Totaal48[[#This Row],[Product]]&amp;", "&amp;Referentie_Fossiele_Energie_Totaal48[[#Headers],[C4]],Database_Productkaarten[#All],50,FALSE)*Ontwerpberekening!L8,0)/Ontwerpberekening!$A$2</f>
        <v>0</v>
      </c>
      <c r="P175" s="93">
        <f>(IF(Ontwerpberekening!C8="Nieuwe Situatie",(_xlfn.IFNA(VLOOKUP(Referentie_Fossiele_Energie_Totaal48[[#This Row],[Product]]&amp;", "&amp;Referentie_Fossiele_Energie_Totaal48[[#Headers],[D1]],Database_Productkaarten[#All],50,FALSE),0)*Ontwerpberekening!L8),0))/Ontwerpberekening!$A$2</f>
        <v>0</v>
      </c>
      <c r="Q175" s="94">
        <f>(IF(Ontwerpberekening!C8="Nieuwe Situatie",_xlfn.IFNA(VLOOKUP(Referentie_Fossiele_Energie_Totaal48[[#This Row],[Product]]&amp;", "&amp;Referentie_Fossiele_Energie_Totaal48[[#Headers],[D2]],Database_Productkaarten[#All],50,FALSE),0)*Ontwerpberekening!L8,0))/Ontwerpberekening!$A$2</f>
        <v>0</v>
      </c>
      <c r="R175" s="72">
        <f>SUM(Referentie_Fossiele_Energie_Totaal48[[#This Row],[A1]:[D2]])</f>
        <v>0</v>
      </c>
    </row>
    <row r="176" spans="2:18" ht="18" x14ac:dyDescent="0.55000000000000004">
      <c r="B176" s="67" t="str">
        <f>Ontwerpberekening!B9</f>
        <v>Baseline</v>
      </c>
      <c r="C176" s="92" t="str">
        <f>Ontwerpberekening!F9</f>
        <v>Grond</v>
      </c>
      <c r="D176" s="93">
        <f>(IF(Ontwerpberekening!C9="Nieuwe Situatie",(_xlfn.IFNA(VLOOKUP(Referentie_Fossiele_Energie_Totaal48[[#This Row],[Product]]&amp;", "&amp;Referentie_Fossiele_Energie_Totaal48[[#Headers],[A1]],Database_Productkaarten[#All],50,FALSE),0)*Ontwerpberekening!L9),0))/Ontwerpberekening!$A$2</f>
        <v>0</v>
      </c>
      <c r="E176" s="93">
        <f>(IF(Ontwerpberekening!C9="Nieuwe Situatie",(_xlfn.IFNA(VLOOKUP(Referentie_Fossiele_Energie_Totaal48[[#This Row],[Product]]&amp;", "&amp;Referentie_Fossiele_Energie_Totaal48[[#Headers],[A2]],Database_Productkaarten[#All],50,FALSE),0)*Ontwerpberekening!L9),0))/Ontwerpberekening!$A$2</f>
        <v>0</v>
      </c>
      <c r="F176" s="93">
        <f>(IF(Ontwerpberekening!C9="Nieuwe Situatie",(_xlfn.IFNA(VLOOKUP(Referentie_Fossiele_Energie_Totaal48[[#This Row],[Product]]&amp;", "&amp;Referentie_Fossiele_Energie_Totaal48[[#Headers],[A3]],Database_Productkaarten[#All],50,FALSE),0)*Ontwerpberekening!L9),0))/Ontwerpberekening!$A$2</f>
        <v>0</v>
      </c>
      <c r="G176" s="93">
        <f>(IF(Ontwerpberekening!C9="Nieuwe Situatie",(_xlfn.IFNA(VLOOKUP(Referentie_Fossiele_Energie_Totaal48[[#This Row],[Product]]&amp;", "&amp;Referentie_Fossiele_Energie_Totaal48[[#Headers],[A4]],Database_Productkaarten[#All],50,FALSE),0)*Ontwerpberekening!L9),0))/Ontwerpberekening!$A$2</f>
        <v>0</v>
      </c>
      <c r="H176" s="93">
        <f>(IF(Ontwerpberekening!C9="Nieuwe Situatie",(_xlfn.IFNA(VLOOKUP(Referentie_Fossiele_Energie_Totaal48[[#This Row],[Product]]&amp;", "&amp;Referentie_Fossiele_Energie_Totaal48[[#Headers],[A5]],Database_Productkaarten[#All],50,FALSE),0)*Ontwerpberekening!L9),0))/Ontwerpberekening!$A$2</f>
        <v>0</v>
      </c>
      <c r="I176" s="93">
        <f>(IF(Ontwerpberekening!C9="Nieuwe Situatie",(_xlfn.IFNA(VLOOKUP(Referentie_Fossiele_Energie_Totaal48[[#This Row],[Product]]&amp;", "&amp;Referentie_Fossiele_Energie_Totaal48[[#Headers],[B1]],Database_Productkaarten[#All],50,FALSE),0)*Ontwerpberekening!L9),0))/Ontwerpberekening!$A$2</f>
        <v>0</v>
      </c>
      <c r="J176" s="93"/>
      <c r="K176" s="93">
        <f>(IF(Ontwerpberekening!C9="Nieuwe Situatie",(SUM(Referentie_Fossiele_Energie_Totaal48[[#This Row],[A1]:[B1]],Referentie_Fossiele_Energie_Totaal48[[#This Row],[C1]:[D2]])*Ontwerpberekening!M9),0))/Ontwerpberekening!$A$2</f>
        <v>0</v>
      </c>
      <c r="L176" s="93">
        <f>_xlfn.IFNA(VLOOKUP(Referentie_Fossiele_Energie_Totaal48[[#This Row],[Product]]&amp;", "&amp;Referentie_Fossiele_Energie_Totaal48[[#Headers],[C1]],Database_Productkaarten[#All],50,FALSE)*Ontwerpberekening!L9,0)/Ontwerpberekening!$A$2</f>
        <v>0</v>
      </c>
      <c r="M176" s="93">
        <f>_xlfn.IFNA(VLOOKUP(Referentie_Fossiele_Energie_Totaal48[[#This Row],[Product]]&amp;", "&amp;Referentie_Fossiele_Energie_Totaal48[[#Headers],[C2]],Database_Productkaarten[#All],50,FALSE)*Ontwerpberekening!L9,0)/Ontwerpberekening!$A$2</f>
        <v>0</v>
      </c>
      <c r="N176" s="93">
        <f>_xlfn.IFNA(VLOOKUP(Referentie_Fossiele_Energie_Totaal48[[#This Row],[Product]]&amp;", "&amp;Referentie_Fossiele_Energie_Totaal48[[#Headers],[C3]],Database_Productkaarten[#All],50,FALSE)*Ontwerpberekening!L9,0)/Ontwerpberekening!$A$2</f>
        <v>0</v>
      </c>
      <c r="O176" s="93">
        <f>_xlfn.IFNA(VLOOKUP(Referentie_Fossiele_Energie_Totaal48[[#This Row],[Product]]&amp;", "&amp;Referentie_Fossiele_Energie_Totaal48[[#Headers],[C4]],Database_Productkaarten[#All],50,FALSE)*Ontwerpberekening!L9,0)/Ontwerpberekening!$A$2</f>
        <v>0</v>
      </c>
      <c r="P176" s="93">
        <f>(IF(Ontwerpberekening!C9="Nieuwe Situatie",(_xlfn.IFNA(VLOOKUP(Referentie_Fossiele_Energie_Totaal48[[#This Row],[Product]]&amp;", "&amp;Referentie_Fossiele_Energie_Totaal48[[#Headers],[D1]],Database_Productkaarten[#All],50,FALSE),0)*Ontwerpberekening!L9),0))/Ontwerpberekening!$A$2</f>
        <v>0</v>
      </c>
      <c r="Q176" s="94">
        <f>(IF(Ontwerpberekening!C9="Nieuwe Situatie",_xlfn.IFNA(VLOOKUP(Referentie_Fossiele_Energie_Totaal48[[#This Row],[Product]]&amp;", "&amp;Referentie_Fossiele_Energie_Totaal48[[#Headers],[D2]],Database_Productkaarten[#All],50,FALSE),0)*Ontwerpberekening!L9,0))/Ontwerpberekening!$A$2</f>
        <v>0</v>
      </c>
      <c r="R176" s="72">
        <f>SUM(Referentie_Fossiele_Energie_Totaal48[[#This Row],[A1]:[D2]])</f>
        <v>0</v>
      </c>
    </row>
    <row r="177" spans="2:18" ht="18" x14ac:dyDescent="0.55000000000000004">
      <c r="B177" s="67" t="str">
        <f>Ontwerpberekening!B10</f>
        <v>Baseline</v>
      </c>
      <c r="C177" s="92" t="str">
        <f>Ontwerpberekening!F10</f>
        <v>Opsluitband 100x200</v>
      </c>
      <c r="D177" s="93">
        <f>(IF(Ontwerpberekening!C10="Nieuwe Situatie",(_xlfn.IFNA(VLOOKUP(Referentie_Fossiele_Energie_Totaal48[[#This Row],[Product]]&amp;", "&amp;Referentie_Fossiele_Energie_Totaal48[[#Headers],[A1]],Database_Productkaarten[#All],50,FALSE),0)*Ontwerpberekening!L10),0))/Ontwerpberekening!$A$2</f>
        <v>0</v>
      </c>
      <c r="E177" s="93">
        <f>(IF(Ontwerpberekening!C10="Nieuwe Situatie",(_xlfn.IFNA(VLOOKUP(Referentie_Fossiele_Energie_Totaal48[[#This Row],[Product]]&amp;", "&amp;Referentie_Fossiele_Energie_Totaal48[[#Headers],[A2]],Database_Productkaarten[#All],50,FALSE),0)*Ontwerpberekening!L10),0))/Ontwerpberekening!$A$2</f>
        <v>0</v>
      </c>
      <c r="F177" s="93">
        <f>(IF(Ontwerpberekening!C10="Nieuwe Situatie",(_xlfn.IFNA(VLOOKUP(Referentie_Fossiele_Energie_Totaal48[[#This Row],[Product]]&amp;", "&amp;Referentie_Fossiele_Energie_Totaal48[[#Headers],[A3]],Database_Productkaarten[#All],50,FALSE),0)*Ontwerpberekening!L10),0))/Ontwerpberekening!$A$2</f>
        <v>0</v>
      </c>
      <c r="G177" s="93">
        <f>(IF(Ontwerpberekening!C10="Nieuwe Situatie",(_xlfn.IFNA(VLOOKUP(Referentie_Fossiele_Energie_Totaal48[[#This Row],[Product]]&amp;", "&amp;Referentie_Fossiele_Energie_Totaal48[[#Headers],[A4]],Database_Productkaarten[#All],50,FALSE),0)*Ontwerpberekening!L10),0))/Ontwerpberekening!$A$2</f>
        <v>0</v>
      </c>
      <c r="H177" s="93">
        <f>(IF(Ontwerpberekening!C10="Nieuwe Situatie",(_xlfn.IFNA(VLOOKUP(Referentie_Fossiele_Energie_Totaal48[[#This Row],[Product]]&amp;", "&amp;Referentie_Fossiele_Energie_Totaal48[[#Headers],[A5]],Database_Productkaarten[#All],50,FALSE),0)*Ontwerpberekening!L10),0))/Ontwerpberekening!$A$2</f>
        <v>0</v>
      </c>
      <c r="I177" s="93">
        <f>(IF(Ontwerpberekening!C10="Nieuwe Situatie",(_xlfn.IFNA(VLOOKUP(Referentie_Fossiele_Energie_Totaal48[[#This Row],[Product]]&amp;", "&amp;Referentie_Fossiele_Energie_Totaal48[[#Headers],[B1]],Database_Productkaarten[#All],50,FALSE),0)*Ontwerpberekening!L10),0))/Ontwerpberekening!$A$2</f>
        <v>0</v>
      </c>
      <c r="J177" s="93"/>
      <c r="K177" s="93">
        <f>(IF(Ontwerpberekening!C10="Nieuwe Situatie",(SUM(Referentie_Fossiele_Energie_Totaal48[[#This Row],[A1]:[B1]],Referentie_Fossiele_Energie_Totaal48[[#This Row],[C1]:[D2]])*Ontwerpberekening!M10),0))/Ontwerpberekening!$A$2</f>
        <v>0</v>
      </c>
      <c r="L177" s="93">
        <f>_xlfn.IFNA(VLOOKUP(Referentie_Fossiele_Energie_Totaal48[[#This Row],[Product]]&amp;", "&amp;Referentie_Fossiele_Energie_Totaal48[[#Headers],[C1]],Database_Productkaarten[#All],50,FALSE)*Ontwerpberekening!L10,0)/Ontwerpberekening!$A$2</f>
        <v>0</v>
      </c>
      <c r="M177" s="93">
        <f>_xlfn.IFNA(VLOOKUP(Referentie_Fossiele_Energie_Totaal48[[#This Row],[Product]]&amp;", "&amp;Referentie_Fossiele_Energie_Totaal48[[#Headers],[C2]],Database_Productkaarten[#All],50,FALSE)*Ontwerpberekening!L10,0)/Ontwerpberekening!$A$2</f>
        <v>0</v>
      </c>
      <c r="N177" s="93">
        <f>_xlfn.IFNA(VLOOKUP(Referentie_Fossiele_Energie_Totaal48[[#This Row],[Product]]&amp;", "&amp;Referentie_Fossiele_Energie_Totaal48[[#Headers],[C3]],Database_Productkaarten[#All],50,FALSE)*Ontwerpberekening!L10,0)/Ontwerpberekening!$A$2</f>
        <v>0</v>
      </c>
      <c r="O177" s="93">
        <f>_xlfn.IFNA(VLOOKUP(Referentie_Fossiele_Energie_Totaal48[[#This Row],[Product]]&amp;", "&amp;Referentie_Fossiele_Energie_Totaal48[[#Headers],[C4]],Database_Productkaarten[#All],50,FALSE)*Ontwerpberekening!L10,0)/Ontwerpberekening!$A$2</f>
        <v>0</v>
      </c>
      <c r="P177" s="93">
        <f>(IF(Ontwerpberekening!C10="Nieuwe Situatie",(_xlfn.IFNA(VLOOKUP(Referentie_Fossiele_Energie_Totaal48[[#This Row],[Product]]&amp;", "&amp;Referentie_Fossiele_Energie_Totaal48[[#Headers],[D1]],Database_Productkaarten[#All],50,FALSE),0)*Ontwerpberekening!L10),0))/Ontwerpberekening!$A$2</f>
        <v>0</v>
      </c>
      <c r="Q177" s="94">
        <f>(IF(Ontwerpberekening!C10="Nieuwe Situatie",_xlfn.IFNA(VLOOKUP(Referentie_Fossiele_Energie_Totaal48[[#This Row],[Product]]&amp;", "&amp;Referentie_Fossiele_Energie_Totaal48[[#Headers],[D2]],Database_Productkaarten[#All],50,FALSE),0)*Ontwerpberekening!L10,0))/Ontwerpberekening!$A$2</f>
        <v>0</v>
      </c>
      <c r="R177" s="72">
        <f>SUM(Referentie_Fossiele_Energie_Totaal48[[#This Row],[A1]:[D2]])</f>
        <v>0</v>
      </c>
    </row>
    <row r="178" spans="2:18" ht="18" x14ac:dyDescent="0.55000000000000004">
      <c r="B178" s="67" t="str">
        <f>Ontwerpberekening!B11</f>
        <v>Baseline</v>
      </c>
      <c r="C178" s="92" t="str">
        <f>Ontwerpberekening!F11</f>
        <v>Opsluitband 100x200</v>
      </c>
      <c r="D178" s="93">
        <f>(IF(Ontwerpberekening!C11="Nieuwe Situatie",(_xlfn.IFNA(VLOOKUP(Referentie_Fossiele_Energie_Totaal48[[#This Row],[Product]]&amp;", "&amp;Referentie_Fossiele_Energie_Totaal48[[#Headers],[A1]],Database_Productkaarten[#All],50,FALSE),0)*Ontwerpberekening!L11),0))/Ontwerpberekening!$A$2</f>
        <v>0</v>
      </c>
      <c r="E178" s="93">
        <f>(IF(Ontwerpberekening!C11="Nieuwe Situatie",(_xlfn.IFNA(VLOOKUP(Referentie_Fossiele_Energie_Totaal48[[#This Row],[Product]]&amp;", "&amp;Referentie_Fossiele_Energie_Totaal48[[#Headers],[A2]],Database_Productkaarten[#All],50,FALSE),0)*Ontwerpberekening!L11),0))/Ontwerpberekening!$A$2</f>
        <v>0</v>
      </c>
      <c r="F178" s="93">
        <f>(IF(Ontwerpberekening!C11="Nieuwe Situatie",(_xlfn.IFNA(VLOOKUP(Referentie_Fossiele_Energie_Totaal48[[#This Row],[Product]]&amp;", "&amp;Referentie_Fossiele_Energie_Totaal48[[#Headers],[A3]],Database_Productkaarten[#All],50,FALSE),0)*Ontwerpberekening!L11),0))/Ontwerpberekening!$A$2</f>
        <v>0</v>
      </c>
      <c r="G178" s="93">
        <f>(IF(Ontwerpberekening!C11="Nieuwe Situatie",(_xlfn.IFNA(VLOOKUP(Referentie_Fossiele_Energie_Totaal48[[#This Row],[Product]]&amp;", "&amp;Referentie_Fossiele_Energie_Totaal48[[#Headers],[A4]],Database_Productkaarten[#All],50,FALSE),0)*Ontwerpberekening!L11),0))/Ontwerpberekening!$A$2</f>
        <v>0</v>
      </c>
      <c r="H178" s="93">
        <f>(IF(Ontwerpberekening!C11="Nieuwe Situatie",(_xlfn.IFNA(VLOOKUP(Referentie_Fossiele_Energie_Totaal48[[#This Row],[Product]]&amp;", "&amp;Referentie_Fossiele_Energie_Totaal48[[#Headers],[A5]],Database_Productkaarten[#All],50,FALSE),0)*Ontwerpberekening!L11),0))/Ontwerpberekening!$A$2</f>
        <v>0</v>
      </c>
      <c r="I178" s="93">
        <f>(IF(Ontwerpberekening!C11="Nieuwe Situatie",(_xlfn.IFNA(VLOOKUP(Referentie_Fossiele_Energie_Totaal48[[#This Row],[Product]]&amp;", "&amp;Referentie_Fossiele_Energie_Totaal48[[#Headers],[B1]],Database_Productkaarten[#All],50,FALSE),0)*Ontwerpberekening!L11),0))/Ontwerpberekening!$A$2</f>
        <v>0</v>
      </c>
      <c r="J178" s="93"/>
      <c r="K178" s="93">
        <f>(IF(Ontwerpberekening!C11="Nieuwe Situatie",(SUM(Referentie_Fossiele_Energie_Totaal48[[#This Row],[A1]:[B1]],Referentie_Fossiele_Energie_Totaal48[[#This Row],[C1]:[D2]])*Ontwerpberekening!M11),0))/Ontwerpberekening!$A$2</f>
        <v>0</v>
      </c>
      <c r="L178" s="93">
        <f>_xlfn.IFNA(VLOOKUP(Referentie_Fossiele_Energie_Totaal48[[#This Row],[Product]]&amp;", "&amp;Referentie_Fossiele_Energie_Totaal48[[#Headers],[C1]],Database_Productkaarten[#All],50,FALSE)*Ontwerpberekening!L11,0)/Ontwerpberekening!$A$2</f>
        <v>0</v>
      </c>
      <c r="M178" s="93">
        <f>_xlfn.IFNA(VLOOKUP(Referentie_Fossiele_Energie_Totaal48[[#This Row],[Product]]&amp;", "&amp;Referentie_Fossiele_Energie_Totaal48[[#Headers],[C2]],Database_Productkaarten[#All],50,FALSE)*Ontwerpberekening!L11,0)/Ontwerpberekening!$A$2</f>
        <v>0</v>
      </c>
      <c r="N178" s="93">
        <f>_xlfn.IFNA(VLOOKUP(Referentie_Fossiele_Energie_Totaal48[[#This Row],[Product]]&amp;", "&amp;Referentie_Fossiele_Energie_Totaal48[[#Headers],[C3]],Database_Productkaarten[#All],50,FALSE)*Ontwerpberekening!L11,0)/Ontwerpberekening!$A$2</f>
        <v>0</v>
      </c>
      <c r="O178" s="93">
        <f>_xlfn.IFNA(VLOOKUP(Referentie_Fossiele_Energie_Totaal48[[#This Row],[Product]]&amp;", "&amp;Referentie_Fossiele_Energie_Totaal48[[#Headers],[C4]],Database_Productkaarten[#All],50,FALSE)*Ontwerpberekening!L11,0)/Ontwerpberekening!$A$2</f>
        <v>0</v>
      </c>
      <c r="P178" s="93">
        <f>(IF(Ontwerpberekening!C11="Nieuwe Situatie",(_xlfn.IFNA(VLOOKUP(Referentie_Fossiele_Energie_Totaal48[[#This Row],[Product]]&amp;", "&amp;Referentie_Fossiele_Energie_Totaal48[[#Headers],[D1]],Database_Productkaarten[#All],50,FALSE),0)*Ontwerpberekening!L11),0))/Ontwerpberekening!$A$2</f>
        <v>0</v>
      </c>
      <c r="Q178" s="94">
        <f>(IF(Ontwerpberekening!C11="Nieuwe Situatie",_xlfn.IFNA(VLOOKUP(Referentie_Fossiele_Energie_Totaal48[[#This Row],[Product]]&amp;", "&amp;Referentie_Fossiele_Energie_Totaal48[[#Headers],[D2]],Database_Productkaarten[#All],50,FALSE),0)*Ontwerpberekening!L11,0))/Ontwerpberekening!$A$2</f>
        <v>0</v>
      </c>
      <c r="R178" s="72">
        <f>SUM(Referentie_Fossiele_Energie_Totaal48[[#This Row],[A1]:[D2]])</f>
        <v>0</v>
      </c>
    </row>
    <row r="179" spans="2:18" ht="18" x14ac:dyDescent="0.55000000000000004">
      <c r="B179" s="67" t="str">
        <f>Ontwerpberekening!B12</f>
        <v>Baseline</v>
      </c>
      <c r="C179" s="92" t="str">
        <f>Ontwerpberekening!F12</f>
        <v>Grond</v>
      </c>
      <c r="D179" s="93">
        <f>(IF(Ontwerpberekening!C12="Nieuwe Situatie",(_xlfn.IFNA(VLOOKUP(Referentie_Fossiele_Energie_Totaal48[[#This Row],[Product]]&amp;", "&amp;Referentie_Fossiele_Energie_Totaal48[[#Headers],[A1]],Database_Productkaarten[#All],50,FALSE),0)*Ontwerpberekening!L12),0))/Ontwerpberekening!$A$2</f>
        <v>0</v>
      </c>
      <c r="E179" s="93">
        <f>(IF(Ontwerpberekening!C12="Nieuwe Situatie",(_xlfn.IFNA(VLOOKUP(Referentie_Fossiele_Energie_Totaal48[[#This Row],[Product]]&amp;", "&amp;Referentie_Fossiele_Energie_Totaal48[[#Headers],[A2]],Database_Productkaarten[#All],50,FALSE),0)*Ontwerpberekening!L12),0))/Ontwerpberekening!$A$2</f>
        <v>0</v>
      </c>
      <c r="F179" s="93">
        <f>(IF(Ontwerpberekening!C12="Nieuwe Situatie",(_xlfn.IFNA(VLOOKUP(Referentie_Fossiele_Energie_Totaal48[[#This Row],[Product]]&amp;", "&amp;Referentie_Fossiele_Energie_Totaal48[[#Headers],[A3]],Database_Productkaarten[#All],50,FALSE),0)*Ontwerpberekening!L12),0))/Ontwerpberekening!$A$2</f>
        <v>0</v>
      </c>
      <c r="G179" s="93">
        <f>(IF(Ontwerpberekening!C12="Nieuwe Situatie",(_xlfn.IFNA(VLOOKUP(Referentie_Fossiele_Energie_Totaal48[[#This Row],[Product]]&amp;", "&amp;Referentie_Fossiele_Energie_Totaal48[[#Headers],[A4]],Database_Productkaarten[#All],50,FALSE),0)*Ontwerpberekening!L12),0))/Ontwerpberekening!$A$2</f>
        <v>0</v>
      </c>
      <c r="H179" s="93">
        <f>(IF(Ontwerpberekening!C12="Nieuwe Situatie",(_xlfn.IFNA(VLOOKUP(Referentie_Fossiele_Energie_Totaal48[[#This Row],[Product]]&amp;", "&amp;Referentie_Fossiele_Energie_Totaal48[[#Headers],[A5]],Database_Productkaarten[#All],50,FALSE),0)*Ontwerpberekening!L12),0))/Ontwerpberekening!$A$2</f>
        <v>0</v>
      </c>
      <c r="I179" s="93">
        <f>(IF(Ontwerpberekening!C12="Nieuwe Situatie",(_xlfn.IFNA(VLOOKUP(Referentie_Fossiele_Energie_Totaal48[[#This Row],[Product]]&amp;", "&amp;Referentie_Fossiele_Energie_Totaal48[[#Headers],[B1]],Database_Productkaarten[#All],50,FALSE),0)*Ontwerpberekening!L12),0))/Ontwerpberekening!$A$2</f>
        <v>0</v>
      </c>
      <c r="J179" s="93"/>
      <c r="K179" s="93">
        <f>(IF(Ontwerpberekening!C12="Nieuwe Situatie",(SUM(Referentie_Fossiele_Energie_Totaal48[[#This Row],[A1]:[B1]],Referentie_Fossiele_Energie_Totaal48[[#This Row],[C1]:[D2]])*Ontwerpberekening!M12),0))/Ontwerpberekening!$A$2</f>
        <v>0</v>
      </c>
      <c r="L179" s="93">
        <f>_xlfn.IFNA(VLOOKUP(Referentie_Fossiele_Energie_Totaal48[[#This Row],[Product]]&amp;", "&amp;Referentie_Fossiele_Energie_Totaal48[[#Headers],[C1]],Database_Productkaarten[#All],50,FALSE)*Ontwerpberekening!L12,0)/Ontwerpberekening!$A$2</f>
        <v>0</v>
      </c>
      <c r="M179" s="93">
        <f>_xlfn.IFNA(VLOOKUP(Referentie_Fossiele_Energie_Totaal48[[#This Row],[Product]]&amp;", "&amp;Referentie_Fossiele_Energie_Totaal48[[#Headers],[C2]],Database_Productkaarten[#All],50,FALSE)*Ontwerpberekening!L12,0)/Ontwerpberekening!$A$2</f>
        <v>0</v>
      </c>
      <c r="N179" s="93">
        <f>_xlfn.IFNA(VLOOKUP(Referentie_Fossiele_Energie_Totaal48[[#This Row],[Product]]&amp;", "&amp;Referentie_Fossiele_Energie_Totaal48[[#Headers],[C3]],Database_Productkaarten[#All],50,FALSE)*Ontwerpberekening!L12,0)/Ontwerpberekening!$A$2</f>
        <v>0</v>
      </c>
      <c r="O179" s="93">
        <f>_xlfn.IFNA(VLOOKUP(Referentie_Fossiele_Energie_Totaal48[[#This Row],[Product]]&amp;", "&amp;Referentie_Fossiele_Energie_Totaal48[[#Headers],[C4]],Database_Productkaarten[#All],50,FALSE)*Ontwerpberekening!L12,0)/Ontwerpberekening!$A$2</f>
        <v>0</v>
      </c>
      <c r="P179" s="93">
        <f>(IF(Ontwerpberekening!C12="Nieuwe Situatie",(_xlfn.IFNA(VLOOKUP(Referentie_Fossiele_Energie_Totaal48[[#This Row],[Product]]&amp;", "&amp;Referentie_Fossiele_Energie_Totaal48[[#Headers],[D1]],Database_Productkaarten[#All],50,FALSE),0)*Ontwerpberekening!L12),0))/Ontwerpberekening!$A$2</f>
        <v>0</v>
      </c>
      <c r="Q179" s="94">
        <f>(IF(Ontwerpberekening!C12="Nieuwe Situatie",_xlfn.IFNA(VLOOKUP(Referentie_Fossiele_Energie_Totaal48[[#This Row],[Product]]&amp;", "&amp;Referentie_Fossiele_Energie_Totaal48[[#Headers],[D2]],Database_Productkaarten[#All],50,FALSE),0)*Ontwerpberekening!L12,0))/Ontwerpberekening!$A$2</f>
        <v>0</v>
      </c>
      <c r="R179" s="72">
        <f>SUM(Referentie_Fossiele_Energie_Totaal48[[#This Row],[A1]:[D2]])</f>
        <v>0</v>
      </c>
    </row>
    <row r="180" spans="2:18" ht="18" x14ac:dyDescent="0.55000000000000004">
      <c r="B180" s="67" t="str">
        <f>Ontwerpberekening!B13</f>
        <v>Baseline</v>
      </c>
      <c r="C180" s="92" t="str">
        <f>Ontwerpberekening!F13</f>
        <v>Hydraulisch Menggranulaat</v>
      </c>
      <c r="D180" s="93">
        <f>(IF(Ontwerpberekening!C13="Nieuwe Situatie",(_xlfn.IFNA(VLOOKUP(Referentie_Fossiele_Energie_Totaal48[[#This Row],[Product]]&amp;", "&amp;Referentie_Fossiele_Energie_Totaal48[[#Headers],[A1]],Database_Productkaarten[#All],50,FALSE),0)*Ontwerpberekening!L13),0))/Ontwerpberekening!$A$2</f>
        <v>0</v>
      </c>
      <c r="E180" s="93">
        <f>(IF(Ontwerpberekening!C13="Nieuwe Situatie",(_xlfn.IFNA(VLOOKUP(Referentie_Fossiele_Energie_Totaal48[[#This Row],[Product]]&amp;", "&amp;Referentie_Fossiele_Energie_Totaal48[[#Headers],[A2]],Database_Productkaarten[#All],50,FALSE),0)*Ontwerpberekening!L13),0))/Ontwerpberekening!$A$2</f>
        <v>0</v>
      </c>
      <c r="F180" s="93">
        <f>(IF(Ontwerpberekening!C13="Nieuwe Situatie",(_xlfn.IFNA(VLOOKUP(Referentie_Fossiele_Energie_Totaal48[[#This Row],[Product]]&amp;", "&amp;Referentie_Fossiele_Energie_Totaal48[[#Headers],[A3]],Database_Productkaarten[#All],50,FALSE),0)*Ontwerpberekening!L13),0))/Ontwerpberekening!$A$2</f>
        <v>0</v>
      </c>
      <c r="G180" s="93">
        <f>(IF(Ontwerpberekening!C13="Nieuwe Situatie",(_xlfn.IFNA(VLOOKUP(Referentie_Fossiele_Energie_Totaal48[[#This Row],[Product]]&amp;", "&amp;Referentie_Fossiele_Energie_Totaal48[[#Headers],[A4]],Database_Productkaarten[#All],50,FALSE),0)*Ontwerpberekening!L13),0))/Ontwerpberekening!$A$2</f>
        <v>73.033640000000005</v>
      </c>
      <c r="H180" s="93">
        <f>(IF(Ontwerpberekening!C13="Nieuwe Situatie",(_xlfn.IFNA(VLOOKUP(Referentie_Fossiele_Energie_Totaal48[[#This Row],[Product]]&amp;", "&amp;Referentie_Fossiele_Energie_Totaal48[[#Headers],[A5]],Database_Productkaarten[#All],50,FALSE),0)*Ontwerpberekening!L13),0))/Ontwerpberekening!$A$2</f>
        <v>7.2488066672315651E-3</v>
      </c>
      <c r="I180" s="93">
        <f>(IF(Ontwerpberekening!C13="Nieuwe Situatie",(_xlfn.IFNA(VLOOKUP(Referentie_Fossiele_Energie_Totaal48[[#This Row],[Product]]&amp;", "&amp;Referentie_Fossiele_Energie_Totaal48[[#Headers],[B1]],Database_Productkaarten[#All],50,FALSE),0)*Ontwerpberekening!L13),0))/Ontwerpberekening!$A$2</f>
        <v>0</v>
      </c>
      <c r="J180" s="93"/>
      <c r="K180" s="93">
        <f>(IF(Ontwerpberekening!C13="Nieuwe Situatie",(SUM(Referentie_Fossiele_Energie_Totaal48[[#This Row],[A1]:[B1]],Referentie_Fossiele_Energie_Totaal48[[#This Row],[C1]:[D2]])*Ontwerpberekening!M13),0))/Ontwerpberekening!$A$2</f>
        <v>0.87649066568000689</v>
      </c>
      <c r="L180" s="93">
        <f>_xlfn.IFNA(VLOOKUP(Referentie_Fossiele_Energie_Totaal48[[#This Row],[Product]]&amp;", "&amp;Referentie_Fossiele_Energie_Totaal48[[#Headers],[C1]],Database_Productkaarten[#All],50,FALSE)*Ontwerpberekening!L13,0)/Ontwerpberekening!$A$2</f>
        <v>7.2488066672315651E-3</v>
      </c>
      <c r="M180" s="93">
        <f>_xlfn.IFNA(VLOOKUP(Referentie_Fossiele_Energie_Totaal48[[#This Row],[Product]]&amp;", "&amp;Referentie_Fossiele_Energie_Totaal48[[#Headers],[C2]],Database_Productkaarten[#All],50,FALSE)*Ontwerpberekening!L13,0)/Ontwerpberekening!$A$2</f>
        <v>73.033640000000005</v>
      </c>
      <c r="N180" s="93">
        <f>_xlfn.IFNA(VLOOKUP(Referentie_Fossiele_Energie_Totaal48[[#This Row],[Product]]&amp;", "&amp;Referentie_Fossiele_Energie_Totaal48[[#Headers],[C3]],Database_Productkaarten[#All],50,FALSE)*Ontwerpberekening!L13,0)/Ontwerpberekening!$A$2</f>
        <v>0</v>
      </c>
      <c r="O180" s="93">
        <f>_xlfn.IFNA(VLOOKUP(Referentie_Fossiele_Energie_Totaal48[[#This Row],[Product]]&amp;", "&amp;Referentie_Fossiele_Energie_Totaal48[[#Headers],[C4]],Database_Productkaarten[#All],50,FALSE)*Ontwerpberekening!L13,0)/Ontwerpberekening!$A$2</f>
        <v>0</v>
      </c>
      <c r="P180" s="93">
        <f>(IF(Ontwerpberekening!C13="Nieuwe Situatie",(_xlfn.IFNA(VLOOKUP(Referentie_Fossiele_Energie_Totaal48[[#This Row],[Product]]&amp;", "&amp;Referentie_Fossiele_Energie_Totaal48[[#Headers],[D1]],Database_Productkaarten[#All],50,FALSE),0)*Ontwerpberekening!L13),0))/Ontwerpberekening!$A$2</f>
        <v>0</v>
      </c>
      <c r="Q180" s="94">
        <f>(IF(Ontwerpberekening!C13="Nieuwe Situatie",_xlfn.IFNA(VLOOKUP(Referentie_Fossiele_Energie_Totaal48[[#This Row],[Product]]&amp;", "&amp;Referentie_Fossiele_Energie_Totaal48[[#Headers],[D2]],Database_Productkaarten[#All],50,FALSE),0)*Ontwerpberekening!L13,0))/Ontwerpberekening!$A$2</f>
        <v>0</v>
      </c>
      <c r="R180" s="72">
        <f>SUM(Referentie_Fossiele_Energie_Totaal48[[#This Row],[A1]:[D2]])</f>
        <v>146.95826827901448</v>
      </c>
    </row>
    <row r="181" spans="2:18" ht="18" x14ac:dyDescent="0.55000000000000004">
      <c r="B181" s="67" t="str">
        <f>Ontwerpberekening!B14</f>
        <v>Baseline</v>
      </c>
      <c r="C181" s="92" t="str">
        <f>Ontwerpberekening!F14</f>
        <v>AC bin/base 50% PR - PCR 2.0</v>
      </c>
      <c r="D181" s="93">
        <f>(IF(Ontwerpberekening!C14="Nieuwe Situatie",(_xlfn.IFNA(VLOOKUP(Referentie_Fossiele_Energie_Totaal48[[#This Row],[Product]]&amp;", "&amp;Referentie_Fossiele_Energie_Totaal48[[#Headers],[A1]],Database_Productkaarten[#All],50,FALSE),0)*Ontwerpberekening!L14),0))/Ontwerpberekening!$A$2</f>
        <v>1102.5157309388001</v>
      </c>
      <c r="E181" s="93">
        <f>(IF(Ontwerpberekening!C14="Nieuwe Situatie",(_xlfn.IFNA(VLOOKUP(Referentie_Fossiele_Energie_Totaal48[[#This Row],[Product]]&amp;", "&amp;Referentie_Fossiele_Energie_Totaal48[[#Headers],[A2]],Database_Productkaarten[#All],50,FALSE),0)*Ontwerpberekening!L14),0))/Ontwerpberekening!$A$2</f>
        <v>172.32213680984603</v>
      </c>
      <c r="F181" s="93">
        <f>(IF(Ontwerpberekening!C14="Nieuwe Situatie",(_xlfn.IFNA(VLOOKUP(Referentie_Fossiele_Energie_Totaal48[[#This Row],[Product]]&amp;", "&amp;Referentie_Fossiele_Energie_Totaal48[[#Headers],[A3]],Database_Productkaarten[#All],50,FALSE),0)*Ontwerpberekening!L14),0))/Ontwerpberekening!$A$2</f>
        <v>413.47140232975698</v>
      </c>
      <c r="G181" s="93">
        <f>(IF(Ontwerpberekening!C14="Nieuwe Situatie",(_xlfn.IFNA(VLOOKUP(Referentie_Fossiele_Energie_Totaal48[[#This Row],[Product]]&amp;", "&amp;Referentie_Fossiele_Energie_Totaal48[[#Headers],[A4]],Database_Productkaarten[#All],50,FALSE),0)*Ontwerpberekening!L14),0))/Ontwerpberekening!$A$2</f>
        <v>66.265108560000002</v>
      </c>
      <c r="H181" s="93">
        <f>(IF(Ontwerpberekening!C14="Nieuwe Situatie",(_xlfn.IFNA(VLOOKUP(Referentie_Fossiele_Energie_Totaal48[[#This Row],[Product]]&amp;", "&amp;Referentie_Fossiele_Energie_Totaal48[[#Headers],[A5]],Database_Productkaarten[#All],50,FALSE),0)*Ontwerpberekening!L14),0))/Ontwerpberekening!$A$2</f>
        <v>15.3762149296575</v>
      </c>
      <c r="I181" s="93">
        <f>(IF(Ontwerpberekening!C14="Nieuwe Situatie",(_xlfn.IFNA(VLOOKUP(Referentie_Fossiele_Energie_Totaal48[[#This Row],[Product]]&amp;", "&amp;Referentie_Fossiele_Energie_Totaal48[[#Headers],[B1]],Database_Productkaarten[#All],50,FALSE),0)*Ontwerpberekening!L14),0))/Ontwerpberekening!$A$2</f>
        <v>0</v>
      </c>
      <c r="J181" s="93"/>
      <c r="K181" s="93">
        <f>(IF(Ontwerpberekening!C14="Nieuwe Situatie",(SUM(Referentie_Fossiele_Energie_Totaal48[[#This Row],[A1]:[B1]],Referentie_Fossiele_Energie_Totaal48[[#This Row],[C1]:[D2]])*Ontwerpberekening!M14),0))/Ontwerpberekening!$A$2</f>
        <v>9.7146932466974985</v>
      </c>
      <c r="L181" s="93">
        <f>_xlfn.IFNA(VLOOKUP(Referentie_Fossiele_Energie_Totaal48[[#This Row],[Product]]&amp;", "&amp;Referentie_Fossiele_Energie_Totaal48[[#Headers],[C1]],Database_Productkaarten[#All],50,FALSE)*Ontwerpberekening!L14,0)/Ontwerpberekening!$A$2</f>
        <v>36.999017174488401</v>
      </c>
      <c r="M181" s="93">
        <f>_xlfn.IFNA(VLOOKUP(Referentie_Fossiele_Energie_Totaal48[[#This Row],[Product]]&amp;", "&amp;Referentie_Fossiele_Energie_Totaal48[[#Headers],[C2]],Database_Productkaarten[#All],50,FALSE)*Ontwerpberekening!L14,0)/Ontwerpberekening!$A$2</f>
        <v>55.561210727999999</v>
      </c>
      <c r="N181" s="93">
        <f>_xlfn.IFNA(VLOOKUP(Referentie_Fossiele_Energie_Totaal48[[#This Row],[Product]]&amp;", "&amp;Referentie_Fossiele_Energie_Totaal48[[#Headers],[C3]],Database_Productkaarten[#All],50,FALSE)*Ontwerpberekening!L14,0)/Ontwerpberekening!$A$2</f>
        <v>17.778748512416499</v>
      </c>
      <c r="O181" s="93">
        <f>_xlfn.IFNA(VLOOKUP(Referentie_Fossiele_Energie_Totaal48[[#This Row],[Product]]&amp;", "&amp;Referentie_Fossiele_Energie_Totaal48[[#Headers],[C4]],Database_Productkaarten[#All],50,FALSE)*Ontwerpberekening!L14,0)/Ontwerpberekening!$A$2</f>
        <v>0</v>
      </c>
      <c r="P181" s="93">
        <f>(IF(Ontwerpberekening!C14="Nieuwe Situatie",(_xlfn.IFNA(VLOOKUP(Referentie_Fossiele_Energie_Totaal48[[#This Row],[Product]]&amp;", "&amp;Referentie_Fossiele_Energie_Totaal48[[#Headers],[D1]],Database_Productkaarten[#All],50,FALSE),0)*Ontwerpberekening!L14),0))/Ontwerpberekening!$A$2</f>
        <v>-908.82024531321599</v>
      </c>
      <c r="Q181" s="94">
        <f>(IF(Ontwerpberekening!C14="Nieuwe Situatie",_xlfn.IFNA(VLOOKUP(Referentie_Fossiele_Energie_Totaal48[[#This Row],[Product]]&amp;", "&amp;Referentie_Fossiele_Energie_Totaal48[[#Headers],[D2]],Database_Productkaarten[#All],50,FALSE),0)*Ontwerpberekening!L14,0))/Ontwerpberekening!$A$2</f>
        <v>0</v>
      </c>
      <c r="R181" s="72">
        <f>SUM(Referentie_Fossiele_Energie_Totaal48[[#This Row],[A1]:[D2]])</f>
        <v>981.18401791644737</v>
      </c>
    </row>
    <row r="182" spans="2:18" ht="18" x14ac:dyDescent="0.55000000000000004">
      <c r="B182" s="67" t="str">
        <f>Ontwerpberekening!B15</f>
        <v>Baseline</v>
      </c>
      <c r="C182" s="92" t="str">
        <f>Ontwerpberekening!F15</f>
        <v>AC bin/base 50% PR - PCR 2.0</v>
      </c>
      <c r="D182" s="93">
        <f>(IF(Ontwerpberekening!C15="Nieuwe Situatie",(_xlfn.IFNA(VLOOKUP(Referentie_Fossiele_Energie_Totaal48[[#This Row],[Product]]&amp;", "&amp;Referentie_Fossiele_Energie_Totaal48[[#Headers],[A1]],Database_Productkaarten[#All],50,FALSE),0)*Ontwerpberekening!L15),0))/Ontwerpberekening!$A$2</f>
        <v>5292.0755085062401</v>
      </c>
      <c r="E182" s="93">
        <f>(IF(Ontwerpberekening!C15="Nieuwe Situatie",(_xlfn.IFNA(VLOOKUP(Referentie_Fossiele_Energie_Totaal48[[#This Row],[Product]]&amp;", "&amp;Referentie_Fossiele_Energie_Totaal48[[#Headers],[A2]],Database_Productkaarten[#All],50,FALSE),0)*Ontwerpberekening!L15),0))/Ontwerpberekening!$A$2</f>
        <v>827.1462566872608</v>
      </c>
      <c r="F182" s="93">
        <f>(IF(Ontwerpberekening!C15="Nieuwe Situatie",(_xlfn.IFNA(VLOOKUP(Referentie_Fossiele_Energie_Totaal48[[#This Row],[Product]]&amp;", "&amp;Referentie_Fossiele_Energie_Totaal48[[#Headers],[A3]],Database_Productkaarten[#All],50,FALSE),0)*Ontwerpberekening!L15),0))/Ontwerpberekening!$A$2</f>
        <v>1984.6627311828336</v>
      </c>
      <c r="G182" s="93">
        <f>(IF(Ontwerpberekening!C15="Nieuwe Situatie",(_xlfn.IFNA(VLOOKUP(Referentie_Fossiele_Energie_Totaal48[[#This Row],[Product]]&amp;", "&amp;Referentie_Fossiele_Energie_Totaal48[[#Headers],[A4]],Database_Productkaarten[#All],50,FALSE),0)*Ontwerpberekening!L15),0))/Ontwerpberekening!$A$2</f>
        <v>318.07252108799997</v>
      </c>
      <c r="H182" s="93">
        <f>(IF(Ontwerpberekening!C15="Nieuwe Situatie",(_xlfn.IFNA(VLOOKUP(Referentie_Fossiele_Energie_Totaal48[[#This Row],[Product]]&amp;", "&amp;Referentie_Fossiele_Energie_Totaal48[[#Headers],[A5]],Database_Productkaarten[#All],50,FALSE),0)*Ontwerpberekening!L15),0))/Ontwerpberekening!$A$2</f>
        <v>73.805831662355999</v>
      </c>
      <c r="I182" s="93">
        <f>(IF(Ontwerpberekening!C15="Nieuwe Situatie",(_xlfn.IFNA(VLOOKUP(Referentie_Fossiele_Energie_Totaal48[[#This Row],[Product]]&amp;", "&amp;Referentie_Fossiele_Energie_Totaal48[[#Headers],[B1]],Database_Productkaarten[#All],50,FALSE),0)*Ontwerpberekening!L15),0))/Ontwerpberekening!$A$2</f>
        <v>0</v>
      </c>
      <c r="J182" s="93"/>
      <c r="K182" s="93">
        <f>(IF(Ontwerpberekening!C15="Nieuwe Situatie",(SUM(Referentie_Fossiele_Energie_Totaal48[[#This Row],[A1]:[B1]],Referentie_Fossiele_Energie_Totaal48[[#This Row],[C1]:[D2]])*Ontwerpberekening!M15),0))/Ontwerpberekening!$A$2</f>
        <v>46.630527584147956</v>
      </c>
      <c r="L182" s="93">
        <f>_xlfn.IFNA(VLOOKUP(Referentie_Fossiele_Energie_Totaal48[[#This Row],[Product]]&amp;", "&amp;Referentie_Fossiele_Energie_Totaal48[[#Headers],[C1]],Database_Productkaarten[#All],50,FALSE)*Ontwerpberekening!L15,0)/Ontwerpberekening!$A$2</f>
        <v>177.59528243754434</v>
      </c>
      <c r="M182" s="93">
        <f>_xlfn.IFNA(VLOOKUP(Referentie_Fossiele_Energie_Totaal48[[#This Row],[Product]]&amp;", "&amp;Referentie_Fossiele_Energie_Totaal48[[#Headers],[C2]],Database_Productkaarten[#All],50,FALSE)*Ontwerpberekening!L15,0)/Ontwerpberekening!$A$2</f>
        <v>266.69381149439999</v>
      </c>
      <c r="N182" s="93">
        <f>_xlfn.IFNA(VLOOKUP(Referentie_Fossiele_Energie_Totaal48[[#This Row],[Product]]&amp;", "&amp;Referentie_Fossiele_Energie_Totaal48[[#Headers],[C3]],Database_Productkaarten[#All],50,FALSE)*Ontwerpberekening!L15,0)/Ontwerpberekening!$A$2</f>
        <v>85.337992859599197</v>
      </c>
      <c r="O182" s="93">
        <f>_xlfn.IFNA(VLOOKUP(Referentie_Fossiele_Energie_Totaal48[[#This Row],[Product]]&amp;", "&amp;Referentie_Fossiele_Energie_Totaal48[[#Headers],[C4]],Database_Productkaarten[#All],50,FALSE)*Ontwerpberekening!L15,0)/Ontwerpberekening!$A$2</f>
        <v>0</v>
      </c>
      <c r="P182" s="93">
        <f>(IF(Ontwerpberekening!C15="Nieuwe Situatie",(_xlfn.IFNA(VLOOKUP(Referentie_Fossiele_Energie_Totaal48[[#This Row],[Product]]&amp;", "&amp;Referentie_Fossiele_Energie_Totaal48[[#Headers],[D1]],Database_Productkaarten[#All],50,FALSE),0)*Ontwerpberekening!L15),0))/Ontwerpberekening!$A$2</f>
        <v>-4362.3371775034366</v>
      </c>
      <c r="Q182" s="94">
        <f>(IF(Ontwerpberekening!C15="Nieuwe Situatie",_xlfn.IFNA(VLOOKUP(Referentie_Fossiele_Energie_Totaal48[[#This Row],[Product]]&amp;", "&amp;Referentie_Fossiele_Energie_Totaal48[[#Headers],[D2]],Database_Productkaarten[#All],50,FALSE),0)*Ontwerpberekening!L15,0))/Ontwerpberekening!$A$2</f>
        <v>0</v>
      </c>
      <c r="R182" s="72">
        <f>SUM(Referentie_Fossiele_Energie_Totaal48[[#This Row],[A1]:[D2]])</f>
        <v>4709.6832859989436</v>
      </c>
    </row>
    <row r="183" spans="2:18" ht="18" x14ac:dyDescent="0.55000000000000004">
      <c r="B183" s="67" t="str">
        <f>Ontwerpberekening!B16</f>
        <v>Baseline</v>
      </c>
      <c r="C183" s="92" t="str">
        <f>Ontwerpberekening!F16</f>
        <v>AC Surf 0% PR - PCR 2.0</v>
      </c>
      <c r="D183" s="93">
        <f>(IF(Ontwerpberekening!C16="Nieuwe Situatie",(_xlfn.IFNA(VLOOKUP(Referentie_Fossiele_Energie_Totaal48[[#This Row],[Product]]&amp;", "&amp;Referentie_Fossiele_Energie_Totaal48[[#Headers],[A1]],Database_Productkaarten[#All],50,FALSE),0)*Ontwerpberekening!L16),0))/Ontwerpberekening!$A$2</f>
        <v>128810.0154846493</v>
      </c>
      <c r="E183" s="93">
        <f>(IF(Ontwerpberekening!C16="Nieuwe Situatie",(_xlfn.IFNA(VLOOKUP(Referentie_Fossiele_Energie_Totaal48[[#This Row],[Product]]&amp;", "&amp;Referentie_Fossiele_Energie_Totaal48[[#Headers],[A2]],Database_Productkaarten[#All],50,FALSE),0)*Ontwerpberekening!L16),0))/Ontwerpberekening!$A$2</f>
        <v>17960.690494034308</v>
      </c>
      <c r="F183" s="93">
        <f>(IF(Ontwerpberekening!C16="Nieuwe Situatie",(_xlfn.IFNA(VLOOKUP(Referentie_Fossiele_Energie_Totaal48[[#This Row],[Product]]&amp;", "&amp;Referentie_Fossiele_Energie_Totaal48[[#Headers],[A3]],Database_Productkaarten[#All],50,FALSE),0)*Ontwerpberekening!L16),0))/Ontwerpberekening!$A$2</f>
        <v>17061.096372473588</v>
      </c>
      <c r="G183" s="93">
        <f>(IF(Ontwerpberekening!C16="Nieuwe Situatie",(_xlfn.IFNA(VLOOKUP(Referentie_Fossiele_Energie_Totaal48[[#This Row],[Product]]&amp;", "&amp;Referentie_Fossiele_Energie_Totaal48[[#Headers],[A4]],Database_Productkaarten[#All],50,FALSE),0)*Ontwerpberekening!L16),0))/Ontwerpberekening!$A$2</f>
        <v>2723.4959618160001</v>
      </c>
      <c r="H183" s="93">
        <f>(IF(Ontwerpberekening!C16="Nieuwe Situatie",(_xlfn.IFNA(VLOOKUP(Referentie_Fossiele_Energie_Totaal48[[#This Row],[Product]]&amp;", "&amp;Referentie_Fossiele_Energie_Totaal48[[#Headers],[A5]],Database_Productkaarten[#All],50,FALSE),0)*Ontwerpberekening!L16),0))/Ontwerpberekening!$A$2</f>
        <v>1145.4319030085614</v>
      </c>
      <c r="I183" s="93">
        <f>(IF(Ontwerpberekening!C16="Nieuwe Situatie",(_xlfn.IFNA(VLOOKUP(Referentie_Fossiele_Energie_Totaal48[[#This Row],[Product]]&amp;", "&amp;Referentie_Fossiele_Energie_Totaal48[[#Headers],[B1]],Database_Productkaarten[#All],50,FALSE),0)*Ontwerpberekening!L16),0))/Ontwerpberekening!$A$2</f>
        <v>0</v>
      </c>
      <c r="J183" s="93"/>
      <c r="K183" s="93">
        <f>(IF(Ontwerpberekening!C16="Nieuwe Situatie",(SUM(Referentie_Fossiele_Energie_Totaal48[[#This Row],[A1]:[B1]],Referentie_Fossiele_Energie_Totaal48[[#This Row],[C1]:[D2]])*Ontwerpberekening!M16),0))/Ontwerpberekening!$A$2</f>
        <v>715.11694921064918</v>
      </c>
      <c r="L183" s="93">
        <f>_xlfn.IFNA(VLOOKUP(Referentie_Fossiele_Energie_Totaal48[[#This Row],[Product]]&amp;", "&amp;Referentie_Fossiele_Energie_Totaal48[[#Headers],[C1]],Database_Productkaarten[#All],50,FALSE)*Ontwerpberekening!L16,0)/Ontwerpberekening!$A$2</f>
        <v>651.71125516004281</v>
      </c>
      <c r="M183" s="93">
        <f>_xlfn.IFNA(VLOOKUP(Referentie_Fossiele_Energie_Totaal48[[#This Row],[Product]]&amp;", "&amp;Referentie_Fossiele_Energie_Totaal48[[#Headers],[C2]],Database_Productkaarten[#All],50,FALSE)*Ontwerpberekening!L16,0)/Ontwerpberekening!$A$2</f>
        <v>2283.5657609208001</v>
      </c>
      <c r="N183" s="93">
        <f>_xlfn.IFNA(VLOOKUP(Referentie_Fossiele_Energie_Totaal48[[#This Row],[Product]]&amp;", "&amp;Referentie_Fossiele_Energie_Totaal48[[#Headers],[C3]],Database_Productkaarten[#All],50,FALSE)*Ontwerpberekening!L16,0)/Ontwerpberekening!$A$2</f>
        <v>730.70655881580683</v>
      </c>
      <c r="O183" s="93">
        <f>_xlfn.IFNA(VLOOKUP(Referentie_Fossiele_Energie_Totaal48[[#This Row],[Product]]&amp;", "&amp;Referentie_Fossiele_Energie_Totaal48[[#Headers],[C4]],Database_Productkaarten[#All],50,FALSE)*Ontwerpberekening!L16,0)/Ontwerpberekening!$A$2</f>
        <v>0</v>
      </c>
      <c r="P183" s="93">
        <f>(IF(Ontwerpberekening!C16="Nieuwe Situatie",(_xlfn.IFNA(VLOOKUP(Referentie_Fossiele_Energie_Totaal48[[#This Row],[Product]]&amp;", "&amp;Referentie_Fossiele_Energie_Totaal48[[#Headers],[D1]],Database_Productkaarten[#All],50,FALSE),0)*Ontwerpberekening!L16),0))/Ontwerpberekening!$A$2</f>
        <v>-69207.149617928531</v>
      </c>
      <c r="Q183" s="94">
        <f>(IF(Ontwerpberekening!C16="Nieuwe Situatie",_xlfn.IFNA(VLOOKUP(Referentie_Fossiele_Energie_Totaal48[[#This Row],[Product]]&amp;", "&amp;Referentie_Fossiele_Energie_Totaal48[[#Headers],[D2]],Database_Productkaarten[#All],50,FALSE),0)*Ontwerpberekening!L16,0))/Ontwerpberekening!$A$2</f>
        <v>0</v>
      </c>
      <c r="R183" s="72">
        <f>SUM(Referentie_Fossiele_Energie_Totaal48[[#This Row],[A1]:[D2]])</f>
        <v>102874.68112216053</v>
      </c>
    </row>
    <row r="184" spans="2:18" ht="18" x14ac:dyDescent="0.55000000000000004">
      <c r="B184" s="67" t="str">
        <f>Ontwerpberekening!B17</f>
        <v>Baseline</v>
      </c>
      <c r="C184" s="92" t="str">
        <f>Ontwerpberekening!F17</f>
        <v>Betonstraatsteen 210x105x80</v>
      </c>
      <c r="D184" s="93">
        <f>(IF(Ontwerpberekening!C17="Nieuwe Situatie",(_xlfn.IFNA(VLOOKUP(Referentie_Fossiele_Energie_Totaal48[[#This Row],[Product]]&amp;", "&amp;Referentie_Fossiele_Energie_Totaal48[[#Headers],[A1]],Database_Productkaarten[#All],50,FALSE),0)*Ontwerpberekening!L17),0))/Ontwerpberekening!$A$2</f>
        <v>0</v>
      </c>
      <c r="E184" s="93">
        <f>(IF(Ontwerpberekening!C17="Nieuwe Situatie",(_xlfn.IFNA(VLOOKUP(Referentie_Fossiele_Energie_Totaal48[[#This Row],[Product]]&amp;", "&amp;Referentie_Fossiele_Energie_Totaal48[[#Headers],[A2]],Database_Productkaarten[#All],50,FALSE),0)*Ontwerpberekening!L17),0))/Ontwerpberekening!$A$2</f>
        <v>0</v>
      </c>
      <c r="F184" s="93">
        <f>(IF(Ontwerpberekening!C17="Nieuwe Situatie",(_xlfn.IFNA(VLOOKUP(Referentie_Fossiele_Energie_Totaal48[[#This Row],[Product]]&amp;", "&amp;Referentie_Fossiele_Energie_Totaal48[[#Headers],[A3]],Database_Productkaarten[#All],50,FALSE),0)*Ontwerpberekening!L17),0))/Ontwerpberekening!$A$2</f>
        <v>0</v>
      </c>
      <c r="G184" s="93">
        <f>(IF(Ontwerpberekening!C17="Nieuwe Situatie",(_xlfn.IFNA(VLOOKUP(Referentie_Fossiele_Energie_Totaal48[[#This Row],[Product]]&amp;", "&amp;Referentie_Fossiele_Energie_Totaal48[[#Headers],[A4]],Database_Productkaarten[#All],50,FALSE),0)*Ontwerpberekening!L17),0))/Ontwerpberekening!$A$2</f>
        <v>0</v>
      </c>
      <c r="H184" s="93">
        <f>(IF(Ontwerpberekening!C17="Nieuwe Situatie",(_xlfn.IFNA(VLOOKUP(Referentie_Fossiele_Energie_Totaal48[[#This Row],[Product]]&amp;", "&amp;Referentie_Fossiele_Energie_Totaal48[[#Headers],[A5]],Database_Productkaarten[#All],50,FALSE),0)*Ontwerpberekening!L17),0))/Ontwerpberekening!$A$2</f>
        <v>0</v>
      </c>
      <c r="I184" s="93">
        <f>(IF(Ontwerpberekening!C17="Nieuwe Situatie",(_xlfn.IFNA(VLOOKUP(Referentie_Fossiele_Energie_Totaal48[[#This Row],[Product]]&amp;", "&amp;Referentie_Fossiele_Energie_Totaal48[[#Headers],[B1]],Database_Productkaarten[#All],50,FALSE),0)*Ontwerpberekening!L17),0))/Ontwerpberekening!$A$2</f>
        <v>0</v>
      </c>
      <c r="J184" s="93"/>
      <c r="K184" s="93">
        <f>(IF(Ontwerpberekening!C17="Nieuwe Situatie",(SUM(Referentie_Fossiele_Energie_Totaal48[[#This Row],[A1]:[B1]],Referentie_Fossiele_Energie_Totaal48[[#This Row],[C1]:[D2]])*Ontwerpberekening!M17),0))/Ontwerpberekening!$A$2</f>
        <v>0</v>
      </c>
      <c r="L184" s="93">
        <f>_xlfn.IFNA(VLOOKUP(Referentie_Fossiele_Energie_Totaal48[[#This Row],[Product]]&amp;", "&amp;Referentie_Fossiele_Energie_Totaal48[[#Headers],[C1]],Database_Productkaarten[#All],50,FALSE)*Ontwerpberekening!L17,0)/Ontwerpberekening!$A$2</f>
        <v>0</v>
      </c>
      <c r="M184" s="93">
        <f>_xlfn.IFNA(VLOOKUP(Referentie_Fossiele_Energie_Totaal48[[#This Row],[Product]]&amp;", "&amp;Referentie_Fossiele_Energie_Totaal48[[#Headers],[C2]],Database_Productkaarten[#All],50,FALSE)*Ontwerpberekening!L17,0)/Ontwerpberekening!$A$2</f>
        <v>0</v>
      </c>
      <c r="N184" s="93">
        <f>_xlfn.IFNA(VLOOKUP(Referentie_Fossiele_Energie_Totaal48[[#This Row],[Product]]&amp;", "&amp;Referentie_Fossiele_Energie_Totaal48[[#Headers],[C3]],Database_Productkaarten[#All],50,FALSE)*Ontwerpberekening!L17,0)/Ontwerpberekening!$A$2</f>
        <v>0</v>
      </c>
      <c r="O184" s="93">
        <f>_xlfn.IFNA(VLOOKUP(Referentie_Fossiele_Energie_Totaal48[[#This Row],[Product]]&amp;", "&amp;Referentie_Fossiele_Energie_Totaal48[[#Headers],[C4]],Database_Productkaarten[#All],50,FALSE)*Ontwerpberekening!L17,0)/Ontwerpberekening!$A$2</f>
        <v>0</v>
      </c>
      <c r="P184" s="93">
        <f>(IF(Ontwerpberekening!C17="Nieuwe Situatie",(_xlfn.IFNA(VLOOKUP(Referentie_Fossiele_Energie_Totaal48[[#This Row],[Product]]&amp;", "&amp;Referentie_Fossiele_Energie_Totaal48[[#Headers],[D1]],Database_Productkaarten[#All],50,FALSE),0)*Ontwerpberekening!L17),0))/Ontwerpberekening!$A$2</f>
        <v>0</v>
      </c>
      <c r="Q184" s="94">
        <f>(IF(Ontwerpberekening!C17="Nieuwe Situatie",_xlfn.IFNA(VLOOKUP(Referentie_Fossiele_Energie_Totaal48[[#This Row],[Product]]&amp;", "&amp;Referentie_Fossiele_Energie_Totaal48[[#Headers],[D2]],Database_Productkaarten[#All],50,FALSE),0)*Ontwerpberekening!L17,0))/Ontwerpberekening!$A$2</f>
        <v>0</v>
      </c>
      <c r="R184" s="72">
        <f>SUM(Referentie_Fossiele_Energie_Totaal48[[#This Row],[A1]:[D2]])</f>
        <v>0</v>
      </c>
    </row>
    <row r="185" spans="2:18" ht="18" x14ac:dyDescent="0.55000000000000004">
      <c r="B185" s="67" t="str">
        <f>Ontwerpberekening!B18</f>
        <v>Baseline</v>
      </c>
      <c r="C185" s="92" t="str">
        <f>Ontwerpberekening!F18</f>
        <v>Grond</v>
      </c>
      <c r="D185" s="93">
        <f>(IF(Ontwerpberekening!C18="Nieuwe Situatie",(_xlfn.IFNA(VLOOKUP(Referentie_Fossiele_Energie_Totaal48[[#This Row],[Product]]&amp;", "&amp;Referentie_Fossiele_Energie_Totaal48[[#Headers],[A1]],Database_Productkaarten[#All],50,FALSE),0)*Ontwerpberekening!L18),0))/Ontwerpberekening!$A$2</f>
        <v>0</v>
      </c>
      <c r="E185" s="93">
        <f>(IF(Ontwerpberekening!C18="Nieuwe Situatie",(_xlfn.IFNA(VLOOKUP(Referentie_Fossiele_Energie_Totaal48[[#This Row],[Product]]&amp;", "&amp;Referentie_Fossiele_Energie_Totaal48[[#Headers],[A2]],Database_Productkaarten[#All],50,FALSE),0)*Ontwerpberekening!L18),0))/Ontwerpberekening!$A$2</f>
        <v>0</v>
      </c>
      <c r="F185" s="93">
        <f>(IF(Ontwerpberekening!C18="Nieuwe Situatie",(_xlfn.IFNA(VLOOKUP(Referentie_Fossiele_Energie_Totaal48[[#This Row],[Product]]&amp;", "&amp;Referentie_Fossiele_Energie_Totaal48[[#Headers],[A3]],Database_Productkaarten[#All],50,FALSE),0)*Ontwerpberekening!L18),0))/Ontwerpberekening!$A$2</f>
        <v>0</v>
      </c>
      <c r="G185" s="93">
        <f>(IF(Ontwerpberekening!C18="Nieuwe Situatie",(_xlfn.IFNA(VLOOKUP(Referentie_Fossiele_Energie_Totaal48[[#This Row],[Product]]&amp;", "&amp;Referentie_Fossiele_Energie_Totaal48[[#Headers],[A4]],Database_Productkaarten[#All],50,FALSE),0)*Ontwerpberekening!L18),0))/Ontwerpberekening!$A$2</f>
        <v>14.606728</v>
      </c>
      <c r="H185" s="93">
        <f>(IF(Ontwerpberekening!C18="Nieuwe Situatie",(_xlfn.IFNA(VLOOKUP(Referentie_Fossiele_Energie_Totaal48[[#This Row],[Product]]&amp;", "&amp;Referentie_Fossiele_Energie_Totaal48[[#Headers],[A5]],Database_Productkaarten[#All],50,FALSE),0)*Ontwerpberekening!L18),0))/Ontwerpberekening!$A$2</f>
        <v>1.6309815001271017E-3</v>
      </c>
      <c r="I185" s="93">
        <f>(IF(Ontwerpberekening!C18="Nieuwe Situatie",(_xlfn.IFNA(VLOOKUP(Referentie_Fossiele_Energie_Totaal48[[#This Row],[Product]]&amp;", "&amp;Referentie_Fossiele_Energie_Totaal48[[#Headers],[B1]],Database_Productkaarten[#All],50,FALSE),0)*Ontwerpberekening!L18),0))/Ontwerpberekening!$A$2</f>
        <v>0</v>
      </c>
      <c r="J185" s="93"/>
      <c r="K185" s="93">
        <f>(IF(Ontwerpberekening!C18="Nieuwe Situatie",(SUM(Referentie_Fossiele_Energie_Totaal48[[#This Row],[A1]:[B1]],Referentie_Fossiele_Energie_Totaal48[[#This Row],[C1]:[D2]])*Ontwerpberekening!M18),0))/Ontwerpberekening!$A$2</f>
        <v>1.7530030777800154E-3</v>
      </c>
      <c r="L185" s="93">
        <f>_xlfn.IFNA(VLOOKUP(Referentie_Fossiele_Energie_Totaal48[[#This Row],[Product]]&amp;", "&amp;Referentie_Fossiele_Energie_Totaal48[[#Headers],[C1]],Database_Productkaarten[#All],50,FALSE)*Ontwerpberekening!L18,0)/Ontwerpberekening!$A$2</f>
        <v>1.6309815001271017E-3</v>
      </c>
      <c r="M185" s="93">
        <f>_xlfn.IFNA(VLOOKUP(Referentie_Fossiele_Energie_Totaal48[[#This Row],[Product]]&amp;", "&amp;Referentie_Fossiele_Energie_Totaal48[[#Headers],[C2]],Database_Productkaarten[#All],50,FALSE)*Ontwerpberekening!L18,0)/Ontwerpberekening!$A$2</f>
        <v>14.606728</v>
      </c>
      <c r="N185" s="93">
        <f>_xlfn.IFNA(VLOOKUP(Referentie_Fossiele_Energie_Totaal48[[#This Row],[Product]]&amp;", "&amp;Referentie_Fossiele_Energie_Totaal48[[#Headers],[C3]],Database_Productkaarten[#All],50,FALSE)*Ontwerpberekening!L18,0)/Ontwerpberekening!$A$2</f>
        <v>0</v>
      </c>
      <c r="O185" s="93">
        <f>_xlfn.IFNA(VLOOKUP(Referentie_Fossiele_Energie_Totaal48[[#This Row],[Product]]&amp;", "&amp;Referentie_Fossiele_Energie_Totaal48[[#Headers],[C4]],Database_Productkaarten[#All],50,FALSE)*Ontwerpberekening!L18,0)/Ontwerpberekening!$A$2</f>
        <v>0</v>
      </c>
      <c r="P185" s="93">
        <f>(IF(Ontwerpberekening!C18="Nieuwe Situatie",(_xlfn.IFNA(VLOOKUP(Referentie_Fossiele_Energie_Totaal48[[#This Row],[Product]]&amp;", "&amp;Referentie_Fossiele_Energie_Totaal48[[#Headers],[D1]],Database_Productkaarten[#All],50,FALSE),0)*Ontwerpberekening!L18),0))/Ontwerpberekening!$A$2</f>
        <v>0</v>
      </c>
      <c r="Q185" s="94">
        <f>(IF(Ontwerpberekening!C18="Nieuwe Situatie",_xlfn.IFNA(VLOOKUP(Referentie_Fossiele_Energie_Totaal48[[#This Row],[Product]]&amp;", "&amp;Referentie_Fossiele_Energie_Totaal48[[#Headers],[D2]],Database_Productkaarten[#All],50,FALSE),0)*Ontwerpberekening!L18,0))/Ontwerpberekening!$A$2</f>
        <v>0</v>
      </c>
      <c r="R185" s="72">
        <f>SUM(Referentie_Fossiele_Energie_Totaal48[[#This Row],[A1]:[D2]])</f>
        <v>29.218470966078037</v>
      </c>
    </row>
    <row r="186" spans="2:18" ht="18" x14ac:dyDescent="0.55000000000000004">
      <c r="B186" s="67" t="str">
        <f>Ontwerpberekening!B19</f>
        <v>Baseline</v>
      </c>
      <c r="C186" s="92" t="str">
        <f>Ontwerpberekening!F19</f>
        <v>Opsluitband 100x200</v>
      </c>
      <c r="D186" s="93">
        <f>(IF(Ontwerpberekening!C19="Nieuwe Situatie",(_xlfn.IFNA(VLOOKUP(Referentie_Fossiele_Energie_Totaal48[[#This Row],[Product]]&amp;", "&amp;Referentie_Fossiele_Energie_Totaal48[[#Headers],[A1]],Database_Productkaarten[#All],50,FALSE),0)*Ontwerpberekening!L19),0))/Ontwerpberekening!$A$2</f>
        <v>0</v>
      </c>
      <c r="E186" s="93">
        <f>(IF(Ontwerpberekening!C19="Nieuwe Situatie",(_xlfn.IFNA(VLOOKUP(Referentie_Fossiele_Energie_Totaal48[[#This Row],[Product]]&amp;", "&amp;Referentie_Fossiele_Energie_Totaal48[[#Headers],[A2]],Database_Productkaarten[#All],50,FALSE),0)*Ontwerpberekening!L19),0))/Ontwerpberekening!$A$2</f>
        <v>0</v>
      </c>
      <c r="F186" s="93">
        <f>(IF(Ontwerpberekening!C19="Nieuwe Situatie",(_xlfn.IFNA(VLOOKUP(Referentie_Fossiele_Energie_Totaal48[[#This Row],[Product]]&amp;", "&amp;Referentie_Fossiele_Energie_Totaal48[[#Headers],[A3]],Database_Productkaarten[#All],50,FALSE),0)*Ontwerpberekening!L19),0))/Ontwerpberekening!$A$2</f>
        <v>0</v>
      </c>
      <c r="G186" s="93">
        <f>(IF(Ontwerpberekening!C19="Nieuwe Situatie",(_xlfn.IFNA(VLOOKUP(Referentie_Fossiele_Energie_Totaal48[[#This Row],[Product]]&amp;", "&amp;Referentie_Fossiele_Energie_Totaal48[[#Headers],[A4]],Database_Productkaarten[#All],50,FALSE),0)*Ontwerpberekening!L19),0))/Ontwerpberekening!$A$2</f>
        <v>0</v>
      </c>
      <c r="H186" s="93">
        <f>(IF(Ontwerpberekening!C19="Nieuwe Situatie",(_xlfn.IFNA(VLOOKUP(Referentie_Fossiele_Energie_Totaal48[[#This Row],[Product]]&amp;", "&amp;Referentie_Fossiele_Energie_Totaal48[[#Headers],[A5]],Database_Productkaarten[#All],50,FALSE),0)*Ontwerpberekening!L19),0))/Ontwerpberekening!$A$2</f>
        <v>0</v>
      </c>
      <c r="I186" s="93">
        <f>(IF(Ontwerpberekening!C19="Nieuwe Situatie",(_xlfn.IFNA(VLOOKUP(Referentie_Fossiele_Energie_Totaal48[[#This Row],[Product]]&amp;", "&amp;Referentie_Fossiele_Energie_Totaal48[[#Headers],[B1]],Database_Productkaarten[#All],50,FALSE),0)*Ontwerpberekening!L19),0))/Ontwerpberekening!$A$2</f>
        <v>0</v>
      </c>
      <c r="J186" s="93"/>
      <c r="K186" s="93">
        <f>(IF(Ontwerpberekening!C19="Nieuwe Situatie",(SUM(Referentie_Fossiele_Energie_Totaal48[[#This Row],[A1]:[B1]],Referentie_Fossiele_Energie_Totaal48[[#This Row],[C1]:[D2]])*Ontwerpberekening!M19),0))/Ontwerpberekening!$A$2</f>
        <v>0</v>
      </c>
      <c r="L186" s="93">
        <f>_xlfn.IFNA(VLOOKUP(Referentie_Fossiele_Energie_Totaal48[[#This Row],[Product]]&amp;", "&amp;Referentie_Fossiele_Energie_Totaal48[[#Headers],[C1]],Database_Productkaarten[#All],50,FALSE)*Ontwerpberekening!L19,0)/Ontwerpberekening!$A$2</f>
        <v>0</v>
      </c>
      <c r="M186" s="93">
        <f>_xlfn.IFNA(VLOOKUP(Referentie_Fossiele_Energie_Totaal48[[#This Row],[Product]]&amp;", "&amp;Referentie_Fossiele_Energie_Totaal48[[#Headers],[C2]],Database_Productkaarten[#All],50,FALSE)*Ontwerpberekening!L19,0)/Ontwerpberekening!$A$2</f>
        <v>0</v>
      </c>
      <c r="N186" s="93">
        <f>_xlfn.IFNA(VLOOKUP(Referentie_Fossiele_Energie_Totaal48[[#This Row],[Product]]&amp;", "&amp;Referentie_Fossiele_Energie_Totaal48[[#Headers],[C3]],Database_Productkaarten[#All],50,FALSE)*Ontwerpberekening!L19,0)/Ontwerpberekening!$A$2</f>
        <v>0</v>
      </c>
      <c r="O186" s="93">
        <f>_xlfn.IFNA(VLOOKUP(Referentie_Fossiele_Energie_Totaal48[[#This Row],[Product]]&amp;", "&amp;Referentie_Fossiele_Energie_Totaal48[[#Headers],[C4]],Database_Productkaarten[#All],50,FALSE)*Ontwerpberekening!L19,0)/Ontwerpberekening!$A$2</f>
        <v>0</v>
      </c>
      <c r="P186" s="93">
        <f>(IF(Ontwerpberekening!C19="Nieuwe Situatie",(_xlfn.IFNA(VLOOKUP(Referentie_Fossiele_Energie_Totaal48[[#This Row],[Product]]&amp;", "&amp;Referentie_Fossiele_Energie_Totaal48[[#Headers],[D1]],Database_Productkaarten[#All],50,FALSE),0)*Ontwerpberekening!L19),0))/Ontwerpberekening!$A$2</f>
        <v>0</v>
      </c>
      <c r="Q186" s="94">
        <f>(IF(Ontwerpberekening!C19="Nieuwe Situatie",_xlfn.IFNA(VLOOKUP(Referentie_Fossiele_Energie_Totaal48[[#This Row],[Product]]&amp;", "&amp;Referentie_Fossiele_Energie_Totaal48[[#Headers],[D2]],Database_Productkaarten[#All],50,FALSE),0)*Ontwerpberekening!L19,0))/Ontwerpberekening!$A$2</f>
        <v>0</v>
      </c>
      <c r="R186" s="72">
        <f>SUM(Referentie_Fossiele_Energie_Totaal48[[#This Row],[A1]:[D2]])</f>
        <v>0</v>
      </c>
    </row>
    <row r="187" spans="2:18" ht="18" x14ac:dyDescent="0.55000000000000004">
      <c r="B187" s="67" t="str">
        <f>Ontwerpberekening!B20</f>
        <v>Baseline</v>
      </c>
      <c r="C187" s="92" t="str">
        <f>Ontwerpberekening!F20</f>
        <v>Opsluitband 100x200</v>
      </c>
      <c r="D187" s="93">
        <f>(IF(Ontwerpberekening!C20="Nieuwe Situatie",(_xlfn.IFNA(VLOOKUP(Referentie_Fossiele_Energie_Totaal48[[#This Row],[Product]]&amp;", "&amp;Referentie_Fossiele_Energie_Totaal48[[#Headers],[A1]],Database_Productkaarten[#All],50,FALSE),0)*Ontwerpberekening!L20),0))/Ontwerpberekening!$A$2</f>
        <v>0</v>
      </c>
      <c r="E187" s="93">
        <f>(IF(Ontwerpberekening!C20="Nieuwe Situatie",(_xlfn.IFNA(VLOOKUP(Referentie_Fossiele_Energie_Totaal48[[#This Row],[Product]]&amp;", "&amp;Referentie_Fossiele_Energie_Totaal48[[#Headers],[A2]],Database_Productkaarten[#All],50,FALSE),0)*Ontwerpberekening!L20),0))/Ontwerpberekening!$A$2</f>
        <v>0</v>
      </c>
      <c r="F187" s="93">
        <f>(IF(Ontwerpberekening!C20="Nieuwe Situatie",(_xlfn.IFNA(VLOOKUP(Referentie_Fossiele_Energie_Totaal48[[#This Row],[Product]]&amp;", "&amp;Referentie_Fossiele_Energie_Totaal48[[#Headers],[A3]],Database_Productkaarten[#All],50,FALSE),0)*Ontwerpberekening!L20),0))/Ontwerpberekening!$A$2</f>
        <v>0</v>
      </c>
      <c r="G187" s="93">
        <f>(IF(Ontwerpberekening!C20="Nieuwe Situatie",(_xlfn.IFNA(VLOOKUP(Referentie_Fossiele_Energie_Totaal48[[#This Row],[Product]]&amp;", "&amp;Referentie_Fossiele_Energie_Totaal48[[#Headers],[A4]],Database_Productkaarten[#All],50,FALSE),0)*Ontwerpberekening!L20),0))/Ontwerpberekening!$A$2</f>
        <v>0</v>
      </c>
      <c r="H187" s="93">
        <f>(IF(Ontwerpberekening!C20="Nieuwe Situatie",(_xlfn.IFNA(VLOOKUP(Referentie_Fossiele_Energie_Totaal48[[#This Row],[Product]]&amp;", "&amp;Referentie_Fossiele_Energie_Totaal48[[#Headers],[A5]],Database_Productkaarten[#All],50,FALSE),0)*Ontwerpberekening!L20),0))/Ontwerpberekening!$A$2</f>
        <v>0</v>
      </c>
      <c r="I187" s="93">
        <f>(IF(Ontwerpberekening!C20="Nieuwe Situatie",(_xlfn.IFNA(VLOOKUP(Referentie_Fossiele_Energie_Totaal48[[#This Row],[Product]]&amp;", "&amp;Referentie_Fossiele_Energie_Totaal48[[#Headers],[B1]],Database_Productkaarten[#All],50,FALSE),0)*Ontwerpberekening!L20),0))/Ontwerpberekening!$A$2</f>
        <v>0</v>
      </c>
      <c r="J187" s="93"/>
      <c r="K187" s="93">
        <f>(IF(Ontwerpberekening!C20="Nieuwe Situatie",(SUM(Referentie_Fossiele_Energie_Totaal48[[#This Row],[A1]:[B1]],Referentie_Fossiele_Energie_Totaal48[[#This Row],[C1]:[D2]])*Ontwerpberekening!M20),0))/Ontwerpberekening!$A$2</f>
        <v>0</v>
      </c>
      <c r="L187" s="93">
        <f>_xlfn.IFNA(VLOOKUP(Referentie_Fossiele_Energie_Totaal48[[#This Row],[Product]]&amp;", "&amp;Referentie_Fossiele_Energie_Totaal48[[#Headers],[C1]],Database_Productkaarten[#All],50,FALSE)*Ontwerpberekening!L20,0)/Ontwerpberekening!$A$2</f>
        <v>0</v>
      </c>
      <c r="M187" s="93">
        <f>_xlfn.IFNA(VLOOKUP(Referentie_Fossiele_Energie_Totaal48[[#This Row],[Product]]&amp;", "&amp;Referentie_Fossiele_Energie_Totaal48[[#Headers],[C2]],Database_Productkaarten[#All],50,FALSE)*Ontwerpberekening!L20,0)/Ontwerpberekening!$A$2</f>
        <v>0</v>
      </c>
      <c r="N187" s="93">
        <f>_xlfn.IFNA(VLOOKUP(Referentie_Fossiele_Energie_Totaal48[[#This Row],[Product]]&amp;", "&amp;Referentie_Fossiele_Energie_Totaal48[[#Headers],[C3]],Database_Productkaarten[#All],50,FALSE)*Ontwerpberekening!L20,0)/Ontwerpberekening!$A$2</f>
        <v>0</v>
      </c>
      <c r="O187" s="93">
        <f>_xlfn.IFNA(VLOOKUP(Referentie_Fossiele_Energie_Totaal48[[#This Row],[Product]]&amp;", "&amp;Referentie_Fossiele_Energie_Totaal48[[#Headers],[C4]],Database_Productkaarten[#All],50,FALSE)*Ontwerpberekening!L20,0)/Ontwerpberekening!$A$2</f>
        <v>0</v>
      </c>
      <c r="P187" s="93">
        <f>(IF(Ontwerpberekening!C20="Nieuwe Situatie",(_xlfn.IFNA(VLOOKUP(Referentie_Fossiele_Energie_Totaal48[[#This Row],[Product]]&amp;", "&amp;Referentie_Fossiele_Energie_Totaal48[[#Headers],[D1]],Database_Productkaarten[#All],50,FALSE),0)*Ontwerpberekening!L20),0))/Ontwerpberekening!$A$2</f>
        <v>0</v>
      </c>
      <c r="Q187" s="94">
        <f>(IF(Ontwerpberekening!C20="Nieuwe Situatie",_xlfn.IFNA(VLOOKUP(Referentie_Fossiele_Energie_Totaal48[[#This Row],[Product]]&amp;", "&amp;Referentie_Fossiele_Energie_Totaal48[[#Headers],[D2]],Database_Productkaarten[#All],50,FALSE),0)*Ontwerpberekening!L20,0))/Ontwerpberekening!$A$2</f>
        <v>0</v>
      </c>
      <c r="R187" s="72">
        <f>SUM(Referentie_Fossiele_Energie_Totaal48[[#This Row],[A1]:[D2]])</f>
        <v>0</v>
      </c>
    </row>
    <row r="188" spans="2:18" ht="18" x14ac:dyDescent="0.55000000000000004">
      <c r="B188" s="67" t="str">
        <f>Ontwerpberekening!B21</f>
        <v>Baseline</v>
      </c>
      <c r="C188" s="92" t="str">
        <f>Ontwerpberekening!F21</f>
        <v>Grond</v>
      </c>
      <c r="D188" s="93">
        <f>(IF(Ontwerpberekening!C21="Nieuwe Situatie",(_xlfn.IFNA(VLOOKUP(Referentie_Fossiele_Energie_Totaal48[[#This Row],[Product]]&amp;", "&amp;Referentie_Fossiele_Energie_Totaal48[[#Headers],[A1]],Database_Productkaarten[#All],50,FALSE),0)*Ontwerpberekening!L21),0))/Ontwerpberekening!$A$2</f>
        <v>0</v>
      </c>
      <c r="E188" s="93">
        <f>(IF(Ontwerpberekening!C21="Nieuwe Situatie",(_xlfn.IFNA(VLOOKUP(Referentie_Fossiele_Energie_Totaal48[[#This Row],[Product]]&amp;", "&amp;Referentie_Fossiele_Energie_Totaal48[[#Headers],[A2]],Database_Productkaarten[#All],50,FALSE),0)*Ontwerpberekening!L21),0))/Ontwerpberekening!$A$2</f>
        <v>0</v>
      </c>
      <c r="F188" s="93">
        <f>(IF(Ontwerpberekening!C21="Nieuwe Situatie",(_xlfn.IFNA(VLOOKUP(Referentie_Fossiele_Energie_Totaal48[[#This Row],[Product]]&amp;", "&amp;Referentie_Fossiele_Energie_Totaal48[[#Headers],[A3]],Database_Productkaarten[#All],50,FALSE),0)*Ontwerpberekening!L21),0))/Ontwerpberekening!$A$2</f>
        <v>0</v>
      </c>
      <c r="G188" s="93">
        <f>(IF(Ontwerpberekening!C21="Nieuwe Situatie",(_xlfn.IFNA(VLOOKUP(Referentie_Fossiele_Energie_Totaal48[[#This Row],[Product]]&amp;", "&amp;Referentie_Fossiele_Energie_Totaal48[[#Headers],[A4]],Database_Productkaarten[#All],50,FALSE),0)*Ontwerpberekening!L21),0))/Ontwerpberekening!$A$2</f>
        <v>0</v>
      </c>
      <c r="H188" s="93">
        <f>(IF(Ontwerpberekening!C21="Nieuwe Situatie",(_xlfn.IFNA(VLOOKUP(Referentie_Fossiele_Energie_Totaal48[[#This Row],[Product]]&amp;", "&amp;Referentie_Fossiele_Energie_Totaal48[[#Headers],[A5]],Database_Productkaarten[#All],50,FALSE),0)*Ontwerpberekening!L21),0))/Ontwerpberekening!$A$2</f>
        <v>0</v>
      </c>
      <c r="I188" s="93">
        <f>(IF(Ontwerpberekening!C21="Nieuwe Situatie",(_xlfn.IFNA(VLOOKUP(Referentie_Fossiele_Energie_Totaal48[[#This Row],[Product]]&amp;", "&amp;Referentie_Fossiele_Energie_Totaal48[[#Headers],[B1]],Database_Productkaarten[#All],50,FALSE),0)*Ontwerpberekening!L21),0))/Ontwerpberekening!$A$2</f>
        <v>0</v>
      </c>
      <c r="J188" s="93"/>
      <c r="K188" s="93">
        <f>(IF(Ontwerpberekening!C21="Nieuwe Situatie",(SUM(Referentie_Fossiele_Energie_Totaal48[[#This Row],[A1]:[B1]],Referentie_Fossiele_Energie_Totaal48[[#This Row],[C1]:[D2]])*Ontwerpberekening!M21),0))/Ontwerpberekening!$A$2</f>
        <v>0</v>
      </c>
      <c r="L188" s="93">
        <f>_xlfn.IFNA(VLOOKUP(Referentie_Fossiele_Energie_Totaal48[[#This Row],[Product]]&amp;", "&amp;Referentie_Fossiele_Energie_Totaal48[[#Headers],[C1]],Database_Productkaarten[#All],50,FALSE)*Ontwerpberekening!L21,0)/Ontwerpberekening!$A$2</f>
        <v>0</v>
      </c>
      <c r="M188" s="93">
        <f>_xlfn.IFNA(VLOOKUP(Referentie_Fossiele_Energie_Totaal48[[#This Row],[Product]]&amp;", "&amp;Referentie_Fossiele_Energie_Totaal48[[#Headers],[C2]],Database_Productkaarten[#All],50,FALSE)*Ontwerpberekening!L21,0)/Ontwerpberekening!$A$2</f>
        <v>0</v>
      </c>
      <c r="N188" s="93">
        <f>_xlfn.IFNA(VLOOKUP(Referentie_Fossiele_Energie_Totaal48[[#This Row],[Product]]&amp;", "&amp;Referentie_Fossiele_Energie_Totaal48[[#Headers],[C3]],Database_Productkaarten[#All],50,FALSE)*Ontwerpberekening!L21,0)/Ontwerpberekening!$A$2</f>
        <v>0</v>
      </c>
      <c r="O188" s="93">
        <f>_xlfn.IFNA(VLOOKUP(Referentie_Fossiele_Energie_Totaal48[[#This Row],[Product]]&amp;", "&amp;Referentie_Fossiele_Energie_Totaal48[[#Headers],[C4]],Database_Productkaarten[#All],50,FALSE)*Ontwerpberekening!L21,0)/Ontwerpberekening!$A$2</f>
        <v>0</v>
      </c>
      <c r="P188" s="93">
        <f>(IF(Ontwerpberekening!C21="Nieuwe Situatie",(_xlfn.IFNA(VLOOKUP(Referentie_Fossiele_Energie_Totaal48[[#This Row],[Product]]&amp;", "&amp;Referentie_Fossiele_Energie_Totaal48[[#Headers],[D1]],Database_Productkaarten[#All],50,FALSE),0)*Ontwerpberekening!L21),0))/Ontwerpberekening!$A$2</f>
        <v>0</v>
      </c>
      <c r="Q188" s="94">
        <f>(IF(Ontwerpberekening!C21="Nieuwe Situatie",_xlfn.IFNA(VLOOKUP(Referentie_Fossiele_Energie_Totaal48[[#This Row],[Product]]&amp;", "&amp;Referentie_Fossiele_Energie_Totaal48[[#Headers],[D2]],Database_Productkaarten[#All],50,FALSE),0)*Ontwerpberekening!L21,0))/Ontwerpberekening!$A$2</f>
        <v>0</v>
      </c>
      <c r="R188" s="72">
        <f>SUM(Referentie_Fossiele_Energie_Totaal48[[#This Row],[A1]:[D2]])</f>
        <v>0</v>
      </c>
    </row>
    <row r="189" spans="2:18" ht="18" x14ac:dyDescent="0.55000000000000004">
      <c r="B189" s="67" t="str">
        <f>Ontwerpberekening!B22</f>
        <v>Variant 1</v>
      </c>
      <c r="C189" s="92" t="str">
        <f>Ontwerpberekening!F22</f>
        <v>AC Surf 30% PR - PCR 2.0</v>
      </c>
      <c r="D189" s="93">
        <f>(IF(Ontwerpberekening!C22="Nieuwe Situatie",(_xlfn.IFNA(VLOOKUP(Referentie_Fossiele_Energie_Totaal48[[#This Row],[Product]]&amp;", "&amp;Referentie_Fossiele_Energie_Totaal48[[#Headers],[A1]],Database_Productkaarten[#All],50,FALSE),0)*Ontwerpberekening!L22),0))/Ontwerpberekening!$A$2</f>
        <v>0</v>
      </c>
      <c r="E189" s="93">
        <f>(IF(Ontwerpberekening!C22="Nieuwe Situatie",(_xlfn.IFNA(VLOOKUP(Referentie_Fossiele_Energie_Totaal48[[#This Row],[Product]]&amp;", "&amp;Referentie_Fossiele_Energie_Totaal48[[#Headers],[A2]],Database_Productkaarten[#All],50,FALSE),0)*Ontwerpberekening!L22),0))/Ontwerpberekening!$A$2</f>
        <v>0</v>
      </c>
      <c r="F189" s="93">
        <f>(IF(Ontwerpberekening!C22="Nieuwe Situatie",(_xlfn.IFNA(VLOOKUP(Referentie_Fossiele_Energie_Totaal48[[#This Row],[Product]]&amp;", "&amp;Referentie_Fossiele_Energie_Totaal48[[#Headers],[A3]],Database_Productkaarten[#All],50,FALSE),0)*Ontwerpberekening!L22),0))/Ontwerpberekening!$A$2</f>
        <v>0</v>
      </c>
      <c r="G189" s="93">
        <f>(IF(Ontwerpberekening!C22="Nieuwe Situatie",(_xlfn.IFNA(VLOOKUP(Referentie_Fossiele_Energie_Totaal48[[#This Row],[Product]]&amp;", "&amp;Referentie_Fossiele_Energie_Totaal48[[#Headers],[A4]],Database_Productkaarten[#All],50,FALSE),0)*Ontwerpberekening!L22),0))/Ontwerpberekening!$A$2</f>
        <v>0</v>
      </c>
      <c r="H189" s="93">
        <f>(IF(Ontwerpberekening!C22="Nieuwe Situatie",(_xlfn.IFNA(VLOOKUP(Referentie_Fossiele_Energie_Totaal48[[#This Row],[Product]]&amp;", "&amp;Referentie_Fossiele_Energie_Totaal48[[#Headers],[A5]],Database_Productkaarten[#All],50,FALSE),0)*Ontwerpberekening!L22),0))/Ontwerpberekening!$A$2</f>
        <v>0</v>
      </c>
      <c r="I189" s="93">
        <f>(IF(Ontwerpberekening!C22="Nieuwe Situatie",(_xlfn.IFNA(VLOOKUP(Referentie_Fossiele_Energie_Totaal48[[#This Row],[Product]]&amp;", "&amp;Referentie_Fossiele_Energie_Totaal48[[#Headers],[B1]],Database_Productkaarten[#All],50,FALSE),0)*Ontwerpberekening!L22),0))/Ontwerpberekening!$A$2</f>
        <v>0</v>
      </c>
      <c r="J189" s="93"/>
      <c r="K189" s="93">
        <f>(IF(Ontwerpberekening!C22="Nieuwe Situatie",(SUM(Referentie_Fossiele_Energie_Totaal48[[#This Row],[A1]:[B1]],Referentie_Fossiele_Energie_Totaal48[[#This Row],[C1]:[D2]])*Ontwerpberekening!M22),0))/Ontwerpberekening!$A$2</f>
        <v>0</v>
      </c>
      <c r="L189" s="93">
        <f>_xlfn.IFNA(VLOOKUP(Referentie_Fossiele_Energie_Totaal48[[#This Row],[Product]]&amp;", "&amp;Referentie_Fossiele_Energie_Totaal48[[#Headers],[C1]],Database_Productkaarten[#All],50,FALSE)*Ontwerpberekening!L22,0)/Ontwerpberekening!$A$2</f>
        <v>651.7112551600469</v>
      </c>
      <c r="M189" s="93">
        <f>_xlfn.IFNA(VLOOKUP(Referentie_Fossiele_Energie_Totaal48[[#This Row],[Product]]&amp;", "&amp;Referentie_Fossiele_Energie_Totaal48[[#Headers],[C2]],Database_Productkaarten[#All],50,FALSE)*Ontwerpberekening!L22,0)/Ontwerpberekening!$A$2</f>
        <v>2283.5657609208001</v>
      </c>
      <c r="N189" s="93">
        <f>_xlfn.IFNA(VLOOKUP(Referentie_Fossiele_Energie_Totaal48[[#This Row],[Product]]&amp;", "&amp;Referentie_Fossiele_Energie_Totaal48[[#Headers],[C3]],Database_Productkaarten[#All],50,FALSE)*Ontwerpberekening!L22,0)/Ontwerpberekening!$A$2</f>
        <v>730.70655881581115</v>
      </c>
      <c r="O189" s="93">
        <f>_xlfn.IFNA(VLOOKUP(Referentie_Fossiele_Energie_Totaal48[[#This Row],[Product]]&amp;", "&amp;Referentie_Fossiele_Energie_Totaal48[[#Headers],[C4]],Database_Productkaarten[#All],50,FALSE)*Ontwerpberekening!L22,0)/Ontwerpberekening!$A$2</f>
        <v>0</v>
      </c>
      <c r="P189" s="93">
        <f>(IF(Ontwerpberekening!C22="Nieuwe Situatie",(_xlfn.IFNA(VLOOKUP(Referentie_Fossiele_Energie_Totaal48[[#This Row],[Product]]&amp;", "&amp;Referentie_Fossiele_Energie_Totaal48[[#Headers],[D1]],Database_Productkaarten[#All],50,FALSE),0)*Ontwerpberekening!L22),0))/Ontwerpberekening!$A$2</f>
        <v>0</v>
      </c>
      <c r="Q189" s="94">
        <f>(IF(Ontwerpberekening!C22="Nieuwe Situatie",_xlfn.IFNA(VLOOKUP(Referentie_Fossiele_Energie_Totaal48[[#This Row],[Product]]&amp;", "&amp;Referentie_Fossiele_Energie_Totaal48[[#Headers],[D2]],Database_Productkaarten[#All],50,FALSE),0)*Ontwerpberekening!L22,0))/Ontwerpberekening!$A$2</f>
        <v>0</v>
      </c>
      <c r="R189" s="72">
        <f>SUM(Referentie_Fossiele_Energie_Totaal48[[#This Row],[A1]:[D2]])</f>
        <v>3665.983574896658</v>
      </c>
    </row>
    <row r="190" spans="2:18" ht="18" x14ac:dyDescent="0.55000000000000004">
      <c r="B190" s="67" t="str">
        <f>Ontwerpberekening!B23</f>
        <v>Variant 1</v>
      </c>
      <c r="C190" s="92" t="str">
        <f>Ontwerpberekening!F23</f>
        <v>AC bin/base 50% PR G.M. - PCR 2.0</v>
      </c>
      <c r="D190" s="93">
        <f>(IF(Ontwerpberekening!C23="Nieuwe Situatie",(_xlfn.IFNA(VLOOKUP(Referentie_Fossiele_Energie_Totaal48[[#This Row],[Product]]&amp;", "&amp;Referentie_Fossiele_Energie_Totaal48[[#Headers],[A1]],Database_Productkaarten[#All],50,FALSE),0)*Ontwerpberekening!L23),0))/Ontwerpberekening!$A$2</f>
        <v>0</v>
      </c>
      <c r="E190" s="93">
        <f>(IF(Ontwerpberekening!C23="Nieuwe Situatie",(_xlfn.IFNA(VLOOKUP(Referentie_Fossiele_Energie_Totaal48[[#This Row],[Product]]&amp;", "&amp;Referentie_Fossiele_Energie_Totaal48[[#Headers],[A2]],Database_Productkaarten[#All],50,FALSE),0)*Ontwerpberekening!L23),0))/Ontwerpberekening!$A$2</f>
        <v>0</v>
      </c>
      <c r="F190" s="93">
        <f>(IF(Ontwerpberekening!C23="Nieuwe Situatie",(_xlfn.IFNA(VLOOKUP(Referentie_Fossiele_Energie_Totaal48[[#This Row],[Product]]&amp;", "&amp;Referentie_Fossiele_Energie_Totaal48[[#Headers],[A3]],Database_Productkaarten[#All],50,FALSE),0)*Ontwerpberekening!L23),0))/Ontwerpberekening!$A$2</f>
        <v>0</v>
      </c>
      <c r="G190" s="93">
        <f>(IF(Ontwerpberekening!C23="Nieuwe Situatie",(_xlfn.IFNA(VLOOKUP(Referentie_Fossiele_Energie_Totaal48[[#This Row],[Product]]&amp;", "&amp;Referentie_Fossiele_Energie_Totaal48[[#Headers],[A4]],Database_Productkaarten[#All],50,FALSE),0)*Ontwerpberekening!L23),0))/Ontwerpberekening!$A$2</f>
        <v>0</v>
      </c>
      <c r="H190" s="93">
        <f>(IF(Ontwerpberekening!C23="Nieuwe Situatie",(_xlfn.IFNA(VLOOKUP(Referentie_Fossiele_Energie_Totaal48[[#This Row],[Product]]&amp;", "&amp;Referentie_Fossiele_Energie_Totaal48[[#Headers],[A5]],Database_Productkaarten[#All],50,FALSE),0)*Ontwerpberekening!L23),0))/Ontwerpberekening!$A$2</f>
        <v>0</v>
      </c>
      <c r="I190" s="93">
        <f>(IF(Ontwerpberekening!C23="Nieuwe Situatie",(_xlfn.IFNA(VLOOKUP(Referentie_Fossiele_Energie_Totaal48[[#This Row],[Product]]&amp;", "&amp;Referentie_Fossiele_Energie_Totaal48[[#Headers],[B1]],Database_Productkaarten[#All],50,FALSE),0)*Ontwerpberekening!L23),0))/Ontwerpberekening!$A$2</f>
        <v>0</v>
      </c>
      <c r="J190" s="93"/>
      <c r="K190" s="93">
        <f>(IF(Ontwerpberekening!C23="Nieuwe Situatie",(SUM(Referentie_Fossiele_Energie_Totaal48[[#This Row],[A1]:[B1]],Referentie_Fossiele_Energie_Totaal48[[#This Row],[C1]:[D2]])*Ontwerpberekening!M23),0))/Ontwerpberekening!$A$2</f>
        <v>0</v>
      </c>
      <c r="L190" s="93">
        <f>_xlfn.IFNA(VLOOKUP(Referentie_Fossiele_Energie_Totaal48[[#This Row],[Product]]&amp;", "&amp;Referentie_Fossiele_Energie_Totaal48[[#Headers],[C1]],Database_Productkaarten[#All],50,FALSE)*Ontwerpberekening!L23,0)/Ontwerpberekening!$A$2</f>
        <v>118.39685550597407</v>
      </c>
      <c r="M190" s="93">
        <f>_xlfn.IFNA(VLOOKUP(Referentie_Fossiele_Energie_Totaal48[[#This Row],[Product]]&amp;", "&amp;Referentie_Fossiele_Energie_Totaal48[[#Headers],[C2]],Database_Productkaarten[#All],50,FALSE)*Ontwerpberekening!L23,0)/Ontwerpberekening!$A$2</f>
        <v>177.7958743296</v>
      </c>
      <c r="N190" s="93">
        <f>_xlfn.IFNA(VLOOKUP(Referentie_Fossiele_Energie_Totaal48[[#This Row],[Product]]&amp;", "&amp;Referentie_Fossiele_Energie_Totaal48[[#Headers],[C3]],Database_Productkaarten[#All],50,FALSE)*Ontwerpberekening!L23,0)/Ontwerpberekening!$A$2</f>
        <v>56.891995502870721</v>
      </c>
      <c r="O190" s="93">
        <f>_xlfn.IFNA(VLOOKUP(Referentie_Fossiele_Energie_Totaal48[[#This Row],[Product]]&amp;", "&amp;Referentie_Fossiele_Energie_Totaal48[[#Headers],[C4]],Database_Productkaarten[#All],50,FALSE)*Ontwerpberekening!L23,0)/Ontwerpberekening!$A$2</f>
        <v>0</v>
      </c>
      <c r="P190" s="93">
        <f>(IF(Ontwerpberekening!C23="Nieuwe Situatie",(_xlfn.IFNA(VLOOKUP(Referentie_Fossiele_Energie_Totaal48[[#This Row],[Product]]&amp;", "&amp;Referentie_Fossiele_Energie_Totaal48[[#Headers],[D1]],Database_Productkaarten[#All],50,FALSE),0)*Ontwerpberekening!L23),0))/Ontwerpberekening!$A$2</f>
        <v>0</v>
      </c>
      <c r="Q190" s="94">
        <f>(IF(Ontwerpberekening!C23="Nieuwe Situatie",_xlfn.IFNA(VLOOKUP(Referentie_Fossiele_Energie_Totaal48[[#This Row],[Product]]&amp;", "&amp;Referentie_Fossiele_Energie_Totaal48[[#Headers],[D2]],Database_Productkaarten[#All],50,FALSE),0)*Ontwerpberekening!L23,0))/Ontwerpberekening!$A$2</f>
        <v>0</v>
      </c>
      <c r="R190" s="72">
        <f>SUM(Referentie_Fossiele_Energie_Totaal48[[#This Row],[A1]:[D2]])</f>
        <v>353.0847253384448</v>
      </c>
    </row>
    <row r="191" spans="2:18" ht="18" x14ac:dyDescent="0.55000000000000004">
      <c r="B191" s="67" t="str">
        <f>Ontwerpberekening!B24</f>
        <v>Variant 1</v>
      </c>
      <c r="C191" s="92" t="str">
        <f>Ontwerpberekening!F24</f>
        <v>AC bin/base 50% PR G.M. - PCR 2.0</v>
      </c>
      <c r="D191" s="93">
        <f>(IF(Ontwerpberekening!C24="Nieuwe Situatie",(_xlfn.IFNA(VLOOKUP(Referentie_Fossiele_Energie_Totaal48[[#This Row],[Product]]&amp;", "&amp;Referentie_Fossiele_Energie_Totaal48[[#Headers],[A1]],Database_Productkaarten[#All],50,FALSE),0)*Ontwerpberekening!L24),0))/Ontwerpberekening!$A$2</f>
        <v>0</v>
      </c>
      <c r="E191" s="93">
        <f>(IF(Ontwerpberekening!C24="Nieuwe Situatie",(_xlfn.IFNA(VLOOKUP(Referentie_Fossiele_Energie_Totaal48[[#This Row],[Product]]&amp;", "&amp;Referentie_Fossiele_Energie_Totaal48[[#Headers],[A2]],Database_Productkaarten[#All],50,FALSE),0)*Ontwerpberekening!L24),0))/Ontwerpberekening!$A$2</f>
        <v>0</v>
      </c>
      <c r="F191" s="93">
        <f>(IF(Ontwerpberekening!C24="Nieuwe Situatie",(_xlfn.IFNA(VLOOKUP(Referentie_Fossiele_Energie_Totaal48[[#This Row],[Product]]&amp;", "&amp;Referentie_Fossiele_Energie_Totaal48[[#Headers],[A3]],Database_Productkaarten[#All],50,FALSE),0)*Ontwerpberekening!L24),0))/Ontwerpberekening!$A$2</f>
        <v>0</v>
      </c>
      <c r="G191" s="93">
        <f>(IF(Ontwerpberekening!C24="Nieuwe Situatie",(_xlfn.IFNA(VLOOKUP(Referentie_Fossiele_Energie_Totaal48[[#This Row],[Product]]&amp;", "&amp;Referentie_Fossiele_Energie_Totaal48[[#Headers],[A4]],Database_Productkaarten[#All],50,FALSE),0)*Ontwerpberekening!L24),0))/Ontwerpberekening!$A$2</f>
        <v>0</v>
      </c>
      <c r="H191" s="93">
        <f>(IF(Ontwerpberekening!C24="Nieuwe Situatie",(_xlfn.IFNA(VLOOKUP(Referentie_Fossiele_Energie_Totaal48[[#This Row],[Product]]&amp;", "&amp;Referentie_Fossiele_Energie_Totaal48[[#Headers],[A5]],Database_Productkaarten[#All],50,FALSE),0)*Ontwerpberekening!L24),0))/Ontwerpberekening!$A$2</f>
        <v>0</v>
      </c>
      <c r="I191" s="93">
        <f>(IF(Ontwerpberekening!C24="Nieuwe Situatie",(_xlfn.IFNA(VLOOKUP(Referentie_Fossiele_Energie_Totaal48[[#This Row],[Product]]&amp;", "&amp;Referentie_Fossiele_Energie_Totaal48[[#Headers],[B1]],Database_Productkaarten[#All],50,FALSE),0)*Ontwerpberekening!L24),0))/Ontwerpberekening!$A$2</f>
        <v>0</v>
      </c>
      <c r="J191" s="93"/>
      <c r="K191" s="93">
        <f>(IF(Ontwerpberekening!C24="Nieuwe Situatie",(SUM(Referentie_Fossiele_Energie_Totaal48[[#This Row],[A1]:[B1]],Referentie_Fossiele_Energie_Totaal48[[#This Row],[C1]:[D2]])*Ontwerpberekening!M24),0))/Ontwerpberekening!$A$2</f>
        <v>0</v>
      </c>
      <c r="L191" s="93">
        <f>_xlfn.IFNA(VLOOKUP(Referentie_Fossiele_Energie_Totaal48[[#This Row],[Product]]&amp;", "&amp;Referentie_Fossiele_Energie_Totaal48[[#Headers],[C1]],Database_Productkaarten[#All],50,FALSE)*Ontwerpberekening!L24,0)/Ontwerpberekening!$A$2</f>
        <v>36.999017345616899</v>
      </c>
      <c r="M191" s="93">
        <f>_xlfn.IFNA(VLOOKUP(Referentie_Fossiele_Energie_Totaal48[[#This Row],[Product]]&amp;", "&amp;Referentie_Fossiele_Energie_Totaal48[[#Headers],[C2]],Database_Productkaarten[#All],50,FALSE)*Ontwerpberekening!L24,0)/Ontwerpberekening!$A$2</f>
        <v>55.561210727999999</v>
      </c>
      <c r="N191" s="93">
        <f>_xlfn.IFNA(VLOOKUP(Referentie_Fossiele_Energie_Totaal48[[#This Row],[Product]]&amp;", "&amp;Referentie_Fossiele_Energie_Totaal48[[#Headers],[C3]],Database_Productkaarten[#All],50,FALSE)*Ontwerpberekening!L24,0)/Ontwerpberekening!$A$2</f>
        <v>17.778748594647102</v>
      </c>
      <c r="O191" s="93">
        <f>_xlfn.IFNA(VLOOKUP(Referentie_Fossiele_Energie_Totaal48[[#This Row],[Product]]&amp;", "&amp;Referentie_Fossiele_Energie_Totaal48[[#Headers],[C4]],Database_Productkaarten[#All],50,FALSE)*Ontwerpberekening!L24,0)/Ontwerpberekening!$A$2</f>
        <v>0</v>
      </c>
      <c r="P191" s="93">
        <f>(IF(Ontwerpberekening!C24="Nieuwe Situatie",(_xlfn.IFNA(VLOOKUP(Referentie_Fossiele_Energie_Totaal48[[#This Row],[Product]]&amp;", "&amp;Referentie_Fossiele_Energie_Totaal48[[#Headers],[D1]],Database_Productkaarten[#All],50,FALSE),0)*Ontwerpberekening!L24),0))/Ontwerpberekening!$A$2</f>
        <v>0</v>
      </c>
      <c r="Q191" s="94">
        <f>(IF(Ontwerpberekening!C24="Nieuwe Situatie",_xlfn.IFNA(VLOOKUP(Referentie_Fossiele_Energie_Totaal48[[#This Row],[Product]]&amp;", "&amp;Referentie_Fossiele_Energie_Totaal48[[#Headers],[D2]],Database_Productkaarten[#All],50,FALSE),0)*Ontwerpberekening!L24,0))/Ontwerpberekening!$A$2</f>
        <v>0</v>
      </c>
      <c r="R191" s="72">
        <f>SUM(Referentie_Fossiele_Energie_Totaal48[[#This Row],[A1]:[D2]])</f>
        <v>110.338976668264</v>
      </c>
    </row>
    <row r="192" spans="2:18" ht="18" x14ac:dyDescent="0.55000000000000004">
      <c r="B192" s="67" t="str">
        <f>Ontwerpberekening!B25</f>
        <v>Variant 1</v>
      </c>
      <c r="C192" s="92" t="str">
        <f>Ontwerpberekening!F25</f>
        <v>Betonstraatsteen geopolymeer 210x105x80</v>
      </c>
      <c r="D192" s="93">
        <f>(IF(Ontwerpberekening!C25="Nieuwe Situatie",(_xlfn.IFNA(VLOOKUP(Referentie_Fossiele_Energie_Totaal48[[#This Row],[Product]]&amp;", "&amp;Referentie_Fossiele_Energie_Totaal48[[#Headers],[A1]],Database_Productkaarten[#All],50,FALSE),0)*Ontwerpberekening!L25),0))/Ontwerpberekening!$A$2</f>
        <v>0</v>
      </c>
      <c r="E192" s="93">
        <f>(IF(Ontwerpberekening!C25="Nieuwe Situatie",(_xlfn.IFNA(VLOOKUP(Referentie_Fossiele_Energie_Totaal48[[#This Row],[Product]]&amp;", "&amp;Referentie_Fossiele_Energie_Totaal48[[#Headers],[A2]],Database_Productkaarten[#All],50,FALSE),0)*Ontwerpberekening!L25),0))/Ontwerpberekening!$A$2</f>
        <v>0</v>
      </c>
      <c r="F192" s="93">
        <f>(IF(Ontwerpberekening!C25="Nieuwe Situatie",(_xlfn.IFNA(VLOOKUP(Referentie_Fossiele_Energie_Totaal48[[#This Row],[Product]]&amp;", "&amp;Referentie_Fossiele_Energie_Totaal48[[#Headers],[A3]],Database_Productkaarten[#All],50,FALSE),0)*Ontwerpberekening!L25),0))/Ontwerpberekening!$A$2</f>
        <v>0</v>
      </c>
      <c r="G192" s="93">
        <f>(IF(Ontwerpberekening!C25="Nieuwe Situatie",(_xlfn.IFNA(VLOOKUP(Referentie_Fossiele_Energie_Totaal48[[#This Row],[Product]]&amp;", "&amp;Referentie_Fossiele_Energie_Totaal48[[#Headers],[A4]],Database_Productkaarten[#All],50,FALSE),0)*Ontwerpberekening!L25),0))/Ontwerpberekening!$A$2</f>
        <v>0</v>
      </c>
      <c r="H192" s="93">
        <f>(IF(Ontwerpberekening!C25="Nieuwe Situatie",(_xlfn.IFNA(VLOOKUP(Referentie_Fossiele_Energie_Totaal48[[#This Row],[Product]]&amp;", "&amp;Referentie_Fossiele_Energie_Totaal48[[#Headers],[A5]],Database_Productkaarten[#All],50,FALSE),0)*Ontwerpberekening!L25),0))/Ontwerpberekening!$A$2</f>
        <v>0</v>
      </c>
      <c r="I192" s="93">
        <f>(IF(Ontwerpberekening!C25="Nieuwe Situatie",(_xlfn.IFNA(VLOOKUP(Referentie_Fossiele_Energie_Totaal48[[#This Row],[Product]]&amp;", "&amp;Referentie_Fossiele_Energie_Totaal48[[#Headers],[B1]],Database_Productkaarten[#All],50,FALSE),0)*Ontwerpberekening!L25),0))/Ontwerpberekening!$A$2</f>
        <v>0</v>
      </c>
      <c r="J192" s="93"/>
      <c r="K192" s="93">
        <f>(IF(Ontwerpberekening!C25="Nieuwe Situatie",(SUM(Referentie_Fossiele_Energie_Totaal48[[#This Row],[A1]:[B1]],Referentie_Fossiele_Energie_Totaal48[[#This Row],[C1]:[D2]])*Ontwerpberekening!M25),0))/Ontwerpberekening!$A$2</f>
        <v>0</v>
      </c>
      <c r="L192" s="93">
        <f>_xlfn.IFNA(VLOOKUP(Referentie_Fossiele_Energie_Totaal48[[#This Row],[Product]]&amp;", "&amp;Referentie_Fossiele_Energie_Totaal48[[#Headers],[C1]],Database_Productkaarten[#All],50,FALSE)*Ontwerpberekening!L25,0)/Ontwerpberekening!$A$2</f>
        <v>0</v>
      </c>
      <c r="M192" s="93">
        <f>_xlfn.IFNA(VLOOKUP(Referentie_Fossiele_Energie_Totaal48[[#This Row],[Product]]&amp;", "&amp;Referentie_Fossiele_Energie_Totaal48[[#Headers],[C2]],Database_Productkaarten[#All],50,FALSE)*Ontwerpberekening!L25,0)/Ontwerpberekening!$A$2</f>
        <v>0</v>
      </c>
      <c r="N192" s="93">
        <f>_xlfn.IFNA(VLOOKUP(Referentie_Fossiele_Energie_Totaal48[[#This Row],[Product]]&amp;", "&amp;Referentie_Fossiele_Energie_Totaal48[[#Headers],[C3]],Database_Productkaarten[#All],50,FALSE)*Ontwerpberekening!L25,0)/Ontwerpberekening!$A$2</f>
        <v>0</v>
      </c>
      <c r="O192" s="93">
        <f>_xlfn.IFNA(VLOOKUP(Referentie_Fossiele_Energie_Totaal48[[#This Row],[Product]]&amp;", "&amp;Referentie_Fossiele_Energie_Totaal48[[#Headers],[C4]],Database_Productkaarten[#All],50,FALSE)*Ontwerpberekening!L25,0)/Ontwerpberekening!$A$2</f>
        <v>0</v>
      </c>
      <c r="P192" s="93">
        <f>(IF(Ontwerpberekening!C25="Nieuwe Situatie",(_xlfn.IFNA(VLOOKUP(Referentie_Fossiele_Energie_Totaal48[[#This Row],[Product]]&amp;", "&amp;Referentie_Fossiele_Energie_Totaal48[[#Headers],[D1]],Database_Productkaarten[#All],50,FALSE),0)*Ontwerpberekening!L25),0))/Ontwerpberekening!$A$2</f>
        <v>0</v>
      </c>
      <c r="Q192" s="94">
        <f>(IF(Ontwerpberekening!C25="Nieuwe Situatie",_xlfn.IFNA(VLOOKUP(Referentie_Fossiele_Energie_Totaal48[[#This Row],[Product]]&amp;", "&amp;Referentie_Fossiele_Energie_Totaal48[[#Headers],[D2]],Database_Productkaarten[#All],50,FALSE),0)*Ontwerpberekening!L25,0))/Ontwerpberekening!$A$2</f>
        <v>0</v>
      </c>
      <c r="R192" s="72">
        <f>SUM(Referentie_Fossiele_Energie_Totaal48[[#This Row],[A1]:[D2]])</f>
        <v>0</v>
      </c>
    </row>
    <row r="193" spans="2:18" ht="18" x14ac:dyDescent="0.55000000000000004">
      <c r="B193" s="67" t="str">
        <f>Ontwerpberekening!B26</f>
        <v>Variant 1</v>
      </c>
      <c r="C193" s="92" t="str">
        <f>Ontwerpberekening!F26</f>
        <v>Grond</v>
      </c>
      <c r="D193" s="93">
        <f>(IF(Ontwerpberekening!C26="Nieuwe Situatie",(_xlfn.IFNA(VLOOKUP(Referentie_Fossiele_Energie_Totaal48[[#This Row],[Product]]&amp;", "&amp;Referentie_Fossiele_Energie_Totaal48[[#Headers],[A1]],Database_Productkaarten[#All],50,FALSE),0)*Ontwerpberekening!L26),0))/Ontwerpberekening!$A$2</f>
        <v>0</v>
      </c>
      <c r="E193" s="93">
        <f>(IF(Ontwerpberekening!C26="Nieuwe Situatie",(_xlfn.IFNA(VLOOKUP(Referentie_Fossiele_Energie_Totaal48[[#This Row],[Product]]&amp;", "&amp;Referentie_Fossiele_Energie_Totaal48[[#Headers],[A2]],Database_Productkaarten[#All],50,FALSE),0)*Ontwerpberekening!L26),0))/Ontwerpberekening!$A$2</f>
        <v>0</v>
      </c>
      <c r="F193" s="93">
        <f>(IF(Ontwerpberekening!C26="Nieuwe Situatie",(_xlfn.IFNA(VLOOKUP(Referentie_Fossiele_Energie_Totaal48[[#This Row],[Product]]&amp;", "&amp;Referentie_Fossiele_Energie_Totaal48[[#Headers],[A3]],Database_Productkaarten[#All],50,FALSE),0)*Ontwerpberekening!L26),0))/Ontwerpberekening!$A$2</f>
        <v>0</v>
      </c>
      <c r="G193" s="93">
        <f>(IF(Ontwerpberekening!C26="Nieuwe Situatie",(_xlfn.IFNA(VLOOKUP(Referentie_Fossiele_Energie_Totaal48[[#This Row],[Product]]&amp;", "&amp;Referentie_Fossiele_Energie_Totaal48[[#Headers],[A4]],Database_Productkaarten[#All],50,FALSE),0)*Ontwerpberekening!L26),0))/Ontwerpberekening!$A$2</f>
        <v>0</v>
      </c>
      <c r="H193" s="93">
        <f>(IF(Ontwerpberekening!C26="Nieuwe Situatie",(_xlfn.IFNA(VLOOKUP(Referentie_Fossiele_Energie_Totaal48[[#This Row],[Product]]&amp;", "&amp;Referentie_Fossiele_Energie_Totaal48[[#Headers],[A5]],Database_Productkaarten[#All],50,FALSE),0)*Ontwerpberekening!L26),0))/Ontwerpberekening!$A$2</f>
        <v>0</v>
      </c>
      <c r="I193" s="93">
        <f>(IF(Ontwerpberekening!C26="Nieuwe Situatie",(_xlfn.IFNA(VLOOKUP(Referentie_Fossiele_Energie_Totaal48[[#This Row],[Product]]&amp;", "&amp;Referentie_Fossiele_Energie_Totaal48[[#Headers],[B1]],Database_Productkaarten[#All],50,FALSE),0)*Ontwerpberekening!L26),0))/Ontwerpberekening!$A$2</f>
        <v>0</v>
      </c>
      <c r="J193" s="93"/>
      <c r="K193" s="93">
        <f>(IF(Ontwerpberekening!C26="Nieuwe Situatie",(SUM(Referentie_Fossiele_Energie_Totaal48[[#This Row],[A1]:[B1]],Referentie_Fossiele_Energie_Totaal48[[#This Row],[C1]:[D2]])*Ontwerpberekening!M26),0))/Ontwerpberekening!$A$2</f>
        <v>0</v>
      </c>
      <c r="L193" s="93">
        <f>_xlfn.IFNA(VLOOKUP(Referentie_Fossiele_Energie_Totaal48[[#This Row],[Product]]&amp;", "&amp;Referentie_Fossiele_Energie_Totaal48[[#Headers],[C1]],Database_Productkaarten[#All],50,FALSE)*Ontwerpberekening!L26,0)/Ontwerpberekening!$A$2</f>
        <v>0</v>
      </c>
      <c r="M193" s="93">
        <f>_xlfn.IFNA(VLOOKUP(Referentie_Fossiele_Energie_Totaal48[[#This Row],[Product]]&amp;", "&amp;Referentie_Fossiele_Energie_Totaal48[[#Headers],[C2]],Database_Productkaarten[#All],50,FALSE)*Ontwerpberekening!L26,0)/Ontwerpberekening!$A$2</f>
        <v>0</v>
      </c>
      <c r="N193" s="93">
        <f>_xlfn.IFNA(VLOOKUP(Referentie_Fossiele_Energie_Totaal48[[#This Row],[Product]]&amp;", "&amp;Referentie_Fossiele_Energie_Totaal48[[#Headers],[C3]],Database_Productkaarten[#All],50,FALSE)*Ontwerpberekening!L26,0)/Ontwerpberekening!$A$2</f>
        <v>0</v>
      </c>
      <c r="O193" s="93">
        <f>_xlfn.IFNA(VLOOKUP(Referentie_Fossiele_Energie_Totaal48[[#This Row],[Product]]&amp;", "&amp;Referentie_Fossiele_Energie_Totaal48[[#Headers],[C4]],Database_Productkaarten[#All],50,FALSE)*Ontwerpberekening!L26,0)/Ontwerpberekening!$A$2</f>
        <v>0</v>
      </c>
      <c r="P193" s="93">
        <f>(IF(Ontwerpberekening!C26="Nieuwe Situatie",(_xlfn.IFNA(VLOOKUP(Referentie_Fossiele_Energie_Totaal48[[#This Row],[Product]]&amp;", "&amp;Referentie_Fossiele_Energie_Totaal48[[#Headers],[D1]],Database_Productkaarten[#All],50,FALSE),0)*Ontwerpberekening!L26),0))/Ontwerpberekening!$A$2</f>
        <v>0</v>
      </c>
      <c r="Q193" s="94">
        <f>(IF(Ontwerpberekening!C26="Nieuwe Situatie",_xlfn.IFNA(VLOOKUP(Referentie_Fossiele_Energie_Totaal48[[#This Row],[Product]]&amp;", "&amp;Referentie_Fossiele_Energie_Totaal48[[#Headers],[D2]],Database_Productkaarten[#All],50,FALSE),0)*Ontwerpberekening!L26,0))/Ontwerpberekening!$A$2</f>
        <v>0</v>
      </c>
      <c r="R193" s="72">
        <f>SUM(Referentie_Fossiele_Energie_Totaal48[[#This Row],[A1]:[D2]])</f>
        <v>0</v>
      </c>
    </row>
    <row r="194" spans="2:18" ht="18" x14ac:dyDescent="0.55000000000000004">
      <c r="B194" s="67" t="str">
        <f>Ontwerpberekening!B27</f>
        <v>Variant 1</v>
      </c>
      <c r="C194" s="92" t="str">
        <f>Ontwerpberekening!F27</f>
        <v>Opsluitband geopolymeer 100x200</v>
      </c>
      <c r="D194" s="93">
        <f>(IF(Ontwerpberekening!C27="Nieuwe Situatie",(_xlfn.IFNA(VLOOKUP(Referentie_Fossiele_Energie_Totaal48[[#This Row],[Product]]&amp;", "&amp;Referentie_Fossiele_Energie_Totaal48[[#Headers],[A1]],Database_Productkaarten[#All],50,FALSE),0)*Ontwerpberekening!L27),0))/Ontwerpberekening!$A$2</f>
        <v>0</v>
      </c>
      <c r="E194" s="93">
        <f>(IF(Ontwerpberekening!C27="Nieuwe Situatie",(_xlfn.IFNA(VLOOKUP(Referentie_Fossiele_Energie_Totaal48[[#This Row],[Product]]&amp;", "&amp;Referentie_Fossiele_Energie_Totaal48[[#Headers],[A2]],Database_Productkaarten[#All],50,FALSE),0)*Ontwerpberekening!L27),0))/Ontwerpberekening!$A$2</f>
        <v>0</v>
      </c>
      <c r="F194" s="93">
        <f>(IF(Ontwerpberekening!C27="Nieuwe Situatie",(_xlfn.IFNA(VLOOKUP(Referentie_Fossiele_Energie_Totaal48[[#This Row],[Product]]&amp;", "&amp;Referentie_Fossiele_Energie_Totaal48[[#Headers],[A3]],Database_Productkaarten[#All],50,FALSE),0)*Ontwerpberekening!L27),0))/Ontwerpberekening!$A$2</f>
        <v>0</v>
      </c>
      <c r="G194" s="93">
        <f>(IF(Ontwerpberekening!C27="Nieuwe Situatie",(_xlfn.IFNA(VLOOKUP(Referentie_Fossiele_Energie_Totaal48[[#This Row],[Product]]&amp;", "&amp;Referentie_Fossiele_Energie_Totaal48[[#Headers],[A4]],Database_Productkaarten[#All],50,FALSE),0)*Ontwerpberekening!L27),0))/Ontwerpberekening!$A$2</f>
        <v>0</v>
      </c>
      <c r="H194" s="93">
        <f>(IF(Ontwerpberekening!C27="Nieuwe Situatie",(_xlfn.IFNA(VLOOKUP(Referentie_Fossiele_Energie_Totaal48[[#This Row],[Product]]&amp;", "&amp;Referentie_Fossiele_Energie_Totaal48[[#Headers],[A5]],Database_Productkaarten[#All],50,FALSE),0)*Ontwerpberekening!L27),0))/Ontwerpberekening!$A$2</f>
        <v>0</v>
      </c>
      <c r="I194" s="93">
        <f>(IF(Ontwerpberekening!C27="Nieuwe Situatie",(_xlfn.IFNA(VLOOKUP(Referentie_Fossiele_Energie_Totaal48[[#This Row],[Product]]&amp;", "&amp;Referentie_Fossiele_Energie_Totaal48[[#Headers],[B1]],Database_Productkaarten[#All],50,FALSE),0)*Ontwerpberekening!L27),0))/Ontwerpberekening!$A$2</f>
        <v>0</v>
      </c>
      <c r="J194" s="93"/>
      <c r="K194" s="93">
        <f>(IF(Ontwerpberekening!C27="Nieuwe Situatie",(SUM(Referentie_Fossiele_Energie_Totaal48[[#This Row],[A1]:[B1]],Referentie_Fossiele_Energie_Totaal48[[#This Row],[C1]:[D2]])*Ontwerpberekening!M27),0))/Ontwerpberekening!$A$2</f>
        <v>0</v>
      </c>
      <c r="L194" s="93">
        <f>_xlfn.IFNA(VLOOKUP(Referentie_Fossiele_Energie_Totaal48[[#This Row],[Product]]&amp;", "&amp;Referentie_Fossiele_Energie_Totaal48[[#Headers],[C1]],Database_Productkaarten[#All],50,FALSE)*Ontwerpberekening!L27,0)/Ontwerpberekening!$A$2</f>
        <v>0</v>
      </c>
      <c r="M194" s="93">
        <f>_xlfn.IFNA(VLOOKUP(Referentie_Fossiele_Energie_Totaal48[[#This Row],[Product]]&amp;", "&amp;Referentie_Fossiele_Energie_Totaal48[[#Headers],[C2]],Database_Productkaarten[#All],50,FALSE)*Ontwerpberekening!L27,0)/Ontwerpberekening!$A$2</f>
        <v>0</v>
      </c>
      <c r="N194" s="93">
        <f>_xlfn.IFNA(VLOOKUP(Referentie_Fossiele_Energie_Totaal48[[#This Row],[Product]]&amp;", "&amp;Referentie_Fossiele_Energie_Totaal48[[#Headers],[C3]],Database_Productkaarten[#All],50,FALSE)*Ontwerpberekening!L27,0)/Ontwerpberekening!$A$2</f>
        <v>0</v>
      </c>
      <c r="O194" s="93">
        <f>_xlfn.IFNA(VLOOKUP(Referentie_Fossiele_Energie_Totaal48[[#This Row],[Product]]&amp;", "&amp;Referentie_Fossiele_Energie_Totaal48[[#Headers],[C4]],Database_Productkaarten[#All],50,FALSE)*Ontwerpberekening!L27,0)/Ontwerpberekening!$A$2</f>
        <v>0</v>
      </c>
      <c r="P194" s="93">
        <f>(IF(Ontwerpberekening!C27="Nieuwe Situatie",(_xlfn.IFNA(VLOOKUP(Referentie_Fossiele_Energie_Totaal48[[#This Row],[Product]]&amp;", "&amp;Referentie_Fossiele_Energie_Totaal48[[#Headers],[D1]],Database_Productkaarten[#All],50,FALSE),0)*Ontwerpberekening!L27),0))/Ontwerpberekening!$A$2</f>
        <v>0</v>
      </c>
      <c r="Q194" s="94">
        <f>(IF(Ontwerpberekening!C27="Nieuwe Situatie",_xlfn.IFNA(VLOOKUP(Referentie_Fossiele_Energie_Totaal48[[#This Row],[Product]]&amp;", "&amp;Referentie_Fossiele_Energie_Totaal48[[#Headers],[D2]],Database_Productkaarten[#All],50,FALSE),0)*Ontwerpberekening!L27,0))/Ontwerpberekening!$A$2</f>
        <v>0</v>
      </c>
      <c r="R194" s="72">
        <f>SUM(Referentie_Fossiele_Energie_Totaal48[[#This Row],[A1]:[D2]])</f>
        <v>0</v>
      </c>
    </row>
    <row r="195" spans="2:18" ht="18" x14ac:dyDescent="0.55000000000000004">
      <c r="B195" s="67" t="str">
        <f>Ontwerpberekening!B28</f>
        <v>Variant 1</v>
      </c>
      <c r="C195" s="92" t="str">
        <f>Ontwerpberekening!F28</f>
        <v>Opsluitband geopolymeer 100x200</v>
      </c>
      <c r="D195" s="93">
        <f>(IF(Ontwerpberekening!C28="Nieuwe Situatie",(_xlfn.IFNA(VLOOKUP(Referentie_Fossiele_Energie_Totaal48[[#This Row],[Product]]&amp;", "&amp;Referentie_Fossiele_Energie_Totaal48[[#Headers],[A1]],Database_Productkaarten[#All],50,FALSE),0)*Ontwerpberekening!L28),0))/Ontwerpberekening!$A$2</f>
        <v>0</v>
      </c>
      <c r="E195" s="93">
        <f>(IF(Ontwerpberekening!C28="Nieuwe Situatie",(_xlfn.IFNA(VLOOKUP(Referentie_Fossiele_Energie_Totaal48[[#This Row],[Product]]&amp;", "&amp;Referentie_Fossiele_Energie_Totaal48[[#Headers],[A2]],Database_Productkaarten[#All],50,FALSE),0)*Ontwerpberekening!L28),0))/Ontwerpberekening!$A$2</f>
        <v>0</v>
      </c>
      <c r="F195" s="93">
        <f>(IF(Ontwerpberekening!C28="Nieuwe Situatie",(_xlfn.IFNA(VLOOKUP(Referentie_Fossiele_Energie_Totaal48[[#This Row],[Product]]&amp;", "&amp;Referentie_Fossiele_Energie_Totaal48[[#Headers],[A3]],Database_Productkaarten[#All],50,FALSE),0)*Ontwerpberekening!L28),0))/Ontwerpberekening!$A$2</f>
        <v>0</v>
      </c>
      <c r="G195" s="93">
        <f>(IF(Ontwerpberekening!C28="Nieuwe Situatie",(_xlfn.IFNA(VLOOKUP(Referentie_Fossiele_Energie_Totaal48[[#This Row],[Product]]&amp;", "&amp;Referentie_Fossiele_Energie_Totaal48[[#Headers],[A4]],Database_Productkaarten[#All],50,FALSE),0)*Ontwerpberekening!L28),0))/Ontwerpberekening!$A$2</f>
        <v>0</v>
      </c>
      <c r="H195" s="93">
        <f>(IF(Ontwerpberekening!C28="Nieuwe Situatie",(_xlfn.IFNA(VLOOKUP(Referentie_Fossiele_Energie_Totaal48[[#This Row],[Product]]&amp;", "&amp;Referentie_Fossiele_Energie_Totaal48[[#Headers],[A5]],Database_Productkaarten[#All],50,FALSE),0)*Ontwerpberekening!L28),0))/Ontwerpberekening!$A$2</f>
        <v>0</v>
      </c>
      <c r="I195" s="93">
        <f>(IF(Ontwerpberekening!C28="Nieuwe Situatie",(_xlfn.IFNA(VLOOKUP(Referentie_Fossiele_Energie_Totaal48[[#This Row],[Product]]&amp;", "&amp;Referentie_Fossiele_Energie_Totaal48[[#Headers],[B1]],Database_Productkaarten[#All],50,FALSE),0)*Ontwerpberekening!L28),0))/Ontwerpberekening!$A$2</f>
        <v>0</v>
      </c>
      <c r="J195" s="93"/>
      <c r="K195" s="93">
        <f>(IF(Ontwerpberekening!C28="Nieuwe Situatie",(SUM(Referentie_Fossiele_Energie_Totaal48[[#This Row],[A1]:[B1]],Referentie_Fossiele_Energie_Totaal48[[#This Row],[C1]:[D2]])*Ontwerpberekening!M28),0))/Ontwerpberekening!$A$2</f>
        <v>0</v>
      </c>
      <c r="L195" s="93">
        <f>_xlfn.IFNA(VLOOKUP(Referentie_Fossiele_Energie_Totaal48[[#This Row],[Product]]&amp;", "&amp;Referentie_Fossiele_Energie_Totaal48[[#Headers],[C1]],Database_Productkaarten[#All],50,FALSE)*Ontwerpberekening!L28,0)/Ontwerpberekening!$A$2</f>
        <v>0</v>
      </c>
      <c r="M195" s="93">
        <f>_xlfn.IFNA(VLOOKUP(Referentie_Fossiele_Energie_Totaal48[[#This Row],[Product]]&amp;", "&amp;Referentie_Fossiele_Energie_Totaal48[[#Headers],[C2]],Database_Productkaarten[#All],50,FALSE)*Ontwerpberekening!L28,0)/Ontwerpberekening!$A$2</f>
        <v>0</v>
      </c>
      <c r="N195" s="93">
        <f>_xlfn.IFNA(VLOOKUP(Referentie_Fossiele_Energie_Totaal48[[#This Row],[Product]]&amp;", "&amp;Referentie_Fossiele_Energie_Totaal48[[#Headers],[C3]],Database_Productkaarten[#All],50,FALSE)*Ontwerpberekening!L28,0)/Ontwerpberekening!$A$2</f>
        <v>0</v>
      </c>
      <c r="O195" s="93">
        <f>_xlfn.IFNA(VLOOKUP(Referentie_Fossiele_Energie_Totaal48[[#This Row],[Product]]&amp;", "&amp;Referentie_Fossiele_Energie_Totaal48[[#Headers],[C4]],Database_Productkaarten[#All],50,FALSE)*Ontwerpberekening!L28,0)/Ontwerpberekening!$A$2</f>
        <v>0</v>
      </c>
      <c r="P195" s="93">
        <f>(IF(Ontwerpberekening!C28="Nieuwe Situatie",(_xlfn.IFNA(VLOOKUP(Referentie_Fossiele_Energie_Totaal48[[#This Row],[Product]]&amp;", "&amp;Referentie_Fossiele_Energie_Totaal48[[#Headers],[D1]],Database_Productkaarten[#All],50,FALSE),0)*Ontwerpberekening!L28),0))/Ontwerpberekening!$A$2</f>
        <v>0</v>
      </c>
      <c r="Q195" s="94">
        <f>(IF(Ontwerpberekening!C28="Nieuwe Situatie",_xlfn.IFNA(VLOOKUP(Referentie_Fossiele_Energie_Totaal48[[#This Row],[Product]]&amp;", "&amp;Referentie_Fossiele_Energie_Totaal48[[#Headers],[D2]],Database_Productkaarten[#All],50,FALSE),0)*Ontwerpberekening!L28,0))/Ontwerpberekening!$A$2</f>
        <v>0</v>
      </c>
      <c r="R195" s="72">
        <f>SUM(Referentie_Fossiele_Energie_Totaal48[[#This Row],[A1]:[D2]])</f>
        <v>0</v>
      </c>
    </row>
    <row r="196" spans="2:18" ht="18" x14ac:dyDescent="0.55000000000000004">
      <c r="B196" s="67" t="str">
        <f>Ontwerpberekening!B29</f>
        <v>Variant 1</v>
      </c>
      <c r="C196" s="96" t="str">
        <f>Ontwerpberekening!F29</f>
        <v>Grond</v>
      </c>
      <c r="D196" s="93">
        <f>(IF(Ontwerpberekening!C29="Nieuwe Situatie",(_xlfn.IFNA(VLOOKUP(Referentie_Fossiele_Energie_Totaal48[[#This Row],[Product]]&amp;", "&amp;Referentie_Fossiele_Energie_Totaal48[[#Headers],[A1]],Database_Productkaarten[#All],50,FALSE),0)*Ontwerpberekening!L29),0))/Ontwerpberekening!$A$2</f>
        <v>0</v>
      </c>
      <c r="E196" s="93">
        <f>(IF(Ontwerpberekening!C29="Nieuwe Situatie",(_xlfn.IFNA(VLOOKUP(Referentie_Fossiele_Energie_Totaal48[[#This Row],[Product]]&amp;", "&amp;Referentie_Fossiele_Energie_Totaal48[[#Headers],[A2]],Database_Productkaarten[#All],50,FALSE),0)*Ontwerpberekening!L29),0))/Ontwerpberekening!$A$2</f>
        <v>0</v>
      </c>
      <c r="F196" s="93">
        <f>(IF(Ontwerpberekening!C29="Nieuwe Situatie",(_xlfn.IFNA(VLOOKUP(Referentie_Fossiele_Energie_Totaal48[[#This Row],[Product]]&amp;", "&amp;Referentie_Fossiele_Energie_Totaal48[[#Headers],[A3]],Database_Productkaarten[#All],50,FALSE),0)*Ontwerpberekening!L29),0))/Ontwerpberekening!$A$2</f>
        <v>0</v>
      </c>
      <c r="G196" s="93">
        <f>(IF(Ontwerpberekening!C29="Nieuwe Situatie",(_xlfn.IFNA(VLOOKUP(Referentie_Fossiele_Energie_Totaal48[[#This Row],[Product]]&amp;", "&amp;Referentie_Fossiele_Energie_Totaal48[[#Headers],[A4]],Database_Productkaarten[#All],50,FALSE),0)*Ontwerpberekening!L29),0))/Ontwerpberekening!$A$2</f>
        <v>0</v>
      </c>
      <c r="H196" s="93">
        <f>(IF(Ontwerpberekening!C29="Nieuwe Situatie",(_xlfn.IFNA(VLOOKUP(Referentie_Fossiele_Energie_Totaal48[[#This Row],[Product]]&amp;", "&amp;Referentie_Fossiele_Energie_Totaal48[[#Headers],[A5]],Database_Productkaarten[#All],50,FALSE),0)*Ontwerpberekening!L29),0))/Ontwerpberekening!$A$2</f>
        <v>0</v>
      </c>
      <c r="I196" s="93">
        <f>(IF(Ontwerpberekening!C29="Nieuwe Situatie",(_xlfn.IFNA(VLOOKUP(Referentie_Fossiele_Energie_Totaal48[[#This Row],[Product]]&amp;", "&amp;Referentie_Fossiele_Energie_Totaal48[[#Headers],[B1]],Database_Productkaarten[#All],50,FALSE),0)*Ontwerpberekening!L29),0))/Ontwerpberekening!$A$2</f>
        <v>0</v>
      </c>
      <c r="J196" s="93"/>
      <c r="K196" s="93">
        <f>(IF(Ontwerpberekening!C29="Nieuwe Situatie",(SUM(Referentie_Fossiele_Energie_Totaal48[[#This Row],[A1]:[B1]],Referentie_Fossiele_Energie_Totaal48[[#This Row],[C1]:[D2]])*Ontwerpberekening!M29),0))/Ontwerpberekening!$A$2</f>
        <v>0</v>
      </c>
      <c r="L196" s="93">
        <f>_xlfn.IFNA(VLOOKUP(Referentie_Fossiele_Energie_Totaal48[[#This Row],[Product]]&amp;", "&amp;Referentie_Fossiele_Energie_Totaal48[[#Headers],[C1]],Database_Productkaarten[#All],50,FALSE)*Ontwerpberekening!L29,0)/Ontwerpberekening!$A$2</f>
        <v>0</v>
      </c>
      <c r="M196" s="93">
        <f>_xlfn.IFNA(VLOOKUP(Referentie_Fossiele_Energie_Totaal48[[#This Row],[Product]]&amp;", "&amp;Referentie_Fossiele_Energie_Totaal48[[#Headers],[C2]],Database_Productkaarten[#All],50,FALSE)*Ontwerpberekening!L29,0)/Ontwerpberekening!$A$2</f>
        <v>0</v>
      </c>
      <c r="N196" s="93">
        <f>_xlfn.IFNA(VLOOKUP(Referentie_Fossiele_Energie_Totaal48[[#This Row],[Product]]&amp;", "&amp;Referentie_Fossiele_Energie_Totaal48[[#Headers],[C3]],Database_Productkaarten[#All],50,FALSE)*Ontwerpberekening!L29,0)/Ontwerpberekening!$A$2</f>
        <v>0</v>
      </c>
      <c r="O196" s="93">
        <f>_xlfn.IFNA(VLOOKUP(Referentie_Fossiele_Energie_Totaal48[[#This Row],[Product]]&amp;", "&amp;Referentie_Fossiele_Energie_Totaal48[[#Headers],[C4]],Database_Productkaarten[#All],50,FALSE)*Ontwerpberekening!L29,0)/Ontwerpberekening!$A$2</f>
        <v>0</v>
      </c>
      <c r="P196" s="93">
        <f>(IF(Ontwerpberekening!C29="Nieuwe Situatie",(_xlfn.IFNA(VLOOKUP(Referentie_Fossiele_Energie_Totaal48[[#This Row],[Product]]&amp;", "&amp;Referentie_Fossiele_Energie_Totaal48[[#Headers],[D1]],Database_Productkaarten[#All],50,FALSE),0)*Ontwerpberekening!L29),0))/Ontwerpberekening!$A$2</f>
        <v>0</v>
      </c>
      <c r="Q196" s="95">
        <f>(IF(Ontwerpberekening!C29="Nieuwe Situatie",_xlfn.IFNA(VLOOKUP(Referentie_Fossiele_Energie_Totaal48[[#This Row],[Product]]&amp;", "&amp;Referentie_Fossiele_Energie_Totaal48[[#Headers],[D2]],Database_Productkaarten[#All],50,FALSE),0)*Ontwerpberekening!L29,0))/Ontwerpberekening!$A$2</f>
        <v>0</v>
      </c>
      <c r="R196" s="72">
        <f>SUM(Referentie_Fossiele_Energie_Totaal48[[#This Row],[A1]:[D2]])</f>
        <v>0</v>
      </c>
    </row>
    <row r="197" spans="2:18" ht="18" x14ac:dyDescent="0.55000000000000004">
      <c r="B197" s="67" t="str">
        <f>Ontwerpberekening!B30</f>
        <v>Variant 1</v>
      </c>
      <c r="C197" s="92" t="str">
        <f>Ontwerpberekening!F30</f>
        <v>Hydraulisch Menggranulaat</v>
      </c>
      <c r="D197" s="93">
        <f>(IF(Ontwerpberekening!C30="Nieuwe Situatie",(_xlfn.IFNA(VLOOKUP(Referentie_Fossiele_Energie_Totaal48[[#This Row],[Product]]&amp;", "&amp;Referentie_Fossiele_Energie_Totaal48[[#Headers],[A1]],Database_Productkaarten[#All],50,FALSE),0)*Ontwerpberekening!L30),0))/Ontwerpberekening!$A$2</f>
        <v>0</v>
      </c>
      <c r="E197" s="93">
        <f>(IF(Ontwerpberekening!C30="Nieuwe Situatie",(_xlfn.IFNA(VLOOKUP(Referentie_Fossiele_Energie_Totaal48[[#This Row],[Product]]&amp;", "&amp;Referentie_Fossiele_Energie_Totaal48[[#Headers],[A2]],Database_Productkaarten[#All],50,FALSE),0)*Ontwerpberekening!L30),0))/Ontwerpberekening!$A$2</f>
        <v>0</v>
      </c>
      <c r="F197" s="93">
        <f>(IF(Ontwerpberekening!C30="Nieuwe Situatie",(_xlfn.IFNA(VLOOKUP(Referentie_Fossiele_Energie_Totaal48[[#This Row],[Product]]&amp;", "&amp;Referentie_Fossiele_Energie_Totaal48[[#Headers],[A3]],Database_Productkaarten[#All],50,FALSE),0)*Ontwerpberekening!L30),0))/Ontwerpberekening!$A$2</f>
        <v>0</v>
      </c>
      <c r="G197" s="93">
        <f>(IF(Ontwerpberekening!C30="Nieuwe Situatie",(_xlfn.IFNA(VLOOKUP(Referentie_Fossiele_Energie_Totaal48[[#This Row],[Product]]&amp;", "&amp;Referentie_Fossiele_Energie_Totaal48[[#Headers],[A4]],Database_Productkaarten[#All],50,FALSE),0)*Ontwerpberekening!L30),0))/Ontwerpberekening!$A$2</f>
        <v>73.033640000000005</v>
      </c>
      <c r="H197" s="93">
        <f>(IF(Ontwerpberekening!C30="Nieuwe Situatie",(_xlfn.IFNA(VLOOKUP(Referentie_Fossiele_Energie_Totaal48[[#This Row],[Product]]&amp;", "&amp;Referentie_Fossiele_Energie_Totaal48[[#Headers],[A5]],Database_Productkaarten[#All],50,FALSE),0)*Ontwerpberekening!L30),0))/Ontwerpberekening!$A$2</f>
        <v>7.2488066672315651E-3</v>
      </c>
      <c r="I197" s="93">
        <f>(IF(Ontwerpberekening!C30="Nieuwe Situatie",(_xlfn.IFNA(VLOOKUP(Referentie_Fossiele_Energie_Totaal48[[#This Row],[Product]]&amp;", "&amp;Referentie_Fossiele_Energie_Totaal48[[#Headers],[B1]],Database_Productkaarten[#All],50,FALSE),0)*Ontwerpberekening!L30),0))/Ontwerpberekening!$A$2</f>
        <v>0</v>
      </c>
      <c r="J197" s="93"/>
      <c r="K197" s="93">
        <f>(IF(Ontwerpberekening!C30="Nieuwe Situatie",(SUM(Referentie_Fossiele_Energie_Totaal48[[#This Row],[A1]:[B1]],Referentie_Fossiele_Energie_Totaal48[[#This Row],[C1]:[D2]])*Ontwerpberekening!M30),0))/Ontwerpberekening!$A$2</f>
        <v>0.87649066568000689</v>
      </c>
      <c r="L197" s="93">
        <f>_xlfn.IFNA(VLOOKUP(Referentie_Fossiele_Energie_Totaal48[[#This Row],[Product]]&amp;", "&amp;Referentie_Fossiele_Energie_Totaal48[[#Headers],[C1]],Database_Productkaarten[#All],50,FALSE)*Ontwerpberekening!L30,0)/Ontwerpberekening!$A$2</f>
        <v>7.2488066672315651E-3</v>
      </c>
      <c r="M197" s="93">
        <f>_xlfn.IFNA(VLOOKUP(Referentie_Fossiele_Energie_Totaal48[[#This Row],[Product]]&amp;", "&amp;Referentie_Fossiele_Energie_Totaal48[[#Headers],[C2]],Database_Productkaarten[#All],50,FALSE)*Ontwerpberekening!L30,0)/Ontwerpberekening!$A$2</f>
        <v>73.033640000000005</v>
      </c>
      <c r="N197" s="93">
        <f>_xlfn.IFNA(VLOOKUP(Referentie_Fossiele_Energie_Totaal48[[#This Row],[Product]]&amp;", "&amp;Referentie_Fossiele_Energie_Totaal48[[#Headers],[C3]],Database_Productkaarten[#All],50,FALSE)*Ontwerpberekening!L30,0)/Ontwerpberekening!$A$2</f>
        <v>0</v>
      </c>
      <c r="O197" s="93">
        <f>_xlfn.IFNA(VLOOKUP(Referentie_Fossiele_Energie_Totaal48[[#This Row],[Product]]&amp;", "&amp;Referentie_Fossiele_Energie_Totaal48[[#Headers],[C4]],Database_Productkaarten[#All],50,FALSE)*Ontwerpberekening!L30,0)/Ontwerpberekening!$A$2</f>
        <v>0</v>
      </c>
      <c r="P197" s="93">
        <f>(IF(Ontwerpberekening!C30="Nieuwe Situatie",(_xlfn.IFNA(VLOOKUP(Referentie_Fossiele_Energie_Totaal48[[#This Row],[Product]]&amp;", "&amp;Referentie_Fossiele_Energie_Totaal48[[#Headers],[D1]],Database_Productkaarten[#All],50,FALSE),0)*Ontwerpberekening!L30),0))/Ontwerpberekening!$A$2</f>
        <v>0</v>
      </c>
      <c r="Q197" s="94">
        <f>(IF(Ontwerpberekening!C30="Nieuwe Situatie",_xlfn.IFNA(VLOOKUP(Referentie_Fossiele_Energie_Totaal48[[#This Row],[Product]]&amp;", "&amp;Referentie_Fossiele_Energie_Totaal48[[#Headers],[D2]],Database_Productkaarten[#All],50,FALSE),0)*Ontwerpberekening!L30,0))/Ontwerpberekening!$A$2</f>
        <v>0</v>
      </c>
      <c r="R197" s="72">
        <f>SUM(Referentie_Fossiele_Energie_Totaal48[[#This Row],[A1]:[D2]])</f>
        <v>146.95826827901448</v>
      </c>
    </row>
    <row r="198" spans="2:18" ht="18" x14ac:dyDescent="0.55000000000000004">
      <c r="B198" s="67" t="str">
        <f>Ontwerpberekening!B31</f>
        <v>Variant 1</v>
      </c>
      <c r="C198" s="92" t="str">
        <f>Ontwerpberekening!F31</f>
        <v>AC bin/base 50% PR - PCR 2.0</v>
      </c>
      <c r="D198" s="93">
        <f>(IF(Ontwerpberekening!C31="Nieuwe Situatie",(_xlfn.IFNA(VLOOKUP(Referentie_Fossiele_Energie_Totaal48[[#This Row],[Product]]&amp;", "&amp;Referentie_Fossiele_Energie_Totaal48[[#Headers],[A1]],Database_Productkaarten[#All],50,FALSE),0)*Ontwerpberekening!L31),0))/Ontwerpberekening!$A$2</f>
        <v>1102.5157309388001</v>
      </c>
      <c r="E198" s="93">
        <f>(IF(Ontwerpberekening!C31="Nieuwe Situatie",(_xlfn.IFNA(VLOOKUP(Referentie_Fossiele_Energie_Totaal48[[#This Row],[Product]]&amp;", "&amp;Referentie_Fossiele_Energie_Totaal48[[#Headers],[A2]],Database_Productkaarten[#All],50,FALSE),0)*Ontwerpberekening!L31),0))/Ontwerpberekening!$A$2</f>
        <v>172.32213680984603</v>
      </c>
      <c r="F198" s="93">
        <f>(IF(Ontwerpberekening!C31="Nieuwe Situatie",(_xlfn.IFNA(VLOOKUP(Referentie_Fossiele_Energie_Totaal48[[#This Row],[Product]]&amp;", "&amp;Referentie_Fossiele_Energie_Totaal48[[#Headers],[A3]],Database_Productkaarten[#All],50,FALSE),0)*Ontwerpberekening!L31),0))/Ontwerpberekening!$A$2</f>
        <v>413.47140232975698</v>
      </c>
      <c r="G198" s="93">
        <f>(IF(Ontwerpberekening!C31="Nieuwe Situatie",(_xlfn.IFNA(VLOOKUP(Referentie_Fossiele_Energie_Totaal48[[#This Row],[Product]]&amp;", "&amp;Referentie_Fossiele_Energie_Totaal48[[#Headers],[A4]],Database_Productkaarten[#All],50,FALSE),0)*Ontwerpberekening!L31),0))/Ontwerpberekening!$A$2</f>
        <v>66.265108560000002</v>
      </c>
      <c r="H198" s="93">
        <f>(IF(Ontwerpberekening!C31="Nieuwe Situatie",(_xlfn.IFNA(VLOOKUP(Referentie_Fossiele_Energie_Totaal48[[#This Row],[Product]]&amp;", "&amp;Referentie_Fossiele_Energie_Totaal48[[#Headers],[A5]],Database_Productkaarten[#All],50,FALSE),0)*Ontwerpberekening!L31),0))/Ontwerpberekening!$A$2</f>
        <v>15.3762149296575</v>
      </c>
      <c r="I198" s="93">
        <f>(IF(Ontwerpberekening!C31="Nieuwe Situatie",(_xlfn.IFNA(VLOOKUP(Referentie_Fossiele_Energie_Totaal48[[#This Row],[Product]]&amp;", "&amp;Referentie_Fossiele_Energie_Totaal48[[#Headers],[B1]],Database_Productkaarten[#All],50,FALSE),0)*Ontwerpberekening!L31),0))/Ontwerpberekening!$A$2</f>
        <v>0</v>
      </c>
      <c r="J198" s="93"/>
      <c r="K198" s="93">
        <f>(IF(Ontwerpberekening!C31="Nieuwe Situatie",(SUM(Referentie_Fossiele_Energie_Totaal48[[#This Row],[A1]:[B1]],Referentie_Fossiele_Energie_Totaal48[[#This Row],[C1]:[D2]])*Ontwerpberekening!M31),0))/Ontwerpberekening!$A$2</f>
        <v>9.7146932466974985</v>
      </c>
      <c r="L198" s="93">
        <f>_xlfn.IFNA(VLOOKUP(Referentie_Fossiele_Energie_Totaal48[[#This Row],[Product]]&amp;", "&amp;Referentie_Fossiele_Energie_Totaal48[[#Headers],[C1]],Database_Productkaarten[#All],50,FALSE)*Ontwerpberekening!L31,0)/Ontwerpberekening!$A$2</f>
        <v>36.999017174488401</v>
      </c>
      <c r="M198" s="93">
        <f>_xlfn.IFNA(VLOOKUP(Referentie_Fossiele_Energie_Totaal48[[#This Row],[Product]]&amp;", "&amp;Referentie_Fossiele_Energie_Totaal48[[#Headers],[C2]],Database_Productkaarten[#All],50,FALSE)*Ontwerpberekening!L31,0)/Ontwerpberekening!$A$2</f>
        <v>55.561210727999999</v>
      </c>
      <c r="N198" s="93">
        <f>_xlfn.IFNA(VLOOKUP(Referentie_Fossiele_Energie_Totaal48[[#This Row],[Product]]&amp;", "&amp;Referentie_Fossiele_Energie_Totaal48[[#Headers],[C3]],Database_Productkaarten[#All],50,FALSE)*Ontwerpberekening!L31,0)/Ontwerpberekening!$A$2</f>
        <v>17.778748512416499</v>
      </c>
      <c r="O198" s="93">
        <f>_xlfn.IFNA(VLOOKUP(Referentie_Fossiele_Energie_Totaal48[[#This Row],[Product]]&amp;", "&amp;Referentie_Fossiele_Energie_Totaal48[[#Headers],[C4]],Database_Productkaarten[#All],50,FALSE)*Ontwerpberekening!L31,0)/Ontwerpberekening!$A$2</f>
        <v>0</v>
      </c>
      <c r="P198" s="93">
        <f>(IF(Ontwerpberekening!C31="Nieuwe Situatie",(_xlfn.IFNA(VLOOKUP(Referentie_Fossiele_Energie_Totaal48[[#This Row],[Product]]&amp;", "&amp;Referentie_Fossiele_Energie_Totaal48[[#Headers],[D1]],Database_Productkaarten[#All],50,FALSE),0)*Ontwerpberekening!L31),0))/Ontwerpberekening!$A$2</f>
        <v>-908.82024531321599</v>
      </c>
      <c r="Q198" s="94">
        <f>(IF(Ontwerpberekening!C31="Nieuwe Situatie",_xlfn.IFNA(VLOOKUP(Referentie_Fossiele_Energie_Totaal48[[#This Row],[Product]]&amp;", "&amp;Referentie_Fossiele_Energie_Totaal48[[#Headers],[D2]],Database_Productkaarten[#All],50,FALSE),0)*Ontwerpberekening!L31,0))/Ontwerpberekening!$A$2</f>
        <v>0</v>
      </c>
      <c r="R198" s="72">
        <f>SUM(Referentie_Fossiele_Energie_Totaal48[[#This Row],[A1]:[D2]])</f>
        <v>981.18401791644737</v>
      </c>
    </row>
    <row r="199" spans="2:18" ht="18" x14ac:dyDescent="0.55000000000000004">
      <c r="B199" s="67" t="str">
        <f>Ontwerpberekening!B32</f>
        <v>Variant 1</v>
      </c>
      <c r="C199" s="92" t="str">
        <f>Ontwerpberekening!F32</f>
        <v>AC bin/base 50% PR - PCR 2.0</v>
      </c>
      <c r="D199" s="93">
        <f>(IF(Ontwerpberekening!C32="Nieuwe Situatie",(_xlfn.IFNA(VLOOKUP(Referentie_Fossiele_Energie_Totaal48[[#This Row],[Product]]&amp;", "&amp;Referentie_Fossiele_Energie_Totaal48[[#Headers],[A1]],Database_Productkaarten[#All],50,FALSE),0)*Ontwerpberekening!L32),0))/Ontwerpberekening!$A$2</f>
        <v>5292.0755085062401</v>
      </c>
      <c r="E199" s="93">
        <f>(IF(Ontwerpberekening!C32="Nieuwe Situatie",(_xlfn.IFNA(VLOOKUP(Referentie_Fossiele_Energie_Totaal48[[#This Row],[Product]]&amp;", "&amp;Referentie_Fossiele_Energie_Totaal48[[#Headers],[A2]],Database_Productkaarten[#All],50,FALSE),0)*Ontwerpberekening!L32),0))/Ontwerpberekening!$A$2</f>
        <v>827.1462566872608</v>
      </c>
      <c r="F199" s="93">
        <f>(IF(Ontwerpberekening!C32="Nieuwe Situatie",(_xlfn.IFNA(VLOOKUP(Referentie_Fossiele_Energie_Totaal48[[#This Row],[Product]]&amp;", "&amp;Referentie_Fossiele_Energie_Totaal48[[#Headers],[A3]],Database_Productkaarten[#All],50,FALSE),0)*Ontwerpberekening!L32),0))/Ontwerpberekening!$A$2</f>
        <v>1984.6627311828336</v>
      </c>
      <c r="G199" s="93">
        <f>(IF(Ontwerpberekening!C32="Nieuwe Situatie",(_xlfn.IFNA(VLOOKUP(Referentie_Fossiele_Energie_Totaal48[[#This Row],[Product]]&amp;", "&amp;Referentie_Fossiele_Energie_Totaal48[[#Headers],[A4]],Database_Productkaarten[#All],50,FALSE),0)*Ontwerpberekening!L32),0))/Ontwerpberekening!$A$2</f>
        <v>318.07252108799997</v>
      </c>
      <c r="H199" s="93">
        <f>(IF(Ontwerpberekening!C32="Nieuwe Situatie",(_xlfn.IFNA(VLOOKUP(Referentie_Fossiele_Energie_Totaal48[[#This Row],[Product]]&amp;", "&amp;Referentie_Fossiele_Energie_Totaal48[[#Headers],[A5]],Database_Productkaarten[#All],50,FALSE),0)*Ontwerpberekening!L32),0))/Ontwerpberekening!$A$2</f>
        <v>73.805831662355999</v>
      </c>
      <c r="I199" s="93">
        <f>(IF(Ontwerpberekening!C32="Nieuwe Situatie",(_xlfn.IFNA(VLOOKUP(Referentie_Fossiele_Energie_Totaal48[[#This Row],[Product]]&amp;", "&amp;Referentie_Fossiele_Energie_Totaal48[[#Headers],[B1]],Database_Productkaarten[#All],50,FALSE),0)*Ontwerpberekening!L32),0))/Ontwerpberekening!$A$2</f>
        <v>0</v>
      </c>
      <c r="J199" s="93"/>
      <c r="K199" s="93">
        <f>(IF(Ontwerpberekening!C32="Nieuwe Situatie",(SUM(Referentie_Fossiele_Energie_Totaal48[[#This Row],[A1]:[B1]],Referentie_Fossiele_Energie_Totaal48[[#This Row],[C1]:[D2]])*Ontwerpberekening!M32),0))/Ontwerpberekening!$A$2</f>
        <v>46.630527584147956</v>
      </c>
      <c r="L199" s="93">
        <f>_xlfn.IFNA(VLOOKUP(Referentie_Fossiele_Energie_Totaal48[[#This Row],[Product]]&amp;", "&amp;Referentie_Fossiele_Energie_Totaal48[[#Headers],[C1]],Database_Productkaarten[#All],50,FALSE)*Ontwerpberekening!L32,0)/Ontwerpberekening!$A$2</f>
        <v>177.59528243754434</v>
      </c>
      <c r="M199" s="93">
        <f>_xlfn.IFNA(VLOOKUP(Referentie_Fossiele_Energie_Totaal48[[#This Row],[Product]]&amp;", "&amp;Referentie_Fossiele_Energie_Totaal48[[#Headers],[C2]],Database_Productkaarten[#All],50,FALSE)*Ontwerpberekening!L32,0)/Ontwerpberekening!$A$2</f>
        <v>266.69381149439999</v>
      </c>
      <c r="N199" s="93">
        <f>_xlfn.IFNA(VLOOKUP(Referentie_Fossiele_Energie_Totaal48[[#This Row],[Product]]&amp;", "&amp;Referentie_Fossiele_Energie_Totaal48[[#Headers],[C3]],Database_Productkaarten[#All],50,FALSE)*Ontwerpberekening!L32,0)/Ontwerpberekening!$A$2</f>
        <v>85.337992859599197</v>
      </c>
      <c r="O199" s="93">
        <f>_xlfn.IFNA(VLOOKUP(Referentie_Fossiele_Energie_Totaal48[[#This Row],[Product]]&amp;", "&amp;Referentie_Fossiele_Energie_Totaal48[[#Headers],[C4]],Database_Productkaarten[#All],50,FALSE)*Ontwerpberekening!L32,0)/Ontwerpberekening!$A$2</f>
        <v>0</v>
      </c>
      <c r="P199" s="93">
        <f>(IF(Ontwerpberekening!C32="Nieuwe Situatie",(_xlfn.IFNA(VLOOKUP(Referentie_Fossiele_Energie_Totaal48[[#This Row],[Product]]&amp;", "&amp;Referentie_Fossiele_Energie_Totaal48[[#Headers],[D1]],Database_Productkaarten[#All],50,FALSE),0)*Ontwerpberekening!L32),0))/Ontwerpberekening!$A$2</f>
        <v>-4362.3371775034366</v>
      </c>
      <c r="Q199" s="94">
        <f>(IF(Ontwerpberekening!C32="Nieuwe Situatie",_xlfn.IFNA(VLOOKUP(Referentie_Fossiele_Energie_Totaal48[[#This Row],[Product]]&amp;", "&amp;Referentie_Fossiele_Energie_Totaal48[[#Headers],[D2]],Database_Productkaarten[#All],50,FALSE),0)*Ontwerpberekening!L32,0))/Ontwerpberekening!$A$2</f>
        <v>0</v>
      </c>
      <c r="R199" s="72">
        <f>SUM(Referentie_Fossiele_Energie_Totaal48[[#This Row],[A1]:[D2]])</f>
        <v>4709.6832859989436</v>
      </c>
    </row>
    <row r="200" spans="2:18" ht="18" x14ac:dyDescent="0.55000000000000004">
      <c r="B200" s="67" t="str">
        <f>Ontwerpberekening!B33</f>
        <v>Variant 1</v>
      </c>
      <c r="C200" s="92" t="str">
        <f>Ontwerpberekening!F33</f>
        <v>AC Surf 0% PR - PCR 2.0</v>
      </c>
      <c r="D200" s="93">
        <f>(IF(Ontwerpberekening!C33="Nieuwe Situatie",(_xlfn.IFNA(VLOOKUP(Referentie_Fossiele_Energie_Totaal48[[#This Row],[Product]]&amp;", "&amp;Referentie_Fossiele_Energie_Totaal48[[#Headers],[A1]],Database_Productkaarten[#All],50,FALSE),0)*Ontwerpberekening!L33),0))/Ontwerpberekening!$A$2</f>
        <v>128810.0154846493</v>
      </c>
      <c r="E200" s="93">
        <f>(IF(Ontwerpberekening!C33="Nieuwe Situatie",(_xlfn.IFNA(VLOOKUP(Referentie_Fossiele_Energie_Totaal48[[#This Row],[Product]]&amp;", "&amp;Referentie_Fossiele_Energie_Totaal48[[#Headers],[A2]],Database_Productkaarten[#All],50,FALSE),0)*Ontwerpberekening!L33),0))/Ontwerpberekening!$A$2</f>
        <v>17960.690494034308</v>
      </c>
      <c r="F200" s="93">
        <f>(IF(Ontwerpberekening!C33="Nieuwe Situatie",(_xlfn.IFNA(VLOOKUP(Referentie_Fossiele_Energie_Totaal48[[#This Row],[Product]]&amp;", "&amp;Referentie_Fossiele_Energie_Totaal48[[#Headers],[A3]],Database_Productkaarten[#All],50,FALSE),0)*Ontwerpberekening!L33),0))/Ontwerpberekening!$A$2</f>
        <v>17061.096372473588</v>
      </c>
      <c r="G200" s="93">
        <f>(IF(Ontwerpberekening!C33="Nieuwe Situatie",(_xlfn.IFNA(VLOOKUP(Referentie_Fossiele_Energie_Totaal48[[#This Row],[Product]]&amp;", "&amp;Referentie_Fossiele_Energie_Totaal48[[#Headers],[A4]],Database_Productkaarten[#All],50,FALSE),0)*Ontwerpberekening!L33),0))/Ontwerpberekening!$A$2</f>
        <v>2723.4959618160001</v>
      </c>
      <c r="H200" s="93">
        <f>(IF(Ontwerpberekening!C33="Nieuwe Situatie",(_xlfn.IFNA(VLOOKUP(Referentie_Fossiele_Energie_Totaal48[[#This Row],[Product]]&amp;", "&amp;Referentie_Fossiele_Energie_Totaal48[[#Headers],[A5]],Database_Productkaarten[#All],50,FALSE),0)*Ontwerpberekening!L33),0))/Ontwerpberekening!$A$2</f>
        <v>1145.4319030085614</v>
      </c>
      <c r="I200" s="93">
        <f>(IF(Ontwerpberekening!C33="Nieuwe Situatie",(_xlfn.IFNA(VLOOKUP(Referentie_Fossiele_Energie_Totaal48[[#This Row],[Product]]&amp;", "&amp;Referentie_Fossiele_Energie_Totaal48[[#Headers],[B1]],Database_Productkaarten[#All],50,FALSE),0)*Ontwerpberekening!L33),0))/Ontwerpberekening!$A$2</f>
        <v>0</v>
      </c>
      <c r="J200" s="93"/>
      <c r="K200" s="93">
        <f>(IF(Ontwerpberekening!C33="Nieuwe Situatie",(SUM(Referentie_Fossiele_Energie_Totaal48[[#This Row],[A1]:[B1]],Referentie_Fossiele_Energie_Totaal48[[#This Row],[C1]:[D2]])*Ontwerpberekening!M33),0))/Ontwerpberekening!$A$2</f>
        <v>715.11694921064918</v>
      </c>
      <c r="L200" s="93">
        <f>_xlfn.IFNA(VLOOKUP(Referentie_Fossiele_Energie_Totaal48[[#This Row],[Product]]&amp;", "&amp;Referentie_Fossiele_Energie_Totaal48[[#Headers],[C1]],Database_Productkaarten[#All],50,FALSE)*Ontwerpberekening!L33,0)/Ontwerpberekening!$A$2</f>
        <v>651.71125516004281</v>
      </c>
      <c r="M200" s="93">
        <f>_xlfn.IFNA(VLOOKUP(Referentie_Fossiele_Energie_Totaal48[[#This Row],[Product]]&amp;", "&amp;Referentie_Fossiele_Energie_Totaal48[[#Headers],[C2]],Database_Productkaarten[#All],50,FALSE)*Ontwerpberekening!L33,0)/Ontwerpberekening!$A$2</f>
        <v>2283.5657609208001</v>
      </c>
      <c r="N200" s="93">
        <f>_xlfn.IFNA(VLOOKUP(Referentie_Fossiele_Energie_Totaal48[[#This Row],[Product]]&amp;", "&amp;Referentie_Fossiele_Energie_Totaal48[[#Headers],[C3]],Database_Productkaarten[#All],50,FALSE)*Ontwerpberekening!L33,0)/Ontwerpberekening!$A$2</f>
        <v>730.70655881580683</v>
      </c>
      <c r="O200" s="93">
        <f>_xlfn.IFNA(VLOOKUP(Referentie_Fossiele_Energie_Totaal48[[#This Row],[Product]]&amp;", "&amp;Referentie_Fossiele_Energie_Totaal48[[#Headers],[C4]],Database_Productkaarten[#All],50,FALSE)*Ontwerpberekening!L33,0)/Ontwerpberekening!$A$2</f>
        <v>0</v>
      </c>
      <c r="P200" s="93">
        <f>(IF(Ontwerpberekening!C33="Nieuwe Situatie",(_xlfn.IFNA(VLOOKUP(Referentie_Fossiele_Energie_Totaal48[[#This Row],[Product]]&amp;", "&amp;Referentie_Fossiele_Energie_Totaal48[[#Headers],[D1]],Database_Productkaarten[#All],50,FALSE),0)*Ontwerpberekening!L33),0))/Ontwerpberekening!$A$2</f>
        <v>-69207.149617928531</v>
      </c>
      <c r="Q200" s="94">
        <f>(IF(Ontwerpberekening!C33="Nieuwe Situatie",_xlfn.IFNA(VLOOKUP(Referentie_Fossiele_Energie_Totaal48[[#This Row],[Product]]&amp;", "&amp;Referentie_Fossiele_Energie_Totaal48[[#Headers],[D2]],Database_Productkaarten[#All],50,FALSE),0)*Ontwerpberekening!L33,0))/Ontwerpberekening!$A$2</f>
        <v>0</v>
      </c>
      <c r="R200" s="72">
        <f>SUM(Referentie_Fossiele_Energie_Totaal48[[#This Row],[A1]:[D2]])</f>
        <v>102874.68112216053</v>
      </c>
    </row>
    <row r="201" spans="2:18" ht="18" x14ac:dyDescent="0.55000000000000004">
      <c r="B201" s="67" t="str">
        <f>Ontwerpberekening!B34</f>
        <v>Variant 1</v>
      </c>
      <c r="C201" s="96" t="str">
        <f>Ontwerpberekening!F34</f>
        <v>Betonstraatsteen geopolymeer 210x105x80</v>
      </c>
      <c r="D201" s="93">
        <f>(IF(Ontwerpberekening!C34="Nieuwe Situatie",(_xlfn.IFNA(VLOOKUP(Referentie_Fossiele_Energie_Totaal48[[#This Row],[Product]]&amp;", "&amp;Referentie_Fossiele_Energie_Totaal48[[#Headers],[A1]],Database_Productkaarten[#All],50,FALSE),0)*Ontwerpberekening!L34),0))/Ontwerpberekening!$A$2</f>
        <v>0</v>
      </c>
      <c r="E201" s="93">
        <f>(IF(Ontwerpberekening!C34="Nieuwe Situatie",(_xlfn.IFNA(VLOOKUP(Referentie_Fossiele_Energie_Totaal48[[#This Row],[Product]]&amp;", "&amp;Referentie_Fossiele_Energie_Totaal48[[#Headers],[A2]],Database_Productkaarten[#All],50,FALSE),0)*Ontwerpberekening!L34),0))/Ontwerpberekening!$A$2</f>
        <v>0</v>
      </c>
      <c r="F201" s="93">
        <f>(IF(Ontwerpberekening!C34="Nieuwe Situatie",(_xlfn.IFNA(VLOOKUP(Referentie_Fossiele_Energie_Totaal48[[#This Row],[Product]]&amp;", "&amp;Referentie_Fossiele_Energie_Totaal48[[#Headers],[A3]],Database_Productkaarten[#All],50,FALSE),0)*Ontwerpberekening!L34),0))/Ontwerpberekening!$A$2</f>
        <v>0</v>
      </c>
      <c r="G201" s="93">
        <f>(IF(Ontwerpberekening!C34="Nieuwe Situatie",(_xlfn.IFNA(VLOOKUP(Referentie_Fossiele_Energie_Totaal48[[#This Row],[Product]]&amp;", "&amp;Referentie_Fossiele_Energie_Totaal48[[#Headers],[A4]],Database_Productkaarten[#All],50,FALSE),0)*Ontwerpberekening!L34),0))/Ontwerpberekening!$A$2</f>
        <v>0</v>
      </c>
      <c r="H201" s="93">
        <f>(IF(Ontwerpberekening!C34="Nieuwe Situatie",(_xlfn.IFNA(VLOOKUP(Referentie_Fossiele_Energie_Totaal48[[#This Row],[Product]]&amp;", "&amp;Referentie_Fossiele_Energie_Totaal48[[#Headers],[A5]],Database_Productkaarten[#All],50,FALSE),0)*Ontwerpberekening!L34),0))/Ontwerpberekening!$A$2</f>
        <v>0</v>
      </c>
      <c r="I201" s="93">
        <f>(IF(Ontwerpberekening!C34="Nieuwe Situatie",(_xlfn.IFNA(VLOOKUP(Referentie_Fossiele_Energie_Totaal48[[#This Row],[Product]]&amp;", "&amp;Referentie_Fossiele_Energie_Totaal48[[#Headers],[B1]],Database_Productkaarten[#All],50,FALSE),0)*Ontwerpberekening!L34),0))/Ontwerpberekening!$A$2</f>
        <v>0</v>
      </c>
      <c r="J201" s="93"/>
      <c r="K201" s="93">
        <f>(IF(Ontwerpberekening!C34="Nieuwe Situatie",(SUM(Referentie_Fossiele_Energie_Totaal48[[#This Row],[A1]:[B1]],Referentie_Fossiele_Energie_Totaal48[[#This Row],[C1]:[D2]])*Ontwerpberekening!M34),0))/Ontwerpberekening!$A$2</f>
        <v>0</v>
      </c>
      <c r="L201" s="93">
        <f>_xlfn.IFNA(VLOOKUP(Referentie_Fossiele_Energie_Totaal48[[#This Row],[Product]]&amp;", "&amp;Referentie_Fossiele_Energie_Totaal48[[#Headers],[C1]],Database_Productkaarten[#All],50,FALSE)*Ontwerpberekening!L34,0)/Ontwerpberekening!$A$2</f>
        <v>0</v>
      </c>
      <c r="M201" s="93">
        <f>_xlfn.IFNA(VLOOKUP(Referentie_Fossiele_Energie_Totaal48[[#This Row],[Product]]&amp;", "&amp;Referentie_Fossiele_Energie_Totaal48[[#Headers],[C2]],Database_Productkaarten[#All],50,FALSE)*Ontwerpberekening!L34,0)/Ontwerpberekening!$A$2</f>
        <v>0</v>
      </c>
      <c r="N201" s="93">
        <f>_xlfn.IFNA(VLOOKUP(Referentie_Fossiele_Energie_Totaal48[[#This Row],[Product]]&amp;", "&amp;Referentie_Fossiele_Energie_Totaal48[[#Headers],[C3]],Database_Productkaarten[#All],50,FALSE)*Ontwerpberekening!L34,0)/Ontwerpberekening!$A$2</f>
        <v>0</v>
      </c>
      <c r="O201" s="93">
        <f>_xlfn.IFNA(VLOOKUP(Referentie_Fossiele_Energie_Totaal48[[#This Row],[Product]]&amp;", "&amp;Referentie_Fossiele_Energie_Totaal48[[#Headers],[C4]],Database_Productkaarten[#All],50,FALSE)*Ontwerpberekening!L34,0)/Ontwerpberekening!$A$2</f>
        <v>0</v>
      </c>
      <c r="P201" s="93">
        <f>(IF(Ontwerpberekening!C34="Nieuwe Situatie",(_xlfn.IFNA(VLOOKUP(Referentie_Fossiele_Energie_Totaal48[[#This Row],[Product]]&amp;", "&amp;Referentie_Fossiele_Energie_Totaal48[[#Headers],[D1]],Database_Productkaarten[#All],50,FALSE),0)*Ontwerpberekening!L34),0))/Ontwerpberekening!$A$2</f>
        <v>0</v>
      </c>
      <c r="Q201" s="95">
        <f>(IF(Ontwerpberekening!C34="Nieuwe Situatie",_xlfn.IFNA(VLOOKUP(Referentie_Fossiele_Energie_Totaal48[[#This Row],[Product]]&amp;", "&amp;Referentie_Fossiele_Energie_Totaal48[[#Headers],[D2]],Database_Productkaarten[#All],50,FALSE),0)*Ontwerpberekening!L34,0))/Ontwerpberekening!$A$2</f>
        <v>0</v>
      </c>
      <c r="R201" s="72">
        <f>SUM(Referentie_Fossiele_Energie_Totaal48[[#This Row],[A1]:[D2]])</f>
        <v>0</v>
      </c>
    </row>
    <row r="202" spans="2:18" ht="18" x14ac:dyDescent="0.55000000000000004">
      <c r="B202" s="67" t="str">
        <f>Ontwerpberekening!B35</f>
        <v>Variant 1</v>
      </c>
      <c r="C202" s="96" t="str">
        <f>Ontwerpberekening!F35</f>
        <v>Grond</v>
      </c>
      <c r="D202" s="93">
        <f>(IF(Ontwerpberekening!C35="Nieuwe Situatie",(_xlfn.IFNA(VLOOKUP(Referentie_Fossiele_Energie_Totaal48[[#This Row],[Product]]&amp;", "&amp;Referentie_Fossiele_Energie_Totaal48[[#Headers],[A1]],Database_Productkaarten[#All],50,FALSE),0)*Ontwerpberekening!L35),0))/Ontwerpberekening!$A$2</f>
        <v>0</v>
      </c>
      <c r="E202" s="93">
        <f>(IF(Ontwerpberekening!C35="Nieuwe Situatie",(_xlfn.IFNA(VLOOKUP(Referentie_Fossiele_Energie_Totaal48[[#This Row],[Product]]&amp;", "&amp;Referentie_Fossiele_Energie_Totaal48[[#Headers],[A2]],Database_Productkaarten[#All],50,FALSE),0)*Ontwerpberekening!L35),0))/Ontwerpberekening!$A$2</f>
        <v>0</v>
      </c>
      <c r="F202" s="93">
        <f>(IF(Ontwerpberekening!C35="Nieuwe Situatie",(_xlfn.IFNA(VLOOKUP(Referentie_Fossiele_Energie_Totaal48[[#This Row],[Product]]&amp;", "&amp;Referentie_Fossiele_Energie_Totaal48[[#Headers],[A3]],Database_Productkaarten[#All],50,FALSE),0)*Ontwerpberekening!L35),0))/Ontwerpberekening!$A$2</f>
        <v>0</v>
      </c>
      <c r="G202" s="93">
        <f>(IF(Ontwerpberekening!C35="Nieuwe Situatie",(_xlfn.IFNA(VLOOKUP(Referentie_Fossiele_Energie_Totaal48[[#This Row],[Product]]&amp;", "&amp;Referentie_Fossiele_Energie_Totaal48[[#Headers],[A4]],Database_Productkaarten[#All],50,FALSE),0)*Ontwerpberekening!L35),0))/Ontwerpberekening!$A$2</f>
        <v>0</v>
      </c>
      <c r="H202" s="93">
        <f>(IF(Ontwerpberekening!C35="Nieuwe Situatie",(_xlfn.IFNA(VLOOKUP(Referentie_Fossiele_Energie_Totaal48[[#This Row],[Product]]&amp;", "&amp;Referentie_Fossiele_Energie_Totaal48[[#Headers],[A5]],Database_Productkaarten[#All],50,FALSE),0)*Ontwerpberekening!L35),0))/Ontwerpberekening!$A$2</f>
        <v>0</v>
      </c>
      <c r="I202" s="93">
        <f>(IF(Ontwerpberekening!C35="Nieuwe Situatie",(_xlfn.IFNA(VLOOKUP(Referentie_Fossiele_Energie_Totaal48[[#This Row],[Product]]&amp;", "&amp;Referentie_Fossiele_Energie_Totaal48[[#Headers],[B1]],Database_Productkaarten[#All],50,FALSE),0)*Ontwerpberekening!L35),0))/Ontwerpberekening!$A$2</f>
        <v>0</v>
      </c>
      <c r="J202" s="93"/>
      <c r="K202" s="93">
        <f>(IF(Ontwerpberekening!C35="Nieuwe Situatie",(SUM(Referentie_Fossiele_Energie_Totaal48[[#This Row],[A1]:[B1]],Referentie_Fossiele_Energie_Totaal48[[#This Row],[C1]:[D2]])*Ontwerpberekening!M35),0))/Ontwerpberekening!$A$2</f>
        <v>0</v>
      </c>
      <c r="L202" s="93">
        <f>_xlfn.IFNA(VLOOKUP(Referentie_Fossiele_Energie_Totaal48[[#This Row],[Product]]&amp;", "&amp;Referentie_Fossiele_Energie_Totaal48[[#Headers],[C1]],Database_Productkaarten[#All],50,FALSE)*Ontwerpberekening!L35,0)/Ontwerpberekening!$A$2</f>
        <v>0</v>
      </c>
      <c r="M202" s="93">
        <f>_xlfn.IFNA(VLOOKUP(Referentie_Fossiele_Energie_Totaal48[[#This Row],[Product]]&amp;", "&amp;Referentie_Fossiele_Energie_Totaal48[[#Headers],[C2]],Database_Productkaarten[#All],50,FALSE)*Ontwerpberekening!L35,0)/Ontwerpberekening!$A$2</f>
        <v>0</v>
      </c>
      <c r="N202" s="93">
        <f>_xlfn.IFNA(VLOOKUP(Referentie_Fossiele_Energie_Totaal48[[#This Row],[Product]]&amp;", "&amp;Referentie_Fossiele_Energie_Totaal48[[#Headers],[C3]],Database_Productkaarten[#All],50,FALSE)*Ontwerpberekening!L35,0)/Ontwerpberekening!$A$2</f>
        <v>0</v>
      </c>
      <c r="O202" s="93">
        <f>_xlfn.IFNA(VLOOKUP(Referentie_Fossiele_Energie_Totaal48[[#This Row],[Product]]&amp;", "&amp;Referentie_Fossiele_Energie_Totaal48[[#Headers],[C4]],Database_Productkaarten[#All],50,FALSE)*Ontwerpberekening!L35,0)/Ontwerpberekening!$A$2</f>
        <v>0</v>
      </c>
      <c r="P202" s="93">
        <f>(IF(Ontwerpberekening!C35="Nieuwe Situatie",(_xlfn.IFNA(VLOOKUP(Referentie_Fossiele_Energie_Totaal48[[#This Row],[Product]]&amp;", "&amp;Referentie_Fossiele_Energie_Totaal48[[#Headers],[D1]],Database_Productkaarten[#All],50,FALSE),0)*Ontwerpberekening!L35),0))/Ontwerpberekening!$A$2</f>
        <v>0</v>
      </c>
      <c r="Q202" s="95">
        <f>(IF(Ontwerpberekening!C35="Nieuwe Situatie",_xlfn.IFNA(VLOOKUP(Referentie_Fossiele_Energie_Totaal48[[#This Row],[Product]]&amp;", "&amp;Referentie_Fossiele_Energie_Totaal48[[#Headers],[D2]],Database_Productkaarten[#All],50,FALSE),0)*Ontwerpberekening!L35,0))/Ontwerpberekening!$A$2</f>
        <v>0</v>
      </c>
      <c r="R202" s="72">
        <f>SUM(Referentie_Fossiele_Energie_Totaal48[[#This Row],[A1]:[D2]])</f>
        <v>0</v>
      </c>
    </row>
    <row r="203" spans="2:18" ht="18" x14ac:dyDescent="0.55000000000000004">
      <c r="B203" s="67" t="str">
        <f>Ontwerpberekening!B36</f>
        <v>Variant 1</v>
      </c>
      <c r="C203" s="96" t="str">
        <f>Ontwerpberekening!F36</f>
        <v>Opsluitband geopolymeer 100x200</v>
      </c>
      <c r="D203" s="93">
        <f>(IF(Ontwerpberekening!C36="Nieuwe Situatie",(_xlfn.IFNA(VLOOKUP(Referentie_Fossiele_Energie_Totaal48[[#This Row],[Product]]&amp;", "&amp;Referentie_Fossiele_Energie_Totaal48[[#Headers],[A1]],Database_Productkaarten[#All],50,FALSE),0)*Ontwerpberekening!L36),0))/Ontwerpberekening!$A$2</f>
        <v>0</v>
      </c>
      <c r="E203" s="93">
        <f>(IF(Ontwerpberekening!C36="Nieuwe Situatie",(_xlfn.IFNA(VLOOKUP(Referentie_Fossiele_Energie_Totaal48[[#This Row],[Product]]&amp;", "&amp;Referentie_Fossiele_Energie_Totaal48[[#Headers],[A2]],Database_Productkaarten[#All],50,FALSE),0)*Ontwerpberekening!L36),0))/Ontwerpberekening!$A$2</f>
        <v>0</v>
      </c>
      <c r="F203" s="93">
        <f>(IF(Ontwerpberekening!C36="Nieuwe Situatie",(_xlfn.IFNA(VLOOKUP(Referentie_Fossiele_Energie_Totaal48[[#This Row],[Product]]&amp;", "&amp;Referentie_Fossiele_Energie_Totaal48[[#Headers],[A3]],Database_Productkaarten[#All],50,FALSE),0)*Ontwerpberekening!L36),0))/Ontwerpberekening!$A$2</f>
        <v>0</v>
      </c>
      <c r="G203" s="93">
        <f>(IF(Ontwerpberekening!C36="Nieuwe Situatie",(_xlfn.IFNA(VLOOKUP(Referentie_Fossiele_Energie_Totaal48[[#This Row],[Product]]&amp;", "&amp;Referentie_Fossiele_Energie_Totaal48[[#Headers],[A4]],Database_Productkaarten[#All],50,FALSE),0)*Ontwerpberekening!L36),0))/Ontwerpberekening!$A$2</f>
        <v>0</v>
      </c>
      <c r="H203" s="93">
        <f>(IF(Ontwerpberekening!C36="Nieuwe Situatie",(_xlfn.IFNA(VLOOKUP(Referentie_Fossiele_Energie_Totaal48[[#This Row],[Product]]&amp;", "&amp;Referentie_Fossiele_Energie_Totaal48[[#Headers],[A5]],Database_Productkaarten[#All],50,FALSE),0)*Ontwerpberekening!L36),0))/Ontwerpberekening!$A$2</f>
        <v>0</v>
      </c>
      <c r="I203" s="93">
        <f>(IF(Ontwerpberekening!C36="Nieuwe Situatie",(_xlfn.IFNA(VLOOKUP(Referentie_Fossiele_Energie_Totaal48[[#This Row],[Product]]&amp;", "&amp;Referentie_Fossiele_Energie_Totaal48[[#Headers],[B1]],Database_Productkaarten[#All],50,FALSE),0)*Ontwerpberekening!L36),0))/Ontwerpberekening!$A$2</f>
        <v>0</v>
      </c>
      <c r="J203" s="93"/>
      <c r="K203" s="93">
        <f>(IF(Ontwerpberekening!C36="Nieuwe Situatie",(SUM(Referentie_Fossiele_Energie_Totaal48[[#This Row],[A1]:[B1]],Referentie_Fossiele_Energie_Totaal48[[#This Row],[C1]:[D2]])*Ontwerpberekening!M36),0))/Ontwerpberekening!$A$2</f>
        <v>0</v>
      </c>
      <c r="L203" s="93">
        <f>_xlfn.IFNA(VLOOKUP(Referentie_Fossiele_Energie_Totaal48[[#This Row],[Product]]&amp;", "&amp;Referentie_Fossiele_Energie_Totaal48[[#Headers],[C1]],Database_Productkaarten[#All],50,FALSE)*Ontwerpberekening!L36,0)/Ontwerpberekening!$A$2</f>
        <v>0</v>
      </c>
      <c r="M203" s="93">
        <f>_xlfn.IFNA(VLOOKUP(Referentie_Fossiele_Energie_Totaal48[[#This Row],[Product]]&amp;", "&amp;Referentie_Fossiele_Energie_Totaal48[[#Headers],[C2]],Database_Productkaarten[#All],50,FALSE)*Ontwerpberekening!L36,0)/Ontwerpberekening!$A$2</f>
        <v>0</v>
      </c>
      <c r="N203" s="93">
        <f>_xlfn.IFNA(VLOOKUP(Referentie_Fossiele_Energie_Totaal48[[#This Row],[Product]]&amp;", "&amp;Referentie_Fossiele_Energie_Totaal48[[#Headers],[C3]],Database_Productkaarten[#All],50,FALSE)*Ontwerpberekening!L36,0)/Ontwerpberekening!$A$2</f>
        <v>0</v>
      </c>
      <c r="O203" s="93">
        <f>_xlfn.IFNA(VLOOKUP(Referentie_Fossiele_Energie_Totaal48[[#This Row],[Product]]&amp;", "&amp;Referentie_Fossiele_Energie_Totaal48[[#Headers],[C4]],Database_Productkaarten[#All],50,FALSE)*Ontwerpberekening!L36,0)/Ontwerpberekening!$A$2</f>
        <v>0</v>
      </c>
      <c r="P203" s="93">
        <f>(IF(Ontwerpberekening!C36="Nieuwe Situatie",(_xlfn.IFNA(VLOOKUP(Referentie_Fossiele_Energie_Totaal48[[#This Row],[Product]]&amp;", "&amp;Referentie_Fossiele_Energie_Totaal48[[#Headers],[D1]],Database_Productkaarten[#All],50,FALSE),0)*Ontwerpberekening!L36),0))/Ontwerpberekening!$A$2</f>
        <v>0</v>
      </c>
      <c r="Q203" s="95">
        <f>(IF(Ontwerpberekening!C36="Nieuwe Situatie",_xlfn.IFNA(VLOOKUP(Referentie_Fossiele_Energie_Totaal48[[#This Row],[Product]]&amp;", "&amp;Referentie_Fossiele_Energie_Totaal48[[#Headers],[D2]],Database_Productkaarten[#All],50,FALSE),0)*Ontwerpberekening!L36,0))/Ontwerpberekening!$A$2</f>
        <v>0</v>
      </c>
      <c r="R203" s="72">
        <f>SUM(Referentie_Fossiele_Energie_Totaal48[[#This Row],[A1]:[D2]])</f>
        <v>0</v>
      </c>
    </row>
    <row r="204" spans="2:18" ht="18" x14ac:dyDescent="0.55000000000000004">
      <c r="B204" s="67" t="str">
        <f>Ontwerpberekening!B37</f>
        <v>Variant 1</v>
      </c>
      <c r="C204" s="96" t="str">
        <f>Ontwerpberekening!F37</f>
        <v>Opsluitband geopolymeer 100x200</v>
      </c>
      <c r="D204" s="93">
        <f>(IF(Ontwerpberekening!C37="Nieuwe Situatie",(_xlfn.IFNA(VLOOKUP(Referentie_Fossiele_Energie_Totaal48[[#This Row],[Product]]&amp;", "&amp;Referentie_Fossiele_Energie_Totaal48[[#Headers],[A1]],Database_Productkaarten[#All],50,FALSE),0)*Ontwerpberekening!L37),0))/Ontwerpberekening!$A$2</f>
        <v>0</v>
      </c>
      <c r="E204" s="93">
        <f>(IF(Ontwerpberekening!C37="Nieuwe Situatie",(_xlfn.IFNA(VLOOKUP(Referentie_Fossiele_Energie_Totaal48[[#This Row],[Product]]&amp;", "&amp;Referentie_Fossiele_Energie_Totaal48[[#Headers],[A2]],Database_Productkaarten[#All],50,FALSE),0)*Ontwerpberekening!L37),0))/Ontwerpberekening!$A$2</f>
        <v>0</v>
      </c>
      <c r="F204" s="93">
        <f>(IF(Ontwerpberekening!C37="Nieuwe Situatie",(_xlfn.IFNA(VLOOKUP(Referentie_Fossiele_Energie_Totaal48[[#This Row],[Product]]&amp;", "&amp;Referentie_Fossiele_Energie_Totaal48[[#Headers],[A3]],Database_Productkaarten[#All],50,FALSE),0)*Ontwerpberekening!L37),0))/Ontwerpberekening!$A$2</f>
        <v>0</v>
      </c>
      <c r="G204" s="93">
        <f>(IF(Ontwerpberekening!C37="Nieuwe Situatie",(_xlfn.IFNA(VLOOKUP(Referentie_Fossiele_Energie_Totaal48[[#This Row],[Product]]&amp;", "&amp;Referentie_Fossiele_Energie_Totaal48[[#Headers],[A4]],Database_Productkaarten[#All],50,FALSE),0)*Ontwerpberekening!L37),0))/Ontwerpberekening!$A$2</f>
        <v>0</v>
      </c>
      <c r="H204" s="93">
        <f>(IF(Ontwerpberekening!C37="Nieuwe Situatie",(_xlfn.IFNA(VLOOKUP(Referentie_Fossiele_Energie_Totaal48[[#This Row],[Product]]&amp;", "&amp;Referentie_Fossiele_Energie_Totaal48[[#Headers],[A5]],Database_Productkaarten[#All],50,FALSE),0)*Ontwerpberekening!L37),0))/Ontwerpberekening!$A$2</f>
        <v>0</v>
      </c>
      <c r="I204" s="93">
        <f>(IF(Ontwerpberekening!C37="Nieuwe Situatie",(_xlfn.IFNA(VLOOKUP(Referentie_Fossiele_Energie_Totaal48[[#This Row],[Product]]&amp;", "&amp;Referentie_Fossiele_Energie_Totaal48[[#Headers],[B1]],Database_Productkaarten[#All],50,FALSE),0)*Ontwerpberekening!L37),0))/Ontwerpberekening!$A$2</f>
        <v>0</v>
      </c>
      <c r="J204" s="93"/>
      <c r="K204" s="93">
        <f>(IF(Ontwerpberekening!C37="Nieuwe Situatie",(SUM(Referentie_Fossiele_Energie_Totaal48[[#This Row],[A1]:[B1]],Referentie_Fossiele_Energie_Totaal48[[#This Row],[C1]:[D2]])*Ontwerpberekening!M37),0))/Ontwerpberekening!$A$2</f>
        <v>0</v>
      </c>
      <c r="L204" s="93">
        <f>_xlfn.IFNA(VLOOKUP(Referentie_Fossiele_Energie_Totaal48[[#This Row],[Product]]&amp;", "&amp;Referentie_Fossiele_Energie_Totaal48[[#Headers],[C1]],Database_Productkaarten[#All],50,FALSE)*Ontwerpberekening!L37,0)/Ontwerpberekening!$A$2</f>
        <v>0</v>
      </c>
      <c r="M204" s="93">
        <f>_xlfn.IFNA(VLOOKUP(Referentie_Fossiele_Energie_Totaal48[[#This Row],[Product]]&amp;", "&amp;Referentie_Fossiele_Energie_Totaal48[[#Headers],[C2]],Database_Productkaarten[#All],50,FALSE)*Ontwerpberekening!L37,0)/Ontwerpberekening!$A$2</f>
        <v>0</v>
      </c>
      <c r="N204" s="93">
        <f>_xlfn.IFNA(VLOOKUP(Referentie_Fossiele_Energie_Totaal48[[#This Row],[Product]]&amp;", "&amp;Referentie_Fossiele_Energie_Totaal48[[#Headers],[C3]],Database_Productkaarten[#All],50,FALSE)*Ontwerpberekening!L37,0)/Ontwerpberekening!$A$2</f>
        <v>0</v>
      </c>
      <c r="O204" s="93">
        <f>_xlfn.IFNA(VLOOKUP(Referentie_Fossiele_Energie_Totaal48[[#This Row],[Product]]&amp;", "&amp;Referentie_Fossiele_Energie_Totaal48[[#Headers],[C4]],Database_Productkaarten[#All],50,FALSE)*Ontwerpberekening!L37,0)/Ontwerpberekening!$A$2</f>
        <v>0</v>
      </c>
      <c r="P204" s="93">
        <f>(IF(Ontwerpberekening!C37="Nieuwe Situatie",(_xlfn.IFNA(VLOOKUP(Referentie_Fossiele_Energie_Totaal48[[#This Row],[Product]]&amp;", "&amp;Referentie_Fossiele_Energie_Totaal48[[#Headers],[D1]],Database_Productkaarten[#All],50,FALSE),0)*Ontwerpberekening!L37),0))/Ontwerpberekening!$A$2</f>
        <v>0</v>
      </c>
      <c r="Q204" s="95">
        <f>(IF(Ontwerpberekening!C37="Nieuwe Situatie",_xlfn.IFNA(VLOOKUP(Referentie_Fossiele_Energie_Totaal48[[#This Row],[Product]]&amp;", "&amp;Referentie_Fossiele_Energie_Totaal48[[#Headers],[D2]],Database_Productkaarten[#All],50,FALSE),0)*Ontwerpberekening!L37,0))/Ontwerpberekening!$A$2</f>
        <v>0</v>
      </c>
      <c r="R204" s="72">
        <f>SUM(Referentie_Fossiele_Energie_Totaal48[[#This Row],[A1]:[D2]])</f>
        <v>0</v>
      </c>
    </row>
    <row r="205" spans="2:18" ht="18" x14ac:dyDescent="0.55000000000000004">
      <c r="B205" s="67" t="str">
        <f>Ontwerpberekening!B38</f>
        <v>Variant 1</v>
      </c>
      <c r="C205" s="96" t="str">
        <f>Ontwerpberekening!F38</f>
        <v>Grond</v>
      </c>
      <c r="D205" s="93">
        <f>(IF(Ontwerpberekening!C38="Nieuwe Situatie",(_xlfn.IFNA(VLOOKUP(Referentie_Fossiele_Energie_Totaal48[[#This Row],[Product]]&amp;", "&amp;Referentie_Fossiele_Energie_Totaal48[[#Headers],[A1]],Database_Productkaarten[#All],50,FALSE),0)*Ontwerpberekening!L38),0))/Ontwerpberekening!$A$2</f>
        <v>0</v>
      </c>
      <c r="E205" s="93">
        <f>(IF(Ontwerpberekening!C38="Nieuwe Situatie",(_xlfn.IFNA(VLOOKUP(Referentie_Fossiele_Energie_Totaal48[[#This Row],[Product]]&amp;", "&amp;Referentie_Fossiele_Energie_Totaal48[[#Headers],[A2]],Database_Productkaarten[#All],50,FALSE),0)*Ontwerpberekening!L38),0))/Ontwerpberekening!$A$2</f>
        <v>0</v>
      </c>
      <c r="F205" s="93">
        <f>(IF(Ontwerpberekening!C38="Nieuwe Situatie",(_xlfn.IFNA(VLOOKUP(Referentie_Fossiele_Energie_Totaal48[[#This Row],[Product]]&amp;", "&amp;Referentie_Fossiele_Energie_Totaal48[[#Headers],[A3]],Database_Productkaarten[#All],50,FALSE),0)*Ontwerpberekening!L38),0))/Ontwerpberekening!$A$2</f>
        <v>0</v>
      </c>
      <c r="G205" s="93">
        <f>(IF(Ontwerpberekening!C38="Nieuwe Situatie",(_xlfn.IFNA(VLOOKUP(Referentie_Fossiele_Energie_Totaal48[[#This Row],[Product]]&amp;", "&amp;Referentie_Fossiele_Energie_Totaal48[[#Headers],[A4]],Database_Productkaarten[#All],50,FALSE),0)*Ontwerpberekening!L38),0))/Ontwerpberekening!$A$2</f>
        <v>0</v>
      </c>
      <c r="H205" s="93">
        <f>(IF(Ontwerpberekening!C38="Nieuwe Situatie",(_xlfn.IFNA(VLOOKUP(Referentie_Fossiele_Energie_Totaal48[[#This Row],[Product]]&amp;", "&amp;Referentie_Fossiele_Energie_Totaal48[[#Headers],[A5]],Database_Productkaarten[#All],50,FALSE),0)*Ontwerpberekening!L38),0))/Ontwerpberekening!$A$2</f>
        <v>0</v>
      </c>
      <c r="I205" s="93">
        <f>(IF(Ontwerpberekening!C38="Nieuwe Situatie",(_xlfn.IFNA(VLOOKUP(Referentie_Fossiele_Energie_Totaal48[[#This Row],[Product]]&amp;", "&amp;Referentie_Fossiele_Energie_Totaal48[[#Headers],[B1]],Database_Productkaarten[#All],50,FALSE),0)*Ontwerpberekening!L38),0))/Ontwerpberekening!$A$2</f>
        <v>0</v>
      </c>
      <c r="J205" s="93"/>
      <c r="K205" s="93">
        <f>(IF(Ontwerpberekening!C38="Nieuwe Situatie",(SUM(Referentie_Fossiele_Energie_Totaal48[[#This Row],[A1]:[B1]],Referentie_Fossiele_Energie_Totaal48[[#This Row],[C1]:[D2]])*Ontwerpberekening!M38),0))/Ontwerpberekening!$A$2</f>
        <v>0</v>
      </c>
      <c r="L205" s="93">
        <f>_xlfn.IFNA(VLOOKUP(Referentie_Fossiele_Energie_Totaal48[[#This Row],[Product]]&amp;", "&amp;Referentie_Fossiele_Energie_Totaal48[[#Headers],[C1]],Database_Productkaarten[#All],50,FALSE)*Ontwerpberekening!L38,0)/Ontwerpberekening!$A$2</f>
        <v>0</v>
      </c>
      <c r="M205" s="93">
        <f>_xlfn.IFNA(VLOOKUP(Referentie_Fossiele_Energie_Totaal48[[#This Row],[Product]]&amp;", "&amp;Referentie_Fossiele_Energie_Totaal48[[#Headers],[C2]],Database_Productkaarten[#All],50,FALSE)*Ontwerpberekening!L38,0)/Ontwerpberekening!$A$2</f>
        <v>0</v>
      </c>
      <c r="N205" s="93">
        <f>_xlfn.IFNA(VLOOKUP(Referentie_Fossiele_Energie_Totaal48[[#This Row],[Product]]&amp;", "&amp;Referentie_Fossiele_Energie_Totaal48[[#Headers],[C3]],Database_Productkaarten[#All],50,FALSE)*Ontwerpberekening!L38,0)/Ontwerpberekening!$A$2</f>
        <v>0</v>
      </c>
      <c r="O205" s="93">
        <f>_xlfn.IFNA(VLOOKUP(Referentie_Fossiele_Energie_Totaal48[[#This Row],[Product]]&amp;", "&amp;Referentie_Fossiele_Energie_Totaal48[[#Headers],[C4]],Database_Productkaarten[#All],50,FALSE)*Ontwerpberekening!L38,0)/Ontwerpberekening!$A$2</f>
        <v>0</v>
      </c>
      <c r="P205" s="93">
        <f>(IF(Ontwerpberekening!C38="Nieuwe Situatie",(_xlfn.IFNA(VLOOKUP(Referentie_Fossiele_Energie_Totaal48[[#This Row],[Product]]&amp;", "&amp;Referentie_Fossiele_Energie_Totaal48[[#Headers],[D1]],Database_Productkaarten[#All],50,FALSE),0)*Ontwerpberekening!L38),0))/Ontwerpberekening!$A$2</f>
        <v>0</v>
      </c>
      <c r="Q205" s="95">
        <f>(IF(Ontwerpberekening!C38="Nieuwe Situatie",_xlfn.IFNA(VLOOKUP(Referentie_Fossiele_Energie_Totaal48[[#This Row],[Product]]&amp;", "&amp;Referentie_Fossiele_Energie_Totaal48[[#Headers],[D2]],Database_Productkaarten[#All],50,FALSE),0)*Ontwerpberekening!L38,0))/Ontwerpberekening!$A$2</f>
        <v>0</v>
      </c>
      <c r="R205" s="72">
        <f>SUM(Referentie_Fossiele_Energie_Totaal48[[#This Row],[A1]:[D2]])</f>
        <v>0</v>
      </c>
    </row>
    <row r="206" spans="2:18" ht="18" x14ac:dyDescent="0.55000000000000004">
      <c r="B206" s="67">
        <f>Ontwerpberekening!B39</f>
        <v>0</v>
      </c>
      <c r="C206" s="96">
        <f>Ontwerpberekening!F39</f>
        <v>0</v>
      </c>
      <c r="D206" s="93">
        <f>(IF(Ontwerpberekening!C39="Nieuwe Situatie",(_xlfn.IFNA(VLOOKUP(Referentie_Fossiele_Energie_Totaal48[[#This Row],[Product]]&amp;", "&amp;Referentie_Fossiele_Energie_Totaal48[[#Headers],[A1]],Database_Productkaarten[#All],50,FALSE),0)*Ontwerpberekening!L39),0))/Ontwerpberekening!$A$2</f>
        <v>0</v>
      </c>
      <c r="E206" s="93">
        <f>(IF(Ontwerpberekening!C39="Nieuwe Situatie",(_xlfn.IFNA(VLOOKUP(Referentie_Fossiele_Energie_Totaal48[[#This Row],[Product]]&amp;", "&amp;Referentie_Fossiele_Energie_Totaal48[[#Headers],[A2]],Database_Productkaarten[#All],50,FALSE),0)*Ontwerpberekening!L39),0))/Ontwerpberekening!$A$2</f>
        <v>0</v>
      </c>
      <c r="F206" s="93">
        <f>(IF(Ontwerpberekening!C39="Nieuwe Situatie",(_xlfn.IFNA(VLOOKUP(Referentie_Fossiele_Energie_Totaal48[[#This Row],[Product]]&amp;", "&amp;Referentie_Fossiele_Energie_Totaal48[[#Headers],[A3]],Database_Productkaarten[#All],50,FALSE),0)*Ontwerpberekening!L39),0))/Ontwerpberekening!$A$2</f>
        <v>0</v>
      </c>
      <c r="G206" s="93">
        <f>(IF(Ontwerpberekening!C39="Nieuwe Situatie",(_xlfn.IFNA(VLOOKUP(Referentie_Fossiele_Energie_Totaal48[[#This Row],[Product]]&amp;", "&amp;Referentie_Fossiele_Energie_Totaal48[[#Headers],[A4]],Database_Productkaarten[#All],50,FALSE),0)*Ontwerpberekening!L39),0))/Ontwerpberekening!$A$2</f>
        <v>0</v>
      </c>
      <c r="H206" s="93">
        <f>(IF(Ontwerpberekening!C39="Nieuwe Situatie",(_xlfn.IFNA(VLOOKUP(Referentie_Fossiele_Energie_Totaal48[[#This Row],[Product]]&amp;", "&amp;Referentie_Fossiele_Energie_Totaal48[[#Headers],[A5]],Database_Productkaarten[#All],50,FALSE),0)*Ontwerpberekening!L39),0))/Ontwerpberekening!$A$2</f>
        <v>0</v>
      </c>
      <c r="I206" s="93">
        <f>(IF(Ontwerpberekening!C39="Nieuwe Situatie",(_xlfn.IFNA(VLOOKUP(Referentie_Fossiele_Energie_Totaal48[[#This Row],[Product]]&amp;", "&amp;Referentie_Fossiele_Energie_Totaal48[[#Headers],[B1]],Database_Productkaarten[#All],50,FALSE),0)*Ontwerpberekening!L39),0))/Ontwerpberekening!$A$2</f>
        <v>0</v>
      </c>
      <c r="J206" s="93"/>
      <c r="K206" s="93">
        <f>(IF(Ontwerpberekening!C39="Nieuwe Situatie",(SUM(Referentie_Fossiele_Energie_Totaal48[[#This Row],[A1]:[B1]],Referentie_Fossiele_Energie_Totaal48[[#This Row],[C1]:[D2]])*Ontwerpberekening!M39),0))/Ontwerpberekening!$A$2</f>
        <v>0</v>
      </c>
      <c r="L206" s="93">
        <f>_xlfn.IFNA(VLOOKUP(Referentie_Fossiele_Energie_Totaal48[[#This Row],[Product]]&amp;", "&amp;Referentie_Fossiele_Energie_Totaal48[[#Headers],[C1]],Database_Productkaarten[#All],50,FALSE)*Ontwerpberekening!L39,0)/Ontwerpberekening!$A$2</f>
        <v>0</v>
      </c>
      <c r="M206" s="93">
        <f>_xlfn.IFNA(VLOOKUP(Referentie_Fossiele_Energie_Totaal48[[#This Row],[Product]]&amp;", "&amp;Referentie_Fossiele_Energie_Totaal48[[#Headers],[C2]],Database_Productkaarten[#All],50,FALSE)*Ontwerpberekening!L39,0)/Ontwerpberekening!$A$2</f>
        <v>0</v>
      </c>
      <c r="N206" s="93">
        <f>_xlfn.IFNA(VLOOKUP(Referentie_Fossiele_Energie_Totaal48[[#This Row],[Product]]&amp;", "&amp;Referentie_Fossiele_Energie_Totaal48[[#Headers],[C3]],Database_Productkaarten[#All],50,FALSE)*Ontwerpberekening!L39,0)/Ontwerpberekening!$A$2</f>
        <v>0</v>
      </c>
      <c r="O206" s="93">
        <f>_xlfn.IFNA(VLOOKUP(Referentie_Fossiele_Energie_Totaal48[[#This Row],[Product]]&amp;", "&amp;Referentie_Fossiele_Energie_Totaal48[[#Headers],[C4]],Database_Productkaarten[#All],50,FALSE)*Ontwerpberekening!L39,0)/Ontwerpberekening!$A$2</f>
        <v>0</v>
      </c>
      <c r="P206" s="93">
        <f>(IF(Ontwerpberekening!C39="Nieuwe Situatie",(_xlfn.IFNA(VLOOKUP(Referentie_Fossiele_Energie_Totaal48[[#This Row],[Product]]&amp;", "&amp;Referentie_Fossiele_Energie_Totaal48[[#Headers],[D1]],Database_Productkaarten[#All],50,FALSE),0)*Ontwerpberekening!L39),0))/Ontwerpberekening!$A$2</f>
        <v>0</v>
      </c>
      <c r="Q206" s="95">
        <f>(IF(Ontwerpberekening!C39="Nieuwe Situatie",_xlfn.IFNA(VLOOKUP(Referentie_Fossiele_Energie_Totaal48[[#This Row],[Product]]&amp;", "&amp;Referentie_Fossiele_Energie_Totaal48[[#Headers],[D2]],Database_Productkaarten[#All],50,FALSE),0)*Ontwerpberekening!L39,0))/Ontwerpberekening!$A$2</f>
        <v>0</v>
      </c>
      <c r="R206" s="72">
        <f>SUM(Referentie_Fossiele_Energie_Totaal48[[#This Row],[A1]:[D2]])</f>
        <v>0</v>
      </c>
    </row>
    <row r="207" spans="2:18" ht="18" x14ac:dyDescent="0.55000000000000004">
      <c r="B207" s="67">
        <f>Ontwerpberekening!B40</f>
        <v>0</v>
      </c>
      <c r="C207" s="96">
        <f>Ontwerpberekening!F40</f>
        <v>0</v>
      </c>
      <c r="D207" s="93">
        <f>(IF(Ontwerpberekening!C40="Nieuwe Situatie",(_xlfn.IFNA(VLOOKUP(Referentie_Fossiele_Energie_Totaal48[[#This Row],[Product]]&amp;", "&amp;Referentie_Fossiele_Energie_Totaal48[[#Headers],[A1]],Database_Productkaarten[#All],50,FALSE),0)*Ontwerpberekening!L40),0))/Ontwerpberekening!$A$2</f>
        <v>0</v>
      </c>
      <c r="E207" s="93">
        <f>(IF(Ontwerpberekening!C40="Nieuwe Situatie",(_xlfn.IFNA(VLOOKUP(Referentie_Fossiele_Energie_Totaal48[[#This Row],[Product]]&amp;", "&amp;Referentie_Fossiele_Energie_Totaal48[[#Headers],[A2]],Database_Productkaarten[#All],50,FALSE),0)*Ontwerpberekening!L40),0))/Ontwerpberekening!$A$2</f>
        <v>0</v>
      </c>
      <c r="F207" s="93">
        <f>(IF(Ontwerpberekening!C40="Nieuwe Situatie",(_xlfn.IFNA(VLOOKUP(Referentie_Fossiele_Energie_Totaal48[[#This Row],[Product]]&amp;", "&amp;Referentie_Fossiele_Energie_Totaal48[[#Headers],[A3]],Database_Productkaarten[#All],50,FALSE),0)*Ontwerpberekening!L40),0))/Ontwerpberekening!$A$2</f>
        <v>0</v>
      </c>
      <c r="G207" s="93">
        <f>(IF(Ontwerpberekening!C40="Nieuwe Situatie",(_xlfn.IFNA(VLOOKUP(Referentie_Fossiele_Energie_Totaal48[[#This Row],[Product]]&amp;", "&amp;Referentie_Fossiele_Energie_Totaal48[[#Headers],[A4]],Database_Productkaarten[#All],50,FALSE),0)*Ontwerpberekening!L40),0))/Ontwerpberekening!$A$2</f>
        <v>0</v>
      </c>
      <c r="H207" s="93">
        <f>(IF(Ontwerpberekening!C40="Nieuwe Situatie",(_xlfn.IFNA(VLOOKUP(Referentie_Fossiele_Energie_Totaal48[[#This Row],[Product]]&amp;", "&amp;Referentie_Fossiele_Energie_Totaal48[[#Headers],[A5]],Database_Productkaarten[#All],50,FALSE),0)*Ontwerpberekening!L40),0))/Ontwerpberekening!$A$2</f>
        <v>0</v>
      </c>
      <c r="I207" s="93">
        <f>(IF(Ontwerpberekening!C40="Nieuwe Situatie",(_xlfn.IFNA(VLOOKUP(Referentie_Fossiele_Energie_Totaal48[[#This Row],[Product]]&amp;", "&amp;Referentie_Fossiele_Energie_Totaal48[[#Headers],[B1]],Database_Productkaarten[#All],50,FALSE),0)*Ontwerpberekening!L40),0))/Ontwerpberekening!$A$2</f>
        <v>0</v>
      </c>
      <c r="J207" s="93"/>
      <c r="K207" s="93">
        <f>(IF(Ontwerpberekening!C40="Nieuwe Situatie",(SUM(Referentie_Fossiele_Energie_Totaal48[[#This Row],[A1]:[B1]],Referentie_Fossiele_Energie_Totaal48[[#This Row],[C1]:[D2]])*Ontwerpberekening!M40),0))/Ontwerpberekening!$A$2</f>
        <v>0</v>
      </c>
      <c r="L207" s="93">
        <f>_xlfn.IFNA(VLOOKUP(Referentie_Fossiele_Energie_Totaal48[[#This Row],[Product]]&amp;", "&amp;Referentie_Fossiele_Energie_Totaal48[[#Headers],[C1]],Database_Productkaarten[#All],50,FALSE)*Ontwerpberekening!L40,0)/Ontwerpberekening!$A$2</f>
        <v>0</v>
      </c>
      <c r="M207" s="93">
        <f>_xlfn.IFNA(VLOOKUP(Referentie_Fossiele_Energie_Totaal48[[#This Row],[Product]]&amp;", "&amp;Referentie_Fossiele_Energie_Totaal48[[#Headers],[C2]],Database_Productkaarten[#All],50,FALSE)*Ontwerpberekening!L40,0)/Ontwerpberekening!$A$2</f>
        <v>0</v>
      </c>
      <c r="N207" s="93">
        <f>_xlfn.IFNA(VLOOKUP(Referentie_Fossiele_Energie_Totaal48[[#This Row],[Product]]&amp;", "&amp;Referentie_Fossiele_Energie_Totaal48[[#Headers],[C3]],Database_Productkaarten[#All],50,FALSE)*Ontwerpberekening!L40,0)/Ontwerpberekening!$A$2</f>
        <v>0</v>
      </c>
      <c r="O207" s="93">
        <f>_xlfn.IFNA(VLOOKUP(Referentie_Fossiele_Energie_Totaal48[[#This Row],[Product]]&amp;", "&amp;Referentie_Fossiele_Energie_Totaal48[[#Headers],[C4]],Database_Productkaarten[#All],50,FALSE)*Ontwerpberekening!L40,0)/Ontwerpberekening!$A$2</f>
        <v>0</v>
      </c>
      <c r="P207" s="93">
        <f>(IF(Ontwerpberekening!C40="Nieuwe Situatie",(_xlfn.IFNA(VLOOKUP(Referentie_Fossiele_Energie_Totaal48[[#This Row],[Product]]&amp;", "&amp;Referentie_Fossiele_Energie_Totaal48[[#Headers],[D1]],Database_Productkaarten[#All],50,FALSE),0)*Ontwerpberekening!L40),0))/Ontwerpberekening!$A$2</f>
        <v>0</v>
      </c>
      <c r="Q207" s="95">
        <f>(IF(Ontwerpberekening!C40="Nieuwe Situatie",_xlfn.IFNA(VLOOKUP(Referentie_Fossiele_Energie_Totaal48[[#This Row],[Product]]&amp;", "&amp;Referentie_Fossiele_Energie_Totaal48[[#Headers],[D2]],Database_Productkaarten[#All],50,FALSE),0)*Ontwerpberekening!L40,0))/Ontwerpberekening!$A$2</f>
        <v>0</v>
      </c>
      <c r="R207" s="72">
        <f>SUM(Referentie_Fossiele_Energie_Totaal48[[#This Row],[A1]:[D2]])</f>
        <v>0</v>
      </c>
    </row>
    <row r="208" spans="2:18" ht="18.5" thickBot="1" x14ac:dyDescent="0.6">
      <c r="B208" s="67">
        <f>Ontwerpberekening!B41</f>
        <v>0</v>
      </c>
      <c r="C208" s="96">
        <f>Ontwerpberekening!F41</f>
        <v>0</v>
      </c>
      <c r="D208" s="93">
        <f>(IF(Ontwerpberekening!C41="Nieuwe Situatie",(_xlfn.IFNA(VLOOKUP(Referentie_Fossiele_Energie_Totaal48[[#This Row],[Product]]&amp;", "&amp;Referentie_Fossiele_Energie_Totaal48[[#Headers],[A1]],Database_Productkaarten[#All],50,FALSE),0)*Ontwerpberekening!L41),0))/Ontwerpberekening!$A$2</f>
        <v>0</v>
      </c>
      <c r="E208" s="93">
        <f>(IF(Ontwerpberekening!C41="Nieuwe Situatie",(_xlfn.IFNA(VLOOKUP(Referentie_Fossiele_Energie_Totaal48[[#This Row],[Product]]&amp;", "&amp;Referentie_Fossiele_Energie_Totaal48[[#Headers],[A2]],Database_Productkaarten[#All],50,FALSE),0)*Ontwerpberekening!L41),0))/Ontwerpberekening!$A$2</f>
        <v>0</v>
      </c>
      <c r="F208" s="93">
        <f>(IF(Ontwerpberekening!C41="Nieuwe Situatie",(_xlfn.IFNA(VLOOKUP(Referentie_Fossiele_Energie_Totaal48[[#This Row],[Product]]&amp;", "&amp;Referentie_Fossiele_Energie_Totaal48[[#Headers],[A3]],Database_Productkaarten[#All],50,FALSE),0)*Ontwerpberekening!L41),0))/Ontwerpberekening!$A$2</f>
        <v>0</v>
      </c>
      <c r="G208" s="93">
        <f>(IF(Ontwerpberekening!C41="Nieuwe Situatie",(_xlfn.IFNA(VLOOKUP(Referentie_Fossiele_Energie_Totaal48[[#This Row],[Product]]&amp;", "&amp;Referentie_Fossiele_Energie_Totaal48[[#Headers],[A4]],Database_Productkaarten[#All],50,FALSE),0)*Ontwerpberekening!L41),0))/Ontwerpberekening!$A$2</f>
        <v>0</v>
      </c>
      <c r="H208" s="93">
        <f>(IF(Ontwerpberekening!C41="Nieuwe Situatie",(_xlfn.IFNA(VLOOKUP(Referentie_Fossiele_Energie_Totaal48[[#This Row],[Product]]&amp;", "&amp;Referentie_Fossiele_Energie_Totaal48[[#Headers],[A5]],Database_Productkaarten[#All],50,FALSE),0)*Ontwerpberekening!L41),0))/Ontwerpberekening!$A$2</f>
        <v>0</v>
      </c>
      <c r="I208" s="93">
        <f>(IF(Ontwerpberekening!C41="Nieuwe Situatie",(_xlfn.IFNA(VLOOKUP(Referentie_Fossiele_Energie_Totaal48[[#This Row],[Product]]&amp;", "&amp;Referentie_Fossiele_Energie_Totaal48[[#Headers],[B1]],Database_Productkaarten[#All],50,FALSE),0)*Ontwerpberekening!L41),0))/Ontwerpberekening!$A$2</f>
        <v>0</v>
      </c>
      <c r="J208" s="93"/>
      <c r="K208" s="93">
        <f>(IF(Ontwerpberekening!C41="Nieuwe Situatie",(SUM(Referentie_Fossiele_Energie_Totaal48[[#This Row],[A1]:[B1]],Referentie_Fossiele_Energie_Totaal48[[#This Row],[C1]:[D2]])*Ontwerpberekening!M41),0))/Ontwerpberekening!$A$2</f>
        <v>0</v>
      </c>
      <c r="L208" s="93">
        <f>_xlfn.IFNA(VLOOKUP(Referentie_Fossiele_Energie_Totaal48[[#This Row],[Product]]&amp;", "&amp;Referentie_Fossiele_Energie_Totaal48[[#Headers],[C1]],Database_Productkaarten[#All],50,FALSE)*Ontwerpberekening!L41,0)/Ontwerpberekening!$A$2</f>
        <v>0</v>
      </c>
      <c r="M208" s="93">
        <f>_xlfn.IFNA(VLOOKUP(Referentie_Fossiele_Energie_Totaal48[[#This Row],[Product]]&amp;", "&amp;Referentie_Fossiele_Energie_Totaal48[[#Headers],[C2]],Database_Productkaarten[#All],50,FALSE)*Ontwerpberekening!L41,0)/Ontwerpberekening!$A$2</f>
        <v>0</v>
      </c>
      <c r="N208" s="93">
        <f>_xlfn.IFNA(VLOOKUP(Referentie_Fossiele_Energie_Totaal48[[#This Row],[Product]]&amp;", "&amp;Referentie_Fossiele_Energie_Totaal48[[#Headers],[C3]],Database_Productkaarten[#All],50,FALSE)*Ontwerpberekening!L41,0)/Ontwerpberekening!$A$2</f>
        <v>0</v>
      </c>
      <c r="O208" s="93">
        <f>_xlfn.IFNA(VLOOKUP(Referentie_Fossiele_Energie_Totaal48[[#This Row],[Product]]&amp;", "&amp;Referentie_Fossiele_Energie_Totaal48[[#Headers],[C4]],Database_Productkaarten[#All],50,FALSE)*Ontwerpberekening!L41,0)/Ontwerpberekening!$A$2</f>
        <v>0</v>
      </c>
      <c r="P208" s="93">
        <f>(IF(Ontwerpberekening!C41="Nieuwe Situatie",(_xlfn.IFNA(VLOOKUP(Referentie_Fossiele_Energie_Totaal48[[#This Row],[Product]]&amp;", "&amp;Referentie_Fossiele_Energie_Totaal48[[#Headers],[D1]],Database_Productkaarten[#All],50,FALSE),0)*Ontwerpberekening!L41),0))/Ontwerpberekening!$A$2</f>
        <v>0</v>
      </c>
      <c r="Q208" s="95">
        <f>(IF(Ontwerpberekening!C41="Nieuwe Situatie",_xlfn.IFNA(VLOOKUP(Referentie_Fossiele_Energie_Totaal48[[#This Row],[Product]]&amp;", "&amp;Referentie_Fossiele_Energie_Totaal48[[#Headers],[D2]],Database_Productkaarten[#All],50,FALSE),0)*Ontwerpberekening!L41,0))/Ontwerpberekening!$A$2</f>
        <v>0</v>
      </c>
      <c r="R208" s="72">
        <f>SUM(Referentie_Fossiele_Energie_Totaal48[[#This Row],[A1]:[D2]])</f>
        <v>0</v>
      </c>
    </row>
    <row r="209" spans="2:19" ht="18.5" thickTop="1" x14ac:dyDescent="0.55000000000000004">
      <c r="B209" s="68" t="s">
        <v>16</v>
      </c>
      <c r="C209" s="69"/>
      <c r="D209" s="213">
        <f>SUBTOTAL(109,Referentie_Fossiele_Energie_Totaal48[A1])</f>
        <v>270409.21344818868</v>
      </c>
      <c r="E209" s="213">
        <f>SUBTOTAL(109,Referentie_Fossiele_Energie_Totaal48[A2])</f>
        <v>37920.317775062831</v>
      </c>
      <c r="F209" s="213">
        <f>SUBTOTAL(109,Referentie_Fossiele_Energie_Totaal48[A3])</f>
        <v>38918.461011972358</v>
      </c>
      <c r="G209" s="213">
        <f>SUBTOTAL(109,Referentie_Fossiele_Energie_Totaal48[A4])</f>
        <v>6376.3411909280003</v>
      </c>
      <c r="H209" s="213">
        <f>SUBTOTAL(109,Referentie_Fossiele_Energie_Totaal48[A5])</f>
        <v>2469.244027795984</v>
      </c>
      <c r="I209" s="213">
        <f>SUBTOTAL(109,Referentie_Fossiele_Energie_Totaal48[B1])</f>
        <v>0</v>
      </c>
      <c r="J209" s="213"/>
      <c r="K209" s="213">
        <f>SUBTOTAL(109,Referentie_Fossiele_Energie_Totaal48[B4])</f>
        <v>1544.679074417427</v>
      </c>
      <c r="L209" s="213">
        <f>SUBTOTAL(109,Referentie_Fossiele_Energie_Totaal48[C1])</f>
        <v>3346.8414934435177</v>
      </c>
      <c r="M209" s="213">
        <f>SUBTOTAL(109,Referentie_Fossiele_Energie_Totaal48[C2])</f>
        <v>10406.1612662432</v>
      </c>
      <c r="N209" s="213">
        <f>SUBTOTAL(109,Referentie_Fossiele_Energie_Totaal48[C3])</f>
        <v>3278.4012058569297</v>
      </c>
      <c r="O209" s="213">
        <f>SUBTOTAL(109,Referentie_Fossiele_Energie_Totaal48[C4])</f>
        <v>0</v>
      </c>
      <c r="P209" s="213">
        <f>SUBTOTAL(109,Referentie_Fossiele_Energie_Totaal48[D1])</f>
        <v>-148956.61408149038</v>
      </c>
      <c r="Q209" s="214">
        <f>SUBTOTAL(109,Referentie_Fossiele_Energie_Totaal48[D2])</f>
        <v>0</v>
      </c>
      <c r="R209" s="215">
        <f>SUBTOTAL(109,Referentie_Fossiele_Energie_Totaal48[Totaal])</f>
        <v>225713.04641241857</v>
      </c>
    </row>
    <row r="210" spans="2:19" ht="18" x14ac:dyDescent="0.55000000000000004">
      <c r="B210" s="17"/>
      <c r="C210" s="17"/>
      <c r="D210" s="17"/>
      <c r="E210" s="17"/>
      <c r="F210" s="17"/>
      <c r="G210" s="17"/>
      <c r="H210" s="17"/>
      <c r="I210" s="17"/>
      <c r="J210" s="17"/>
      <c r="K210" s="17"/>
      <c r="L210" s="17"/>
      <c r="M210" s="17"/>
      <c r="N210" s="17"/>
      <c r="O210" s="17"/>
      <c r="P210" s="17"/>
    </row>
    <row r="211" spans="2:19" ht="18" x14ac:dyDescent="0.55000000000000004">
      <c r="B211" s="17"/>
      <c r="C211" s="17"/>
      <c r="D211" s="17"/>
      <c r="E211" s="17"/>
      <c r="F211" s="17"/>
      <c r="G211" s="17"/>
      <c r="H211" s="17"/>
      <c r="I211" s="17"/>
      <c r="J211" s="17"/>
      <c r="K211" s="17"/>
      <c r="L211" s="17"/>
      <c r="M211" s="17"/>
      <c r="N211" s="17"/>
      <c r="O211" s="17"/>
      <c r="P211" s="17"/>
    </row>
    <row r="212" spans="2:19" ht="22" x14ac:dyDescent="0.65">
      <c r="B212" s="134" t="s">
        <v>362</v>
      </c>
      <c r="C212" s="134"/>
      <c r="D212" s="134"/>
      <c r="E212" s="17"/>
      <c r="F212" s="17"/>
      <c r="G212" s="17"/>
      <c r="H212" s="17"/>
      <c r="I212" s="17"/>
      <c r="J212" s="17"/>
      <c r="K212" s="17"/>
      <c r="L212" s="17"/>
      <c r="M212" s="17"/>
      <c r="N212" s="17"/>
      <c r="O212" s="17"/>
      <c r="P212" s="17"/>
    </row>
    <row r="213" spans="2:19" ht="18.5" thickBot="1" x14ac:dyDescent="0.6">
      <c r="B213" s="65" t="s">
        <v>55</v>
      </c>
      <c r="C213" s="66" t="s">
        <v>4</v>
      </c>
      <c r="D213" s="74" t="s">
        <v>344</v>
      </c>
      <c r="E213" s="75" t="s">
        <v>345</v>
      </c>
      <c r="F213" s="75" t="s">
        <v>348</v>
      </c>
      <c r="G213" s="75" t="s">
        <v>349</v>
      </c>
      <c r="H213" s="75" t="s">
        <v>343</v>
      </c>
      <c r="I213" s="74" t="s">
        <v>480</v>
      </c>
      <c r="J213" s="75" t="s">
        <v>481</v>
      </c>
      <c r="K213" s="75" t="s">
        <v>484</v>
      </c>
      <c r="L213" s="195" t="s">
        <v>496</v>
      </c>
      <c r="M213" s="195" t="s">
        <v>497</v>
      </c>
      <c r="N213" s="195" t="s">
        <v>498</v>
      </c>
      <c r="O213" s="17"/>
      <c r="P213" s="17"/>
      <c r="Q213" s="17"/>
      <c r="R213" s="17"/>
      <c r="S213" s="17"/>
    </row>
    <row r="214" spans="2:19" ht="18.5" thickTop="1" x14ac:dyDescent="0.55000000000000004">
      <c r="B214" s="67" t="str">
        <f>Ontwerpberekening!B5</f>
        <v>Baseline</v>
      </c>
      <c r="C214" s="67" t="str">
        <f>Ontwerpberekening!C5</f>
        <v>Bestaande situatie</v>
      </c>
      <c r="D214" s="67"/>
      <c r="E214" s="67"/>
      <c r="F214" s="118" t="s">
        <v>347</v>
      </c>
      <c r="G214" s="118" t="s">
        <v>347</v>
      </c>
      <c r="H214" s="160">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4" s="182"/>
      <c r="J214" s="182"/>
      <c r="K214" s="182">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4" s="182">
        <f>Ontwerp_Transport_Totaal[[#This Row],[Emissieloos Transport]]+Ontwerp_Transport_Totaal[[#This Row],[Emissieloos Transport Vervangingen]]</f>
        <v>0</v>
      </c>
      <c r="M214" s="182">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4" s="182">
        <f>Ontwerp_Transport_Totaal[[#This Row],[Totaal Emissieloos Transport]]+Ontwerp_Transport_Totaal[[#This Row],[Totaal Niet Emissieloos Transport]]</f>
        <v>0</v>
      </c>
      <c r="O214" s="17"/>
      <c r="P214" s="17"/>
      <c r="Q214" s="17"/>
      <c r="R214" s="17"/>
      <c r="S214" s="17"/>
    </row>
    <row r="215" spans="2:19" ht="18" x14ac:dyDescent="0.55000000000000004">
      <c r="B215" s="67" t="str">
        <f>Ontwerpberekening!B6</f>
        <v>Baseline</v>
      </c>
      <c r="C215" s="67" t="str">
        <f>Ontwerpberekening!C6</f>
        <v>Bestaande situatie</v>
      </c>
      <c r="D215" s="67"/>
      <c r="E215" s="67"/>
      <c r="F215" s="118" t="s">
        <v>347</v>
      </c>
      <c r="G215" s="118" t="s">
        <v>347</v>
      </c>
      <c r="H215"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5" s="67"/>
      <c r="J215" s="67"/>
      <c r="K215"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5" s="67">
        <f>Ontwerp_Transport_Totaal[[#This Row],[Emissieloos Transport]]+Ontwerp_Transport_Totaal[[#This Row],[Emissieloos Transport Vervangingen]]</f>
        <v>0</v>
      </c>
      <c r="M215"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5" s="67">
        <f>Ontwerp_Transport_Totaal[[#This Row],[Totaal Emissieloos Transport]]+Ontwerp_Transport_Totaal[[#This Row],[Totaal Niet Emissieloos Transport]]</f>
        <v>0</v>
      </c>
      <c r="O215" s="17"/>
      <c r="P215" s="17"/>
      <c r="Q215" s="17"/>
      <c r="R215" s="17"/>
      <c r="S215" s="17"/>
    </row>
    <row r="216" spans="2:19" ht="18" x14ac:dyDescent="0.55000000000000004">
      <c r="B216" s="67" t="str">
        <f>Ontwerpberekening!B7</f>
        <v>Baseline</v>
      </c>
      <c r="C216" s="67" t="str">
        <f>Ontwerpberekening!C7</f>
        <v>Bestaande situatie</v>
      </c>
      <c r="D216" s="67"/>
      <c r="E216" s="67"/>
      <c r="F216" s="118" t="s">
        <v>347</v>
      </c>
      <c r="G216" s="118" t="s">
        <v>347</v>
      </c>
      <c r="H216"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6" s="67"/>
      <c r="J216" s="67"/>
      <c r="K216"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6" s="67">
        <f>Ontwerp_Transport_Totaal[[#This Row],[Emissieloos Transport]]+Ontwerp_Transport_Totaal[[#This Row],[Emissieloos Transport Vervangingen]]</f>
        <v>0</v>
      </c>
      <c r="M216"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6" s="67">
        <f>Ontwerp_Transport_Totaal[[#This Row],[Totaal Emissieloos Transport]]+Ontwerp_Transport_Totaal[[#This Row],[Totaal Niet Emissieloos Transport]]</f>
        <v>0</v>
      </c>
      <c r="O216" s="17"/>
      <c r="P216" s="17"/>
      <c r="Q216" s="17"/>
      <c r="R216" s="17"/>
      <c r="S216" s="17"/>
    </row>
    <row r="217" spans="2:19" ht="18" x14ac:dyDescent="0.55000000000000004">
      <c r="B217" s="67" t="str">
        <f>Ontwerpberekening!B8</f>
        <v>Baseline</v>
      </c>
      <c r="C217" s="67" t="str">
        <f>Ontwerpberekening!C8</f>
        <v>Bestaande situatie</v>
      </c>
      <c r="D217" s="67"/>
      <c r="E217" s="67"/>
      <c r="F217" s="118" t="s">
        <v>347</v>
      </c>
      <c r="G217" s="118" t="s">
        <v>347</v>
      </c>
      <c r="H217"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7" s="67"/>
      <c r="J217" s="67"/>
      <c r="K217"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7" s="67">
        <f>Ontwerp_Transport_Totaal[[#This Row],[Emissieloos Transport]]+Ontwerp_Transport_Totaal[[#This Row],[Emissieloos Transport Vervangingen]]</f>
        <v>0</v>
      </c>
      <c r="M217"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7" s="67">
        <f>Ontwerp_Transport_Totaal[[#This Row],[Totaal Emissieloos Transport]]+Ontwerp_Transport_Totaal[[#This Row],[Totaal Niet Emissieloos Transport]]</f>
        <v>0</v>
      </c>
      <c r="O217" s="17"/>
      <c r="P217" s="17"/>
      <c r="Q217" s="17"/>
      <c r="R217" s="17"/>
      <c r="S217" s="17"/>
    </row>
    <row r="218" spans="2:19" ht="18" x14ac:dyDescent="0.55000000000000004">
      <c r="B218" s="67" t="str">
        <f>Ontwerpberekening!B9</f>
        <v>Baseline</v>
      </c>
      <c r="C218" s="67" t="str">
        <f>Ontwerpberekening!C9</f>
        <v>Bestaande situatie</v>
      </c>
      <c r="D218" s="67"/>
      <c r="E218" s="67"/>
      <c r="F218" s="118" t="s">
        <v>347</v>
      </c>
      <c r="G218" s="118" t="s">
        <v>347</v>
      </c>
      <c r="H218"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8" s="67"/>
      <c r="J218" s="67"/>
      <c r="K218"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8" s="67">
        <f>Ontwerp_Transport_Totaal[[#This Row],[Emissieloos Transport]]+Ontwerp_Transport_Totaal[[#This Row],[Emissieloos Transport Vervangingen]]</f>
        <v>0</v>
      </c>
      <c r="M218"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8" s="67">
        <f>Ontwerp_Transport_Totaal[[#This Row],[Totaal Emissieloos Transport]]+Ontwerp_Transport_Totaal[[#This Row],[Totaal Niet Emissieloos Transport]]</f>
        <v>0</v>
      </c>
      <c r="O218" s="17"/>
      <c r="P218" s="17"/>
      <c r="Q218" s="17"/>
      <c r="R218" s="17"/>
      <c r="S218" s="17"/>
    </row>
    <row r="219" spans="2:19" ht="18" x14ac:dyDescent="0.55000000000000004">
      <c r="B219" s="67" t="str">
        <f>Ontwerpberekening!B10</f>
        <v>Baseline</v>
      </c>
      <c r="C219" s="67" t="str">
        <f>Ontwerpberekening!C10</f>
        <v>Bestaande situatie</v>
      </c>
      <c r="D219" s="67"/>
      <c r="E219" s="67"/>
      <c r="F219" s="118" t="s">
        <v>347</v>
      </c>
      <c r="G219" s="118" t="s">
        <v>347</v>
      </c>
      <c r="H219"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9" s="67"/>
      <c r="J219" s="67"/>
      <c r="K219"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9" s="67">
        <f>Ontwerp_Transport_Totaal[[#This Row],[Emissieloos Transport]]+Ontwerp_Transport_Totaal[[#This Row],[Emissieloos Transport Vervangingen]]</f>
        <v>0</v>
      </c>
      <c r="M219"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9" s="67">
        <f>Ontwerp_Transport_Totaal[[#This Row],[Totaal Emissieloos Transport]]+Ontwerp_Transport_Totaal[[#This Row],[Totaal Niet Emissieloos Transport]]</f>
        <v>0</v>
      </c>
      <c r="O219" s="17"/>
      <c r="P219" s="17"/>
      <c r="Q219" s="17"/>
      <c r="R219" s="17"/>
      <c r="S219" s="17"/>
    </row>
    <row r="220" spans="2:19" ht="18" x14ac:dyDescent="0.55000000000000004">
      <c r="B220" s="67" t="str">
        <f>Ontwerpberekening!B11</f>
        <v>Baseline</v>
      </c>
      <c r="C220" s="67" t="str">
        <f>Ontwerpberekening!C11</f>
        <v>Bestaande situatie</v>
      </c>
      <c r="D220" s="67"/>
      <c r="E220" s="67"/>
      <c r="F220" s="118" t="s">
        <v>347</v>
      </c>
      <c r="G220" s="118" t="s">
        <v>347</v>
      </c>
      <c r="H220"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0" s="67"/>
      <c r="J220" s="67"/>
      <c r="K220"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0" s="67">
        <f>Ontwerp_Transport_Totaal[[#This Row],[Emissieloos Transport]]+Ontwerp_Transport_Totaal[[#This Row],[Emissieloos Transport Vervangingen]]</f>
        <v>0</v>
      </c>
      <c r="M220"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0" s="67">
        <f>Ontwerp_Transport_Totaal[[#This Row],[Totaal Emissieloos Transport]]+Ontwerp_Transport_Totaal[[#This Row],[Totaal Niet Emissieloos Transport]]</f>
        <v>0</v>
      </c>
      <c r="O220" s="17"/>
      <c r="P220" s="17"/>
      <c r="Q220" s="17"/>
      <c r="R220" s="17"/>
      <c r="S220" s="17"/>
    </row>
    <row r="221" spans="2:19" ht="18" x14ac:dyDescent="0.55000000000000004">
      <c r="B221" s="67" t="str">
        <f>Ontwerpberekening!B12</f>
        <v>Baseline</v>
      </c>
      <c r="C221" s="67" t="str">
        <f>Ontwerpberekening!C12</f>
        <v>Bestaande situatie</v>
      </c>
      <c r="D221" s="67"/>
      <c r="E221" s="67"/>
      <c r="F221" s="118" t="s">
        <v>347</v>
      </c>
      <c r="G221" s="118" t="s">
        <v>347</v>
      </c>
      <c r="H221"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1" s="67"/>
      <c r="J221" s="67"/>
      <c r="K221"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1" s="67">
        <f>Ontwerp_Transport_Totaal[[#This Row],[Emissieloos Transport]]+Ontwerp_Transport_Totaal[[#This Row],[Emissieloos Transport Vervangingen]]</f>
        <v>0</v>
      </c>
      <c r="M221"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1" s="67">
        <f>Ontwerp_Transport_Totaal[[#This Row],[Totaal Emissieloos Transport]]+Ontwerp_Transport_Totaal[[#This Row],[Totaal Niet Emissieloos Transport]]</f>
        <v>0</v>
      </c>
      <c r="O221" s="17"/>
      <c r="P221" s="17"/>
      <c r="Q221" s="17"/>
      <c r="R221" s="17"/>
      <c r="S221" s="17"/>
    </row>
    <row r="222" spans="2:19" ht="18" x14ac:dyDescent="0.55000000000000004">
      <c r="B222" s="67" t="str">
        <f>Ontwerpberekening!B13</f>
        <v>Baseline</v>
      </c>
      <c r="C222" s="67" t="str">
        <f>Ontwerpberekening!C13</f>
        <v>Nieuwe situatie</v>
      </c>
      <c r="D222" s="67"/>
      <c r="E222" s="67"/>
      <c r="F222" s="118" t="s">
        <v>347</v>
      </c>
      <c r="G222" s="118" t="s">
        <v>347</v>
      </c>
      <c r="H222"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2" s="67"/>
      <c r="J222" s="67"/>
      <c r="K222"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2" s="67">
        <f>Ontwerp_Transport_Totaal[[#This Row],[Emissieloos Transport]]+Ontwerp_Transport_Totaal[[#This Row],[Emissieloos Transport Vervangingen]]</f>
        <v>0</v>
      </c>
      <c r="M222"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2" s="67">
        <f>Ontwerp_Transport_Totaal[[#This Row],[Totaal Emissieloos Transport]]+Ontwerp_Transport_Totaal[[#This Row],[Totaal Niet Emissieloos Transport]]</f>
        <v>0</v>
      </c>
      <c r="O222" s="17"/>
      <c r="P222" s="17"/>
      <c r="Q222" s="17"/>
      <c r="R222" s="17"/>
      <c r="S222" s="17"/>
    </row>
    <row r="223" spans="2:19" ht="18" x14ac:dyDescent="0.55000000000000004">
      <c r="B223" s="67" t="str">
        <f>Ontwerpberekening!B14</f>
        <v>Baseline</v>
      </c>
      <c r="C223" s="67" t="str">
        <f>Ontwerpberekening!C14</f>
        <v>Nieuwe situatie</v>
      </c>
      <c r="D223" s="67"/>
      <c r="E223" s="67"/>
      <c r="F223" s="118" t="s">
        <v>347</v>
      </c>
      <c r="G223" s="118" t="s">
        <v>347</v>
      </c>
      <c r="H223"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3" s="67"/>
      <c r="J223" s="67"/>
      <c r="K223"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3" s="67">
        <f>Ontwerp_Transport_Totaal[[#This Row],[Emissieloos Transport]]+Ontwerp_Transport_Totaal[[#This Row],[Emissieloos Transport Vervangingen]]</f>
        <v>0</v>
      </c>
      <c r="M223"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3" s="67">
        <f>Ontwerp_Transport_Totaal[[#This Row],[Totaal Emissieloos Transport]]+Ontwerp_Transport_Totaal[[#This Row],[Totaal Niet Emissieloos Transport]]</f>
        <v>0</v>
      </c>
      <c r="O223" s="17"/>
      <c r="P223" s="17"/>
      <c r="Q223" s="17"/>
      <c r="R223" s="17"/>
      <c r="S223" s="17"/>
    </row>
    <row r="224" spans="2:19" ht="18" x14ac:dyDescent="0.55000000000000004">
      <c r="B224" s="67" t="str">
        <f>Ontwerpberekening!B15</f>
        <v>Baseline</v>
      </c>
      <c r="C224" s="67" t="str">
        <f>Ontwerpberekening!C15</f>
        <v>Nieuwe situatie</v>
      </c>
      <c r="D224" s="67"/>
      <c r="E224" s="67"/>
      <c r="F224" s="118" t="s">
        <v>347</v>
      </c>
      <c r="G224" s="118" t="s">
        <v>347</v>
      </c>
      <c r="H224"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4" s="67"/>
      <c r="J224" s="67"/>
      <c r="K224"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4" s="67">
        <f>Ontwerp_Transport_Totaal[[#This Row],[Emissieloos Transport]]+Ontwerp_Transport_Totaal[[#This Row],[Emissieloos Transport Vervangingen]]</f>
        <v>0</v>
      </c>
      <c r="M224"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4" s="67">
        <f>Ontwerp_Transport_Totaal[[#This Row],[Totaal Emissieloos Transport]]+Ontwerp_Transport_Totaal[[#This Row],[Totaal Niet Emissieloos Transport]]</f>
        <v>0</v>
      </c>
      <c r="O224" s="17"/>
      <c r="P224" s="17"/>
      <c r="Q224" s="17"/>
      <c r="R224" s="17"/>
      <c r="S224" s="17"/>
    </row>
    <row r="225" spans="2:19" ht="18" x14ac:dyDescent="0.55000000000000004">
      <c r="B225" s="67" t="str">
        <f>Ontwerpberekening!B16</f>
        <v>Baseline</v>
      </c>
      <c r="C225" s="67" t="str">
        <f>Ontwerpberekening!C16</f>
        <v>Nieuwe situatie</v>
      </c>
      <c r="D225" s="67"/>
      <c r="E225" s="67"/>
      <c r="F225" s="118" t="s">
        <v>347</v>
      </c>
      <c r="G225" s="118" t="s">
        <v>347</v>
      </c>
      <c r="H225"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5" s="67"/>
      <c r="J225" s="67"/>
      <c r="K225"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5" s="67">
        <f>Ontwerp_Transport_Totaal[[#This Row],[Emissieloos Transport]]+Ontwerp_Transport_Totaal[[#This Row],[Emissieloos Transport Vervangingen]]</f>
        <v>0</v>
      </c>
      <c r="M225"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5" s="67">
        <f>Ontwerp_Transport_Totaal[[#This Row],[Totaal Emissieloos Transport]]+Ontwerp_Transport_Totaal[[#This Row],[Totaal Niet Emissieloos Transport]]</f>
        <v>0</v>
      </c>
      <c r="O225" s="17"/>
      <c r="P225" s="17"/>
      <c r="Q225" s="17"/>
      <c r="R225" s="17"/>
      <c r="S225" s="17"/>
    </row>
    <row r="226" spans="2:19" ht="18" x14ac:dyDescent="0.55000000000000004">
      <c r="B226" s="67" t="str">
        <f>Ontwerpberekening!B17</f>
        <v>Baseline</v>
      </c>
      <c r="C226" s="67" t="str">
        <f>Ontwerpberekening!C17</f>
        <v>Nieuwe situatie</v>
      </c>
      <c r="D226" s="67"/>
      <c r="E226" s="67"/>
      <c r="F226" s="118" t="s">
        <v>347</v>
      </c>
      <c r="G226" s="118" t="s">
        <v>347</v>
      </c>
      <c r="H226"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6" s="67"/>
      <c r="J226" s="67"/>
      <c r="K226"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6" s="67">
        <f>Ontwerp_Transport_Totaal[[#This Row],[Emissieloos Transport]]+Ontwerp_Transport_Totaal[[#This Row],[Emissieloos Transport Vervangingen]]</f>
        <v>0</v>
      </c>
      <c r="M226"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6" s="67">
        <f>Ontwerp_Transport_Totaal[[#This Row],[Totaal Emissieloos Transport]]+Ontwerp_Transport_Totaal[[#This Row],[Totaal Niet Emissieloos Transport]]</f>
        <v>0</v>
      </c>
      <c r="O226" s="17"/>
      <c r="P226" s="17"/>
      <c r="Q226" s="17"/>
      <c r="R226" s="17"/>
      <c r="S226" s="17"/>
    </row>
    <row r="227" spans="2:19" ht="18" x14ac:dyDescent="0.55000000000000004">
      <c r="B227" s="67" t="str">
        <f>Ontwerpberekening!B18</f>
        <v>Baseline</v>
      </c>
      <c r="C227" s="67" t="str">
        <f>Ontwerpberekening!C18</f>
        <v>Nieuwe situatie</v>
      </c>
      <c r="D227" s="67"/>
      <c r="E227" s="67"/>
      <c r="F227" s="118" t="s">
        <v>347</v>
      </c>
      <c r="G227" s="118" t="s">
        <v>347</v>
      </c>
      <c r="H227"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7" s="67"/>
      <c r="J227" s="67"/>
      <c r="K227"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7" s="67">
        <f>Ontwerp_Transport_Totaal[[#This Row],[Emissieloos Transport]]+Ontwerp_Transport_Totaal[[#This Row],[Emissieloos Transport Vervangingen]]</f>
        <v>0</v>
      </c>
      <c r="M227"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7" s="67">
        <f>Ontwerp_Transport_Totaal[[#This Row],[Totaal Emissieloos Transport]]+Ontwerp_Transport_Totaal[[#This Row],[Totaal Niet Emissieloos Transport]]</f>
        <v>0</v>
      </c>
      <c r="O227" s="17"/>
      <c r="P227" s="17"/>
      <c r="Q227" s="17"/>
      <c r="R227" s="17"/>
      <c r="S227" s="17"/>
    </row>
    <row r="228" spans="2:19" ht="18" x14ac:dyDescent="0.55000000000000004">
      <c r="B228" s="67" t="str">
        <f>Ontwerpberekening!B19</f>
        <v>Baseline</v>
      </c>
      <c r="C228" s="67" t="str">
        <f>Ontwerpberekening!C19</f>
        <v>Nieuwe situatie</v>
      </c>
      <c r="D228" s="67"/>
      <c r="E228" s="67"/>
      <c r="F228" s="118" t="s">
        <v>347</v>
      </c>
      <c r="G228" s="118" t="s">
        <v>347</v>
      </c>
      <c r="H228"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8" s="67"/>
      <c r="J228" s="67"/>
      <c r="K228"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8" s="67">
        <f>Ontwerp_Transport_Totaal[[#This Row],[Emissieloos Transport]]+Ontwerp_Transport_Totaal[[#This Row],[Emissieloos Transport Vervangingen]]</f>
        <v>0</v>
      </c>
      <c r="M228"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8" s="67">
        <f>Ontwerp_Transport_Totaal[[#This Row],[Totaal Emissieloos Transport]]+Ontwerp_Transport_Totaal[[#This Row],[Totaal Niet Emissieloos Transport]]</f>
        <v>0</v>
      </c>
      <c r="O228" s="17"/>
      <c r="P228" s="17"/>
      <c r="Q228" s="17"/>
      <c r="R228" s="17"/>
      <c r="S228" s="17"/>
    </row>
    <row r="229" spans="2:19" ht="18" x14ac:dyDescent="0.55000000000000004">
      <c r="B229" s="67" t="str">
        <f>Ontwerpberekening!B20</f>
        <v>Baseline</v>
      </c>
      <c r="C229" s="67" t="str">
        <f>Ontwerpberekening!C20</f>
        <v>Nieuwe situatie</v>
      </c>
      <c r="D229" s="67"/>
      <c r="E229" s="67"/>
      <c r="F229" s="118" t="s">
        <v>347</v>
      </c>
      <c r="G229" s="118" t="s">
        <v>347</v>
      </c>
      <c r="H229"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9" s="67"/>
      <c r="J229" s="67"/>
      <c r="K229"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9" s="67">
        <f>Ontwerp_Transport_Totaal[[#This Row],[Emissieloos Transport]]+Ontwerp_Transport_Totaal[[#This Row],[Emissieloos Transport Vervangingen]]</f>
        <v>0</v>
      </c>
      <c r="M229"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9" s="67">
        <f>Ontwerp_Transport_Totaal[[#This Row],[Totaal Emissieloos Transport]]+Ontwerp_Transport_Totaal[[#This Row],[Totaal Niet Emissieloos Transport]]</f>
        <v>0</v>
      </c>
      <c r="O229" s="17"/>
      <c r="P229" s="17"/>
      <c r="Q229" s="17"/>
      <c r="R229" s="17"/>
      <c r="S229" s="17"/>
    </row>
    <row r="230" spans="2:19" ht="18" x14ac:dyDescent="0.55000000000000004">
      <c r="B230" s="67" t="str">
        <f>Ontwerpberekening!B21</f>
        <v>Baseline</v>
      </c>
      <c r="C230" s="67" t="str">
        <f>Ontwerpberekening!C21</f>
        <v>Nieuwe situatie</v>
      </c>
      <c r="D230" s="67"/>
      <c r="E230" s="67"/>
      <c r="F230" s="118" t="s">
        <v>347</v>
      </c>
      <c r="G230" s="118" t="s">
        <v>347</v>
      </c>
      <c r="H230"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0" s="67"/>
      <c r="J230" s="67"/>
      <c r="K230"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0" s="67">
        <f>Ontwerp_Transport_Totaal[[#This Row],[Emissieloos Transport]]+Ontwerp_Transport_Totaal[[#This Row],[Emissieloos Transport Vervangingen]]</f>
        <v>0</v>
      </c>
      <c r="M230"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0" s="67">
        <f>Ontwerp_Transport_Totaal[[#This Row],[Totaal Emissieloos Transport]]+Ontwerp_Transport_Totaal[[#This Row],[Totaal Niet Emissieloos Transport]]</f>
        <v>0</v>
      </c>
      <c r="O230" s="17"/>
      <c r="P230" s="17"/>
      <c r="Q230" s="17"/>
      <c r="R230" s="17"/>
      <c r="S230" s="17"/>
    </row>
    <row r="231" spans="2:19" ht="18" x14ac:dyDescent="0.55000000000000004">
      <c r="B231" s="67" t="str">
        <f>Ontwerpberekening!B22</f>
        <v>Variant 1</v>
      </c>
      <c r="C231" s="67" t="str">
        <f>Ontwerpberekening!C22</f>
        <v>Bestaande situatie</v>
      </c>
      <c r="D231" s="67"/>
      <c r="E231" s="67"/>
      <c r="F231" s="118" t="s">
        <v>347</v>
      </c>
      <c r="G231" s="118" t="s">
        <v>347</v>
      </c>
      <c r="H231"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1" s="67"/>
      <c r="J231" s="67"/>
      <c r="K231"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1" s="67">
        <f>Ontwerp_Transport_Totaal[[#This Row],[Emissieloos Transport]]+Ontwerp_Transport_Totaal[[#This Row],[Emissieloos Transport Vervangingen]]</f>
        <v>0</v>
      </c>
      <c r="M231"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1" s="67">
        <f>Ontwerp_Transport_Totaal[[#This Row],[Totaal Emissieloos Transport]]+Ontwerp_Transport_Totaal[[#This Row],[Totaal Niet Emissieloos Transport]]</f>
        <v>0</v>
      </c>
      <c r="O231" s="17"/>
      <c r="P231" s="17"/>
      <c r="Q231" s="17"/>
      <c r="R231" s="17"/>
      <c r="S231" s="17"/>
    </row>
    <row r="232" spans="2:19" ht="18" x14ac:dyDescent="0.55000000000000004">
      <c r="B232" s="67" t="str">
        <f>Ontwerpberekening!B23</f>
        <v>Variant 1</v>
      </c>
      <c r="C232" s="67" t="str">
        <f>Ontwerpberekening!C23</f>
        <v>Bestaande situatie</v>
      </c>
      <c r="D232" s="67"/>
      <c r="E232" s="67"/>
      <c r="F232" s="118" t="s">
        <v>347</v>
      </c>
      <c r="G232" s="118" t="s">
        <v>347</v>
      </c>
      <c r="H232"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2" s="67"/>
      <c r="J232" s="67"/>
      <c r="K232"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2" s="67">
        <f>Ontwerp_Transport_Totaal[[#This Row],[Emissieloos Transport]]+Ontwerp_Transport_Totaal[[#This Row],[Emissieloos Transport Vervangingen]]</f>
        <v>0</v>
      </c>
      <c r="M232"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2" s="67">
        <f>Ontwerp_Transport_Totaal[[#This Row],[Totaal Emissieloos Transport]]+Ontwerp_Transport_Totaal[[#This Row],[Totaal Niet Emissieloos Transport]]</f>
        <v>0</v>
      </c>
      <c r="O232" s="17"/>
      <c r="P232" s="17"/>
      <c r="Q232" s="17"/>
      <c r="R232" s="17"/>
      <c r="S232" s="17"/>
    </row>
    <row r="233" spans="2:19" ht="18" x14ac:dyDescent="0.55000000000000004">
      <c r="B233" s="67" t="str">
        <f>Ontwerpberekening!B24</f>
        <v>Variant 1</v>
      </c>
      <c r="C233" s="67" t="str">
        <f>Ontwerpberekening!C24</f>
        <v>Bestaande situatie</v>
      </c>
      <c r="D233" s="67"/>
      <c r="E233" s="67"/>
      <c r="F233" s="118" t="s">
        <v>347</v>
      </c>
      <c r="G233" s="118" t="s">
        <v>347</v>
      </c>
      <c r="H233"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3" s="67"/>
      <c r="J233" s="67"/>
      <c r="K233"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3" s="67">
        <f>Ontwerp_Transport_Totaal[[#This Row],[Emissieloos Transport]]+Ontwerp_Transport_Totaal[[#This Row],[Emissieloos Transport Vervangingen]]</f>
        <v>0</v>
      </c>
      <c r="M233"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3" s="67">
        <f>Ontwerp_Transport_Totaal[[#This Row],[Totaal Emissieloos Transport]]+Ontwerp_Transport_Totaal[[#This Row],[Totaal Niet Emissieloos Transport]]</f>
        <v>0</v>
      </c>
      <c r="O233" s="17"/>
      <c r="P233" s="17"/>
      <c r="Q233" s="17"/>
      <c r="R233" s="17"/>
      <c r="S233" s="17"/>
    </row>
    <row r="234" spans="2:19" ht="18" x14ac:dyDescent="0.55000000000000004">
      <c r="B234" s="67" t="str">
        <f>Ontwerpberekening!B25</f>
        <v>Variant 1</v>
      </c>
      <c r="C234" s="67" t="str">
        <f>Ontwerpberekening!C25</f>
        <v>Bestaande situatie</v>
      </c>
      <c r="D234" s="67"/>
      <c r="E234" s="67"/>
      <c r="F234" s="118" t="s">
        <v>347</v>
      </c>
      <c r="G234" s="118" t="s">
        <v>347</v>
      </c>
      <c r="H234"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4" s="67"/>
      <c r="J234" s="67"/>
      <c r="K234"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4" s="67">
        <f>Ontwerp_Transport_Totaal[[#This Row],[Emissieloos Transport]]+Ontwerp_Transport_Totaal[[#This Row],[Emissieloos Transport Vervangingen]]</f>
        <v>0</v>
      </c>
      <c r="M234"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4" s="67">
        <f>Ontwerp_Transport_Totaal[[#This Row],[Totaal Emissieloos Transport]]+Ontwerp_Transport_Totaal[[#This Row],[Totaal Niet Emissieloos Transport]]</f>
        <v>0</v>
      </c>
      <c r="O234" s="17"/>
      <c r="P234" s="17"/>
      <c r="Q234" s="17"/>
      <c r="R234" s="17"/>
      <c r="S234" s="17"/>
    </row>
    <row r="235" spans="2:19" ht="18" x14ac:dyDescent="0.55000000000000004">
      <c r="B235" s="67" t="str">
        <f>Ontwerpberekening!B26</f>
        <v>Variant 1</v>
      </c>
      <c r="C235" s="67" t="str">
        <f>Ontwerpberekening!C26</f>
        <v>Bestaande situatie</v>
      </c>
      <c r="D235" s="67"/>
      <c r="E235" s="67"/>
      <c r="F235" s="118" t="s">
        <v>347</v>
      </c>
      <c r="G235" s="118" t="s">
        <v>347</v>
      </c>
      <c r="H235"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5" s="67"/>
      <c r="J235" s="67"/>
      <c r="K235"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5" s="67">
        <f>Ontwerp_Transport_Totaal[[#This Row],[Emissieloos Transport]]+Ontwerp_Transport_Totaal[[#This Row],[Emissieloos Transport Vervangingen]]</f>
        <v>0</v>
      </c>
      <c r="M235"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5" s="67">
        <f>Ontwerp_Transport_Totaal[[#This Row],[Totaal Emissieloos Transport]]+Ontwerp_Transport_Totaal[[#This Row],[Totaal Niet Emissieloos Transport]]</f>
        <v>0</v>
      </c>
      <c r="O235" s="17"/>
      <c r="P235" s="17"/>
      <c r="Q235" s="17"/>
      <c r="R235" s="17"/>
      <c r="S235" s="17"/>
    </row>
    <row r="236" spans="2:19" ht="18" x14ac:dyDescent="0.55000000000000004">
      <c r="B236" s="67" t="str">
        <f>Ontwerpberekening!B27</f>
        <v>Variant 1</v>
      </c>
      <c r="C236" s="67" t="str">
        <f>Ontwerpberekening!C27</f>
        <v>Bestaande situatie</v>
      </c>
      <c r="D236" s="67"/>
      <c r="E236" s="67"/>
      <c r="F236" s="118" t="s">
        <v>347</v>
      </c>
      <c r="G236" s="118" t="s">
        <v>347</v>
      </c>
      <c r="H236"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6" s="67"/>
      <c r="J236" s="67"/>
      <c r="K236"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6" s="67">
        <f>Ontwerp_Transport_Totaal[[#This Row],[Emissieloos Transport]]+Ontwerp_Transport_Totaal[[#This Row],[Emissieloos Transport Vervangingen]]</f>
        <v>0</v>
      </c>
      <c r="M236"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6" s="67">
        <f>Ontwerp_Transport_Totaal[[#This Row],[Totaal Emissieloos Transport]]+Ontwerp_Transport_Totaal[[#This Row],[Totaal Niet Emissieloos Transport]]</f>
        <v>0</v>
      </c>
      <c r="O236" s="17"/>
      <c r="P236" s="17"/>
      <c r="Q236" s="17"/>
      <c r="R236" s="17"/>
      <c r="S236" s="17"/>
    </row>
    <row r="237" spans="2:19" ht="18" x14ac:dyDescent="0.55000000000000004">
      <c r="B237" s="67" t="str">
        <f>Ontwerpberekening!B28</f>
        <v>Variant 1</v>
      </c>
      <c r="C237" s="67" t="str">
        <f>Ontwerpberekening!C28</f>
        <v>Bestaande situatie</v>
      </c>
      <c r="D237" s="67"/>
      <c r="E237" s="67"/>
      <c r="F237" s="118" t="s">
        <v>347</v>
      </c>
      <c r="G237" s="118" t="s">
        <v>347</v>
      </c>
      <c r="H237"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7" s="67"/>
      <c r="J237" s="67"/>
      <c r="K237"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7" s="67">
        <f>Ontwerp_Transport_Totaal[[#This Row],[Emissieloos Transport]]+Ontwerp_Transport_Totaal[[#This Row],[Emissieloos Transport Vervangingen]]</f>
        <v>0</v>
      </c>
      <c r="M237"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7" s="67">
        <f>Ontwerp_Transport_Totaal[[#This Row],[Totaal Emissieloos Transport]]+Ontwerp_Transport_Totaal[[#This Row],[Totaal Niet Emissieloos Transport]]</f>
        <v>0</v>
      </c>
      <c r="O237" s="17"/>
      <c r="P237" s="17"/>
      <c r="Q237" s="17"/>
      <c r="R237" s="17"/>
      <c r="S237" s="17"/>
    </row>
    <row r="238" spans="2:19" ht="18" x14ac:dyDescent="0.55000000000000004">
      <c r="B238" s="67" t="str">
        <f>Ontwerpberekening!B29</f>
        <v>Variant 1</v>
      </c>
      <c r="C238" s="67" t="str">
        <f>Ontwerpberekening!C29</f>
        <v>Bestaande situatie</v>
      </c>
      <c r="D238" s="67"/>
      <c r="E238" s="67"/>
      <c r="F238" s="118" t="s">
        <v>347</v>
      </c>
      <c r="G238" s="118" t="s">
        <v>347</v>
      </c>
      <c r="H238"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8" s="67"/>
      <c r="J238" s="67"/>
      <c r="K238"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8" s="67">
        <f>Ontwerp_Transport_Totaal[[#This Row],[Emissieloos Transport]]+Ontwerp_Transport_Totaal[[#This Row],[Emissieloos Transport Vervangingen]]</f>
        <v>0</v>
      </c>
      <c r="M238"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8" s="67">
        <f>Ontwerp_Transport_Totaal[[#This Row],[Totaal Emissieloos Transport]]+Ontwerp_Transport_Totaal[[#This Row],[Totaal Niet Emissieloos Transport]]</f>
        <v>0</v>
      </c>
      <c r="O238" s="17"/>
      <c r="P238" s="17"/>
      <c r="Q238" s="17"/>
      <c r="R238" s="17"/>
      <c r="S238" s="17"/>
    </row>
    <row r="239" spans="2:19" ht="18" x14ac:dyDescent="0.55000000000000004">
      <c r="B239" s="67" t="str">
        <f>Ontwerpberekening!B30</f>
        <v>Variant 1</v>
      </c>
      <c r="C239" s="67" t="str">
        <f>Ontwerpberekening!C30</f>
        <v>Nieuwe situatie</v>
      </c>
      <c r="D239" s="67"/>
      <c r="E239" s="67"/>
      <c r="F239" s="118" t="s">
        <v>347</v>
      </c>
      <c r="G239" s="118" t="s">
        <v>347</v>
      </c>
      <c r="H239"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9" s="67"/>
      <c r="J239" s="67"/>
      <c r="K239"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9" s="67">
        <f>Ontwerp_Transport_Totaal[[#This Row],[Emissieloos Transport]]+Ontwerp_Transport_Totaal[[#This Row],[Emissieloos Transport Vervangingen]]</f>
        <v>0</v>
      </c>
      <c r="M239"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9" s="67">
        <f>Ontwerp_Transport_Totaal[[#This Row],[Totaal Emissieloos Transport]]+Ontwerp_Transport_Totaal[[#This Row],[Totaal Niet Emissieloos Transport]]</f>
        <v>0</v>
      </c>
      <c r="O239" s="17"/>
      <c r="P239" s="17"/>
      <c r="Q239" s="17"/>
      <c r="R239" s="17"/>
      <c r="S239" s="17"/>
    </row>
    <row r="240" spans="2:19" ht="18" x14ac:dyDescent="0.55000000000000004">
      <c r="B240" s="67" t="str">
        <f>Ontwerpberekening!B31</f>
        <v>Variant 1</v>
      </c>
      <c r="C240" s="67" t="str">
        <f>Ontwerpberekening!C31</f>
        <v>Nieuwe situatie</v>
      </c>
      <c r="D240" s="67"/>
      <c r="E240" s="67"/>
      <c r="F240" s="118" t="s">
        <v>347</v>
      </c>
      <c r="G240" s="118" t="s">
        <v>347</v>
      </c>
      <c r="H240"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0" s="67"/>
      <c r="J240" s="67"/>
      <c r="K240"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0" s="67">
        <f>Ontwerp_Transport_Totaal[[#This Row],[Emissieloos Transport]]+Ontwerp_Transport_Totaal[[#This Row],[Emissieloos Transport Vervangingen]]</f>
        <v>0</v>
      </c>
      <c r="M240"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0" s="67">
        <f>Ontwerp_Transport_Totaal[[#This Row],[Totaal Emissieloos Transport]]+Ontwerp_Transport_Totaal[[#This Row],[Totaal Niet Emissieloos Transport]]</f>
        <v>0</v>
      </c>
      <c r="O240" s="17"/>
      <c r="P240" s="17"/>
      <c r="Q240" s="17"/>
      <c r="R240" s="17"/>
      <c r="S240" s="17"/>
    </row>
    <row r="241" spans="2:22" ht="18" x14ac:dyDescent="0.55000000000000004">
      <c r="B241" s="67" t="str">
        <f>Ontwerpberekening!B32</f>
        <v>Variant 1</v>
      </c>
      <c r="C241" s="67" t="str">
        <f>Ontwerpberekening!C32</f>
        <v>Nieuwe situatie</v>
      </c>
      <c r="D241" s="67"/>
      <c r="E241" s="67"/>
      <c r="F241" s="118" t="s">
        <v>347</v>
      </c>
      <c r="G241" s="118" t="s">
        <v>347</v>
      </c>
      <c r="H241"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1" s="67"/>
      <c r="J241" s="67"/>
      <c r="K241"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1" s="67">
        <f>Ontwerp_Transport_Totaal[[#This Row],[Emissieloos Transport]]+Ontwerp_Transport_Totaal[[#This Row],[Emissieloos Transport Vervangingen]]</f>
        <v>0</v>
      </c>
      <c r="M241"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1" s="67">
        <f>Ontwerp_Transport_Totaal[[#This Row],[Totaal Emissieloos Transport]]+Ontwerp_Transport_Totaal[[#This Row],[Totaal Niet Emissieloos Transport]]</f>
        <v>0</v>
      </c>
      <c r="O241" s="17"/>
      <c r="P241" s="17"/>
      <c r="Q241" s="17"/>
      <c r="R241" s="17"/>
      <c r="S241" s="17"/>
    </row>
    <row r="242" spans="2:22" ht="18.5" thickBot="1" x14ac:dyDescent="0.6">
      <c r="B242" s="67" t="str">
        <f>Ontwerpberekening!B33</f>
        <v>Variant 1</v>
      </c>
      <c r="C242" s="67" t="str">
        <f>Ontwerpberekening!C33</f>
        <v>Nieuwe situatie</v>
      </c>
      <c r="D242" s="67"/>
      <c r="E242" s="67"/>
      <c r="F242" s="118" t="s">
        <v>347</v>
      </c>
      <c r="G242" s="118" t="s">
        <v>347</v>
      </c>
      <c r="H242" s="67">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2" s="67"/>
      <c r="J242" s="67"/>
      <c r="K242" s="67">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2" s="67">
        <f>Ontwerp_Transport_Totaal[[#This Row],[Emissieloos Transport]]+Ontwerp_Transport_Totaal[[#This Row],[Emissieloos Transport Vervangingen]]</f>
        <v>0</v>
      </c>
      <c r="M242" s="67">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2" s="67">
        <f>Ontwerp_Transport_Totaal[[#This Row],[Totaal Emissieloos Transport]]+Ontwerp_Transport_Totaal[[#This Row],[Totaal Niet Emissieloos Transport]]</f>
        <v>0</v>
      </c>
      <c r="O242" s="17"/>
      <c r="P242" s="17"/>
      <c r="Q242" s="17"/>
      <c r="R242" s="17"/>
      <c r="S242" s="17"/>
    </row>
    <row r="243" spans="2:22" ht="18.5" thickTop="1" x14ac:dyDescent="0.55000000000000004">
      <c r="B243" s="68" t="s">
        <v>16</v>
      </c>
      <c r="C243" s="69"/>
      <c r="D243" s="97"/>
      <c r="E243" s="97"/>
      <c r="F243" s="97"/>
      <c r="G243" s="97"/>
      <c r="H243" s="231"/>
      <c r="I243" s="97"/>
      <c r="J243" s="97"/>
      <c r="K243" s="179"/>
      <c r="L243" s="97"/>
      <c r="M243" s="97"/>
      <c r="N243" s="97"/>
      <c r="O243" s="17"/>
      <c r="P243" s="17"/>
      <c r="Q243" s="17"/>
      <c r="R243" s="17"/>
      <c r="S243" s="17"/>
    </row>
    <row r="244" spans="2:22" ht="18" x14ac:dyDescent="0.55000000000000004">
      <c r="B244" s="17"/>
      <c r="C244" s="17"/>
      <c r="D244" s="17"/>
      <c r="E244" s="17"/>
      <c r="F244" s="17"/>
      <c r="G244" s="17"/>
      <c r="H244" s="17"/>
      <c r="I244" s="17"/>
      <c r="J244" s="17"/>
      <c r="K244" s="17"/>
      <c r="L244" s="17"/>
      <c r="M244" s="17"/>
      <c r="N244" s="17"/>
      <c r="O244" s="17"/>
      <c r="P244" s="17"/>
    </row>
    <row r="245" spans="2:22" ht="18" x14ac:dyDescent="0.55000000000000004">
      <c r="B245" s="17"/>
      <c r="C245" s="17"/>
      <c r="D245" s="17"/>
      <c r="E245" s="17"/>
      <c r="F245" s="17"/>
      <c r="G245" s="17"/>
      <c r="H245" s="17"/>
      <c r="I245" s="17"/>
      <c r="J245" s="17"/>
      <c r="K245" s="17"/>
      <c r="L245" s="17"/>
      <c r="M245" s="17"/>
      <c r="N245" s="17"/>
      <c r="O245" s="17"/>
      <c r="P245" s="17"/>
    </row>
    <row r="246" spans="2:22" ht="22" x14ac:dyDescent="0.65">
      <c r="B246" s="134" t="s">
        <v>350</v>
      </c>
      <c r="C246" s="134"/>
      <c r="D246" s="134"/>
      <c r="E246" s="17"/>
      <c r="F246" s="17"/>
      <c r="G246" s="17"/>
      <c r="H246" s="17"/>
      <c r="I246" s="17"/>
      <c r="J246" s="17"/>
      <c r="K246" s="17"/>
      <c r="L246" s="17"/>
      <c r="M246" s="17"/>
      <c r="N246" s="17"/>
      <c r="O246" s="17"/>
      <c r="P246" s="17"/>
    </row>
    <row r="247" spans="2:22" ht="18.5" thickBot="1" x14ac:dyDescent="0.6">
      <c r="B247" s="65" t="s">
        <v>55</v>
      </c>
      <c r="C247" s="66" t="s">
        <v>4</v>
      </c>
      <c r="D247" s="74" t="s">
        <v>352</v>
      </c>
      <c r="E247" s="75" t="s">
        <v>351</v>
      </c>
      <c r="F247" s="75" t="s">
        <v>353</v>
      </c>
      <c r="G247" s="75" t="s">
        <v>355</v>
      </c>
      <c r="H247" s="75" t="s">
        <v>354</v>
      </c>
      <c r="I247" s="74" t="s">
        <v>482</v>
      </c>
      <c r="J247" s="75" t="s">
        <v>483</v>
      </c>
      <c r="K247" s="75" t="s">
        <v>485</v>
      </c>
      <c r="L247" s="195" t="s">
        <v>499</v>
      </c>
      <c r="M247" s="195" t="s">
        <v>500</v>
      </c>
      <c r="N247" s="195" t="s">
        <v>501</v>
      </c>
      <c r="O247" s="17"/>
      <c r="P247" s="17"/>
      <c r="Q247" s="17"/>
      <c r="R247" s="17"/>
      <c r="S247" s="17"/>
      <c r="T247" s="17"/>
      <c r="U247" s="17"/>
      <c r="V247" s="17"/>
    </row>
    <row r="248" spans="2:22" ht="18.5" thickTop="1" x14ac:dyDescent="0.55000000000000004">
      <c r="B248" s="67" t="str">
        <f>Ontwerpberekening!B5</f>
        <v>Baseline</v>
      </c>
      <c r="C248" s="67" t="str">
        <f>Ontwerpberekening!C5</f>
        <v>Bestaande situatie</v>
      </c>
      <c r="D248" s="67"/>
      <c r="E248" s="67"/>
      <c r="F248" s="118" t="s">
        <v>347</v>
      </c>
      <c r="G248" s="118" t="s">
        <v>347</v>
      </c>
      <c r="H248" s="67"/>
      <c r="I248" s="67"/>
      <c r="J248" s="67"/>
      <c r="K248" s="67"/>
      <c r="L248" s="67"/>
      <c r="M248" s="67"/>
      <c r="N248" s="67"/>
      <c r="O248" s="17"/>
      <c r="P248" s="17"/>
      <c r="Q248" s="17"/>
      <c r="R248" s="17"/>
      <c r="S248" s="17"/>
      <c r="T248" s="17"/>
      <c r="U248" s="17"/>
      <c r="V248" s="17"/>
    </row>
    <row r="249" spans="2:22" ht="18" x14ac:dyDescent="0.55000000000000004">
      <c r="B249" s="67" t="str">
        <f>Ontwerpberekening!B6</f>
        <v>Baseline</v>
      </c>
      <c r="C249" s="67" t="str">
        <f>Ontwerpberekening!C6</f>
        <v>Bestaande situatie</v>
      </c>
      <c r="D249" s="67"/>
      <c r="E249" s="67"/>
      <c r="F249" s="118" t="s">
        <v>347</v>
      </c>
      <c r="G249" s="118" t="s">
        <v>347</v>
      </c>
      <c r="H249" s="67"/>
      <c r="I249" s="67"/>
      <c r="J249" s="67"/>
      <c r="K249" s="67"/>
      <c r="L249" s="67"/>
      <c r="M249" s="67"/>
      <c r="N249" s="67"/>
      <c r="O249" s="17"/>
      <c r="P249" s="17"/>
      <c r="Q249" s="17"/>
      <c r="R249" s="17"/>
      <c r="S249" s="17"/>
      <c r="T249" s="17"/>
      <c r="U249" s="17"/>
      <c r="V249" s="17"/>
    </row>
    <row r="250" spans="2:22" ht="18" x14ac:dyDescent="0.55000000000000004">
      <c r="B250" s="67" t="str">
        <f>Ontwerpberekening!B7</f>
        <v>Baseline</v>
      </c>
      <c r="C250" s="67" t="str">
        <f>Ontwerpberekening!C7</f>
        <v>Bestaande situatie</v>
      </c>
      <c r="D250" s="67"/>
      <c r="E250" s="67"/>
      <c r="F250" s="118" t="s">
        <v>347</v>
      </c>
      <c r="G250" s="118" t="s">
        <v>347</v>
      </c>
      <c r="H250" s="67"/>
      <c r="I250" s="67"/>
      <c r="J250" s="67"/>
      <c r="K250" s="67"/>
      <c r="L250" s="67"/>
      <c r="M250" s="67"/>
      <c r="N250" s="67"/>
      <c r="O250" s="17"/>
      <c r="P250" s="17"/>
      <c r="Q250" s="17"/>
      <c r="R250" s="17"/>
      <c r="S250" s="17"/>
      <c r="T250" s="17"/>
      <c r="U250" s="17"/>
      <c r="V250" s="17"/>
    </row>
    <row r="251" spans="2:22" ht="18" x14ac:dyDescent="0.55000000000000004">
      <c r="B251" s="67" t="str">
        <f>Ontwerpberekening!B8</f>
        <v>Baseline</v>
      </c>
      <c r="C251" s="67" t="str">
        <f>Ontwerpberekening!C8</f>
        <v>Bestaande situatie</v>
      </c>
      <c r="D251" s="67"/>
      <c r="E251" s="67"/>
      <c r="F251" s="118" t="s">
        <v>347</v>
      </c>
      <c r="G251" s="118" t="s">
        <v>347</v>
      </c>
      <c r="H251" s="67"/>
      <c r="I251" s="67"/>
      <c r="J251" s="67"/>
      <c r="K251" s="67"/>
      <c r="L251" s="67"/>
      <c r="M251" s="67"/>
      <c r="N251" s="67"/>
      <c r="O251" s="17"/>
      <c r="P251" s="17"/>
      <c r="Q251" s="17"/>
      <c r="R251" s="17"/>
      <c r="S251" s="17"/>
      <c r="T251" s="17"/>
      <c r="U251" s="17"/>
      <c r="V251" s="17"/>
    </row>
    <row r="252" spans="2:22" ht="18" x14ac:dyDescent="0.55000000000000004">
      <c r="B252" s="67" t="str">
        <f>Ontwerpberekening!B9</f>
        <v>Baseline</v>
      </c>
      <c r="C252" s="67" t="str">
        <f>Ontwerpberekening!C9</f>
        <v>Bestaande situatie</v>
      </c>
      <c r="D252" s="67"/>
      <c r="E252" s="67"/>
      <c r="F252" s="118" t="s">
        <v>347</v>
      </c>
      <c r="G252" s="118" t="s">
        <v>347</v>
      </c>
      <c r="H252" s="67"/>
      <c r="I252" s="67"/>
      <c r="J252" s="67"/>
      <c r="K252" s="67"/>
      <c r="L252" s="67"/>
      <c r="M252" s="67"/>
      <c r="N252" s="67"/>
      <c r="O252" s="17"/>
      <c r="P252" s="17"/>
      <c r="Q252" s="17"/>
      <c r="R252" s="17"/>
      <c r="S252" s="17"/>
      <c r="T252" s="17"/>
      <c r="U252" s="17"/>
      <c r="V252" s="17"/>
    </row>
    <row r="253" spans="2:22" ht="18" x14ac:dyDescent="0.55000000000000004">
      <c r="B253" s="67" t="str">
        <f>Ontwerpberekening!B10</f>
        <v>Baseline</v>
      </c>
      <c r="C253" s="67" t="str">
        <f>Ontwerpberekening!C10</f>
        <v>Bestaande situatie</v>
      </c>
      <c r="D253" s="67"/>
      <c r="E253" s="67"/>
      <c r="F253" s="118" t="s">
        <v>347</v>
      </c>
      <c r="G253" s="118" t="s">
        <v>347</v>
      </c>
      <c r="H253" s="67"/>
      <c r="I253" s="67"/>
      <c r="J253" s="67"/>
      <c r="K253" s="67"/>
      <c r="L253" s="67"/>
      <c r="M253" s="67"/>
      <c r="N253" s="67"/>
      <c r="O253" s="17"/>
      <c r="P253" s="17"/>
      <c r="Q253" s="17"/>
      <c r="R253" s="17"/>
      <c r="S253" s="17"/>
      <c r="T253" s="17"/>
      <c r="U253" s="17"/>
      <c r="V253" s="17"/>
    </row>
    <row r="254" spans="2:22" ht="18" x14ac:dyDescent="0.55000000000000004">
      <c r="B254" s="67" t="str">
        <f>Ontwerpberekening!B11</f>
        <v>Baseline</v>
      </c>
      <c r="C254" s="67" t="str">
        <f>Ontwerpberekening!C11</f>
        <v>Bestaande situatie</v>
      </c>
      <c r="D254" s="67"/>
      <c r="E254" s="67"/>
      <c r="F254" s="118" t="s">
        <v>347</v>
      </c>
      <c r="G254" s="118" t="s">
        <v>347</v>
      </c>
      <c r="H254" s="67"/>
      <c r="I254" s="67"/>
      <c r="J254" s="67"/>
      <c r="K254" s="67"/>
      <c r="L254" s="67"/>
      <c r="M254" s="67"/>
      <c r="N254" s="67"/>
      <c r="O254" s="17"/>
      <c r="P254" s="17"/>
      <c r="Q254" s="17"/>
      <c r="R254" s="17"/>
      <c r="S254" s="17"/>
      <c r="T254" s="17"/>
      <c r="U254" s="17"/>
      <c r="V254" s="17"/>
    </row>
    <row r="255" spans="2:22" ht="18" x14ac:dyDescent="0.55000000000000004">
      <c r="B255" s="67" t="str">
        <f>Ontwerpberekening!B12</f>
        <v>Baseline</v>
      </c>
      <c r="C255" s="67" t="str">
        <f>Ontwerpberekening!C12</f>
        <v>Bestaande situatie</v>
      </c>
      <c r="D255" s="67"/>
      <c r="E255" s="67"/>
      <c r="F255" s="118" t="s">
        <v>347</v>
      </c>
      <c r="G255" s="118" t="s">
        <v>347</v>
      </c>
      <c r="H255" s="67"/>
      <c r="I255" s="67"/>
      <c r="J255" s="67"/>
      <c r="K255" s="67"/>
      <c r="L255" s="67"/>
      <c r="M255" s="67"/>
      <c r="N255" s="67"/>
      <c r="O255" s="17"/>
      <c r="P255" s="17"/>
      <c r="Q255" s="17"/>
      <c r="R255" s="17"/>
      <c r="S255" s="17"/>
      <c r="T255" s="17"/>
      <c r="U255" s="17"/>
      <c r="V255" s="17"/>
    </row>
    <row r="256" spans="2:22" ht="18" x14ac:dyDescent="0.55000000000000004">
      <c r="B256" s="67" t="str">
        <f>Ontwerpberekening!B13</f>
        <v>Baseline</v>
      </c>
      <c r="C256" s="67" t="str">
        <f>Ontwerpberekening!C13</f>
        <v>Nieuwe situatie</v>
      </c>
      <c r="D256" s="67"/>
      <c r="E256" s="67"/>
      <c r="F256" s="118" t="s">
        <v>347</v>
      </c>
      <c r="G256" s="118" t="s">
        <v>347</v>
      </c>
      <c r="H256" s="67"/>
      <c r="I256" s="67"/>
      <c r="J256" s="67"/>
      <c r="K256" s="67"/>
      <c r="L256" s="67"/>
      <c r="M256" s="67"/>
      <c r="N256" s="67"/>
      <c r="O256" s="17"/>
      <c r="P256" s="17"/>
      <c r="Q256" s="17"/>
      <c r="R256" s="17"/>
      <c r="S256" s="17"/>
      <c r="T256" s="17"/>
      <c r="U256" s="17"/>
      <c r="V256" s="17"/>
    </row>
    <row r="257" spans="2:22" ht="18" x14ac:dyDescent="0.55000000000000004">
      <c r="B257" s="67" t="str">
        <f>Ontwerpberekening!B14</f>
        <v>Baseline</v>
      </c>
      <c r="C257" s="67" t="str">
        <f>Ontwerpberekening!C14</f>
        <v>Nieuwe situatie</v>
      </c>
      <c r="D257" s="67"/>
      <c r="E257" s="67"/>
      <c r="F257" s="118" t="s">
        <v>347</v>
      </c>
      <c r="G257" s="118" t="s">
        <v>347</v>
      </c>
      <c r="H257" s="67"/>
      <c r="I257" s="67"/>
      <c r="J257" s="67"/>
      <c r="K257" s="67"/>
      <c r="L257" s="67"/>
      <c r="M257" s="67"/>
      <c r="N257" s="67"/>
      <c r="O257" s="17"/>
      <c r="P257" s="17"/>
      <c r="Q257" s="17"/>
      <c r="R257" s="17"/>
      <c r="S257" s="17"/>
      <c r="T257" s="17"/>
      <c r="U257" s="17"/>
      <c r="V257" s="17"/>
    </row>
    <row r="258" spans="2:22" ht="18" x14ac:dyDescent="0.55000000000000004">
      <c r="B258" s="67" t="str">
        <f>Ontwerpberekening!B15</f>
        <v>Baseline</v>
      </c>
      <c r="C258" s="67" t="str">
        <f>Ontwerpberekening!C15</f>
        <v>Nieuwe situatie</v>
      </c>
      <c r="D258" s="67"/>
      <c r="E258" s="67"/>
      <c r="F258" s="118" t="s">
        <v>347</v>
      </c>
      <c r="G258" s="118" t="s">
        <v>347</v>
      </c>
      <c r="H258" s="67"/>
      <c r="I258" s="67"/>
      <c r="J258" s="67"/>
      <c r="K258" s="67"/>
      <c r="L258" s="67"/>
      <c r="M258" s="67"/>
      <c r="N258" s="67"/>
      <c r="O258" s="17"/>
      <c r="P258" s="17"/>
      <c r="Q258" s="17"/>
      <c r="R258" s="17"/>
      <c r="S258" s="17"/>
      <c r="T258" s="17"/>
      <c r="U258" s="17"/>
      <c r="V258" s="17"/>
    </row>
    <row r="259" spans="2:22" ht="18" x14ac:dyDescent="0.55000000000000004">
      <c r="B259" s="67" t="str">
        <f>Ontwerpberekening!B16</f>
        <v>Baseline</v>
      </c>
      <c r="C259" s="67" t="str">
        <f>Ontwerpberekening!C16</f>
        <v>Nieuwe situatie</v>
      </c>
      <c r="D259" s="70"/>
      <c r="E259" s="70"/>
      <c r="F259" s="118" t="s">
        <v>347</v>
      </c>
      <c r="G259" s="118" t="s">
        <v>347</v>
      </c>
      <c r="H259" s="70"/>
      <c r="I259" s="70"/>
      <c r="J259" s="70"/>
      <c r="K259" s="70"/>
      <c r="L259" s="70"/>
      <c r="M259" s="70"/>
      <c r="N259" s="70"/>
      <c r="O259" s="17"/>
      <c r="P259" s="17"/>
      <c r="Q259" s="17"/>
      <c r="R259" s="17"/>
      <c r="S259" s="17"/>
      <c r="T259" s="17"/>
      <c r="U259" s="17"/>
      <c r="V259" s="17"/>
    </row>
    <row r="260" spans="2:22" ht="18" x14ac:dyDescent="0.55000000000000004">
      <c r="B260" s="67" t="str">
        <f>Ontwerpberekening!B17</f>
        <v>Baseline</v>
      </c>
      <c r="C260" s="67" t="str">
        <f>Ontwerpberekening!C17</f>
        <v>Nieuwe situatie</v>
      </c>
      <c r="D260" s="70"/>
      <c r="E260" s="70"/>
      <c r="F260" s="118" t="s">
        <v>347</v>
      </c>
      <c r="G260" s="118" t="s">
        <v>347</v>
      </c>
      <c r="H260" s="70"/>
      <c r="I260" s="70"/>
      <c r="J260" s="70"/>
      <c r="K260" s="70"/>
      <c r="L260" s="70"/>
      <c r="M260" s="70"/>
      <c r="N260" s="70"/>
    </row>
    <row r="261" spans="2:22" ht="18" x14ac:dyDescent="0.55000000000000004">
      <c r="B261" s="67" t="str">
        <f>Ontwerpberekening!B18</f>
        <v>Baseline</v>
      </c>
      <c r="C261" s="67" t="str">
        <f>Ontwerpberekening!C18</f>
        <v>Nieuwe situatie</v>
      </c>
      <c r="D261" s="70"/>
      <c r="E261" s="70"/>
      <c r="F261" s="118" t="s">
        <v>347</v>
      </c>
      <c r="G261" s="118" t="s">
        <v>347</v>
      </c>
      <c r="H261" s="70"/>
      <c r="I261" s="70"/>
      <c r="J261" s="70"/>
      <c r="K261" s="70"/>
      <c r="L261" s="70"/>
      <c r="M261" s="70"/>
      <c r="N261" s="70"/>
    </row>
    <row r="262" spans="2:22" ht="18" x14ac:dyDescent="0.55000000000000004">
      <c r="B262" s="67" t="str">
        <f>Ontwerpberekening!B19</f>
        <v>Baseline</v>
      </c>
      <c r="C262" s="67" t="str">
        <f>Ontwerpberekening!C19</f>
        <v>Nieuwe situatie</v>
      </c>
      <c r="D262" s="70"/>
      <c r="E262" s="70"/>
      <c r="F262" s="118" t="s">
        <v>347</v>
      </c>
      <c r="G262" s="118" t="s">
        <v>347</v>
      </c>
      <c r="H262" s="70"/>
      <c r="I262" s="70"/>
      <c r="J262" s="70"/>
      <c r="K262" s="70"/>
      <c r="L262" s="70"/>
      <c r="M262" s="70"/>
      <c r="N262" s="70"/>
    </row>
    <row r="263" spans="2:22" ht="18" x14ac:dyDescent="0.55000000000000004">
      <c r="B263" s="67" t="str">
        <f>Ontwerpberekening!B20</f>
        <v>Baseline</v>
      </c>
      <c r="C263" s="67" t="str">
        <f>Ontwerpberekening!C20</f>
        <v>Nieuwe situatie</v>
      </c>
      <c r="D263" s="70"/>
      <c r="E263" s="70"/>
      <c r="F263" s="118" t="s">
        <v>347</v>
      </c>
      <c r="G263" s="118" t="s">
        <v>347</v>
      </c>
      <c r="H263" s="70"/>
      <c r="I263" s="70"/>
      <c r="J263" s="70"/>
      <c r="K263" s="70"/>
      <c r="L263" s="70"/>
      <c r="M263" s="70"/>
      <c r="N263" s="70"/>
    </row>
    <row r="264" spans="2:22" ht="18" x14ac:dyDescent="0.55000000000000004">
      <c r="B264" s="67" t="str">
        <f>Ontwerpberekening!B21</f>
        <v>Baseline</v>
      </c>
      <c r="C264" s="67" t="str">
        <f>Ontwerpberekening!C21</f>
        <v>Nieuwe situatie</v>
      </c>
      <c r="D264" s="70"/>
      <c r="E264" s="70"/>
      <c r="F264" s="118" t="s">
        <v>347</v>
      </c>
      <c r="G264" s="118" t="s">
        <v>347</v>
      </c>
      <c r="H264" s="70"/>
      <c r="I264" s="70"/>
      <c r="J264" s="70"/>
      <c r="K264" s="70"/>
      <c r="L264" s="70"/>
      <c r="M264" s="70"/>
      <c r="N264" s="70"/>
    </row>
    <row r="265" spans="2:22" ht="18" x14ac:dyDescent="0.55000000000000004">
      <c r="B265" s="67" t="str">
        <f>Ontwerpberekening!B22</f>
        <v>Variant 1</v>
      </c>
      <c r="C265" s="67" t="str">
        <f>Ontwerpberekening!C22</f>
        <v>Bestaande situatie</v>
      </c>
      <c r="D265" s="70"/>
      <c r="E265" s="70"/>
      <c r="F265" s="118" t="s">
        <v>347</v>
      </c>
      <c r="G265" s="118" t="s">
        <v>347</v>
      </c>
      <c r="H265" s="70"/>
      <c r="I265" s="70"/>
      <c r="J265" s="70"/>
      <c r="K265" s="70"/>
      <c r="L265" s="70"/>
      <c r="M265" s="70"/>
      <c r="N265" s="70"/>
    </row>
    <row r="266" spans="2:22" ht="18" x14ac:dyDescent="0.55000000000000004">
      <c r="B266" s="67" t="str">
        <f>Ontwerpberekening!B23</f>
        <v>Variant 1</v>
      </c>
      <c r="C266" s="67" t="str">
        <f>Ontwerpberekening!C23</f>
        <v>Bestaande situatie</v>
      </c>
      <c r="D266" s="70"/>
      <c r="E266" s="70"/>
      <c r="F266" s="118" t="s">
        <v>347</v>
      </c>
      <c r="G266" s="118" t="s">
        <v>347</v>
      </c>
      <c r="H266" s="70"/>
      <c r="I266" s="70"/>
      <c r="J266" s="70"/>
      <c r="K266" s="70"/>
      <c r="L266" s="70"/>
      <c r="M266" s="70"/>
      <c r="N266" s="70"/>
    </row>
    <row r="267" spans="2:22" ht="18" x14ac:dyDescent="0.55000000000000004">
      <c r="B267" s="67" t="str">
        <f>Ontwerpberekening!B24</f>
        <v>Variant 1</v>
      </c>
      <c r="C267" s="67" t="str">
        <f>Ontwerpberekening!C24</f>
        <v>Bestaande situatie</v>
      </c>
      <c r="D267" s="70"/>
      <c r="E267" s="70"/>
      <c r="F267" s="118" t="s">
        <v>347</v>
      </c>
      <c r="G267" s="118" t="s">
        <v>347</v>
      </c>
      <c r="H267" s="70"/>
      <c r="I267" s="70"/>
      <c r="J267" s="70"/>
      <c r="K267" s="70"/>
      <c r="L267" s="70"/>
      <c r="M267" s="70"/>
      <c r="N267" s="70"/>
    </row>
    <row r="268" spans="2:22" ht="18" x14ac:dyDescent="0.55000000000000004">
      <c r="B268" s="67" t="str">
        <f>Ontwerpberekening!B25</f>
        <v>Variant 1</v>
      </c>
      <c r="C268" s="67" t="str">
        <f>Ontwerpberekening!C25</f>
        <v>Bestaande situatie</v>
      </c>
      <c r="D268" s="70"/>
      <c r="E268" s="70"/>
      <c r="F268" s="118" t="s">
        <v>347</v>
      </c>
      <c r="G268" s="118" t="s">
        <v>347</v>
      </c>
      <c r="H268" s="70"/>
      <c r="I268" s="70"/>
      <c r="J268" s="70"/>
      <c r="K268" s="70"/>
      <c r="L268" s="70"/>
      <c r="M268" s="70"/>
      <c r="N268" s="70"/>
    </row>
    <row r="269" spans="2:22" ht="18" x14ac:dyDescent="0.55000000000000004">
      <c r="B269" s="67" t="str">
        <f>Ontwerpberekening!B26</f>
        <v>Variant 1</v>
      </c>
      <c r="C269" s="67" t="str">
        <f>Ontwerpberekening!C26</f>
        <v>Bestaande situatie</v>
      </c>
      <c r="D269" s="70"/>
      <c r="E269" s="70"/>
      <c r="F269" s="118" t="s">
        <v>347</v>
      </c>
      <c r="G269" s="118" t="s">
        <v>347</v>
      </c>
      <c r="H269" s="70"/>
      <c r="I269" s="70"/>
      <c r="J269" s="70"/>
      <c r="K269" s="70"/>
      <c r="L269" s="70"/>
      <c r="M269" s="70"/>
      <c r="N269" s="70"/>
    </row>
    <row r="270" spans="2:22" ht="18" x14ac:dyDescent="0.55000000000000004">
      <c r="B270" s="67" t="str">
        <f>Ontwerpberekening!B27</f>
        <v>Variant 1</v>
      </c>
      <c r="C270" s="67" t="str">
        <f>Ontwerpberekening!C27</f>
        <v>Bestaande situatie</v>
      </c>
      <c r="D270" s="70"/>
      <c r="E270" s="70"/>
      <c r="F270" s="118" t="s">
        <v>347</v>
      </c>
      <c r="G270" s="118" t="s">
        <v>347</v>
      </c>
      <c r="H270" s="70"/>
      <c r="I270" s="70"/>
      <c r="J270" s="70"/>
      <c r="K270" s="70"/>
      <c r="L270" s="70"/>
      <c r="M270" s="70"/>
      <c r="N270" s="70"/>
    </row>
    <row r="271" spans="2:22" ht="18" x14ac:dyDescent="0.55000000000000004">
      <c r="B271" s="67" t="str">
        <f>Ontwerpberekening!B28</f>
        <v>Variant 1</v>
      </c>
      <c r="C271" s="67" t="str">
        <f>Ontwerpberekening!C28</f>
        <v>Bestaande situatie</v>
      </c>
      <c r="D271" s="70"/>
      <c r="E271" s="70"/>
      <c r="F271" s="118" t="s">
        <v>347</v>
      </c>
      <c r="G271" s="118" t="s">
        <v>347</v>
      </c>
      <c r="H271" s="70"/>
      <c r="I271" s="70"/>
      <c r="J271" s="70"/>
      <c r="K271" s="70"/>
      <c r="L271" s="70"/>
      <c r="M271" s="70"/>
      <c r="N271" s="70"/>
    </row>
    <row r="272" spans="2:22" ht="18" x14ac:dyDescent="0.55000000000000004">
      <c r="B272" s="67" t="str">
        <f>Ontwerpberekening!B29</f>
        <v>Variant 1</v>
      </c>
      <c r="C272" s="67" t="str">
        <f>Ontwerpberekening!C29</f>
        <v>Bestaande situatie</v>
      </c>
      <c r="D272" s="70"/>
      <c r="E272" s="70"/>
      <c r="F272" s="118" t="s">
        <v>347</v>
      </c>
      <c r="G272" s="118" t="s">
        <v>347</v>
      </c>
      <c r="H272" s="70"/>
      <c r="I272" s="70"/>
      <c r="J272" s="70"/>
      <c r="K272" s="70"/>
      <c r="L272" s="70"/>
      <c r="M272" s="70"/>
      <c r="N272" s="70"/>
    </row>
    <row r="273" spans="2:14" ht="18" x14ac:dyDescent="0.55000000000000004">
      <c r="B273" s="261" t="str">
        <f>Ontwerpberekening!B30</f>
        <v>Variant 1</v>
      </c>
      <c r="C273" s="261" t="str">
        <f>Ontwerpberekening!C30</f>
        <v>Nieuwe situatie</v>
      </c>
      <c r="D273" s="262"/>
      <c r="E273" s="262"/>
      <c r="F273" s="118" t="s">
        <v>347</v>
      </c>
      <c r="G273" s="118" t="s">
        <v>347</v>
      </c>
      <c r="H273" s="262"/>
      <c r="I273" s="262"/>
      <c r="J273" s="262"/>
      <c r="K273" s="262"/>
      <c r="L273" s="262"/>
      <c r="M273" s="262"/>
      <c r="N273" s="262"/>
    </row>
    <row r="274" spans="2:14" ht="18" x14ac:dyDescent="0.55000000000000004">
      <c r="B274" s="67" t="str">
        <f>Ontwerpberekening!B31</f>
        <v>Variant 1</v>
      </c>
      <c r="C274" s="67" t="str">
        <f>Ontwerpberekening!C31</f>
        <v>Nieuwe situatie</v>
      </c>
      <c r="D274" s="70"/>
      <c r="E274" s="70"/>
      <c r="F274" s="118" t="s">
        <v>347</v>
      </c>
      <c r="G274" s="118" t="s">
        <v>347</v>
      </c>
      <c r="H274" s="70"/>
      <c r="I274" s="70"/>
      <c r="J274" s="70"/>
      <c r="K274" s="70"/>
      <c r="L274" s="70"/>
      <c r="M274" s="70"/>
      <c r="N274" s="70"/>
    </row>
    <row r="275" spans="2:14" ht="18" x14ac:dyDescent="0.55000000000000004">
      <c r="B275" s="261" t="str">
        <f>Ontwerpberekening!B32</f>
        <v>Variant 1</v>
      </c>
      <c r="C275" s="261" t="str">
        <f>Ontwerpberekening!C32</f>
        <v>Nieuwe situatie</v>
      </c>
      <c r="D275" s="262"/>
      <c r="E275" s="262"/>
      <c r="F275" s="118" t="s">
        <v>347</v>
      </c>
      <c r="G275" s="118" t="s">
        <v>347</v>
      </c>
      <c r="H275" s="262"/>
      <c r="I275" s="262"/>
      <c r="J275" s="262"/>
      <c r="K275" s="262"/>
      <c r="L275" s="262"/>
      <c r="M275" s="262"/>
      <c r="N275" s="262"/>
    </row>
    <row r="276" spans="2:14" ht="18.5" thickBot="1" x14ac:dyDescent="0.6">
      <c r="B276" s="261" t="str">
        <f>Ontwerpberekening!B33</f>
        <v>Variant 1</v>
      </c>
      <c r="C276" s="261" t="str">
        <f>Ontwerpberekening!C33</f>
        <v>Nieuwe situatie</v>
      </c>
      <c r="D276" s="262"/>
      <c r="E276" s="262"/>
      <c r="F276" s="118" t="s">
        <v>347</v>
      </c>
      <c r="G276" s="118" t="s">
        <v>347</v>
      </c>
      <c r="H276" s="262"/>
      <c r="I276" s="262"/>
      <c r="J276" s="262"/>
      <c r="K276" s="262"/>
      <c r="L276" s="262"/>
      <c r="M276" s="262"/>
      <c r="N276" s="262"/>
    </row>
    <row r="277" spans="2:14" ht="18.5" thickTop="1" x14ac:dyDescent="0.55000000000000004">
      <c r="B277" s="68" t="s">
        <v>16</v>
      </c>
      <c r="C277" s="69"/>
      <c r="D277" s="185">
        <f>SUBTOTAL(109,Referentie_Bouwplaats_Totaal61[Draaiuren Bouw])</f>
        <v>0</v>
      </c>
      <c r="E277" s="185">
        <f>SUBTOTAL(109,Referentie_Bouwplaats_Totaal61[Draaiuren Sloop])</f>
        <v>0</v>
      </c>
      <c r="F277" s="97">
        <f>SUBTOTAL(109,Referentie_Bouwplaats_Totaal61[Emissieloos Bouwmaterieel])</f>
        <v>0</v>
      </c>
      <c r="G277" s="97">
        <f>SUBTOTAL(109,Referentie_Bouwplaats_Totaal61[Emissieloos Sloopmaterieel])</f>
        <v>0</v>
      </c>
      <c r="H277" s="231">
        <f>SUBTOTAL(109,Referentie_Bouwplaats_Totaal61[Emissieloos bouwplaats])</f>
        <v>0</v>
      </c>
      <c r="I277" s="185">
        <f>SUBTOTAL(109,Referentie_Bouwplaats_Totaal61[Draaiuren Bouw Vervangingen])</f>
        <v>0</v>
      </c>
      <c r="J277" s="185">
        <f>SUBTOTAL(109,Referentie_Bouwplaats_Totaal61[Draaiuren Sloop Vervangingen])</f>
        <v>0</v>
      </c>
      <c r="K277" s="186">
        <f>SUBTOTAL(109,Referentie_Bouwplaats_Totaal61[Emissieloos bouwplaats Vervangingen])</f>
        <v>0</v>
      </c>
      <c r="L277" s="186">
        <f>SUBTOTAL(109,Referentie_Bouwplaats_Totaal61[Totaal Emissieloos Bouwplaats])</f>
        <v>0</v>
      </c>
      <c r="M277" s="186">
        <f>SUBTOTAL(109,Referentie_Bouwplaats_Totaal61[Totaal Niet Emissieloos Bouwplaats])</f>
        <v>0</v>
      </c>
      <c r="N277" s="186">
        <f>SUBTOTAL(109,Referentie_Bouwplaats_Totaal61[Totaal Bouwplaats])</f>
        <v>0</v>
      </c>
    </row>
  </sheetData>
  <phoneticPr fontId="11" type="noConversion"/>
  <pageMargins left="0.7" right="0.7" top="0.75" bottom="0.75" header="0.3" footer="0.3"/>
  <tableParts count="7">
    <tablePart r:id="rId4"/>
    <tablePart r:id="rId5"/>
    <tablePart r:id="rId6"/>
    <tablePart r:id="rId7"/>
    <tablePart r:id="rId8"/>
    <tablePart r:id="rId9"/>
    <tablePart r:id="rId10"/>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65BBA75-8DFD-4942-8C22-4FCD52F0A34A}">
          <x14:formula1>
            <xm:f>Keuzelijst_Producten!$W$2:$W$3</xm:f>
          </x14:formula1>
          <xm:sqref>F214:G242 F248:G276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9657E-8DEE-4277-9C3F-BB0A743D1F8C}">
  <dimension ref="B2:B146"/>
  <sheetViews>
    <sheetView topLeftCell="A4" zoomScaleNormal="100" workbookViewId="0">
      <selection activeCell="L22" sqref="L22:R37"/>
    </sheetView>
  </sheetViews>
  <sheetFormatPr defaultColWidth="9.1796875" defaultRowHeight="14.5" x14ac:dyDescent="0.35"/>
  <cols>
    <col min="1" max="1" width="15" style="297" customWidth="1"/>
    <col min="2" max="2" width="131.54296875" style="308" customWidth="1"/>
    <col min="3" max="16384" width="9.1796875" style="297"/>
  </cols>
  <sheetData>
    <row r="2" spans="2:2" ht="15" x14ac:dyDescent="0.35">
      <c r="B2" s="296" t="s">
        <v>1288</v>
      </c>
    </row>
    <row r="3" spans="2:2" x14ac:dyDescent="0.35">
      <c r="B3" s="298"/>
    </row>
    <row r="4" spans="2:2" x14ac:dyDescent="0.35">
      <c r="B4" s="299" t="s">
        <v>1289</v>
      </c>
    </row>
    <row r="5" spans="2:2" x14ac:dyDescent="0.35">
      <c r="B5" s="300" t="s">
        <v>1408</v>
      </c>
    </row>
    <row r="6" spans="2:2" ht="15" customHeight="1" x14ac:dyDescent="0.35">
      <c r="B6" s="300" t="s">
        <v>1316</v>
      </c>
    </row>
    <row r="7" spans="2:2" x14ac:dyDescent="0.35">
      <c r="B7" s="300" t="s">
        <v>1409</v>
      </c>
    </row>
    <row r="8" spans="2:2" x14ac:dyDescent="0.35">
      <c r="B8" s="300" t="s">
        <v>1410</v>
      </c>
    </row>
    <row r="9" spans="2:2" x14ac:dyDescent="0.35">
      <c r="B9" s="301" t="s">
        <v>1290</v>
      </c>
    </row>
    <row r="10" spans="2:2" x14ac:dyDescent="0.35">
      <c r="B10" s="301" t="s">
        <v>1291</v>
      </c>
    </row>
    <row r="11" spans="2:2" ht="28" x14ac:dyDescent="0.35">
      <c r="B11" s="300" t="s">
        <v>1292</v>
      </c>
    </row>
    <row r="12" spans="2:2" x14ac:dyDescent="0.35">
      <c r="B12" s="300" t="s">
        <v>1417</v>
      </c>
    </row>
    <row r="13" spans="2:2" x14ac:dyDescent="0.35">
      <c r="B13" s="300"/>
    </row>
    <row r="14" spans="2:2" x14ac:dyDescent="0.35">
      <c r="B14" s="299" t="s">
        <v>1293</v>
      </c>
    </row>
    <row r="15" spans="2:2" x14ac:dyDescent="0.35">
      <c r="B15" s="300" t="s">
        <v>1323</v>
      </c>
    </row>
    <row r="16" spans="2:2" x14ac:dyDescent="0.35">
      <c r="B16" s="300" t="s">
        <v>1411</v>
      </c>
    </row>
    <row r="17" spans="2:2" x14ac:dyDescent="0.35">
      <c r="B17" s="300"/>
    </row>
    <row r="18" spans="2:2" x14ac:dyDescent="0.35">
      <c r="B18" s="300"/>
    </row>
    <row r="19" spans="2:2" x14ac:dyDescent="0.35">
      <c r="B19" s="300"/>
    </row>
    <row r="31" spans="2:2" x14ac:dyDescent="0.35">
      <c r="B31" s="346" t="s">
        <v>1294</v>
      </c>
    </row>
    <row r="32" spans="2:2" ht="21" customHeight="1" x14ac:dyDescent="0.35">
      <c r="B32" s="303" t="s">
        <v>1406</v>
      </c>
    </row>
    <row r="33" spans="2:2" x14ac:dyDescent="0.35">
      <c r="B33" s="300" t="s">
        <v>1429</v>
      </c>
    </row>
    <row r="34" spans="2:2" x14ac:dyDescent="0.35">
      <c r="B34" s="300"/>
    </row>
    <row r="35" spans="2:2" ht="56" x14ac:dyDescent="0.35">
      <c r="B35" s="300" t="s">
        <v>1418</v>
      </c>
    </row>
    <row r="36" spans="2:2" x14ac:dyDescent="0.35">
      <c r="B36" s="297"/>
    </row>
    <row r="37" spans="2:2" ht="15" customHeight="1" x14ac:dyDescent="0.35">
      <c r="B37" s="300" t="s">
        <v>1295</v>
      </c>
    </row>
    <row r="38" spans="2:2" hidden="1" x14ac:dyDescent="0.35">
      <c r="B38" s="345" t="s">
        <v>1296</v>
      </c>
    </row>
    <row r="39" spans="2:2" hidden="1" x14ac:dyDescent="0.35">
      <c r="B39" s="300" t="s">
        <v>1430</v>
      </c>
    </row>
    <row r="40" spans="2:2" x14ac:dyDescent="0.35">
      <c r="B40" s="345" t="s">
        <v>5</v>
      </c>
    </row>
    <row r="41" spans="2:2" x14ac:dyDescent="0.35">
      <c r="B41" s="300" t="s">
        <v>1412</v>
      </c>
    </row>
    <row r="42" spans="2:2" x14ac:dyDescent="0.35">
      <c r="B42" s="300"/>
    </row>
    <row r="43" spans="2:2" x14ac:dyDescent="0.35">
      <c r="B43" s="345" t="s">
        <v>4</v>
      </c>
    </row>
    <row r="44" spans="2:2" ht="28" x14ac:dyDescent="0.35">
      <c r="B44" s="300" t="s">
        <v>1413</v>
      </c>
    </row>
    <row r="45" spans="2:2" x14ac:dyDescent="0.35">
      <c r="B45" s="300" t="s">
        <v>1419</v>
      </c>
    </row>
    <row r="46" spans="2:2" x14ac:dyDescent="0.35">
      <c r="B46" s="345" t="s">
        <v>1297</v>
      </c>
    </row>
    <row r="47" spans="2:2" x14ac:dyDescent="0.35">
      <c r="B47" s="300" t="s">
        <v>1420</v>
      </c>
    </row>
    <row r="48" spans="2:2" x14ac:dyDescent="0.35">
      <c r="B48" s="345" t="s">
        <v>1298</v>
      </c>
    </row>
    <row r="49" spans="2:2" x14ac:dyDescent="0.35">
      <c r="B49" s="300" t="s">
        <v>1299</v>
      </c>
    </row>
    <row r="50" spans="2:2" x14ac:dyDescent="0.35">
      <c r="B50" s="345" t="s">
        <v>1300</v>
      </c>
    </row>
    <row r="51" spans="2:2" x14ac:dyDescent="0.35">
      <c r="B51" s="300" t="s">
        <v>1321</v>
      </c>
    </row>
    <row r="52" spans="2:2" ht="28" x14ac:dyDescent="0.35">
      <c r="B52" s="300" t="s">
        <v>1322</v>
      </c>
    </row>
    <row r="53" spans="2:2" ht="2.25" hidden="1" customHeight="1" x14ac:dyDescent="0.35">
      <c r="B53" s="304" t="s">
        <v>1301</v>
      </c>
    </row>
    <row r="54" spans="2:2" ht="28" hidden="1" x14ac:dyDescent="0.35">
      <c r="B54" s="300" t="s">
        <v>1302</v>
      </c>
    </row>
    <row r="55" spans="2:2" ht="28" x14ac:dyDescent="0.35">
      <c r="B55" s="305" t="s">
        <v>1421</v>
      </c>
    </row>
    <row r="56" spans="2:2" x14ac:dyDescent="0.35">
      <c r="B56" s="305"/>
    </row>
    <row r="57" spans="2:2" x14ac:dyDescent="0.35">
      <c r="B57" s="306" t="s">
        <v>1303</v>
      </c>
    </row>
    <row r="58" spans="2:2" x14ac:dyDescent="0.35">
      <c r="B58" s="298"/>
    </row>
    <row r="60" spans="2:2" x14ac:dyDescent="0.35">
      <c r="B60" s="298"/>
    </row>
    <row r="61" spans="2:2" x14ac:dyDescent="0.35">
      <c r="B61" s="298"/>
    </row>
    <row r="62" spans="2:2" x14ac:dyDescent="0.35">
      <c r="B62" s="298"/>
    </row>
    <row r="63" spans="2:2" x14ac:dyDescent="0.35">
      <c r="B63" s="298"/>
    </row>
    <row r="64" spans="2:2" x14ac:dyDescent="0.35">
      <c r="B64" s="298"/>
    </row>
    <row r="65" spans="2:2" x14ac:dyDescent="0.35">
      <c r="B65" s="298"/>
    </row>
    <row r="66" spans="2:2" x14ac:dyDescent="0.35">
      <c r="B66" s="298"/>
    </row>
    <row r="67" spans="2:2" x14ac:dyDescent="0.35">
      <c r="B67" s="298"/>
    </row>
    <row r="68" spans="2:2" x14ac:dyDescent="0.35">
      <c r="B68" s="298"/>
    </row>
    <row r="69" spans="2:2" x14ac:dyDescent="0.35">
      <c r="B69" s="298"/>
    </row>
    <row r="70" spans="2:2" x14ac:dyDescent="0.35">
      <c r="B70" s="298"/>
    </row>
    <row r="71" spans="2:2" x14ac:dyDescent="0.35">
      <c r="B71" s="298"/>
    </row>
    <row r="72" spans="2:2" x14ac:dyDescent="0.35">
      <c r="B72" s="298"/>
    </row>
    <row r="73" spans="2:2" x14ac:dyDescent="0.35">
      <c r="B73" s="298"/>
    </row>
    <row r="74" spans="2:2" x14ac:dyDescent="0.35">
      <c r="B74" s="298"/>
    </row>
    <row r="75" spans="2:2" x14ac:dyDescent="0.35">
      <c r="B75" s="298"/>
    </row>
    <row r="76" spans="2:2" x14ac:dyDescent="0.35">
      <c r="B76" s="346" t="s">
        <v>1304</v>
      </c>
    </row>
    <row r="77" spans="2:2" x14ac:dyDescent="0.35">
      <c r="B77" s="300" t="s">
        <v>1320</v>
      </c>
    </row>
    <row r="78" spans="2:2" ht="28" x14ac:dyDescent="0.35">
      <c r="B78" s="300" t="s">
        <v>1414</v>
      </c>
    </row>
    <row r="79" spans="2:2" x14ac:dyDescent="0.35">
      <c r="B79" s="300" t="s">
        <v>1305</v>
      </c>
    </row>
    <row r="80" spans="2:2" x14ac:dyDescent="0.35">
      <c r="B80" s="300"/>
    </row>
    <row r="81" spans="2:2" x14ac:dyDescent="0.35">
      <c r="B81" s="345" t="s">
        <v>1306</v>
      </c>
    </row>
    <row r="82" spans="2:2" x14ac:dyDescent="0.35">
      <c r="B82" s="304"/>
    </row>
    <row r="83" spans="2:2" x14ac:dyDescent="0.35">
      <c r="B83" s="304"/>
    </row>
    <row r="84" spans="2:2" x14ac:dyDescent="0.35">
      <c r="B84" s="304"/>
    </row>
    <row r="85" spans="2:2" x14ac:dyDescent="0.35">
      <c r="B85" s="304"/>
    </row>
    <row r="86" spans="2:2" x14ac:dyDescent="0.35">
      <c r="B86" s="304"/>
    </row>
    <row r="87" spans="2:2" x14ac:dyDescent="0.35">
      <c r="B87" s="307" t="s">
        <v>1307</v>
      </c>
    </row>
    <row r="88" spans="2:2" x14ac:dyDescent="0.35">
      <c r="B88" s="307"/>
    </row>
    <row r="90" spans="2:2" x14ac:dyDescent="0.35">
      <c r="B90" s="346" t="s">
        <v>1308</v>
      </c>
    </row>
    <row r="91" spans="2:2" ht="28" x14ac:dyDescent="0.35">
      <c r="B91" s="300" t="s">
        <v>1317</v>
      </c>
    </row>
    <row r="92" spans="2:2" x14ac:dyDescent="0.35">
      <c r="B92" s="300" t="s">
        <v>1318</v>
      </c>
    </row>
    <row r="93" spans="2:2" x14ac:dyDescent="0.35">
      <c r="B93" s="300" t="s">
        <v>1415</v>
      </c>
    </row>
    <row r="94" spans="2:2" ht="28" x14ac:dyDescent="0.35">
      <c r="B94" s="300" t="s">
        <v>1319</v>
      </c>
    </row>
    <row r="95" spans="2:2" x14ac:dyDescent="0.35">
      <c r="B95" s="300"/>
    </row>
    <row r="96" spans="2:2" x14ac:dyDescent="0.35">
      <c r="B96" s="299" t="s">
        <v>1311</v>
      </c>
    </row>
    <row r="97" spans="2:2" x14ac:dyDescent="0.35">
      <c r="B97" s="300" t="s">
        <v>1312</v>
      </c>
    </row>
    <row r="98" spans="2:2" ht="28" x14ac:dyDescent="0.35">
      <c r="B98" s="300" t="s">
        <v>1423</v>
      </c>
    </row>
    <row r="99" spans="2:2" x14ac:dyDescent="0.35">
      <c r="B99" s="300" t="s">
        <v>1416</v>
      </c>
    </row>
    <row r="100" spans="2:2" x14ac:dyDescent="0.35">
      <c r="B100" s="307"/>
    </row>
    <row r="101" spans="2:2" x14ac:dyDescent="0.35">
      <c r="B101" s="307"/>
    </row>
    <row r="102" spans="2:2" x14ac:dyDescent="0.35">
      <c r="B102" s="307"/>
    </row>
    <row r="103" spans="2:2" x14ac:dyDescent="0.35">
      <c r="B103" s="307"/>
    </row>
    <row r="104" spans="2:2" x14ac:dyDescent="0.35">
      <c r="B104" s="307"/>
    </row>
    <row r="105" spans="2:2" x14ac:dyDescent="0.35">
      <c r="B105" s="307"/>
    </row>
    <row r="113" spans="2:2" x14ac:dyDescent="0.35">
      <c r="B113" s="346" t="s">
        <v>1313</v>
      </c>
    </row>
    <row r="114" spans="2:2" ht="28" x14ac:dyDescent="0.35">
      <c r="B114" s="300" t="s">
        <v>1314</v>
      </c>
    </row>
    <row r="115" spans="2:2" ht="28" x14ac:dyDescent="0.35">
      <c r="B115" s="300" t="s">
        <v>1315</v>
      </c>
    </row>
    <row r="124" spans="2:2" x14ac:dyDescent="0.35">
      <c r="B124" s="345" t="s">
        <v>1309</v>
      </c>
    </row>
    <row r="125" spans="2:2" ht="28" x14ac:dyDescent="0.35">
      <c r="B125" s="300" t="s">
        <v>1422</v>
      </c>
    </row>
    <row r="126" spans="2:2" x14ac:dyDescent="0.35">
      <c r="B126" s="300"/>
    </row>
    <row r="127" spans="2:2" x14ac:dyDescent="0.35">
      <c r="B127" s="300"/>
    </row>
    <row r="128" spans="2:2" x14ac:dyDescent="0.35">
      <c r="B128" s="300"/>
    </row>
    <row r="129" spans="2:2" x14ac:dyDescent="0.35">
      <c r="B129" s="300"/>
    </row>
    <row r="130" spans="2:2" x14ac:dyDescent="0.35">
      <c r="B130" s="300"/>
    </row>
    <row r="131" spans="2:2" x14ac:dyDescent="0.35">
      <c r="B131" s="300"/>
    </row>
    <row r="132" spans="2:2" x14ac:dyDescent="0.35">
      <c r="B132" s="300"/>
    </row>
    <row r="133" spans="2:2" x14ac:dyDescent="0.35">
      <c r="B133" s="300"/>
    </row>
    <row r="134" spans="2:2" x14ac:dyDescent="0.35">
      <c r="B134" s="300"/>
    </row>
    <row r="135" spans="2:2" x14ac:dyDescent="0.35">
      <c r="B135" s="300"/>
    </row>
    <row r="136" spans="2:2" x14ac:dyDescent="0.35">
      <c r="B136" s="300"/>
    </row>
    <row r="137" spans="2:2" x14ac:dyDescent="0.35">
      <c r="B137" s="300"/>
    </row>
    <row r="138" spans="2:2" x14ac:dyDescent="0.35">
      <c r="B138" s="300"/>
    </row>
    <row r="139" spans="2:2" x14ac:dyDescent="0.35">
      <c r="B139" s="300"/>
    </row>
    <row r="140" spans="2:2" x14ac:dyDescent="0.35">
      <c r="B140" s="307"/>
    </row>
    <row r="145" spans="2:2" x14ac:dyDescent="0.35">
      <c r="B145" s="346" t="s">
        <v>1310</v>
      </c>
    </row>
    <row r="146" spans="2:2" x14ac:dyDescent="0.35">
      <c r="B146" s="302"/>
    </row>
  </sheetData>
  <sheetProtection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B1341-E817-44D8-A656-46C8F95DBEBE}">
  <sheetPr codeName="Blad1"/>
  <dimension ref="A1:X86"/>
  <sheetViews>
    <sheetView tabSelected="1" zoomScale="55" zoomScaleNormal="55" workbookViewId="0">
      <selection activeCell="AK4" sqref="AK4"/>
    </sheetView>
  </sheetViews>
  <sheetFormatPr defaultColWidth="9.1796875" defaultRowHeight="18" x14ac:dyDescent="0.55000000000000004"/>
  <cols>
    <col min="1" max="1" width="20.26953125" style="17" customWidth="1"/>
    <col min="2" max="2" width="25" style="17" customWidth="1"/>
    <col min="3" max="3" width="20.1796875" style="17" bestFit="1" customWidth="1"/>
    <col min="4" max="4" width="11.81640625" style="17" customWidth="1"/>
    <col min="5" max="5" width="27.26953125" style="17" bestFit="1" customWidth="1"/>
    <col min="6" max="6" width="45.81640625" style="17" customWidth="1"/>
    <col min="7" max="7" width="35" style="17" hidden="1" customWidth="1"/>
    <col min="8" max="8" width="18" style="17" hidden="1" customWidth="1"/>
    <col min="9" max="10" width="10.26953125" style="17" hidden="1" customWidth="1"/>
    <col min="11" max="11" width="10.54296875" style="17" hidden="1" customWidth="1"/>
    <col min="12" max="12" width="10.1796875" style="17" customWidth="1"/>
    <col min="13" max="13" width="7.7265625" style="17" customWidth="1"/>
    <col min="14" max="14" width="7.81640625" style="17" hidden="1" customWidth="1"/>
    <col min="15" max="15" width="7.81640625" style="17" customWidth="1"/>
    <col min="16" max="16" width="7.26953125" style="17" customWidth="1"/>
    <col min="17" max="22" width="7.81640625" style="17" hidden="1" customWidth="1"/>
    <col min="23" max="23" width="20" style="17" hidden="1" customWidth="1"/>
    <col min="24" max="16384" width="9.1796875" style="17"/>
  </cols>
  <sheetData>
    <row r="1" spans="1:24" x14ac:dyDescent="0.55000000000000004">
      <c r="A1" s="164"/>
      <c r="B1" s="198" t="s">
        <v>515</v>
      </c>
      <c r="C1" s="198" t="s">
        <v>1550</v>
      </c>
      <c r="D1" s="198" t="s">
        <v>440</v>
      </c>
      <c r="E1" s="198" t="s">
        <v>48</v>
      </c>
      <c r="F1" s="198" t="s">
        <v>514</v>
      </c>
      <c r="G1" s="198" t="s">
        <v>1286</v>
      </c>
      <c r="H1" s="198" t="s">
        <v>1549</v>
      </c>
    </row>
    <row r="2" spans="1:24" x14ac:dyDescent="0.55000000000000004">
      <c r="A2" s="164"/>
      <c r="B2" s="168" t="s">
        <v>1557</v>
      </c>
      <c r="C2" s="167"/>
      <c r="D2" s="167"/>
      <c r="E2" s="167">
        <v>1</v>
      </c>
      <c r="F2" s="373">
        <v>44824</v>
      </c>
      <c r="G2" s="167" t="s">
        <v>1329</v>
      </c>
      <c r="H2" s="167">
        <v>1</v>
      </c>
    </row>
    <row r="3" spans="1:24" x14ac:dyDescent="0.55000000000000004">
      <c r="B3" s="168"/>
      <c r="C3" s="167"/>
      <c r="D3" s="167"/>
      <c r="E3" s="167"/>
      <c r="F3" s="167"/>
      <c r="G3" s="167"/>
      <c r="H3" s="167"/>
    </row>
    <row r="4" spans="1:24" ht="169.5" x14ac:dyDescent="0.55000000000000004">
      <c r="B4" s="2" t="s">
        <v>1560</v>
      </c>
      <c r="C4" s="16" t="s">
        <v>157</v>
      </c>
      <c r="D4" s="2" t="s">
        <v>330</v>
      </c>
      <c r="E4" s="2" t="s">
        <v>5</v>
      </c>
      <c r="F4" s="20" t="s">
        <v>4</v>
      </c>
      <c r="G4" s="20" t="s">
        <v>442</v>
      </c>
      <c r="H4" s="20" t="s">
        <v>6</v>
      </c>
      <c r="I4" s="20" t="s">
        <v>0</v>
      </c>
      <c r="J4" s="21" t="s">
        <v>3</v>
      </c>
      <c r="K4" s="20" t="s">
        <v>1</v>
      </c>
      <c r="L4" s="20" t="s">
        <v>542</v>
      </c>
      <c r="M4" s="20" t="s">
        <v>57</v>
      </c>
      <c r="N4" s="20" t="s">
        <v>49</v>
      </c>
      <c r="O4" s="20" t="s">
        <v>320</v>
      </c>
      <c r="P4" s="20" t="s">
        <v>321</v>
      </c>
      <c r="Q4" s="20" t="s">
        <v>322</v>
      </c>
      <c r="R4" s="20" t="s">
        <v>323</v>
      </c>
      <c r="S4" s="20" t="s">
        <v>324</v>
      </c>
      <c r="T4" s="20" t="s">
        <v>325</v>
      </c>
      <c r="U4" s="20" t="s">
        <v>326</v>
      </c>
      <c r="V4" s="20" t="s">
        <v>327</v>
      </c>
      <c r="W4" s="20" t="s">
        <v>328</v>
      </c>
      <c r="X4" s="22" t="s">
        <v>121</v>
      </c>
    </row>
    <row r="5" spans="1:24" x14ac:dyDescent="0.55000000000000004">
      <c r="B5" s="289" t="s">
        <v>1558</v>
      </c>
      <c r="C5" s="3" t="s">
        <v>159</v>
      </c>
      <c r="D5" s="116"/>
      <c r="E5" s="1" t="s">
        <v>464</v>
      </c>
      <c r="F5" s="1" t="s">
        <v>600</v>
      </c>
      <c r="G5" s="372" t="str">
        <f>VLOOKUP(Invoer_Referentie[[#This Row],[Product]],Database_Productkaarten[[Product]:[Producttype]],3,FALSE)</f>
        <v>Betonstraatsteen</v>
      </c>
      <c r="H5" s="193"/>
      <c r="I5" s="3"/>
      <c r="J5" s="3">
        <f>_xlfn.IFNA(VLOOKUP(F5&amp;", "&amp;"Totaal",Database_Productkaarten[#All],12,FALSE),0)</f>
        <v>0.18</v>
      </c>
      <c r="K5" s="3">
        <f>IF(Invoer_Referentie[[#This Row],[Oppervlakte '[m2']]]*Invoer_Referentie[[#This Row],[Dikte '[m']]]=0,Invoer_Referentie[[#This Row],[Hoeveelheid]]/Invoer_Referentie[[#This Row],[Soortelijk gewicht '[ton / m3']]],Invoer_Referentie[[#This Row],[Oppervlakte '[m2']]]*Invoer_Referentie[[#This Row],[Dikte '[m']]])</f>
        <v>3472.2222222222222</v>
      </c>
      <c r="L5" s="371">
        <v>625</v>
      </c>
      <c r="M5" s="371" t="str">
        <f>VLOOKUP(Invoer_Referentie[[#This Row],[Product]],Database_Productkaarten[[Product]:[Eenheid]],4,FALSE)</f>
        <v>m2</v>
      </c>
      <c r="N5" s="5"/>
      <c r="O5" s="5"/>
      <c r="P5" s="370"/>
      <c r="Q5" s="288"/>
      <c r="R5" s="6"/>
      <c r="S5" s="6"/>
      <c r="T5" s="6"/>
      <c r="U5" s="5"/>
      <c r="V5" s="370"/>
      <c r="W5" s="6"/>
      <c r="X5" s="3"/>
    </row>
    <row r="6" spans="1:24" x14ac:dyDescent="0.55000000000000004">
      <c r="B6" s="289" t="s">
        <v>1559</v>
      </c>
      <c r="C6" s="3" t="s">
        <v>160</v>
      </c>
      <c r="D6" s="116"/>
      <c r="E6" s="1" t="s">
        <v>464</v>
      </c>
      <c r="F6" s="368" t="s">
        <v>1591</v>
      </c>
      <c r="G6" s="372" t="str">
        <f>VLOOKUP(Invoer_Referentie[[#This Row],[Product]],Database_Productkaarten[[Product]:[Producttype]],3,FALSE)</f>
        <v>Trottoirband</v>
      </c>
      <c r="H6" s="193"/>
      <c r="I6" s="3"/>
      <c r="J6" s="3">
        <f>_xlfn.IFNA(VLOOKUP(F6&amp;", "&amp;"Totaal",Database_Productkaarten[#All],12,FALSE),0)</f>
        <v>0.19109999999999999</v>
      </c>
      <c r="K6" s="3">
        <f>IF(Invoer_Referentie[[#This Row],[Oppervlakte '[m2']]]*Invoer_Referentie[[#This Row],[Dikte '[m']]]=0,Invoer_Referentie[[#This Row],[Hoeveelheid]]/Invoer_Referentie[[#This Row],[Soortelijk gewicht '[ton / m3']]],Invoer_Referentie[[#This Row],[Oppervlakte '[m2']]]*Invoer_Referentie[[#This Row],[Dikte '[m']]])</f>
        <v>8267.9225536368394</v>
      </c>
      <c r="L6" s="371">
        <v>1580</v>
      </c>
      <c r="M6" s="371" t="str">
        <f>VLOOKUP(Invoer_Referentie[[#This Row],[Product]],Database_Productkaarten[[Product]:[Eenheid]],4,FALSE)</f>
        <v>m1</v>
      </c>
      <c r="N6" s="5"/>
      <c r="O6" s="5"/>
      <c r="P6" s="370"/>
      <c r="Q6" s="288"/>
      <c r="R6" s="6"/>
      <c r="S6" s="6"/>
      <c r="T6" s="6"/>
      <c r="U6" s="5"/>
      <c r="V6" s="370"/>
      <c r="W6" s="6"/>
      <c r="X6" s="3"/>
    </row>
    <row r="7" spans="1:24" x14ac:dyDescent="0.55000000000000004">
      <c r="B7" s="289" t="s">
        <v>1561</v>
      </c>
      <c r="C7" s="3" t="s">
        <v>160</v>
      </c>
      <c r="D7" s="116"/>
      <c r="E7" s="1" t="s">
        <v>464</v>
      </c>
      <c r="F7" s="1" t="s">
        <v>595</v>
      </c>
      <c r="G7" s="372" t="str">
        <f>VLOOKUP(Invoer_Referentie[[#This Row],[Product]],Database_Productkaarten[[Product]:[Producttype]],3,FALSE)</f>
        <v>Opsluitband</v>
      </c>
      <c r="H7" s="193"/>
      <c r="I7" s="3"/>
      <c r="J7" s="3">
        <f>_xlfn.IFNA(VLOOKUP(F7&amp;", "&amp;"Totaal",Database_Productkaarten[#All],12,FALSE),0)</f>
        <v>4.5499999999999999E-2</v>
      </c>
      <c r="K7" s="3">
        <f>IF(Invoer_Referentie[[#This Row],[Oppervlakte '[m2']]]*Invoer_Referentie[[#This Row],[Dikte '[m']]]=0,Invoer_Referentie[[#This Row],[Hoeveelheid]]/Invoer_Referentie[[#This Row],[Soortelijk gewicht '[ton / m3']]],Invoer_Referentie[[#This Row],[Oppervlakte '[m2']]]*Invoer_Referentie[[#This Row],[Dikte '[m']]])</f>
        <v>21978.021978021978</v>
      </c>
      <c r="L7" s="371">
        <v>1000</v>
      </c>
      <c r="M7" s="371" t="str">
        <f>VLOOKUP(Invoer_Referentie[[#This Row],[Product]],Database_Productkaarten[[Product]:[Eenheid]],4,FALSE)</f>
        <v>m1</v>
      </c>
      <c r="N7" s="5"/>
      <c r="O7" s="5"/>
      <c r="P7" s="370"/>
      <c r="Q7" s="288"/>
      <c r="R7" s="6"/>
      <c r="S7" s="6"/>
      <c r="T7" s="6"/>
      <c r="U7" s="5"/>
      <c r="V7" s="370"/>
      <c r="W7" s="6"/>
      <c r="X7" s="3"/>
    </row>
    <row r="8" spans="1:24" x14ac:dyDescent="0.55000000000000004">
      <c r="B8" s="289" t="s">
        <v>1562</v>
      </c>
      <c r="C8" s="3" t="s">
        <v>160</v>
      </c>
      <c r="D8" s="116"/>
      <c r="E8" s="1" t="s">
        <v>131</v>
      </c>
      <c r="F8" s="1" t="s">
        <v>1615</v>
      </c>
      <c r="G8" s="372" t="str">
        <f>VLOOKUP(Invoer_Referentie[[#This Row],[Product]],Database_Productkaarten[[Product]:[Producttype]],3,FALSE)</f>
        <v>Zand</v>
      </c>
      <c r="H8" s="193"/>
      <c r="I8" s="3"/>
      <c r="J8" s="3">
        <f>_xlfn.IFNA(VLOOKUP(F8&amp;", "&amp;"Totaal",Database_Productkaarten[#All],12,FALSE),0)</f>
        <v>1.6</v>
      </c>
      <c r="K8" s="3">
        <f>IF(Invoer_Referentie[[#This Row],[Oppervlakte '[m2']]]*Invoer_Referentie[[#This Row],[Dikte '[m']]]=0,Invoer_Referentie[[#This Row],[Hoeveelheid]]/Invoer_Referentie[[#This Row],[Soortelijk gewicht '[ton / m3']]],Invoer_Referentie[[#This Row],[Oppervlakte '[m2']]]*Invoer_Referentie[[#This Row],[Dikte '[m']]])</f>
        <v>36</v>
      </c>
      <c r="L8" s="371">
        <v>57.6</v>
      </c>
      <c r="M8" s="371" t="str">
        <f>VLOOKUP(Invoer_Referentie[[#This Row],[Product]],Database_Productkaarten[[Product]:[Eenheid]],4,FALSE)</f>
        <v>Ton</v>
      </c>
      <c r="N8" s="5"/>
      <c r="O8" s="5"/>
      <c r="P8" s="370"/>
      <c r="Q8" s="288"/>
      <c r="R8" s="6"/>
      <c r="S8" s="6"/>
      <c r="T8" s="6"/>
      <c r="U8" s="5"/>
      <c r="V8" s="370"/>
      <c r="W8" s="6"/>
      <c r="X8" s="3"/>
    </row>
    <row r="9" spans="1:24" x14ac:dyDescent="0.55000000000000004">
      <c r="B9" s="289" t="s">
        <v>1563</v>
      </c>
      <c r="C9" s="3" t="s">
        <v>160</v>
      </c>
      <c r="D9" s="116"/>
      <c r="E9" s="1" t="s">
        <v>464</v>
      </c>
      <c r="F9" s="368" t="s">
        <v>1594</v>
      </c>
      <c r="G9" s="372" t="str">
        <f>VLOOKUP(Invoer_Referentie[[#This Row],[Product]],Database_Productkaarten[[Product]:[Producttype]],3,FALSE)</f>
        <v>Betontegel</v>
      </c>
      <c r="H9" s="193"/>
      <c r="I9" s="3"/>
      <c r="J9" s="3">
        <f>_xlfn.IFNA(VLOOKUP(F9&amp;", "&amp;"Totaal",Database_Productkaarten[#All],12,FALSE),0)</f>
        <v>0.1045</v>
      </c>
      <c r="K9" s="3">
        <f>IF(Invoer_Referentie[[#This Row],[Oppervlakte '[m2']]]*Invoer_Referentie[[#This Row],[Dikte '[m']]]=0,Invoer_Referentie[[#This Row],[Hoeveelheid]]/Invoer_Referentie[[#This Row],[Soortelijk gewicht '[ton / m3']]],Invoer_Referentie[[#This Row],[Oppervlakte '[m2']]]*Invoer_Referentie[[#This Row],[Dikte '[m']]])</f>
        <v>6889.9521531100481</v>
      </c>
      <c r="L9" s="371">
        <v>720</v>
      </c>
      <c r="M9" s="371" t="str">
        <f>VLOOKUP(Invoer_Referentie[[#This Row],[Product]],Database_Productkaarten[[Product]:[Eenheid]],4,FALSE)</f>
        <v>m2</v>
      </c>
      <c r="N9" s="5"/>
      <c r="O9" s="5"/>
      <c r="P9" s="370"/>
      <c r="Q9" s="288"/>
      <c r="R9" s="6"/>
      <c r="S9" s="6"/>
      <c r="T9" s="6"/>
      <c r="U9" s="5"/>
      <c r="V9" s="370"/>
      <c r="W9" s="6"/>
      <c r="X9" s="3"/>
    </row>
    <row r="10" spans="1:24" x14ac:dyDescent="0.55000000000000004">
      <c r="B10" s="289" t="s">
        <v>1564</v>
      </c>
      <c r="C10" s="3" t="s">
        <v>159</v>
      </c>
      <c r="D10" s="116"/>
      <c r="E10" s="1" t="s">
        <v>444</v>
      </c>
      <c r="F10" s="1" t="s">
        <v>1340</v>
      </c>
      <c r="G10" s="372" t="str">
        <f>VLOOKUP(Invoer_Referentie[[#This Row],[Product]],Database_Productkaarten[[Product]:[Producttype]],3,FALSE)</f>
        <v>AC bin/base</v>
      </c>
      <c r="H10" s="193"/>
      <c r="I10" s="3"/>
      <c r="J10" s="3">
        <f>_xlfn.IFNA(VLOOKUP(F10&amp;", "&amp;"Totaal",Database_Productkaarten[#All],12,FALSE),0)</f>
        <v>2.37</v>
      </c>
      <c r="K10" s="3">
        <f>IF(Invoer_Referentie[[#This Row],[Oppervlakte '[m2']]]*Invoer_Referentie[[#This Row],[Dikte '[m']]]=0,Invoer_Referentie[[#This Row],[Hoeveelheid]]/Invoer_Referentie[[#This Row],[Soortelijk gewicht '[ton / m3']]],Invoer_Referentie[[#This Row],[Oppervlakte '[m2']]]*Invoer_Referentie[[#This Row],[Dikte '[m']]])</f>
        <v>13.2</v>
      </c>
      <c r="L10" s="5">
        <v>31.283999999999999</v>
      </c>
      <c r="M10" s="5" t="str">
        <f>VLOOKUP(Invoer_Referentie[[#This Row],[Product]],Database_Productkaarten[[Product]:[Eenheid]],4,FALSE)</f>
        <v>Ton</v>
      </c>
      <c r="N10" s="5"/>
      <c r="O10" s="5"/>
      <c r="P10" s="370"/>
      <c r="Q10" s="288"/>
      <c r="R10" s="6"/>
      <c r="S10" s="6"/>
      <c r="T10" s="6"/>
      <c r="U10" s="5"/>
      <c r="V10" s="370"/>
      <c r="W10" s="6"/>
      <c r="X10" s="3"/>
    </row>
    <row r="11" spans="1:24" x14ac:dyDescent="0.55000000000000004">
      <c r="B11" s="289" t="s">
        <v>1565</v>
      </c>
      <c r="C11" s="3" t="s">
        <v>159</v>
      </c>
      <c r="D11" s="116"/>
      <c r="E11" s="1" t="s">
        <v>444</v>
      </c>
      <c r="F11" s="1" t="s">
        <v>1349</v>
      </c>
      <c r="G11" s="372" t="str">
        <f>VLOOKUP(Invoer_Referentie[[#This Row],[Product]],Database_Productkaarten[[Product]:[Producttype]],3,FALSE)</f>
        <v>SMA</v>
      </c>
      <c r="H11" s="193"/>
      <c r="I11" s="3"/>
      <c r="J11" s="3">
        <f>_xlfn.IFNA(VLOOKUP(F11&amp;", "&amp;"Totaal",Database_Productkaarten[#All],12,FALSE),0)</f>
        <v>2.35</v>
      </c>
      <c r="K11" s="3">
        <f>IF(Invoer_Referentie[[#This Row],[Oppervlakte '[m2']]]*Invoer_Referentie[[#This Row],[Dikte '[m']]]=0,Invoer_Referentie[[#This Row],[Hoeveelheid]]/Invoer_Referentie[[#This Row],[Soortelijk gewicht '[ton / m3']]],Invoer_Referentie[[#This Row],[Oppervlakte '[m2']]]*Invoer_Referentie[[#This Row],[Dikte '[m']]])</f>
        <v>8.25</v>
      </c>
      <c r="L11" s="5">
        <v>19.387499999999999</v>
      </c>
      <c r="M11" s="5" t="str">
        <f>VLOOKUP(Invoer_Referentie[[#This Row],[Product]],Database_Productkaarten[[Product]:[Eenheid]],4,FALSE)</f>
        <v>Ton</v>
      </c>
      <c r="N11" s="5"/>
      <c r="O11" s="5"/>
      <c r="P11" s="370"/>
      <c r="Q11" s="288"/>
      <c r="R11" s="6"/>
      <c r="S11" s="6"/>
      <c r="T11" s="6"/>
      <c r="U11" s="5"/>
      <c r="V11" s="370"/>
      <c r="W11" s="6"/>
      <c r="X11" s="3"/>
    </row>
    <row r="12" spans="1:24" x14ac:dyDescent="0.55000000000000004">
      <c r="B12" s="289" t="s">
        <v>1566</v>
      </c>
      <c r="C12" s="3" t="s">
        <v>160</v>
      </c>
      <c r="D12" s="116"/>
      <c r="E12" s="1" t="s">
        <v>136</v>
      </c>
      <c r="F12" s="1" t="s">
        <v>133</v>
      </c>
      <c r="G12" s="372" t="str">
        <f>VLOOKUP(Invoer_Referentie[[#This Row],[Product]],Database_Productkaarten[[Product]:[Producttype]],3,FALSE)</f>
        <v>Menggranulaat</v>
      </c>
      <c r="H12" s="193"/>
      <c r="I12" s="3"/>
      <c r="J12" s="3">
        <f>_xlfn.IFNA(VLOOKUP(F12&amp;", "&amp;"Totaal",Database_Productkaarten[#All],12,FALSE),0)</f>
        <v>1.8</v>
      </c>
      <c r="K12" s="3">
        <f>IF(Invoer_Referentie[[#This Row],[Oppervlakte '[m2']]]*Invoer_Referentie[[#This Row],[Dikte '[m']]]=0,Invoer_Referentie[[#This Row],[Hoeveelheid]]/Invoer_Referentie[[#This Row],[Soortelijk gewicht '[ton / m3']]],Invoer_Referentie[[#This Row],[Oppervlakte '[m2']]]*Invoer_Referentie[[#This Row],[Dikte '[m']]])</f>
        <v>2152.5</v>
      </c>
      <c r="L12" s="5">
        <v>3874.5</v>
      </c>
      <c r="M12" s="5" t="str">
        <f>VLOOKUP(Invoer_Referentie[[#This Row],[Product]],Database_Productkaarten[[Product]:[Eenheid]],4,FALSE)</f>
        <v>Ton</v>
      </c>
      <c r="N12" s="5"/>
      <c r="O12" s="5"/>
      <c r="P12" s="370"/>
      <c r="Q12" s="288"/>
      <c r="R12" s="5"/>
      <c r="S12" s="5"/>
      <c r="T12" s="5"/>
      <c r="U12" s="5"/>
      <c r="V12" s="370"/>
      <c r="W12" s="5"/>
      <c r="X12" s="3"/>
    </row>
    <row r="13" spans="1:24" x14ac:dyDescent="0.55000000000000004">
      <c r="B13" s="289" t="s">
        <v>1567</v>
      </c>
      <c r="C13" s="3" t="s">
        <v>160</v>
      </c>
      <c r="D13" s="116"/>
      <c r="E13" s="1" t="s">
        <v>444</v>
      </c>
      <c r="F13" s="1" t="s">
        <v>1366</v>
      </c>
      <c r="G13" s="372" t="str">
        <f>VLOOKUP(Invoer_Referentie[[#This Row],[Product]],Database_Productkaarten[[Product]:[Producttype]],3,FALSE)</f>
        <v>AC bin/base</v>
      </c>
      <c r="H13" s="193"/>
      <c r="I13" s="3"/>
      <c r="J13" s="3">
        <f>_xlfn.IFNA(VLOOKUP(F13&amp;", "&amp;"Totaal",Database_Productkaarten[#All],12,FALSE),0)</f>
        <v>2.37</v>
      </c>
      <c r="K13" s="3">
        <f>IF(Invoer_Referentie[[#This Row],[Oppervlakte '[m2']]]*Invoer_Referentie[[#This Row],[Dikte '[m']]]=0,Invoer_Referentie[[#This Row],[Hoeveelheid]]/Invoer_Referentie[[#This Row],[Soortelijk gewicht '[ton / m3']]],Invoer_Referentie[[#This Row],[Oppervlakte '[m2']]]*Invoer_Referentie[[#This Row],[Dikte '[m']]])</f>
        <v>472.99578059071729</v>
      </c>
      <c r="L13" s="5">
        <v>1121</v>
      </c>
      <c r="M13" s="5" t="str">
        <f>VLOOKUP(Invoer_Referentie[[#This Row],[Product]],Database_Productkaarten[[Product]:[Eenheid]],4,FALSE)</f>
        <v>Ton</v>
      </c>
      <c r="N13" s="5"/>
      <c r="O13" s="5"/>
      <c r="P13" s="370"/>
      <c r="Q13" s="288"/>
      <c r="R13" s="6"/>
      <c r="S13" s="6"/>
      <c r="T13" s="6"/>
      <c r="U13" s="5"/>
      <c r="V13" s="370"/>
      <c r="W13" s="6"/>
      <c r="X13" s="3"/>
    </row>
    <row r="14" spans="1:24" x14ac:dyDescent="0.55000000000000004">
      <c r="B14" s="289" t="s">
        <v>1568</v>
      </c>
      <c r="C14" s="3" t="s">
        <v>160</v>
      </c>
      <c r="D14" s="116"/>
      <c r="E14" s="1" t="s">
        <v>444</v>
      </c>
      <c r="F14" s="1" t="s">
        <v>1366</v>
      </c>
      <c r="G14" s="372" t="str">
        <f>VLOOKUP(Invoer_Referentie[[#This Row],[Product]],Database_Productkaarten[[Product]:[Producttype]],3,FALSE)</f>
        <v>AC bin/base</v>
      </c>
      <c r="H14" s="193"/>
      <c r="I14" s="3"/>
      <c r="J14" s="3">
        <f>_xlfn.IFNA(VLOOKUP(F14&amp;", "&amp;"Totaal",Database_Productkaarten[#All],12,FALSE),0)</f>
        <v>2.37</v>
      </c>
      <c r="K14" s="3">
        <f>IF(Invoer_Referentie[[#This Row],[Oppervlakte '[m2']]]*Invoer_Referentie[[#This Row],[Dikte '[m']]]=0,Invoer_Referentie[[#This Row],[Hoeveelheid]]/Invoer_Referentie[[#This Row],[Soortelijk gewicht '[ton / m3']]],Invoer_Referentie[[#This Row],[Oppervlakte '[m2']]]*Invoer_Referentie[[#This Row],[Dikte '[m']]])</f>
        <v>337.97468354430379</v>
      </c>
      <c r="L14" s="5">
        <v>801</v>
      </c>
      <c r="M14" s="5" t="str">
        <f>VLOOKUP(Invoer_Referentie[[#This Row],[Product]],Database_Productkaarten[[Product]:[Eenheid]],4,FALSE)</f>
        <v>Ton</v>
      </c>
      <c r="N14" s="5"/>
      <c r="O14" s="5"/>
      <c r="P14" s="370"/>
      <c r="Q14" s="288"/>
      <c r="R14" s="6"/>
      <c r="S14" s="6"/>
      <c r="T14" s="6"/>
      <c r="U14" s="5"/>
      <c r="V14" s="370"/>
      <c r="W14" s="6"/>
      <c r="X14" s="3"/>
    </row>
    <row r="15" spans="1:24" x14ac:dyDescent="0.55000000000000004">
      <c r="B15" s="289" t="s">
        <v>1569</v>
      </c>
      <c r="C15" s="3" t="s">
        <v>160</v>
      </c>
      <c r="D15" s="116"/>
      <c r="E15" s="1" t="s">
        <v>444</v>
      </c>
      <c r="F15" s="1" t="s">
        <v>1376</v>
      </c>
      <c r="G15" s="372" t="str">
        <f>VLOOKUP(Invoer_Referentie[[#This Row],[Product]],Database_Productkaarten[[Product]:[Producttype]],3,FALSE)</f>
        <v>SMA</v>
      </c>
      <c r="H15" s="193"/>
      <c r="I15" s="3"/>
      <c r="J15" s="3">
        <f>_xlfn.IFNA(VLOOKUP(F15&amp;", "&amp;"Totaal",Database_Productkaarten[#All],12,FALSE),0)</f>
        <v>2.35</v>
      </c>
      <c r="K15" s="3">
        <f>IF(Invoer_Referentie[[#This Row],[Oppervlakte '[m2']]]*Invoer_Referentie[[#This Row],[Dikte '[m']]]=0,Invoer_Referentie[[#This Row],[Hoeveelheid]]/Invoer_Referentie[[#This Row],[Soortelijk gewicht '[ton / m3']]],Invoer_Referentie[[#This Row],[Oppervlakte '[m2']]]*Invoer_Referentie[[#This Row],[Dikte '[m']]])</f>
        <v>204.68085106382978</v>
      </c>
      <c r="L15" s="5">
        <v>481</v>
      </c>
      <c r="M15" s="5" t="str">
        <f>VLOOKUP(Invoer_Referentie[[#This Row],[Product]],Database_Productkaarten[[Product]:[Eenheid]],4,FALSE)</f>
        <v>Ton</v>
      </c>
      <c r="N15" s="5"/>
      <c r="O15" s="5"/>
      <c r="P15" s="370"/>
      <c r="Q15" s="288"/>
      <c r="R15" s="6"/>
      <c r="S15" s="6"/>
      <c r="T15" s="6"/>
      <c r="U15" s="5"/>
      <c r="V15" s="370"/>
      <c r="W15" s="6"/>
      <c r="X15" s="3"/>
    </row>
    <row r="16" spans="1:24" x14ac:dyDescent="0.55000000000000004">
      <c r="B16" s="289" t="s">
        <v>1570</v>
      </c>
      <c r="C16" s="3" t="s">
        <v>160</v>
      </c>
      <c r="D16" s="116"/>
      <c r="E16" s="1" t="s">
        <v>136</v>
      </c>
      <c r="F16" s="1" t="s">
        <v>133</v>
      </c>
      <c r="G16" s="372" t="str">
        <f>VLOOKUP(Invoer_Referentie[[#This Row],[Product]],Database_Productkaarten[[Product]:[Producttype]],3,FALSE)</f>
        <v>Menggranulaat</v>
      </c>
      <c r="H16" s="193"/>
      <c r="I16" s="3"/>
      <c r="J16" s="3">
        <f>_xlfn.IFNA(VLOOKUP(F16&amp;", "&amp;"Totaal",Database_Productkaarten[#All],12,FALSE),0)</f>
        <v>1.8</v>
      </c>
      <c r="K16" s="3">
        <f>IF(Invoer_Referentie[[#This Row],[Oppervlakte '[m2']]]*Invoer_Referentie[[#This Row],[Dikte '[m']]]=0,Invoer_Referentie[[#This Row],[Hoeveelheid]]/Invoer_Referentie[[#This Row],[Soortelijk gewicht '[ton / m3']]],Invoer_Referentie[[#This Row],[Oppervlakte '[m2']]]*Invoer_Referentie[[#This Row],[Dikte '[m']]])</f>
        <v>96</v>
      </c>
      <c r="L16" s="5">
        <v>172.8</v>
      </c>
      <c r="M16" s="5" t="str">
        <f>VLOOKUP(Invoer_Referentie[[#This Row],[Product]],Database_Productkaarten[[Product]:[Eenheid]],4,FALSE)</f>
        <v>Ton</v>
      </c>
      <c r="N16" s="5"/>
      <c r="O16" s="5"/>
      <c r="P16" s="370"/>
      <c r="Q16" s="367"/>
      <c r="R16" s="5"/>
      <c r="S16" s="5"/>
      <c r="T16" s="5"/>
      <c r="U16" s="5"/>
      <c r="V16" s="370"/>
      <c r="W16" s="5"/>
      <c r="X16" s="3"/>
    </row>
    <row r="17" spans="2:24" x14ac:dyDescent="0.55000000000000004">
      <c r="B17" s="289" t="s">
        <v>1571</v>
      </c>
      <c r="C17" s="3" t="s">
        <v>160</v>
      </c>
      <c r="D17" s="116"/>
      <c r="E17" s="1" t="s">
        <v>444</v>
      </c>
      <c r="F17" s="1" t="s">
        <v>1366</v>
      </c>
      <c r="G17" s="372" t="str">
        <f>VLOOKUP(Invoer_Referentie[[#This Row],[Product]],Database_Productkaarten[[Product]:[Producttype]],3,FALSE)</f>
        <v>AC bin/base</v>
      </c>
      <c r="H17" s="193"/>
      <c r="I17" s="3"/>
      <c r="J17" s="3">
        <f>_xlfn.IFNA(VLOOKUP(F17&amp;", "&amp;"Totaal",Database_Productkaarten[#All],12,FALSE),0)</f>
        <v>2.37</v>
      </c>
      <c r="K17" s="3">
        <f>IF(Invoer_Referentie[[#This Row],[Oppervlakte '[m2']]]*Invoer_Referentie[[#This Row],[Dikte '[m']]]=0,Invoer_Referentie[[#This Row],[Hoeveelheid]]/Invoer_Referentie[[#This Row],[Soortelijk gewicht '[ton / m3']]],Invoer_Referentie[[#This Row],[Oppervlakte '[m2']]]*Invoer_Referentie[[#This Row],[Dikte '[m']]])</f>
        <v>14.767932489451477</v>
      </c>
      <c r="L17" s="5">
        <v>35</v>
      </c>
      <c r="M17" s="5" t="str">
        <f>VLOOKUP(Invoer_Referentie[[#This Row],[Product]],Database_Productkaarten[[Product]:[Eenheid]],4,FALSE)</f>
        <v>Ton</v>
      </c>
      <c r="N17" s="5"/>
      <c r="O17" s="5"/>
      <c r="P17" s="370"/>
      <c r="Q17" s="367"/>
      <c r="R17" s="5"/>
      <c r="S17" s="5"/>
      <c r="T17" s="5"/>
      <c r="U17" s="5"/>
      <c r="V17" s="370"/>
      <c r="W17" s="5"/>
      <c r="X17" s="3"/>
    </row>
    <row r="18" spans="2:24" x14ac:dyDescent="0.55000000000000004">
      <c r="B18" s="289" t="s">
        <v>1572</v>
      </c>
      <c r="C18" s="3" t="s">
        <v>160</v>
      </c>
      <c r="D18" s="116"/>
      <c r="E18" s="1" t="s">
        <v>444</v>
      </c>
      <c r="F18" s="1" t="s">
        <v>1362</v>
      </c>
      <c r="G18" s="372" t="str">
        <f>VLOOKUP(Invoer_Referentie[[#This Row],[Product]],Database_Productkaarten[[Product]:[Producttype]],3,FALSE)</f>
        <v>AC Surf</v>
      </c>
      <c r="H18" s="193"/>
      <c r="I18" s="3"/>
      <c r="J18" s="3">
        <f>_xlfn.IFNA(VLOOKUP(F18&amp;", "&amp;"Totaal",Database_Productkaarten[#All],12,FALSE),0)</f>
        <v>2.35</v>
      </c>
      <c r="K18" s="3">
        <f>IF(Invoer_Referentie[[#This Row],[Oppervlakte '[m2']]]*Invoer_Referentie[[#This Row],[Dikte '[m']]]=0,Invoer_Referentie[[#This Row],[Hoeveelheid]]/Invoer_Referentie[[#This Row],[Soortelijk gewicht '[ton / m3']]],Invoer_Referentie[[#This Row],[Oppervlakte '[m2']]]*Invoer_Referentie[[#This Row],[Dikte '[m']]])</f>
        <v>8.9361702127659566</v>
      </c>
      <c r="L18" s="5">
        <v>21</v>
      </c>
      <c r="M18" s="5" t="str">
        <f>VLOOKUP(Invoer_Referentie[[#This Row],[Product]],Database_Productkaarten[[Product]:[Eenheid]],4,FALSE)</f>
        <v>Ton</v>
      </c>
      <c r="N18" s="5"/>
      <c r="O18" s="5"/>
      <c r="P18" s="370"/>
      <c r="Q18" s="367"/>
      <c r="R18" s="5"/>
      <c r="S18" s="5"/>
      <c r="T18" s="5"/>
      <c r="U18" s="5"/>
      <c r="V18" s="370"/>
      <c r="W18" s="5"/>
      <c r="X18" s="3"/>
    </row>
    <row r="19" spans="2:24" x14ac:dyDescent="0.55000000000000004">
      <c r="B19" s="289" t="s">
        <v>1573</v>
      </c>
      <c r="C19" s="3" t="s">
        <v>160</v>
      </c>
      <c r="D19" s="116"/>
      <c r="E19" s="1" t="s">
        <v>444</v>
      </c>
      <c r="F19" s="1" t="s">
        <v>1362</v>
      </c>
      <c r="G19" s="372" t="str">
        <f>VLOOKUP(Invoer_Referentie[[#This Row],[Product]],Database_Productkaarten[[Product]:[Producttype]],3,FALSE)</f>
        <v>AC Surf</v>
      </c>
      <c r="H19" s="193"/>
      <c r="I19" s="3"/>
      <c r="J19" s="3">
        <f>_xlfn.IFNA(VLOOKUP(F19&amp;", "&amp;"Totaal",Database_Productkaarten[#All],12,FALSE),0)</f>
        <v>2.35</v>
      </c>
      <c r="K19" s="3">
        <f>IF(Invoer_Referentie[[#This Row],[Oppervlakte '[m2']]]*Invoer_Referentie[[#This Row],[Dikte '[m']]]=0,Invoer_Referentie[[#This Row],[Hoeveelheid]]/Invoer_Referentie[[#This Row],[Soortelijk gewicht '[ton / m3']]],Invoer_Referentie[[#This Row],[Oppervlakte '[m2']]]*Invoer_Referentie[[#This Row],[Dikte '[m']]])</f>
        <v>28.936170212765955</v>
      </c>
      <c r="L19" s="5">
        <v>68</v>
      </c>
      <c r="M19" s="5" t="str">
        <f>VLOOKUP(Invoer_Referentie[[#This Row],[Product]],Database_Productkaarten[[Product]:[Eenheid]],4,FALSE)</f>
        <v>Ton</v>
      </c>
      <c r="N19" s="5"/>
      <c r="O19" s="5"/>
      <c r="P19" s="370"/>
      <c r="Q19" s="367"/>
      <c r="R19" s="5"/>
      <c r="S19" s="5"/>
      <c r="T19" s="5"/>
      <c r="U19" s="5"/>
      <c r="V19" s="370"/>
      <c r="W19" s="5"/>
      <c r="X19" s="3"/>
    </row>
    <row r="20" spans="2:24" x14ac:dyDescent="0.55000000000000004">
      <c r="B20" s="289" t="s">
        <v>1574</v>
      </c>
      <c r="C20" s="3" t="s">
        <v>160</v>
      </c>
      <c r="D20" s="116"/>
      <c r="E20" s="1" t="s">
        <v>465</v>
      </c>
      <c r="F20" s="368" t="s">
        <v>1601</v>
      </c>
      <c r="G20" s="372" t="str">
        <f>VLOOKUP(Invoer_Referentie[[#This Row],[Product]],Database_Productkaarten[[Product]:[Producttype]],3,FALSE)</f>
        <v>Betonnen riolering</v>
      </c>
      <c r="H20" s="193"/>
      <c r="I20" s="3"/>
      <c r="J20" s="3">
        <f>_xlfn.IFNA(VLOOKUP(F20&amp;", "&amp;"Totaal",Database_Productkaarten[#All],12,FALSE),0)</f>
        <v>0</v>
      </c>
      <c r="K20" s="3" t="e">
        <f>IF(Invoer_Referentie[[#This Row],[Oppervlakte '[m2']]]*Invoer_Referentie[[#This Row],[Dikte '[m']]]=0,Invoer_Referentie[[#This Row],[Hoeveelheid]]/Invoer_Referentie[[#This Row],[Soortelijk gewicht '[ton / m3']]],Invoer_Referentie[[#This Row],[Oppervlakte '[m2']]]*Invoer_Referentie[[#This Row],[Dikte '[m']]])</f>
        <v>#DIV/0!</v>
      </c>
      <c r="L20" s="371">
        <v>100</v>
      </c>
      <c r="M20" s="371" t="str">
        <f>VLOOKUP(Invoer_Referentie[[#This Row],[Product]],Database_Productkaarten[[Product]:[Eenheid]],4,FALSE)</f>
        <v>m1</v>
      </c>
      <c r="N20" s="5"/>
      <c r="O20" s="5"/>
      <c r="P20" s="370"/>
      <c r="Q20" s="367"/>
      <c r="R20" s="5"/>
      <c r="S20" s="5"/>
      <c r="T20" s="5"/>
      <c r="U20" s="5"/>
      <c r="V20" s="370"/>
      <c r="W20" s="5"/>
      <c r="X20" s="3"/>
    </row>
    <row r="21" spans="2:24" x14ac:dyDescent="0.55000000000000004">
      <c r="B21" s="289" t="s">
        <v>1575</v>
      </c>
      <c r="C21" s="3" t="s">
        <v>160</v>
      </c>
      <c r="D21" s="116"/>
      <c r="E21" s="1" t="s">
        <v>465</v>
      </c>
      <c r="F21" s="368" t="s">
        <v>1602</v>
      </c>
      <c r="G21" s="372" t="str">
        <f>VLOOKUP(Invoer_Referentie[[#This Row],[Product]],Database_Productkaarten[[Product]:[Producttype]],3,FALSE)</f>
        <v>Betonnen riolering</v>
      </c>
      <c r="H21" s="193"/>
      <c r="I21" s="3"/>
      <c r="J21" s="3">
        <f>_xlfn.IFNA(VLOOKUP(F21&amp;", "&amp;"Totaal",Database_Productkaarten[#All],12,FALSE),0)</f>
        <v>0</v>
      </c>
      <c r="K21" s="3" t="e">
        <f>IF(Invoer_Referentie[[#This Row],[Oppervlakte '[m2']]]*Invoer_Referentie[[#This Row],[Dikte '[m']]]=0,Invoer_Referentie[[#This Row],[Hoeveelheid]]/Invoer_Referentie[[#This Row],[Soortelijk gewicht '[ton / m3']]],Invoer_Referentie[[#This Row],[Oppervlakte '[m2']]]*Invoer_Referentie[[#This Row],[Dikte '[m']]])</f>
        <v>#DIV/0!</v>
      </c>
      <c r="L21" s="371">
        <v>500</v>
      </c>
      <c r="M21" s="371" t="str">
        <f>VLOOKUP(Invoer_Referentie[[#This Row],[Product]],Database_Productkaarten[[Product]:[Eenheid]],4,FALSE)</f>
        <v>m1</v>
      </c>
      <c r="N21" s="5"/>
      <c r="O21" s="5"/>
      <c r="P21" s="370"/>
      <c r="Q21" s="367"/>
      <c r="R21" s="5"/>
      <c r="S21" s="5"/>
      <c r="T21" s="5"/>
      <c r="U21" s="5"/>
      <c r="V21" s="370"/>
      <c r="W21" s="5"/>
      <c r="X21" s="3"/>
    </row>
    <row r="22" spans="2:24" x14ac:dyDescent="0.55000000000000004">
      <c r="B22" s="289" t="s">
        <v>1576</v>
      </c>
      <c r="C22" s="3" t="s">
        <v>160</v>
      </c>
      <c r="D22" s="116"/>
      <c r="E22" s="1" t="s">
        <v>465</v>
      </c>
      <c r="F22" s="368" t="s">
        <v>1606</v>
      </c>
      <c r="G22" s="372" t="str">
        <f>VLOOKUP(Invoer_Referentie[[#This Row],[Product]],Database_Productkaarten[[Product]:[Producttype]],3,FALSE)</f>
        <v>Betonnen riolering</v>
      </c>
      <c r="H22" s="193"/>
      <c r="I22" s="3"/>
      <c r="J22" s="3">
        <f>_xlfn.IFNA(VLOOKUP(F22&amp;", "&amp;"Totaal",Database_Productkaarten[#All],12,FALSE),0)</f>
        <v>0</v>
      </c>
      <c r="K22" s="3" t="e">
        <f>IF(Invoer_Referentie[[#This Row],[Oppervlakte '[m2']]]*Invoer_Referentie[[#This Row],[Dikte '[m']]]=0,Invoer_Referentie[[#This Row],[Hoeveelheid]]/Invoer_Referentie[[#This Row],[Soortelijk gewicht '[ton / m3']]],Invoer_Referentie[[#This Row],[Oppervlakte '[m2']]]*Invoer_Referentie[[#This Row],[Dikte '[m']]])</f>
        <v>#DIV/0!</v>
      </c>
      <c r="L22" s="371">
        <v>50</v>
      </c>
      <c r="M22" s="371" t="str">
        <f>VLOOKUP(Invoer_Referentie[[#This Row],[Product]],Database_Productkaarten[[Product]:[Eenheid]],4,FALSE)</f>
        <v>m1</v>
      </c>
      <c r="N22" s="5"/>
      <c r="O22" s="5"/>
      <c r="P22" s="370"/>
      <c r="Q22" s="367"/>
      <c r="R22" s="5"/>
      <c r="S22" s="5"/>
      <c r="T22" s="5"/>
      <c r="U22" s="5"/>
      <c r="V22" s="370"/>
      <c r="W22" s="5"/>
      <c r="X22" s="3"/>
    </row>
    <row r="23" spans="2:24" x14ac:dyDescent="0.55000000000000004">
      <c r="B23" s="289" t="s">
        <v>1577</v>
      </c>
      <c r="C23" s="3" t="s">
        <v>160</v>
      </c>
      <c r="D23" s="116"/>
      <c r="E23" s="1" t="s">
        <v>465</v>
      </c>
      <c r="F23" s="368" t="s">
        <v>1607</v>
      </c>
      <c r="G23" s="372" t="str">
        <f>VLOOKUP(Invoer_Referentie[[#This Row],[Product]],Database_Productkaarten[[Product]:[Producttype]],3,FALSE)</f>
        <v>Betonnen riolering</v>
      </c>
      <c r="H23" s="193"/>
      <c r="I23" s="3"/>
      <c r="J23" s="3">
        <f>_xlfn.IFNA(VLOOKUP(F23&amp;", "&amp;"Totaal",Database_Productkaarten[#All],12,FALSE),0)</f>
        <v>0</v>
      </c>
      <c r="K23" s="3" t="e">
        <f>IF(Invoer_Referentie[[#This Row],[Oppervlakte '[m2']]]*Invoer_Referentie[[#This Row],[Dikte '[m']]]=0,Invoer_Referentie[[#This Row],[Hoeveelheid]]/Invoer_Referentie[[#This Row],[Soortelijk gewicht '[ton / m3']]],Invoer_Referentie[[#This Row],[Oppervlakte '[m2']]]*Invoer_Referentie[[#This Row],[Dikte '[m']]])</f>
        <v>#DIV/0!</v>
      </c>
      <c r="L23" s="371">
        <v>30</v>
      </c>
      <c r="M23" s="371" t="str">
        <f>VLOOKUP(Invoer_Referentie[[#This Row],[Product]],Database_Productkaarten[[Product]:[Eenheid]],4,FALSE)</f>
        <v>m1</v>
      </c>
      <c r="N23" s="5"/>
      <c r="O23" s="5"/>
      <c r="P23" s="370"/>
      <c r="Q23" s="367"/>
      <c r="R23" s="5"/>
      <c r="S23" s="5"/>
      <c r="T23" s="5"/>
      <c r="U23" s="5"/>
      <c r="V23" s="370"/>
      <c r="W23" s="5"/>
      <c r="X23" s="3"/>
    </row>
    <row r="24" spans="2:24" x14ac:dyDescent="0.55000000000000004">
      <c r="B24" s="289" t="s">
        <v>1578</v>
      </c>
      <c r="C24" s="3" t="s">
        <v>160</v>
      </c>
      <c r="D24" s="116"/>
      <c r="E24" s="1" t="s">
        <v>465</v>
      </c>
      <c r="F24" s="368" t="s">
        <v>1600</v>
      </c>
      <c r="G24" s="372" t="str">
        <f>VLOOKUP(Invoer_Referentie[[#This Row],[Product]],Database_Productkaarten[[Product]:[Producttype]],3,FALSE)</f>
        <v>Drainbuis</v>
      </c>
      <c r="H24" s="193"/>
      <c r="I24" s="3"/>
      <c r="J24" s="3">
        <f>_xlfn.IFNA(VLOOKUP(F24&amp;", "&amp;"Totaal",Database_Productkaarten[#All],12,FALSE),0)</f>
        <v>0</v>
      </c>
      <c r="K24" s="3" t="e">
        <f>IF(Invoer_Referentie[[#This Row],[Oppervlakte '[m2']]]*Invoer_Referentie[[#This Row],[Dikte '[m']]]=0,Invoer_Referentie[[#This Row],[Hoeveelheid]]/Invoer_Referentie[[#This Row],[Soortelijk gewicht '[ton / m3']]],Invoer_Referentie[[#This Row],[Oppervlakte '[m2']]]*Invoer_Referentie[[#This Row],[Dikte '[m']]])</f>
        <v>#DIV/0!</v>
      </c>
      <c r="L24" s="371">
        <f>L20+L21+L22+L23</f>
        <v>680</v>
      </c>
      <c r="M24" s="371" t="str">
        <f>VLOOKUP(Invoer_Referentie[[#This Row],[Product]],Database_Productkaarten[[Product]:[Eenheid]],4,FALSE)</f>
        <v>m1</v>
      </c>
      <c r="N24" s="5"/>
      <c r="O24" s="5"/>
      <c r="P24" s="370"/>
      <c r="Q24" s="367"/>
      <c r="R24" s="5"/>
      <c r="S24" s="5"/>
      <c r="T24" s="5"/>
      <c r="U24" s="5"/>
      <c r="V24" s="370"/>
      <c r="W24" s="5"/>
      <c r="X24" s="3"/>
    </row>
    <row r="25" spans="2:24" x14ac:dyDescent="0.55000000000000004">
      <c r="B25" s="289" t="s">
        <v>1579</v>
      </c>
      <c r="C25" s="3" t="s">
        <v>160</v>
      </c>
      <c r="D25" s="116"/>
      <c r="E25" s="1" t="s">
        <v>465</v>
      </c>
      <c r="F25" s="368" t="s">
        <v>1601</v>
      </c>
      <c r="G25" s="372" t="str">
        <f>VLOOKUP(Invoer_Referentie[[#This Row],[Product]],Database_Productkaarten[[Product]:[Producttype]],3,FALSE)</f>
        <v>Betonnen riolering</v>
      </c>
      <c r="H25" s="193"/>
      <c r="I25" s="3"/>
      <c r="J25" s="3">
        <f>_xlfn.IFNA(VLOOKUP(F25&amp;", "&amp;"Totaal",Database_Productkaarten[#All],12,FALSE),0)</f>
        <v>0</v>
      </c>
      <c r="K25" s="3" t="e">
        <f>IF(Invoer_Referentie[[#This Row],[Oppervlakte '[m2']]]*Invoer_Referentie[[#This Row],[Dikte '[m']]]=0,Invoer_Referentie[[#This Row],[Hoeveelheid]]/Invoer_Referentie[[#This Row],[Soortelijk gewicht '[ton / m3']]],Invoer_Referentie[[#This Row],[Oppervlakte '[m2']]]*Invoer_Referentie[[#This Row],[Dikte '[m']]])</f>
        <v>#DIV/0!</v>
      </c>
      <c r="L25" s="371">
        <v>650</v>
      </c>
      <c r="M25" s="371" t="str">
        <f>VLOOKUP(Invoer_Referentie[[#This Row],[Product]],Database_Productkaarten[[Product]:[Eenheid]],4,FALSE)</f>
        <v>m1</v>
      </c>
      <c r="N25" s="5"/>
      <c r="O25" s="5"/>
      <c r="P25" s="370"/>
      <c r="Q25" s="367"/>
      <c r="R25" s="5"/>
      <c r="S25" s="5"/>
      <c r="T25" s="5"/>
      <c r="U25" s="5"/>
      <c r="V25" s="370"/>
      <c r="W25" s="5"/>
      <c r="X25" s="3"/>
    </row>
    <row r="26" spans="2:24" x14ac:dyDescent="0.55000000000000004">
      <c r="B26" s="289" t="s">
        <v>1580</v>
      </c>
      <c r="C26" s="3" t="s">
        <v>160</v>
      </c>
      <c r="D26" s="116"/>
      <c r="E26" s="1" t="s">
        <v>465</v>
      </c>
      <c r="F26" s="368" t="s">
        <v>1613</v>
      </c>
      <c r="G26" s="372" t="str">
        <f>VLOOKUP(Invoer_Referentie[[#This Row],[Product]],Database_Productkaarten[[Product]:[Producttype]],3,FALSE)</f>
        <v>PVC riolering</v>
      </c>
      <c r="H26" s="193"/>
      <c r="I26" s="3"/>
      <c r="J26" s="3">
        <f>_xlfn.IFNA(VLOOKUP(F26&amp;", "&amp;"Totaal",Database_Productkaarten[#All],12,FALSE),0)</f>
        <v>0</v>
      </c>
      <c r="K26" s="3" t="e">
        <f>IF(Invoer_Referentie[[#This Row],[Oppervlakte '[m2']]]*Invoer_Referentie[[#This Row],[Dikte '[m']]]=0,Invoer_Referentie[[#This Row],[Hoeveelheid]]/Invoer_Referentie[[#This Row],[Soortelijk gewicht '[ton / m3']]],Invoer_Referentie[[#This Row],[Oppervlakte '[m2']]]*Invoer_Referentie[[#This Row],[Dikte '[m']]])</f>
        <v>#DIV/0!</v>
      </c>
      <c r="L26" s="371">
        <v>250</v>
      </c>
      <c r="M26" s="371" t="str">
        <f>VLOOKUP(Invoer_Referentie[[#This Row],[Product]],Database_Productkaarten[[Product]:[Eenheid]],4,FALSE)</f>
        <v>m1</v>
      </c>
      <c r="N26" s="5"/>
      <c r="O26" s="5"/>
      <c r="P26" s="370"/>
      <c r="Q26" s="367"/>
      <c r="R26" s="5"/>
      <c r="S26" s="5"/>
      <c r="T26" s="5"/>
      <c r="U26" s="5"/>
      <c r="V26" s="370"/>
      <c r="W26" s="5"/>
      <c r="X26" s="3"/>
    </row>
    <row r="27" spans="2:24" x14ac:dyDescent="0.55000000000000004">
      <c r="B27" s="289" t="s">
        <v>1581</v>
      </c>
      <c r="C27" s="3" t="s">
        <v>160</v>
      </c>
      <c r="D27" s="116"/>
      <c r="E27" s="1" t="s">
        <v>465</v>
      </c>
      <c r="F27" s="368" t="s">
        <v>1613</v>
      </c>
      <c r="G27" s="372" t="str">
        <f>VLOOKUP(Invoer_Referentie[[#This Row],[Product]],Database_Productkaarten[[Product]:[Producttype]],3,FALSE)</f>
        <v>PVC riolering</v>
      </c>
      <c r="H27" s="193"/>
      <c r="I27" s="3"/>
      <c r="J27" s="3">
        <f>_xlfn.IFNA(VLOOKUP(F27&amp;", "&amp;"Totaal",Database_Productkaarten[#All],12,FALSE),0)</f>
        <v>0</v>
      </c>
      <c r="K27" s="3" t="e">
        <f>IF(Invoer_Referentie[[#This Row],[Oppervlakte '[m2']]]*Invoer_Referentie[[#This Row],[Dikte '[m']]]=0,Invoer_Referentie[[#This Row],[Hoeveelheid]]/Invoer_Referentie[[#This Row],[Soortelijk gewicht '[ton / m3']]],Invoer_Referentie[[#This Row],[Oppervlakte '[m2']]]*Invoer_Referentie[[#This Row],[Dikte '[m']]])</f>
        <v>#DIV/0!</v>
      </c>
      <c r="L27" s="371">
        <v>250</v>
      </c>
      <c r="M27" s="371" t="str">
        <f>VLOOKUP(Invoer_Referentie[[#This Row],[Product]],Database_Productkaarten[[Product]:[Eenheid]],4,FALSE)</f>
        <v>m1</v>
      </c>
      <c r="N27" s="5"/>
      <c r="O27" s="5"/>
      <c r="P27" s="370"/>
      <c r="Q27" s="367"/>
      <c r="R27" s="5"/>
      <c r="S27" s="5"/>
      <c r="T27" s="5"/>
      <c r="U27" s="5"/>
      <c r="V27" s="370"/>
      <c r="W27" s="5"/>
      <c r="X27" s="3"/>
    </row>
    <row r="28" spans="2:24" x14ac:dyDescent="0.55000000000000004">
      <c r="B28" s="289" t="s">
        <v>1582</v>
      </c>
      <c r="C28" s="3" t="s">
        <v>159</v>
      </c>
      <c r="D28" s="116"/>
      <c r="E28" s="1" t="s">
        <v>131</v>
      </c>
      <c r="F28" s="1" t="s">
        <v>139</v>
      </c>
      <c r="G28" s="372" t="str">
        <f>VLOOKUP(Invoer_Referentie[[#This Row],[Product]],Database_Productkaarten[[Product]:[Producttype]],3,FALSE)</f>
        <v>Grond</v>
      </c>
      <c r="H28" s="193"/>
      <c r="I28" s="3"/>
      <c r="J28" s="3">
        <f>_xlfn.IFNA(VLOOKUP(F28&amp;", "&amp;"Totaal",Database_Productkaarten[#All],12,FALSE),0)</f>
        <v>1.6</v>
      </c>
      <c r="K28" s="3">
        <f>IF(Invoer_Referentie[[#This Row],[Oppervlakte '[m2']]]*Invoer_Referentie[[#This Row],[Dikte '[m']]]=0,Invoer_Referentie[[#This Row],[Hoeveelheid]]/Invoer_Referentie[[#This Row],[Soortelijk gewicht '[ton / m3']]],Invoer_Referentie[[#This Row],[Oppervlakte '[m2']]]*Invoer_Referentie[[#This Row],[Dikte '[m']]])</f>
        <v>7600</v>
      </c>
      <c r="L28" s="371">
        <v>12160</v>
      </c>
      <c r="M28" s="371" t="str">
        <f>VLOOKUP(Invoer_Referentie[[#This Row],[Product]],Database_Productkaarten[[Product]:[Eenheid]],4,FALSE)</f>
        <v>Ton</v>
      </c>
      <c r="N28" s="5"/>
      <c r="O28" s="5"/>
      <c r="P28" s="370"/>
      <c r="Q28" s="367"/>
      <c r="R28" s="5"/>
      <c r="S28" s="5"/>
      <c r="T28" s="5"/>
      <c r="U28" s="5"/>
      <c r="V28" s="370"/>
      <c r="W28" s="5"/>
      <c r="X28" s="3"/>
    </row>
    <row r="29" spans="2:24" x14ac:dyDescent="0.55000000000000004">
      <c r="B29" s="289" t="s">
        <v>1583</v>
      </c>
      <c r="C29" s="3" t="s">
        <v>159</v>
      </c>
      <c r="D29" s="116"/>
      <c r="E29" s="1" t="s">
        <v>131</v>
      </c>
      <c r="F29" s="1" t="s">
        <v>139</v>
      </c>
      <c r="G29" s="372" t="str">
        <f>VLOOKUP(Invoer_Referentie[[#This Row],[Product]],Database_Productkaarten[[Product]:[Producttype]],3,FALSE)</f>
        <v>Grond</v>
      </c>
      <c r="H29" s="193"/>
      <c r="I29" s="3"/>
      <c r="J29" s="3">
        <f>_xlfn.IFNA(VLOOKUP(F29&amp;", "&amp;"Totaal",Database_Productkaarten[#All],12,FALSE),0)</f>
        <v>1.6</v>
      </c>
      <c r="K29" s="3">
        <f>IF(Invoer_Referentie[[#This Row],[Oppervlakte '[m2']]]*Invoer_Referentie[[#This Row],[Dikte '[m']]]=0,Invoer_Referentie[[#This Row],[Hoeveelheid]]/Invoer_Referentie[[#This Row],[Soortelijk gewicht '[ton / m3']]],Invoer_Referentie[[#This Row],[Oppervlakte '[m2']]]*Invoer_Referentie[[#This Row],[Dikte '[m']]])</f>
        <v>650</v>
      </c>
      <c r="L29" s="371">
        <v>1040</v>
      </c>
      <c r="M29" s="371" t="str">
        <f>VLOOKUP(Invoer_Referentie[[#This Row],[Product]],Database_Productkaarten[[Product]:[Eenheid]],4,FALSE)</f>
        <v>Ton</v>
      </c>
      <c r="N29" s="5"/>
      <c r="O29" s="5"/>
      <c r="P29" s="370"/>
      <c r="Q29" s="367"/>
      <c r="R29" s="5"/>
      <c r="S29" s="5"/>
      <c r="T29" s="5"/>
      <c r="U29" s="5"/>
      <c r="V29" s="370"/>
      <c r="W29" s="5"/>
      <c r="X29" s="3"/>
    </row>
    <row r="30" spans="2:24" x14ac:dyDescent="0.55000000000000004">
      <c r="B30" s="289" t="s">
        <v>1584</v>
      </c>
      <c r="C30" s="3" t="s">
        <v>159</v>
      </c>
      <c r="D30" s="116"/>
      <c r="E30" s="1" t="s">
        <v>131</v>
      </c>
      <c r="F30" s="1" t="s">
        <v>139</v>
      </c>
      <c r="G30" s="372" t="str">
        <f>VLOOKUP(Invoer_Referentie[[#This Row],[Product]],Database_Productkaarten[[Product]:[Producttype]],3,FALSE)</f>
        <v>Grond</v>
      </c>
      <c r="H30" s="193"/>
      <c r="I30" s="3"/>
      <c r="J30" s="3">
        <f>_xlfn.IFNA(VLOOKUP(F30&amp;", "&amp;"Totaal",Database_Productkaarten[#All],12,FALSE),0)</f>
        <v>1.6</v>
      </c>
      <c r="K30" s="3">
        <f>IF(Invoer_Referentie[[#This Row],[Oppervlakte '[m2']]]*Invoer_Referentie[[#This Row],[Dikte '[m']]]=0,Invoer_Referentie[[#This Row],[Hoeveelheid]]/Invoer_Referentie[[#This Row],[Soortelijk gewicht '[ton / m3']]],Invoer_Referentie[[#This Row],[Oppervlakte '[m2']]]*Invoer_Referentie[[#This Row],[Dikte '[m']]])</f>
        <v>1100</v>
      </c>
      <c r="L30" s="371">
        <v>1760</v>
      </c>
      <c r="M30" s="371" t="str">
        <f>VLOOKUP(Invoer_Referentie[[#This Row],[Product]],Database_Productkaarten[[Product]:[Eenheid]],4,FALSE)</f>
        <v>Ton</v>
      </c>
      <c r="N30" s="5"/>
      <c r="O30" s="5"/>
      <c r="P30" s="370"/>
      <c r="Q30" s="367"/>
      <c r="R30" s="5"/>
      <c r="S30" s="5"/>
      <c r="T30" s="5"/>
      <c r="U30" s="5"/>
      <c r="V30" s="370"/>
      <c r="W30" s="5"/>
      <c r="X30" s="3"/>
    </row>
    <row r="31" spans="2:24" x14ac:dyDescent="0.55000000000000004">
      <c r="B31" s="289" t="s">
        <v>1585</v>
      </c>
      <c r="C31" s="3" t="s">
        <v>159</v>
      </c>
      <c r="D31" s="116"/>
      <c r="E31" s="1" t="s">
        <v>131</v>
      </c>
      <c r="F31" s="1" t="s">
        <v>139</v>
      </c>
      <c r="G31" s="372" t="str">
        <f>VLOOKUP(Invoer_Referentie[[#This Row],[Product]],Database_Productkaarten[[Product]:[Producttype]],3,FALSE)</f>
        <v>Grond</v>
      </c>
      <c r="H31" s="193"/>
      <c r="I31" s="3"/>
      <c r="J31" s="3">
        <f>_xlfn.IFNA(VLOOKUP(F31&amp;", "&amp;"Totaal",Database_Productkaarten[#All],12,FALSE),0)</f>
        <v>1.6</v>
      </c>
      <c r="K31" s="3">
        <f>IF(Invoer_Referentie[[#This Row],[Oppervlakte '[m2']]]*Invoer_Referentie[[#This Row],[Dikte '[m']]]=0,Invoer_Referentie[[#This Row],[Hoeveelheid]]/Invoer_Referentie[[#This Row],[Soortelijk gewicht '[ton / m3']]],Invoer_Referentie[[#This Row],[Oppervlakte '[m2']]]*Invoer_Referentie[[#This Row],[Dikte '[m']]])</f>
        <v>2050</v>
      </c>
      <c r="L31" s="371">
        <v>3280</v>
      </c>
      <c r="M31" s="371" t="str">
        <f>VLOOKUP(Invoer_Referentie[[#This Row],[Product]],Database_Productkaarten[[Product]:[Eenheid]],4,FALSE)</f>
        <v>Ton</v>
      </c>
      <c r="N31" s="5"/>
      <c r="O31" s="5"/>
      <c r="P31" s="370"/>
      <c r="Q31" s="367"/>
      <c r="R31" s="5"/>
      <c r="S31" s="5"/>
      <c r="T31" s="5"/>
      <c r="U31" s="5"/>
      <c r="V31" s="370"/>
      <c r="W31" s="5"/>
      <c r="X31" s="3"/>
    </row>
    <row r="32" spans="2:24" x14ac:dyDescent="0.55000000000000004">
      <c r="B32" s="289" t="s">
        <v>1586</v>
      </c>
      <c r="C32" s="3" t="s">
        <v>160</v>
      </c>
      <c r="D32" s="116"/>
      <c r="E32" s="1" t="s">
        <v>131</v>
      </c>
      <c r="F32" s="1" t="s">
        <v>161</v>
      </c>
      <c r="G32" s="372" t="str">
        <f>VLOOKUP(Invoer_Referentie[[#This Row],[Product]],Database_Productkaarten[[Product]:[Producttype]],3,FALSE)</f>
        <v>Zand</v>
      </c>
      <c r="H32" s="193"/>
      <c r="I32" s="3"/>
      <c r="J32" s="3">
        <f>_xlfn.IFNA(VLOOKUP(F32&amp;", "&amp;"Totaal",Database_Productkaarten[#All],12,FALSE),0)</f>
        <v>1.6</v>
      </c>
      <c r="K32" s="3">
        <f>IF(Invoer_Referentie[[#This Row],[Oppervlakte '[m2']]]*Invoer_Referentie[[#This Row],[Dikte '[m']]]=0,Invoer_Referentie[[#This Row],[Hoeveelheid]]/Invoer_Referentie[[#This Row],[Soortelijk gewicht '[ton / m3']]],Invoer_Referentie[[#This Row],[Oppervlakte '[m2']]]*Invoer_Referentie[[#This Row],[Dikte '[m']]])</f>
        <v>5684.375</v>
      </c>
      <c r="L32" s="371">
        <v>9095</v>
      </c>
      <c r="M32" s="371" t="str">
        <f>VLOOKUP(Invoer_Referentie[[#This Row],[Product]],Database_Productkaarten[[Product]:[Eenheid]],4,FALSE)</f>
        <v>Ton</v>
      </c>
      <c r="N32" s="5"/>
      <c r="O32" s="5"/>
      <c r="P32" s="370"/>
      <c r="Q32" s="367"/>
      <c r="R32" s="5"/>
      <c r="S32" s="5"/>
      <c r="T32" s="5"/>
      <c r="U32" s="5"/>
      <c r="V32" s="370"/>
      <c r="W32" s="5"/>
      <c r="X32" s="3"/>
    </row>
    <row r="33" spans="2:24" x14ac:dyDescent="0.55000000000000004">
      <c r="B33" s="289" t="s">
        <v>1587</v>
      </c>
      <c r="C33" s="3" t="s">
        <v>160</v>
      </c>
      <c r="D33" s="116"/>
      <c r="E33" s="1" t="s">
        <v>131</v>
      </c>
      <c r="F33" s="1" t="s">
        <v>1616</v>
      </c>
      <c r="G33" s="372" t="str">
        <f>VLOOKUP(Invoer_Referentie[[#This Row],[Product]],Database_Productkaarten[[Product]:[Producttype]],3,FALSE)</f>
        <v>Zand</v>
      </c>
      <c r="H33" s="193"/>
      <c r="I33" s="3"/>
      <c r="J33" s="3">
        <f>_xlfn.IFNA(VLOOKUP(F33&amp;", "&amp;"Totaal",Database_Productkaarten[#All],12,FALSE),0)</f>
        <v>1.6</v>
      </c>
      <c r="K33" s="3">
        <f>IF(Invoer_Referentie[[#This Row],[Oppervlakte '[m2']]]*Invoer_Referentie[[#This Row],[Dikte '[m']]]=0,Invoer_Referentie[[#This Row],[Hoeveelheid]]/Invoer_Referentie[[#This Row],[Soortelijk gewicht '[ton / m3']]],Invoer_Referentie[[#This Row],[Oppervlakte '[m2']]]*Invoer_Referentie[[#This Row],[Dikte '[m']]])</f>
        <v>796.875</v>
      </c>
      <c r="L33" s="371">
        <v>1275</v>
      </c>
      <c r="M33" s="371" t="str">
        <f>VLOOKUP(Invoer_Referentie[[#This Row],[Product]],Database_Productkaarten[[Product]:[Eenheid]],4,FALSE)</f>
        <v>Ton</v>
      </c>
      <c r="N33" s="5"/>
      <c r="O33" s="5">
        <v>10</v>
      </c>
      <c r="P33" s="370" t="s">
        <v>67</v>
      </c>
      <c r="Q33" s="367"/>
      <c r="R33" s="5"/>
      <c r="S33" s="5"/>
      <c r="T33" s="5"/>
      <c r="U33" s="5"/>
      <c r="V33" s="370"/>
      <c r="W33" s="5"/>
      <c r="X33" s="3"/>
    </row>
    <row r="34" spans="2:24" x14ac:dyDescent="0.55000000000000004">
      <c r="B34" s="289" t="s">
        <v>1588</v>
      </c>
      <c r="C34" s="3" t="s">
        <v>160</v>
      </c>
      <c r="D34" s="116"/>
      <c r="E34" s="1" t="s">
        <v>131</v>
      </c>
      <c r="F34" s="1" t="s">
        <v>1616</v>
      </c>
      <c r="G34" s="372" t="str">
        <f>VLOOKUP(Invoer_Referentie[[#This Row],[Product]],Database_Productkaarten[[Product]:[Producttype]],3,FALSE)</f>
        <v>Zand</v>
      </c>
      <c r="H34" s="193"/>
      <c r="I34" s="3"/>
      <c r="J34" s="3">
        <f>_xlfn.IFNA(VLOOKUP(F34&amp;", "&amp;"Totaal",Database_Productkaarten[#All],12,FALSE),0)</f>
        <v>1.6</v>
      </c>
      <c r="K34" s="3">
        <f>IF(Invoer_Referentie[[#This Row],[Oppervlakte '[m2']]]*Invoer_Referentie[[#This Row],[Dikte '[m']]]=0,Invoer_Referentie[[#This Row],[Hoeveelheid]]/Invoer_Referentie[[#This Row],[Soortelijk gewicht '[ton / m3']]],Invoer_Referentie[[#This Row],[Oppervlakte '[m2']]]*Invoer_Referentie[[#This Row],[Dikte '[m']]])</f>
        <v>1328.125</v>
      </c>
      <c r="L34" s="371">
        <v>2125</v>
      </c>
      <c r="M34" s="371" t="str">
        <f>VLOOKUP(Invoer_Referentie[[#This Row],[Product]],Database_Productkaarten[[Product]:[Eenheid]],4,FALSE)</f>
        <v>Ton</v>
      </c>
      <c r="N34" s="5"/>
      <c r="O34" s="5">
        <v>10</v>
      </c>
      <c r="P34" s="370" t="s">
        <v>67</v>
      </c>
      <c r="Q34" s="367"/>
      <c r="R34" s="5"/>
      <c r="S34" s="5"/>
      <c r="T34" s="5"/>
      <c r="U34" s="5"/>
      <c r="V34" s="370"/>
      <c r="W34" s="5"/>
      <c r="X34" s="3"/>
    </row>
    <row r="35" spans="2:24" x14ac:dyDescent="0.55000000000000004">
      <c r="B35" s="289" t="s">
        <v>1589</v>
      </c>
      <c r="C35" s="3" t="s">
        <v>160</v>
      </c>
      <c r="D35" s="116"/>
      <c r="E35" s="1" t="s">
        <v>131</v>
      </c>
      <c r="F35" s="1" t="s">
        <v>1616</v>
      </c>
      <c r="G35" s="372" t="str">
        <f>VLOOKUP(Invoer_Referentie[[#This Row],[Product]],Database_Productkaarten[[Product]:[Producttype]],3,FALSE)</f>
        <v>Zand</v>
      </c>
      <c r="H35" s="193"/>
      <c r="I35" s="3"/>
      <c r="J35" s="3">
        <f>_xlfn.IFNA(VLOOKUP(F35&amp;", "&amp;"Totaal",Database_Productkaarten[#All],12,FALSE),0)</f>
        <v>1.6</v>
      </c>
      <c r="K35" s="3">
        <f>IF(Invoer_Referentie[[#This Row],[Oppervlakte '[m2']]]*Invoer_Referentie[[#This Row],[Dikte '[m']]]=0,Invoer_Referentie[[#This Row],[Hoeveelheid]]/Invoer_Referentie[[#This Row],[Soortelijk gewicht '[ton / m3']]],Invoer_Referentie[[#This Row],[Oppervlakte '[m2']]]*Invoer_Referentie[[#This Row],[Dikte '[m']]])</f>
        <v>2071.875</v>
      </c>
      <c r="L35" s="371">
        <v>3315</v>
      </c>
      <c r="M35" s="371" t="str">
        <f>VLOOKUP(Invoer_Referentie[[#This Row],[Product]],Database_Productkaarten[[Product]:[Eenheid]],4,FALSE)</f>
        <v>Ton</v>
      </c>
      <c r="N35" s="5"/>
      <c r="O35" s="5">
        <v>10</v>
      </c>
      <c r="P35" s="370" t="s">
        <v>67</v>
      </c>
      <c r="Q35" s="367"/>
      <c r="R35" s="5"/>
      <c r="S35" s="5"/>
      <c r="T35" s="5"/>
      <c r="U35" s="5"/>
      <c r="V35" s="370"/>
      <c r="W35" s="5"/>
      <c r="X35" s="3"/>
    </row>
    <row r="36" spans="2:24" x14ac:dyDescent="0.55000000000000004">
      <c r="B36" s="124"/>
      <c r="C36" s="124"/>
      <c r="D36" s="124"/>
      <c r="E36" s="124"/>
      <c r="F36" s="124"/>
      <c r="G36" s="124"/>
      <c r="H36" s="124"/>
      <c r="I36" s="124"/>
      <c r="J36" s="124"/>
      <c r="K36" s="124"/>
      <c r="L36" s="124"/>
      <c r="M36" s="124"/>
      <c r="N36" s="124"/>
      <c r="O36" s="124"/>
      <c r="P36" s="124"/>
      <c r="Q36" s="124"/>
      <c r="R36" s="124"/>
      <c r="S36" s="124"/>
      <c r="T36" s="124"/>
      <c r="U36" s="124"/>
      <c r="V36" s="124"/>
      <c r="W36" s="124"/>
    </row>
    <row r="37" spans="2:24" x14ac:dyDescent="0.55000000000000004">
      <c r="B37" s="124"/>
      <c r="C37" s="124"/>
      <c r="D37" s="124"/>
      <c r="E37" s="124"/>
      <c r="F37" s="124"/>
      <c r="G37" s="124"/>
      <c r="H37" s="124"/>
      <c r="I37" s="124"/>
      <c r="J37" s="124"/>
      <c r="K37" s="124"/>
      <c r="L37" s="124"/>
      <c r="M37" s="124"/>
      <c r="N37" s="124"/>
      <c r="O37" s="124"/>
      <c r="P37" s="124"/>
      <c r="Q37" s="124"/>
      <c r="R37" s="124"/>
      <c r="S37" s="124"/>
      <c r="T37" s="124"/>
      <c r="U37" s="124"/>
      <c r="V37" s="124"/>
      <c r="W37" s="124"/>
    </row>
    <row r="38" spans="2:24" x14ac:dyDescent="0.55000000000000004">
      <c r="B38" s="124"/>
      <c r="C38" s="124"/>
      <c r="D38" s="124"/>
      <c r="E38" s="124"/>
      <c r="F38" s="124"/>
      <c r="G38" s="124"/>
      <c r="H38" s="124"/>
      <c r="I38" s="124"/>
      <c r="J38" s="124"/>
      <c r="K38" s="124"/>
      <c r="L38" s="124"/>
      <c r="M38" s="124"/>
      <c r="N38" s="124"/>
      <c r="O38" s="124"/>
      <c r="P38" s="124"/>
      <c r="Q38" s="124"/>
      <c r="R38" s="124"/>
      <c r="S38" s="124"/>
      <c r="T38" s="124"/>
      <c r="U38" s="124"/>
      <c r="V38" s="124"/>
      <c r="W38" s="124"/>
    </row>
    <row r="39" spans="2:24" x14ac:dyDescent="0.55000000000000004">
      <c r="B39" s="124"/>
      <c r="C39" s="124"/>
      <c r="D39" s="124"/>
      <c r="E39" s="124"/>
      <c r="F39" s="124"/>
      <c r="G39" s="124"/>
      <c r="H39" s="124"/>
      <c r="I39" s="124"/>
      <c r="J39" s="124"/>
      <c r="K39" s="124"/>
      <c r="L39" s="124"/>
      <c r="M39" s="124"/>
      <c r="N39" s="124"/>
      <c r="O39" s="124"/>
      <c r="P39" s="124"/>
      <c r="Q39" s="124"/>
      <c r="R39" s="124"/>
      <c r="S39" s="124"/>
      <c r="T39" s="124"/>
      <c r="U39" s="124"/>
      <c r="V39" s="124"/>
      <c r="W39" s="124"/>
    </row>
    <row r="40" spans="2:24" x14ac:dyDescent="0.55000000000000004">
      <c r="B40" s="124"/>
      <c r="C40" s="124"/>
      <c r="D40" s="125"/>
      <c r="G40" s="124"/>
      <c r="H40" s="124"/>
      <c r="I40" s="124"/>
      <c r="J40" s="124"/>
      <c r="K40" s="124"/>
      <c r="L40" s="126"/>
      <c r="M40" s="124"/>
    </row>
    <row r="43" spans="2:24" ht="22.5" thickBot="1" x14ac:dyDescent="0.7">
      <c r="D43" s="375" t="s">
        <v>53</v>
      </c>
      <c r="E43" s="375"/>
      <c r="F43" s="375"/>
    </row>
    <row r="44" spans="2:24" ht="22.5" thickBot="1" x14ac:dyDescent="0.6">
      <c r="D44" s="385">
        <f>SUM(Referentie_MKI_Totaal[[#Totals],[A1]:[D2]])</f>
        <v>53360.561128251524</v>
      </c>
      <c r="E44" s="386"/>
      <c r="F44" s="387"/>
    </row>
    <row r="65" spans="1:12" ht="22.5" thickBot="1" x14ac:dyDescent="0.7">
      <c r="D65" s="375" t="s">
        <v>356</v>
      </c>
      <c r="E65" s="375"/>
      <c r="F65" s="375"/>
    </row>
    <row r="66" spans="1:12" ht="22.5" thickBot="1" x14ac:dyDescent="0.6">
      <c r="D66" s="382">
        <f>SUM(Referentie_CO2_Totaal[[#Totals],[A1]:[D2]])/1000</f>
        <v>508.87252103278212</v>
      </c>
      <c r="E66" s="383"/>
      <c r="F66" s="384"/>
    </row>
    <row r="68" spans="1:12" ht="22.5" thickBot="1" x14ac:dyDescent="0.7">
      <c r="D68" s="375" t="s">
        <v>342</v>
      </c>
      <c r="E68" s="375"/>
      <c r="F68" s="375"/>
    </row>
    <row r="69" spans="1:12" ht="22.5" thickBot="1" x14ac:dyDescent="0.6">
      <c r="D69" s="382">
        <f>Referentie_Materiaal_Totaal[[#Totals],[Primair materiaalverbruik '[ton']]]+Referentie_Materiaal_Totaal[[#Totals],[Primair materiaalverbruik Vervangingen '[ton']]]</f>
        <v>11649.979499999999</v>
      </c>
      <c r="E69" s="383"/>
      <c r="F69" s="384"/>
      <c r="H69" s="71"/>
      <c r="L69" s="71" t="s">
        <v>308</v>
      </c>
    </row>
    <row r="70" spans="1:12" ht="22.5" thickBot="1" x14ac:dyDescent="0.6">
      <c r="D70" s="382">
        <f>Referentie_Materiaal_Totaal[[#Totals],[Secundair materiaalverbruik '[ton']]]+Referentie_Materiaal_Totaal[[#Totals],[Secundair materiaalverbruik Vervangingen '[ton']]]</f>
        <v>33234.281999999999</v>
      </c>
      <c r="E70" s="383"/>
      <c r="F70" s="384"/>
      <c r="H70" s="71"/>
      <c r="L70" s="71" t="s">
        <v>309</v>
      </c>
    </row>
    <row r="71" spans="1:12" ht="22.5" thickBot="1" x14ac:dyDescent="0.6">
      <c r="D71" s="379">
        <f>D69+D70</f>
        <v>44884.261500000001</v>
      </c>
      <c r="E71" s="380"/>
      <c r="F71" s="381"/>
      <c r="H71" s="71"/>
      <c r="L71" s="71" t="s">
        <v>1617</v>
      </c>
    </row>
    <row r="72" spans="1:12" x14ac:dyDescent="0.55000000000000004">
      <c r="H72" s="71"/>
    </row>
    <row r="73" spans="1:12" ht="22.5" thickBot="1" x14ac:dyDescent="0.7">
      <c r="D73" s="375" t="s">
        <v>357</v>
      </c>
      <c r="E73" s="375"/>
      <c r="F73" s="375"/>
      <c r="H73" s="71"/>
    </row>
    <row r="74" spans="1:12" ht="22.5" thickBot="1" x14ac:dyDescent="0.7">
      <c r="D74" s="376">
        <f>SUM(Referentie_Hernieuwbare_Energie_Totaal[[#Totals],[A1]:[D2]])/1000</f>
        <v>110.83316985100723</v>
      </c>
      <c r="E74" s="377"/>
      <c r="F74" s="378"/>
      <c r="H74" s="71"/>
      <c r="L74" s="71" t="s">
        <v>340</v>
      </c>
    </row>
    <row r="75" spans="1:12" ht="22.5" thickBot="1" x14ac:dyDescent="0.7">
      <c r="D75" s="376">
        <f>SUM(Referentie_Fossiele_Energie_Totaal[[#Totals],[A1]:[D2]])/1000</f>
        <v>8440.2166287997443</v>
      </c>
      <c r="E75" s="377"/>
      <c r="F75" s="378"/>
      <c r="H75" s="71"/>
      <c r="L75" s="71" t="s">
        <v>341</v>
      </c>
    </row>
    <row r="76" spans="1:12" ht="22.5" thickBot="1" x14ac:dyDescent="0.6">
      <c r="D76" s="379">
        <f>D74+D75</f>
        <v>8551.0497986507507</v>
      </c>
      <c r="E76" s="380"/>
      <c r="F76" s="381"/>
      <c r="H76" s="71"/>
      <c r="L76" s="71" t="s">
        <v>317</v>
      </c>
    </row>
    <row r="77" spans="1:12" ht="22" x14ac:dyDescent="0.55000000000000004">
      <c r="A77" s="18"/>
      <c r="D77" s="123"/>
      <c r="E77" s="123"/>
      <c r="F77" s="123"/>
      <c r="H77" s="71"/>
      <c r="L77" s="71"/>
    </row>
    <row r="78" spans="1:12" ht="22.5" thickBot="1" x14ac:dyDescent="0.7">
      <c r="A78" s="18"/>
      <c r="B78" s="18"/>
      <c r="D78" s="375" t="s">
        <v>362</v>
      </c>
      <c r="E78" s="375"/>
      <c r="F78" s="375"/>
      <c r="H78" s="71"/>
      <c r="L78" s="18"/>
    </row>
    <row r="79" spans="1:12" ht="22.5" thickBot="1" x14ac:dyDescent="0.6">
      <c r="A79" s="18"/>
      <c r="B79" s="18"/>
      <c r="D79" s="379">
        <f>Referentie_Backlog!H215+Referentie_Backlog!K215</f>
        <v>0</v>
      </c>
      <c r="E79" s="380"/>
      <c r="F79" s="381"/>
      <c r="H79" s="71"/>
      <c r="L79" s="71" t="s">
        <v>361</v>
      </c>
    </row>
    <row r="80" spans="1:12" ht="22.5" thickBot="1" x14ac:dyDescent="0.6">
      <c r="A80" s="18"/>
      <c r="B80" s="18"/>
      <c r="D80" s="379">
        <f>SUM(Referentie_Transport_Totaal[[#Totals],[Transport naar bouwplaats '[tkm']]:[Transport naar verwerker '[tkm']]])+SUM(Referentie_Transport_Totaal[[#Totals],[Transport naar bouwplaats Vervangingen '[tkm']]:[Transport naar verwerker Vervangingen '[tkm']]])</f>
        <v>3568267.5750000002</v>
      </c>
      <c r="E80" s="380"/>
      <c r="F80" s="381"/>
      <c r="H80" s="71"/>
      <c r="L80" s="71" t="s">
        <v>360</v>
      </c>
    </row>
    <row r="81" spans="1:12" ht="22" x14ac:dyDescent="0.55000000000000004">
      <c r="A81" s="18"/>
      <c r="B81" s="18"/>
      <c r="D81" s="123"/>
      <c r="E81" s="123"/>
      <c r="F81" s="123"/>
      <c r="H81" s="71"/>
      <c r="L81" s="18"/>
    </row>
    <row r="82" spans="1:12" ht="22" x14ac:dyDescent="0.55000000000000004">
      <c r="A82" s="18"/>
      <c r="B82" s="18"/>
      <c r="D82" s="123"/>
      <c r="E82" s="123"/>
      <c r="F82" s="123"/>
      <c r="H82" s="71"/>
      <c r="L82" s="18"/>
    </row>
    <row r="83" spans="1:12" ht="22.5" thickBot="1" x14ac:dyDescent="0.7">
      <c r="A83" s="18"/>
      <c r="B83" s="18"/>
      <c r="D83" s="375" t="s">
        <v>363</v>
      </c>
      <c r="E83" s="375"/>
      <c r="F83" s="375"/>
      <c r="H83" s="71"/>
      <c r="L83" s="18"/>
    </row>
    <row r="84" spans="1:12" ht="22.5" thickBot="1" x14ac:dyDescent="0.6">
      <c r="A84" s="18"/>
      <c r="B84" s="18"/>
      <c r="D84" s="379">
        <f>Referentie_Bouwplaats_Totaal[[#Totals],[Emissieloos bouwplaats]]+Referentie_Bouwplaats_Totaal[[#Totals],[Emissieloos bouwplaats Vervangingen]]</f>
        <v>0</v>
      </c>
      <c r="E84" s="380"/>
      <c r="F84" s="381"/>
      <c r="H84" s="71"/>
      <c r="L84" s="71" t="s">
        <v>364</v>
      </c>
    </row>
    <row r="85" spans="1:12" ht="22.5" thickBot="1" x14ac:dyDescent="0.6">
      <c r="A85" s="18"/>
      <c r="B85" s="18"/>
      <c r="D85" s="379">
        <f>SUM(Referentie_Bouwplaats_Totaal[[#Totals],[Draaiuren Bouw]:[Draaiuren Sloop]])+SUM(Referentie_Bouwplaats_Totaal[[#Totals],[Draaiuren Bouw Vervangingen]:[Draaiuren Sloop Vervangingen]])</f>
        <v>636.36237200000005</v>
      </c>
      <c r="E85" s="380"/>
      <c r="F85" s="381"/>
      <c r="H85" s="71"/>
      <c r="L85" s="71" t="s">
        <v>365</v>
      </c>
    </row>
    <row r="86" spans="1:12" ht="22" x14ac:dyDescent="0.55000000000000004">
      <c r="B86" s="18"/>
      <c r="C86" s="123"/>
      <c r="D86" s="123"/>
      <c r="E86" s="123"/>
      <c r="F86" s="71"/>
    </row>
  </sheetData>
  <mergeCells count="18">
    <mergeCell ref="D79:F79"/>
    <mergeCell ref="D80:F80"/>
    <mergeCell ref="D83:F83"/>
    <mergeCell ref="D84:F84"/>
    <mergeCell ref="D85:F85"/>
    <mergeCell ref="D43:F43"/>
    <mergeCell ref="D44:F44"/>
    <mergeCell ref="D65:F65"/>
    <mergeCell ref="D66:F66"/>
    <mergeCell ref="D74:F74"/>
    <mergeCell ref="D78:F78"/>
    <mergeCell ref="D75:F75"/>
    <mergeCell ref="D76:F76"/>
    <mergeCell ref="D68:F68"/>
    <mergeCell ref="D69:F69"/>
    <mergeCell ref="D70:F70"/>
    <mergeCell ref="D71:F71"/>
    <mergeCell ref="D73:F73"/>
  </mergeCells>
  <phoneticPr fontId="11" type="noConversion"/>
  <conditionalFormatting sqref="R6:R35">
    <cfRule type="expression" dxfId="1076" priority="36">
      <formula>"$C4=""Bestaande Situatie"""</formula>
    </cfRule>
  </conditionalFormatting>
  <conditionalFormatting sqref="R5">
    <cfRule type="expression" dxfId="1075" priority="35">
      <formula>"$C4=""Bestaande Situatie"""</formula>
    </cfRule>
  </conditionalFormatting>
  <conditionalFormatting sqref="P5:P30 P33:P35">
    <cfRule type="expression" dxfId="1074" priority="34">
      <formula>"$C4=""Bestaande Situatie"""</formula>
    </cfRule>
  </conditionalFormatting>
  <conditionalFormatting sqref="P5:P30 P33:P35">
    <cfRule type="expression" dxfId="1073" priority="33">
      <formula>"$C4=""Bestaande Situatie"""</formula>
    </cfRule>
  </conditionalFormatting>
  <conditionalFormatting sqref="Q5:Q9">
    <cfRule type="expression" dxfId="1072" priority="32">
      <formula>"$C4=""Bestaande Situatie"""</formula>
    </cfRule>
  </conditionalFormatting>
  <conditionalFormatting sqref="Q10">
    <cfRule type="expression" dxfId="1071" priority="31">
      <formula>"$C4=""Bestaande Situatie"""</formula>
    </cfRule>
  </conditionalFormatting>
  <conditionalFormatting sqref="Q12">
    <cfRule type="expression" dxfId="1070" priority="30">
      <formula>"$C4=""Bestaande Situatie"""</formula>
    </cfRule>
  </conditionalFormatting>
  <conditionalFormatting sqref="Q14">
    <cfRule type="expression" dxfId="1069" priority="29">
      <formula>"$C4=""Bestaande Situatie"""</formula>
    </cfRule>
  </conditionalFormatting>
  <conditionalFormatting sqref="Q11">
    <cfRule type="expression" dxfId="1068" priority="27">
      <formula>"$C4=""Bestaande Situatie"""</formula>
    </cfRule>
  </conditionalFormatting>
  <conditionalFormatting sqref="Q13">
    <cfRule type="expression" dxfId="1067" priority="26">
      <formula>"$C4=""Bestaande Situatie"""</formula>
    </cfRule>
  </conditionalFormatting>
  <conditionalFormatting sqref="Q15:Q35">
    <cfRule type="expression" dxfId="1066" priority="25">
      <formula>"$C4=""Bestaande Situatie"""</formula>
    </cfRule>
  </conditionalFormatting>
  <conditionalFormatting sqref="P5:P35">
    <cfRule type="expression" dxfId="1065" priority="24">
      <formula>"$C4=""Bestaande Situatie"""</formula>
    </cfRule>
  </conditionalFormatting>
  <conditionalFormatting sqref="P5:P35">
    <cfRule type="expression" dxfId="1064" priority="23">
      <formula>"$C4=""Bestaande Situatie"""</formula>
    </cfRule>
  </conditionalFormatting>
  <conditionalFormatting sqref="V5:V27 V32:V35">
    <cfRule type="expression" dxfId="1063" priority="22">
      <formula>"$C4=""Bestaande Situatie"""</formula>
    </cfRule>
  </conditionalFormatting>
  <conditionalFormatting sqref="V5:V27 V32:V35">
    <cfRule type="expression" dxfId="1062" priority="21">
      <formula>"$C4=""Bestaande Situatie"""</formula>
    </cfRule>
  </conditionalFormatting>
  <conditionalFormatting sqref="V28">
    <cfRule type="expression" dxfId="1061" priority="20">
      <formula>"$C4=""Bestaande Situatie"""</formula>
    </cfRule>
  </conditionalFormatting>
  <conditionalFormatting sqref="V28">
    <cfRule type="expression" dxfId="1060" priority="19">
      <formula>"$C4=""Bestaande Situatie"""</formula>
    </cfRule>
  </conditionalFormatting>
  <conditionalFormatting sqref="V28">
    <cfRule type="expression" dxfId="1059" priority="18">
      <formula>"$C4=""Bestaande Situatie"""</formula>
    </cfRule>
  </conditionalFormatting>
  <conditionalFormatting sqref="V28">
    <cfRule type="expression" dxfId="1058" priority="17">
      <formula>"$C4=""Bestaande Situatie"""</formula>
    </cfRule>
  </conditionalFormatting>
  <conditionalFormatting sqref="V29">
    <cfRule type="expression" dxfId="1057" priority="16">
      <formula>"$C4=""Bestaande Situatie"""</formula>
    </cfRule>
  </conditionalFormatting>
  <conditionalFormatting sqref="V29">
    <cfRule type="expression" dxfId="1056" priority="15">
      <formula>"$C4=""Bestaande Situatie"""</formula>
    </cfRule>
  </conditionalFormatting>
  <conditionalFormatting sqref="V29">
    <cfRule type="expression" dxfId="1055" priority="14">
      <formula>"$C4=""Bestaande Situatie"""</formula>
    </cfRule>
  </conditionalFormatting>
  <conditionalFormatting sqref="V29">
    <cfRule type="expression" dxfId="1054" priority="13">
      <formula>"$C4=""Bestaande Situatie"""</formula>
    </cfRule>
  </conditionalFormatting>
  <conditionalFormatting sqref="V31">
    <cfRule type="expression" dxfId="1053" priority="8">
      <formula>"$C4=""Bestaande Situatie"""</formula>
    </cfRule>
  </conditionalFormatting>
  <conditionalFormatting sqref="V31">
    <cfRule type="expression" dxfId="1052" priority="7">
      <formula>"$C4=""Bestaande Situatie"""</formula>
    </cfRule>
  </conditionalFormatting>
  <conditionalFormatting sqref="V31">
    <cfRule type="expression" dxfId="1051" priority="6">
      <formula>"$C4=""Bestaande Situatie"""</formula>
    </cfRule>
  </conditionalFormatting>
  <conditionalFormatting sqref="V31">
    <cfRule type="expression" dxfId="1050" priority="5">
      <formula>"$C4=""Bestaande Situatie"""</formula>
    </cfRule>
  </conditionalFormatting>
  <conditionalFormatting sqref="V30">
    <cfRule type="expression" dxfId="1049" priority="4">
      <formula>"$C4=""Bestaande Situatie"""</formula>
    </cfRule>
  </conditionalFormatting>
  <conditionalFormatting sqref="V30">
    <cfRule type="expression" dxfId="1048" priority="3">
      <formula>"$C4=""Bestaande Situatie"""</formula>
    </cfRule>
  </conditionalFormatting>
  <conditionalFormatting sqref="V30">
    <cfRule type="expression" dxfId="1047" priority="2">
      <formula>"$C4=""Bestaande Situatie"""</formula>
    </cfRule>
  </conditionalFormatting>
  <conditionalFormatting sqref="V30">
    <cfRule type="expression" dxfId="1046" priority="1">
      <formula>"$C4=""Bestaande Situatie"""</formula>
    </cfRule>
  </conditionalFormatting>
  <dataValidations count="1">
    <dataValidation type="list" allowBlank="1" showInputMessage="1" showErrorMessage="1" sqref="F40 F5:F35" xr:uid="{BC6DD3A0-5808-41F2-8D1A-DC0E18DA8B00}">
      <formula1>INDIRECT(E5)</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1</xdr:col>
                <xdr:colOff>349250</xdr:colOff>
                <xdr:row>1</xdr:row>
                <xdr:rowOff>184150</xdr:rowOff>
              </from>
              <to>
                <xdr:col>1</xdr:col>
                <xdr:colOff>476250</xdr:colOff>
                <xdr:row>2</xdr:row>
                <xdr:rowOff>76200</xdr:rowOff>
              </to>
            </anchor>
          </controlPr>
        </control>
      </mc:Choice>
      <mc:Fallback>
        <control shapeId="1025" r:id="rId4" name="Control 1"/>
      </mc:Fallback>
    </mc:AlternateContent>
  </controls>
  <tableParts count="2">
    <tablePart r:id="rId6"/>
    <tablePart r:id="rId7"/>
  </tableParts>
  <extLst>
    <ext xmlns:x14="http://schemas.microsoft.com/office/spreadsheetml/2009/9/main" uri="{CCE6A557-97BC-4b89-ADB6-D9C93CAAB3DF}">
      <x14:dataValidations xmlns:xm="http://schemas.microsoft.com/office/excel/2006/main" count="5">
        <x14:dataValidation type="list" allowBlank="1" showInputMessage="1" showErrorMessage="1" xr:uid="{3976511A-CE74-416E-9DEB-307C9C25893E}">
          <x14:formula1>
            <xm:f>Keuzelijst_Producten!$U$2:$U$3</xm:f>
          </x14:formula1>
          <xm:sqref>C40 C5:C35</xm:sqref>
        </x14:dataValidation>
        <x14:dataValidation type="list" allowBlank="1" showInputMessage="1" showErrorMessage="1" xr:uid="{FA9180C6-88FF-416B-8903-CC2DA4EAB479}">
          <x14:formula1>
            <xm:f>Keuzelijst_Producten!$A$2:$A$64</xm:f>
          </x14:formula1>
          <xm:sqref>E40</xm:sqref>
        </x14:dataValidation>
        <x14:dataValidation type="list" allowBlank="1" showInputMessage="1" showErrorMessage="1" xr:uid="{1A640D41-45BC-473A-B9FE-EE86D96BBFF9}">
          <x14:formula1>
            <xm:f>Keuzelijst_Producten!$AA$2:$AA$6</xm:f>
          </x14:formula1>
          <xm:sqref>G2</xm:sqref>
        </x14:dataValidation>
        <x14:dataValidation type="list" allowBlank="1" showInputMessage="1" showErrorMessage="1" xr:uid="{A7065756-4CD8-4303-AB6D-A6613EB5B2F2}">
          <x14:formula1>
            <xm:f>Keuzelijst_Producten!$A$2:$A$69</xm:f>
          </x14:formula1>
          <xm:sqref>E5:E35</xm:sqref>
        </x14:dataValidation>
        <x14:dataValidation type="list" allowBlank="1" showInputMessage="1" showErrorMessage="1" xr:uid="{FB29DA56-A8C3-4226-AC28-F30DC8C52585}">
          <x14:formula1>
            <xm:f>Keuzelijst_Producten!$M$2:$M$10</xm:f>
          </x14:formula1>
          <xm:sqref>P5:P35 V5:V35</xm:sqref>
        </x14:dataValidation>
      </x14:dataValidations>
    </ext>
    <ext xmlns:x15="http://schemas.microsoft.com/office/spreadsheetml/2010/11/main" uri="{3A4CF648-6AED-40f4-86FF-DC5316D8AED3}">
      <x14:slicerList xmlns:x14="http://schemas.microsoft.com/office/spreadsheetml/2009/9/main">
        <x14:slicer r:id="rId8"/>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3A029-F3EF-9D44-8100-119BD40DFD88}">
  <sheetPr codeName="Blad3"/>
  <dimension ref="B2:V251"/>
  <sheetViews>
    <sheetView topLeftCell="A166" zoomScale="70" zoomScaleNormal="70" workbookViewId="0">
      <selection activeCell="D99" sqref="D99"/>
    </sheetView>
  </sheetViews>
  <sheetFormatPr defaultColWidth="10.81640625" defaultRowHeight="14.5" x14ac:dyDescent="0.35"/>
  <cols>
    <col min="1" max="1" width="10.81640625" style="18"/>
    <col min="2" max="2" width="14" style="18" customWidth="1"/>
    <col min="3" max="3" width="26.26953125" style="18" bestFit="1" customWidth="1"/>
    <col min="4" max="16" width="13.26953125" style="18" customWidth="1"/>
    <col min="17" max="17" width="16.1796875" style="18" bestFit="1" customWidth="1"/>
    <col min="18" max="16384" width="10.81640625" style="18"/>
  </cols>
  <sheetData>
    <row r="2" spans="2:17" ht="22" x14ac:dyDescent="0.65">
      <c r="B2" s="134" t="s">
        <v>422</v>
      </c>
      <c r="C2" s="134"/>
      <c r="D2" s="134"/>
    </row>
    <row r="3" spans="2:17" ht="18" x14ac:dyDescent="0.55000000000000004">
      <c r="B3" s="23" t="s">
        <v>55</v>
      </c>
      <c r="C3" s="23" t="s">
        <v>4</v>
      </c>
      <c r="D3" s="24" t="s">
        <v>19</v>
      </c>
      <c r="E3" s="25" t="s">
        <v>20</v>
      </c>
      <c r="F3" s="26" t="s">
        <v>21</v>
      </c>
      <c r="G3" s="27" t="s">
        <v>22</v>
      </c>
      <c r="H3" s="28" t="s">
        <v>23</v>
      </c>
      <c r="I3" s="29" t="s">
        <v>24</v>
      </c>
      <c r="J3" s="30" t="s">
        <v>50</v>
      </c>
      <c r="K3" s="31" t="s">
        <v>25</v>
      </c>
      <c r="L3" s="32" t="s">
        <v>26</v>
      </c>
      <c r="M3" s="33" t="s">
        <v>27</v>
      </c>
      <c r="N3" s="34" t="s">
        <v>28</v>
      </c>
      <c r="O3" s="35" t="s">
        <v>51</v>
      </c>
      <c r="P3" s="36" t="s">
        <v>52</v>
      </c>
      <c r="Q3" s="192" t="s">
        <v>16</v>
      </c>
    </row>
    <row r="4" spans="2:17" ht="18" x14ac:dyDescent="0.55000000000000004">
      <c r="B4" s="285" t="str">
        <f>Referentieberekening!B5</f>
        <v xml:space="preserve"> Opbreken betonstraatstenen. </v>
      </c>
      <c r="C4" s="23" t="str">
        <f>Referentieberekening!F5</f>
        <v>Betonstraatsteen 210x105x80</v>
      </c>
      <c r="D4" s="11">
        <f>(IF(Referentieberekening!C5="Nieuwe Situatie",(_xlfn.IFNA(VLOOKUP(Referentie_MKI_Totaal[[#This Row],[Product]]&amp;", "&amp;Referentie_MKI_Totaal[[#Headers],[A1]],Database_Productkaarten[#All],13,FALSE),0)*Referentieberekening!L5),0))</f>
        <v>0</v>
      </c>
      <c r="E4" s="11">
        <f>(IF(Referentieberekening!C5="Nieuwe Situatie",(_xlfn.IFNA(VLOOKUP(Referentie_MKI_Totaal[[#This Row],[Product]]&amp;", "&amp;Referentie_MKI_Totaal[[#Headers],[A2]],Database_Productkaarten[#All],13,FALSE),0)*Referentieberekening!L5),0))</f>
        <v>0</v>
      </c>
      <c r="F4" s="11">
        <f>(IF(Referentieberekening!C5="Nieuwe Situatie",(_xlfn.IFNA(VLOOKUP(Referentie_MKI_Totaal[[#This Row],[Product]]&amp;", "&amp;Referentie_MKI_Totaal[[#Headers],[A3]],Database_Productkaarten[#All],13,FALSE),0)*Referentieberekening!L5),0))</f>
        <v>0</v>
      </c>
      <c r="G4" s="11">
        <f>IF(Referentieberekening!P5=0,(IF(Referentieberekening!C5="Nieuwe Situatie",(_xlfn.IFNA(VLOOKUP(Referentie_MKI_Totaal[[#This Row],[Product]]&amp;", "&amp;Referentie_MKI_Totaal[[#Headers],[A4]],Database_Productkaarten[#All],13,FALSE),0)*Referentieberekening!L5),0)),(IF(Referentieberekening!C5="Nieuwe Situatie",_xlfn.IFNA(VLOOKUP(Referentieberekening!P5,Database_Transport[#All],7,FALSE)*(Referentieberekening!L5*Referentieberekening!O5),0))))</f>
        <v>0</v>
      </c>
      <c r="H4" s="11">
        <f>IF(Referentieberekening!Q5=0,(IF(Referentieberekening!C5="Nieuwe Situatie",(_xlfn.IFNA(VLOOKUP(Referentie_MKI_Totaal[[#This Row],[Product]]&amp;", "&amp;Referentie_MKI_Totaal[[#Headers],[A5]],Database_Productkaarten[#All],13,FALSE),0)*Referentieberekening!L5),0)),_xlfn.IFNA((IF(Referentieberekening!C5="Nieuwe Situatie",(VLOOKUP(Referentieberekening!Q5,Database_Asfalt_Aanlegset[#All],7,FALSE)*Referentieberekening!L5)+IFERROR(((VLOOKUP(Referentieberekening!R5,Database_Overig_Materieel[#All],7,FALSE)*(Referentieberekening!L5/VLOOKUP(Referentieberekening!R5,Database_Overig_Materieel[#All],8,FALSE)))),0),0)),0))</f>
        <v>0</v>
      </c>
      <c r="I4" s="11">
        <f>(IF(Referentieberekening!C5="Nieuwe Situatie",(_xlfn.IFNA(VLOOKUP(Referentie_MKI_Totaal[[#This Row],[Product]]&amp;", "&amp;Referentie_MKI_Totaal[[#Headers],[B1]],Database_Productkaarten[#All],13,FALSE),0)*Referentieberekening!L5),0))</f>
        <v>0</v>
      </c>
      <c r="J4" s="11">
        <f>(IF(Referentieberekening!C5="Nieuwe Situatie",(SUM(Referentie_MKI_Totaal[[#This Row],[A1]:[B1]],Referentie_MKI_Totaal[[#This Row],[C1]:[D2]])*Referentieberekening!N5),0))</f>
        <v>0</v>
      </c>
      <c r="K4" s="11">
        <f>(IF(Referentieberekening!C5="Bestaande Situatie",(_xlfn.IFNA(VLOOKUP(Referentie_MKI_Totaal[[#This Row],[Product]]&amp;", "&amp;Referentie_MKI_Totaal[[#Headers],[C1]],Database_Productkaarten[#All],13,FALSE),0)*Referentieberekening!L5),0))</f>
        <v>0</v>
      </c>
      <c r="L4" s="11">
        <f>(IF(Referentieberekening!C5="Bestaande Situatie",(_xlfn.IFNA(VLOOKUP(Referentie_MKI_Totaal[[#This Row],[Product]]&amp;", "&amp;Referentie_MKI_Totaal[[#Headers],[C2]],Database_Productkaarten[#All],13,FALSE),0)*Referentieberekening!L5),0))</f>
        <v>39.25</v>
      </c>
      <c r="M4" s="11">
        <f>(IF(Referentieberekening!C5="Bestaande Situatie",(_xlfn.IFNA(VLOOKUP(Referentie_MKI_Totaal[[#This Row],[Product]]&amp;", "&amp;Referentie_MKI_Totaal[[#Headers],[C3]],Database_Productkaarten[#All],13,FALSE),0)*Referentieberekening!L5),0))</f>
        <v>88.1875</v>
      </c>
      <c r="N4" s="11">
        <f>(IF(Referentieberekening!C5="Bestaande Situatie",(_xlfn.IFNA(VLOOKUP(Referentie_MKI_Totaal[[#This Row],[Product]]&amp;", "&amp;Referentie_MKI_Totaal[[#Headers],[C4]],Database_Productkaarten[#All],13,FALSE),0)*Referentieberekening!L5),0))</f>
        <v>31.9375</v>
      </c>
      <c r="O4" s="11">
        <f>(IF(Referentieberekening!C5="Bestaande Situatie",(_xlfn.IFNA(VLOOKUP(Referentie_MKI_Totaal[[#This Row],[Product]]&amp;", "&amp;Referentie_MKI_Totaal[[#Headers],[D1]],Database_Productkaarten[#All],13,FALSE),0)*Referentieberekening!L5),0))</f>
        <v>0.8125</v>
      </c>
      <c r="P4" s="38">
        <f>(IF(Referentieberekening!C5="Bestaande Situatie",_xlfn.IFNA(VLOOKUP(Referentie_MKI_Totaal[[#This Row],[Product]]&amp;", "&amp;Referentie_MKI_Totaal[[#Headers],[D2]],Database_Productkaarten[#All],13,FALSE),0)*Referentieberekening!L5,0))</f>
        <v>-59.0625</v>
      </c>
      <c r="Q4" s="191">
        <f>SUM(Referentie_MKI_Totaal[[#This Row],[A1]:[D2]])</f>
        <v>101.125</v>
      </c>
    </row>
    <row r="5" spans="2:17" ht="18" x14ac:dyDescent="0.55000000000000004">
      <c r="B5" s="285" t="str">
        <f>Referentieberekening!B6</f>
        <v>Aanbrengen band 280x300x260 mm, betonrug.</v>
      </c>
      <c r="C5" s="23" t="str">
        <f>Referentieberekening!F6</f>
        <v>Trottoirband 280x300</v>
      </c>
      <c r="D5" s="11">
        <f>(IF(Referentieberekening!C6="Nieuwe Situatie",(_xlfn.IFNA(VLOOKUP(Referentie_MKI_Totaal[[#This Row],[Product]]&amp;", "&amp;Referentie_MKI_Totaal[[#Headers],[A1]],Database_Productkaarten[#All],13,FALSE),0)*Referentieberekening!L6),0))</f>
        <v>2832.9084000000003</v>
      </c>
      <c r="E5" s="11">
        <f>(IF(Referentieberekening!C6="Nieuwe Situatie",(_xlfn.IFNA(VLOOKUP(Referentie_MKI_Totaal[[#This Row],[Product]]&amp;", "&amp;Referentie_MKI_Totaal[[#Headers],[A2]],Database_Productkaarten[#All],13,FALSE),0)*Referentieberekening!L6),0))</f>
        <v>0</v>
      </c>
      <c r="F5" s="11">
        <f>(IF(Referentieberekening!C6="Nieuwe Situatie",(_xlfn.IFNA(VLOOKUP(Referentie_MKI_Totaal[[#This Row],[Product]]&amp;", "&amp;Referentie_MKI_Totaal[[#Headers],[A3]],Database_Productkaarten[#All],13,FALSE),0)*Referentieberekening!L6),0))</f>
        <v>0</v>
      </c>
      <c r="G5" s="11">
        <f>IF(Referentieberekening!P6=0,(IF(Referentieberekening!C6="Nieuwe Situatie",(_xlfn.IFNA(VLOOKUP(Referentie_MKI_Totaal[[#This Row],[Product]]&amp;", "&amp;Referentie_MKI_Totaal[[#Headers],[A4]],Database_Productkaarten[#All],13,FALSE),0)*Referentieberekening!L6),0)),(IF(Referentieberekening!C6="Nieuwe Situatie",_xlfn.IFNA(VLOOKUP(Referentieberekening!P6,Database_Transport[#All],7,FALSE)*(Referentieberekening!L6*Referentieberekening!O6),0))))</f>
        <v>695.45280000000002</v>
      </c>
      <c r="H5" s="11">
        <f>IF(Referentieberekening!Q6=0,(IF(Referentieberekening!C6="Nieuwe Situatie",(_xlfn.IFNA(VLOOKUP(Referentie_MKI_Totaal[[#This Row],[Product]]&amp;", "&amp;Referentie_MKI_Totaal[[#Headers],[A5]],Database_Productkaarten[#All],13,FALSE),0)*Referentieberekening!L6),0)),_xlfn.IFNA((IF(Referentieberekening!C6="Nieuwe Situatie",(VLOOKUP(Referentieberekening!Q6,Database_Asfalt_Aanlegset[#All],7,FALSE)*Referentieberekening!L6)+IFERROR(((VLOOKUP(Referentieberekening!R6,Database_Overig_Materieel[#All],7,FALSE)*(Referentieberekening!L6/VLOOKUP(Referentieberekening!R6,Database_Overig_Materieel[#All],8,FALSE)))),0),0)),0))</f>
        <v>24.49</v>
      </c>
      <c r="I5" s="11">
        <f>(IF(Referentieberekening!C6="Nieuwe Situatie",(_xlfn.IFNA(VLOOKUP(Referentie_MKI_Totaal[[#This Row],[Product]]&amp;", "&amp;Referentie_MKI_Totaal[[#Headers],[B1]],Database_Productkaarten[#All],13,FALSE),0)*Referentieberekening!L6),0))</f>
        <v>0</v>
      </c>
      <c r="J5" s="11">
        <f>(IF(Referentieberekening!C6="Nieuwe Situatie",(SUM(Referentie_MKI_Totaal[[#This Row],[A1]:[B1]],Referentie_MKI_Totaal[[#This Row],[C1]:[D2]])*Referentieberekening!N6),0))</f>
        <v>0</v>
      </c>
      <c r="K5" s="11">
        <f>(IF(Referentieberekening!C6="Bestaande Situatie",(_xlfn.IFNA(VLOOKUP(Referentie_MKI_Totaal[[#This Row],[Product]]&amp;", "&amp;Referentie_MKI_Totaal[[#Headers],[C1]],Database_Productkaarten[#All],13,FALSE),0)*Referentieberekening!L6),0))</f>
        <v>0</v>
      </c>
      <c r="L5" s="11">
        <f>(IF(Referentieberekening!C6="Bestaande Situatie",(_xlfn.IFNA(VLOOKUP(Referentie_MKI_Totaal[[#This Row],[Product]]&amp;", "&amp;Referentie_MKI_Totaal[[#Headers],[C2]],Database_Productkaarten[#All],13,FALSE),0)*Referentieberekening!L6),0))</f>
        <v>0</v>
      </c>
      <c r="M5" s="11">
        <f>(IF(Referentieberekening!C6="Bestaande Situatie",(_xlfn.IFNA(VLOOKUP(Referentie_MKI_Totaal[[#This Row],[Product]]&amp;", "&amp;Referentie_MKI_Totaal[[#Headers],[C3]],Database_Productkaarten[#All],13,FALSE),0)*Referentieberekening!L6),0))</f>
        <v>0</v>
      </c>
      <c r="N5" s="11">
        <f>(IF(Referentieberekening!C6="Bestaande Situatie",(_xlfn.IFNA(VLOOKUP(Referentie_MKI_Totaal[[#This Row],[Product]]&amp;", "&amp;Referentie_MKI_Totaal[[#Headers],[C4]],Database_Productkaarten[#All],13,FALSE),0)*Referentieberekening!L6),0))</f>
        <v>0</v>
      </c>
      <c r="O5" s="11">
        <f>(IF(Referentieberekening!C6="Bestaande Situatie",(_xlfn.IFNA(VLOOKUP(Referentie_MKI_Totaal[[#This Row],[Product]]&amp;", "&amp;Referentie_MKI_Totaal[[#Headers],[D1]],Database_Productkaarten[#All],13,FALSE),0)*Referentieberekening!L6),0))</f>
        <v>0</v>
      </c>
      <c r="P5" s="38">
        <f>(IF(Referentieberekening!C6="Bestaande Situatie",_xlfn.IFNA(VLOOKUP(Referentie_MKI_Totaal[[#This Row],[Product]]&amp;", "&amp;Referentie_MKI_Totaal[[#Headers],[D2]],Database_Productkaarten[#All],13,FALSE),0)*Referentieberekening!L6,0))</f>
        <v>0</v>
      </c>
      <c r="Q5" s="191">
        <f>SUM(Referentie_MKI_Totaal[[#This Row],[A1]:[D2]])</f>
        <v>3552.8512000000001</v>
      </c>
    </row>
    <row r="6" spans="2:17" ht="18" x14ac:dyDescent="0.55000000000000004">
      <c r="B6" s="285" t="str">
        <f>Referentieberekening!B7</f>
        <v>Aanbrengen opsluitband 100x200mm.</v>
      </c>
      <c r="C6" s="23" t="str">
        <f>Referentieberekening!F7</f>
        <v>Opsluitband 100x200</v>
      </c>
      <c r="D6" s="11">
        <f>(IF(Referentieberekening!C7="Nieuwe Situatie",(_xlfn.IFNA(VLOOKUP(Referentie_MKI_Totaal[[#This Row],[Product]]&amp;", "&amp;Referentie_MKI_Totaal[[#Headers],[A1]],Database_Productkaarten[#All],13,FALSE),0)*Referentieberekening!L7),0))</f>
        <v>426.9</v>
      </c>
      <c r="E6" s="11">
        <f>(IF(Referentieberekening!C7="Nieuwe Situatie",(_xlfn.IFNA(VLOOKUP(Referentie_MKI_Totaal[[#This Row],[Product]]&amp;", "&amp;Referentie_MKI_Totaal[[#Headers],[A2]],Database_Productkaarten[#All],13,FALSE),0)*Referentieberekening!L7),0))</f>
        <v>0</v>
      </c>
      <c r="F6" s="11">
        <f>(IF(Referentieberekening!C7="Nieuwe Situatie",(_xlfn.IFNA(VLOOKUP(Referentie_MKI_Totaal[[#This Row],[Product]]&amp;", "&amp;Referentie_MKI_Totaal[[#Headers],[A3]],Database_Productkaarten[#All],13,FALSE),0)*Referentieberekening!L7),0))</f>
        <v>0</v>
      </c>
      <c r="G6" s="11">
        <f>IF(Referentieberekening!P7=0,(IF(Referentieberekening!C7="Nieuwe Situatie",(_xlfn.IFNA(VLOOKUP(Referentie_MKI_Totaal[[#This Row],[Product]]&amp;", "&amp;Referentie_MKI_Totaal[[#Headers],[A4]],Database_Productkaarten[#All],13,FALSE),0)*Referentieberekening!L7),0)),(IF(Referentieberekening!C7="Nieuwe Situatie",_xlfn.IFNA(VLOOKUP(Referentieberekening!P7,Database_Transport[#All],7,FALSE)*(Referentieberekening!L7*Referentieberekening!O7),0))))</f>
        <v>104.80000000000001</v>
      </c>
      <c r="H6" s="11">
        <f>IF(Referentieberekening!Q7=0,(IF(Referentieberekening!C7="Nieuwe Situatie",(_xlfn.IFNA(VLOOKUP(Referentie_MKI_Totaal[[#This Row],[Product]]&amp;", "&amp;Referentie_MKI_Totaal[[#Headers],[A5]],Database_Productkaarten[#All],13,FALSE),0)*Referentieberekening!L7),0)),_xlfn.IFNA((IF(Referentieberekening!C7="Nieuwe Situatie",(VLOOKUP(Referentieberekening!Q7,Database_Asfalt_Aanlegset[#All],7,FALSE)*Referentieberekening!L7)+IFERROR(((VLOOKUP(Referentieberekening!R7,Database_Overig_Materieel[#All],7,FALSE)*(Referentieberekening!L7/VLOOKUP(Referentieberekening!R7,Database_Overig_Materieel[#All],8,FALSE)))),0),0)),0))</f>
        <v>15.5</v>
      </c>
      <c r="I6" s="11">
        <f>(IF(Referentieberekening!C7="Nieuwe Situatie",(_xlfn.IFNA(VLOOKUP(Referentie_MKI_Totaal[[#This Row],[Product]]&amp;", "&amp;Referentie_MKI_Totaal[[#Headers],[B1]],Database_Productkaarten[#All],13,FALSE),0)*Referentieberekening!L7),0))</f>
        <v>0</v>
      </c>
      <c r="J6" s="11">
        <f>(IF(Referentieberekening!C7="Nieuwe Situatie",(SUM(Referentie_MKI_Totaal[[#This Row],[A1]:[B1]],Referentie_MKI_Totaal[[#This Row],[C1]:[D2]])*Referentieberekening!N7),0))</f>
        <v>0</v>
      </c>
      <c r="K6" s="11">
        <f>(IF(Referentieberekening!C7="Bestaande Situatie",(_xlfn.IFNA(VLOOKUP(Referentie_MKI_Totaal[[#This Row],[Product]]&amp;", "&amp;Referentie_MKI_Totaal[[#Headers],[C1]],Database_Productkaarten[#All],13,FALSE),0)*Referentieberekening!L7),0))</f>
        <v>0</v>
      </c>
      <c r="L6" s="11">
        <f>(IF(Referentieberekening!C7="Bestaande Situatie",(_xlfn.IFNA(VLOOKUP(Referentie_MKI_Totaal[[#This Row],[Product]]&amp;", "&amp;Referentie_MKI_Totaal[[#Headers],[C2]],Database_Productkaarten[#All],13,FALSE),0)*Referentieberekening!L7),0))</f>
        <v>0</v>
      </c>
      <c r="M6" s="11">
        <f>(IF(Referentieberekening!C7="Bestaande Situatie",(_xlfn.IFNA(VLOOKUP(Referentie_MKI_Totaal[[#This Row],[Product]]&amp;", "&amp;Referentie_MKI_Totaal[[#Headers],[C3]],Database_Productkaarten[#All],13,FALSE),0)*Referentieberekening!L7),0))</f>
        <v>0</v>
      </c>
      <c r="N6" s="11">
        <f>(IF(Referentieberekening!C7="Bestaande Situatie",(_xlfn.IFNA(VLOOKUP(Referentie_MKI_Totaal[[#This Row],[Product]]&amp;", "&amp;Referentie_MKI_Totaal[[#Headers],[C4]],Database_Productkaarten[#All],13,FALSE),0)*Referentieberekening!L7),0))</f>
        <v>0</v>
      </c>
      <c r="O6" s="11">
        <f>(IF(Referentieberekening!C7="Bestaande Situatie",(_xlfn.IFNA(VLOOKUP(Referentie_MKI_Totaal[[#This Row],[Product]]&amp;", "&amp;Referentie_MKI_Totaal[[#Headers],[D1]],Database_Productkaarten[#All],13,FALSE),0)*Referentieberekening!L7),0))</f>
        <v>0</v>
      </c>
      <c r="P6" s="38">
        <f>(IF(Referentieberekening!C7="Bestaande Situatie",_xlfn.IFNA(VLOOKUP(Referentie_MKI_Totaal[[#This Row],[Product]]&amp;", "&amp;Referentie_MKI_Totaal[[#Headers],[D2]],Database_Productkaarten[#All],13,FALSE),0)*Referentieberekening!L7,0))</f>
        <v>0</v>
      </c>
      <c r="Q6" s="191">
        <f>SUM(Referentie_MKI_Totaal[[#This Row],[A1]:[D2]])</f>
        <v>547.20000000000005</v>
      </c>
    </row>
    <row r="7" spans="2:17" ht="18" x14ac:dyDescent="0.55000000000000004">
      <c r="B7" s="285" t="str">
        <f>Referentieberekening!B8</f>
        <v>Aanbrengen straatlaag van straatzand dik 50 mm.</v>
      </c>
      <c r="C7" s="23" t="str">
        <f>Referentieberekening!F8</f>
        <v>Straatzand</v>
      </c>
      <c r="D7" s="11">
        <f>(IF(Referentieberekening!C8="Nieuwe Situatie",(_xlfn.IFNA(VLOOKUP(Referentie_MKI_Totaal[[#This Row],[Product]]&amp;", "&amp;Referentie_MKI_Totaal[[#Headers],[A1]],Database_Productkaarten[#All],13,FALSE),0)*Referentieberekening!L8),0))</f>
        <v>118.93679999999999</v>
      </c>
      <c r="E7" s="11">
        <f>(IF(Referentieberekening!C8="Nieuwe Situatie",(_xlfn.IFNA(VLOOKUP(Referentie_MKI_Totaal[[#This Row],[Product]]&amp;", "&amp;Referentie_MKI_Totaal[[#Headers],[A2]],Database_Productkaarten[#All],13,FALSE),0)*Referentieberekening!L8),0))</f>
        <v>0</v>
      </c>
      <c r="F7" s="11">
        <f>(IF(Referentieberekening!C8="Nieuwe Situatie",(_xlfn.IFNA(VLOOKUP(Referentie_MKI_Totaal[[#This Row],[Product]]&amp;", "&amp;Referentie_MKI_Totaal[[#Headers],[A3]],Database_Productkaarten[#All],13,FALSE),0)*Referentieberekening!L8),0))</f>
        <v>0</v>
      </c>
      <c r="G7" s="11">
        <f>IF(Referentieberekening!P8=0,(IF(Referentieberekening!C8="Nieuwe Situatie",(_xlfn.IFNA(VLOOKUP(Referentie_MKI_Totaal[[#This Row],[Product]]&amp;", "&amp;Referentie_MKI_Totaal[[#Headers],[A4]],Database_Productkaarten[#All],13,FALSE),0)*Referentieberekening!L8),0)),(IF(Referentieberekening!C8="Nieuwe Situatie",_xlfn.IFNA(VLOOKUP(Referentieberekening!P8,Database_Transport[#All],7,FALSE)*(Referentieberekening!L8*Referentieberekening!O8),0))))</f>
        <v>27.300625736462205</v>
      </c>
      <c r="H7" s="11">
        <f>IF(Referentieberekening!Q8=0,(IF(Referentieberekening!C8="Nieuwe Situatie",(_xlfn.IFNA(VLOOKUP(Referentie_MKI_Totaal[[#This Row],[Product]]&amp;", "&amp;Referentie_MKI_Totaal[[#Headers],[A5]],Database_Productkaarten[#All],13,FALSE),0)*Referentieberekening!L8),0)),_xlfn.IFNA((IF(Referentieberekening!C8="Nieuwe Situatie",(VLOOKUP(Referentieberekening!Q8,Database_Asfalt_Aanlegset[#All],7,FALSE)*Referentieberekening!L8)+IFERROR(((VLOOKUP(Referentieberekening!R8,Database_Overig_Materieel[#All],7,FALSE)*(Referentieberekening!L8/VLOOKUP(Referentieberekening!R8,Database_Overig_Materieel[#All],8,FALSE)))),0),0)),0))</f>
        <v>2.5202755706354361</v>
      </c>
      <c r="I7" s="11">
        <f>(IF(Referentieberekening!C8="Nieuwe Situatie",(_xlfn.IFNA(VLOOKUP(Referentie_MKI_Totaal[[#This Row],[Product]]&amp;", "&amp;Referentie_MKI_Totaal[[#Headers],[B1]],Database_Productkaarten[#All],13,FALSE),0)*Referentieberekening!L8),0))</f>
        <v>0</v>
      </c>
      <c r="J7" s="11">
        <f>(IF(Referentieberekening!C8="Nieuwe Situatie",(SUM(Referentie_MKI_Totaal[[#This Row],[A1]:[B1]],Referentie_MKI_Totaal[[#This Row],[C1]:[D2]])*Referentieberekening!N8),0))</f>
        <v>0</v>
      </c>
      <c r="K7" s="11">
        <f>(IF(Referentieberekening!C8="Bestaande Situatie",(_xlfn.IFNA(VLOOKUP(Referentie_MKI_Totaal[[#This Row],[Product]]&amp;", "&amp;Referentie_MKI_Totaal[[#Headers],[C1]],Database_Productkaarten[#All],13,FALSE),0)*Referentieberekening!L8),0))</f>
        <v>0</v>
      </c>
      <c r="L7" s="11">
        <f>(IF(Referentieberekening!C8="Bestaande Situatie",(_xlfn.IFNA(VLOOKUP(Referentie_MKI_Totaal[[#This Row],[Product]]&amp;", "&amp;Referentie_MKI_Totaal[[#Headers],[C2]],Database_Productkaarten[#All],13,FALSE),0)*Referentieberekening!L8),0))</f>
        <v>0</v>
      </c>
      <c r="M7" s="11">
        <f>(IF(Referentieberekening!C8="Bestaande Situatie",(_xlfn.IFNA(VLOOKUP(Referentie_MKI_Totaal[[#This Row],[Product]]&amp;", "&amp;Referentie_MKI_Totaal[[#Headers],[C3]],Database_Productkaarten[#All],13,FALSE),0)*Referentieberekening!L8),0))</f>
        <v>0</v>
      </c>
      <c r="N7" s="11">
        <f>(IF(Referentieberekening!C8="Bestaande Situatie",(_xlfn.IFNA(VLOOKUP(Referentie_MKI_Totaal[[#This Row],[Product]]&amp;", "&amp;Referentie_MKI_Totaal[[#Headers],[C4]],Database_Productkaarten[#All],13,FALSE),0)*Referentieberekening!L8),0))</f>
        <v>0</v>
      </c>
      <c r="O7" s="11">
        <f>(IF(Referentieberekening!C8="Bestaande Situatie",(_xlfn.IFNA(VLOOKUP(Referentie_MKI_Totaal[[#This Row],[Product]]&amp;", "&amp;Referentie_MKI_Totaal[[#Headers],[D1]],Database_Productkaarten[#All],13,FALSE),0)*Referentieberekening!L8),0))</f>
        <v>0</v>
      </c>
      <c r="P7" s="38">
        <f>(IF(Referentieberekening!C8="Bestaande Situatie",_xlfn.IFNA(VLOOKUP(Referentie_MKI_Totaal[[#This Row],[Product]]&amp;", "&amp;Referentie_MKI_Totaal[[#Headers],[D2]],Database_Productkaarten[#All],13,FALSE),0)*Referentieberekening!L8,0))</f>
        <v>0</v>
      </c>
      <c r="Q7" s="191">
        <f>SUM(Referentie_MKI_Totaal[[#This Row],[A1]:[D2]])</f>
        <v>148.75770130709765</v>
      </c>
    </row>
    <row r="8" spans="2:17" ht="18" x14ac:dyDescent="0.55000000000000004">
      <c r="B8" s="285" t="str">
        <f>Referentieberekening!B9</f>
        <v>Aanbrengen betontegels 300x300x45 mm.</v>
      </c>
      <c r="C8" s="23" t="str">
        <f>Referentieberekening!F9</f>
        <v>Betontegel 300x300x45</v>
      </c>
      <c r="D8" s="11">
        <f>(IF(Referentieberekening!C9="Nieuwe Situatie",(_xlfn.IFNA(VLOOKUP(Referentie_MKI_Totaal[[#This Row],[Product]]&amp;", "&amp;Referentie_MKI_Totaal[[#Headers],[A1]],Database_Productkaarten[#All],13,FALSE),0)*Referentieberekening!L9),0))</f>
        <v>693.43200000000002</v>
      </c>
      <c r="E8" s="11">
        <f>(IF(Referentieberekening!C9="Nieuwe Situatie",(_xlfn.IFNA(VLOOKUP(Referentie_MKI_Totaal[[#This Row],[Product]]&amp;", "&amp;Referentie_MKI_Totaal[[#Headers],[A2]],Database_Productkaarten[#All],13,FALSE),0)*Referentieberekening!L9),0))</f>
        <v>0</v>
      </c>
      <c r="F8" s="11">
        <f>(IF(Referentieberekening!C9="Nieuwe Situatie",(_xlfn.IFNA(VLOOKUP(Referentie_MKI_Totaal[[#This Row],[Product]]&amp;", "&amp;Referentie_MKI_Totaal[[#Headers],[A3]],Database_Productkaarten[#All],13,FALSE),0)*Referentieberekening!L9),0))</f>
        <v>0</v>
      </c>
      <c r="G8" s="11">
        <f>IF(Referentieberekening!P9=0,(IF(Referentieberekening!C9="Nieuwe Situatie",(_xlfn.IFNA(VLOOKUP(Referentie_MKI_Totaal[[#This Row],[Product]]&amp;", "&amp;Referentie_MKI_Totaal[[#Headers],[A4]],Database_Productkaarten[#All],13,FALSE),0)*Referentieberekening!L9),0)),(IF(Referentieberekening!C9="Nieuwe Situatie",_xlfn.IFNA(VLOOKUP(Referentieberekening!P9,Database_Transport[#All],7,FALSE)*(Referentieberekening!L9*Referentieberekening!O9),0))))</f>
        <v>169.84800000000001</v>
      </c>
      <c r="H8" s="11">
        <f>IF(Referentieberekening!Q9=0,(IF(Referentieberekening!C9="Nieuwe Situatie",(_xlfn.IFNA(VLOOKUP(Referentie_MKI_Totaal[[#This Row],[Product]]&amp;", "&amp;Referentie_MKI_Totaal[[#Headers],[A5]],Database_Productkaarten[#All],13,FALSE),0)*Referentieberekening!L9),0)),_xlfn.IFNA((IF(Referentieberekening!C9="Nieuwe Situatie",(VLOOKUP(Referentieberekening!Q9,Database_Asfalt_Aanlegset[#All],7,FALSE)*Referentieberekening!L9)+IFERROR(((VLOOKUP(Referentieberekening!R9,Database_Overig_Materieel[#All],7,FALSE)*(Referentieberekening!L9/VLOOKUP(Referentieberekening!R9,Database_Overig_Materieel[#All],8,FALSE)))),0),0)),0))</f>
        <v>81.864000000000004</v>
      </c>
      <c r="I8" s="11">
        <f>(IF(Referentieberekening!C9="Nieuwe Situatie",(_xlfn.IFNA(VLOOKUP(Referentie_MKI_Totaal[[#This Row],[Product]]&amp;", "&amp;Referentie_MKI_Totaal[[#Headers],[B1]],Database_Productkaarten[#All],13,FALSE),0)*Referentieberekening!L9),0))</f>
        <v>0</v>
      </c>
      <c r="J8" s="11">
        <f>(IF(Referentieberekening!C9="Nieuwe Situatie",(SUM(Referentie_MKI_Totaal[[#This Row],[A1]:[B1]],Referentie_MKI_Totaal[[#This Row],[C1]:[D2]])*Referentieberekening!N9),0))</f>
        <v>0</v>
      </c>
      <c r="K8" s="11">
        <f>(IF(Referentieberekening!C9="Bestaande Situatie",(_xlfn.IFNA(VLOOKUP(Referentie_MKI_Totaal[[#This Row],[Product]]&amp;", "&amp;Referentie_MKI_Totaal[[#Headers],[C1]],Database_Productkaarten[#All],13,FALSE),0)*Referentieberekening!L9),0))</f>
        <v>0</v>
      </c>
      <c r="L8" s="11">
        <f>(IF(Referentieberekening!C9="Bestaande Situatie",(_xlfn.IFNA(VLOOKUP(Referentie_MKI_Totaal[[#This Row],[Product]]&amp;", "&amp;Referentie_MKI_Totaal[[#Headers],[C2]],Database_Productkaarten[#All],13,FALSE),0)*Referentieberekening!L9),0))</f>
        <v>0</v>
      </c>
      <c r="M8" s="11">
        <f>(IF(Referentieberekening!C9="Bestaande Situatie",(_xlfn.IFNA(VLOOKUP(Referentie_MKI_Totaal[[#This Row],[Product]]&amp;", "&amp;Referentie_MKI_Totaal[[#Headers],[C3]],Database_Productkaarten[#All],13,FALSE),0)*Referentieberekening!L9),0))</f>
        <v>0</v>
      </c>
      <c r="N8" s="11">
        <f>(IF(Referentieberekening!C9="Bestaande Situatie",(_xlfn.IFNA(VLOOKUP(Referentie_MKI_Totaal[[#This Row],[Product]]&amp;", "&amp;Referentie_MKI_Totaal[[#Headers],[C4]],Database_Productkaarten[#All],13,FALSE),0)*Referentieberekening!L9),0))</f>
        <v>0</v>
      </c>
      <c r="O8" s="11">
        <f>(IF(Referentieberekening!C9="Bestaande Situatie",(_xlfn.IFNA(VLOOKUP(Referentie_MKI_Totaal[[#This Row],[Product]]&amp;", "&amp;Referentie_MKI_Totaal[[#Headers],[D1]],Database_Productkaarten[#All],13,FALSE),0)*Referentieberekening!L9),0))</f>
        <v>0</v>
      </c>
      <c r="P8" s="38">
        <f>(IF(Referentieberekening!C9="Bestaande Situatie",_xlfn.IFNA(VLOOKUP(Referentie_MKI_Totaal[[#This Row],[Product]]&amp;", "&amp;Referentie_MKI_Totaal[[#Headers],[D2]],Database_Productkaarten[#All],13,FALSE),0)*Referentieberekening!L9,0))</f>
        <v>0</v>
      </c>
      <c r="Q8" s="191">
        <f>SUM(Referentie_MKI_Totaal[[#This Row],[A1]:[D2]])</f>
        <v>945.14400000000001</v>
      </c>
    </row>
    <row r="9" spans="2:17" ht="18" x14ac:dyDescent="0.55000000000000004">
      <c r="B9" s="285" t="str">
        <f>Referentieberekening!B10</f>
        <v xml:space="preserve"> Opbreken asfaltverharding, dik 120 mm. </v>
      </c>
      <c r="C9" s="23" t="str">
        <f>Referentieberekening!F10</f>
        <v>AC bin/base 50% PR - PCR 1.0</v>
      </c>
      <c r="D9" s="11">
        <f>(IF(Referentieberekening!C10="Nieuwe Situatie",(_xlfn.IFNA(VLOOKUP(Referentie_MKI_Totaal[[#This Row],[Product]]&amp;", "&amp;Referentie_MKI_Totaal[[#Headers],[A1]],Database_Productkaarten[#All],13,FALSE),0)*Referentieberekening!L10),0))</f>
        <v>0</v>
      </c>
      <c r="E9" s="11">
        <f>(IF(Referentieberekening!C10="Nieuwe Situatie",(_xlfn.IFNA(VLOOKUP(Referentie_MKI_Totaal[[#This Row],[Product]]&amp;", "&amp;Referentie_MKI_Totaal[[#Headers],[A2]],Database_Productkaarten[#All],13,FALSE),0)*Referentieberekening!L10),0))</f>
        <v>0</v>
      </c>
      <c r="F9" s="11">
        <f>(IF(Referentieberekening!C10="Nieuwe Situatie",(_xlfn.IFNA(VLOOKUP(Referentie_MKI_Totaal[[#This Row],[Product]]&amp;", "&amp;Referentie_MKI_Totaal[[#Headers],[A3]],Database_Productkaarten[#All],13,FALSE),0)*Referentieberekening!L10),0))</f>
        <v>0</v>
      </c>
      <c r="G9" s="11">
        <f>IF(Referentieberekening!P10=0,(IF(Referentieberekening!C10="Nieuwe Situatie",(_xlfn.IFNA(VLOOKUP(Referentie_MKI_Totaal[[#This Row],[Product]]&amp;", "&amp;Referentie_MKI_Totaal[[#Headers],[A4]],Database_Productkaarten[#All],13,FALSE),0)*Referentieberekening!L10),0)),(IF(Referentieberekening!C10="Nieuwe Situatie",_xlfn.IFNA(VLOOKUP(Referentieberekening!P10,Database_Transport[#All],7,FALSE)*(Referentieberekening!L10*Referentieberekening!O10),0))))</f>
        <v>0</v>
      </c>
      <c r="H9" s="11">
        <f>IF(Referentieberekening!Q10=0,(IF(Referentieberekening!C10="Nieuwe Situatie",(_xlfn.IFNA(VLOOKUP(Referentie_MKI_Totaal[[#This Row],[Product]]&amp;", "&amp;Referentie_MKI_Totaal[[#Headers],[A5]],Database_Productkaarten[#All],13,FALSE),0)*Referentieberekening!L10),0)),_xlfn.IFNA((IF(Referentieberekening!C10="Nieuwe Situatie",(VLOOKUP(Referentieberekening!Q10,Database_Asfalt_Aanlegset[#All],7,FALSE)*Referentieberekening!L10)+IFERROR(((VLOOKUP(Referentieberekening!R10,Database_Overig_Materieel[#All],7,FALSE)*(Referentieberekening!L10/VLOOKUP(Referentieberekening!R10,Database_Overig_Materieel[#All],8,FALSE)))),0),0)),0))</f>
        <v>0</v>
      </c>
      <c r="I9" s="11">
        <f>(IF(Referentieberekening!C10="Nieuwe Situatie",(_xlfn.IFNA(VLOOKUP(Referentie_MKI_Totaal[[#This Row],[Product]]&amp;", "&amp;Referentie_MKI_Totaal[[#Headers],[B1]],Database_Productkaarten[#All],13,FALSE),0)*Referentieberekening!L10),0))</f>
        <v>0</v>
      </c>
      <c r="J9" s="11">
        <f>(IF(Referentieberekening!C10="Nieuwe Situatie",(SUM(Referentie_MKI_Totaal[[#This Row],[A1]:[B1]],Referentie_MKI_Totaal[[#This Row],[C1]:[D2]])*Referentieberekening!N10),0))</f>
        <v>0</v>
      </c>
      <c r="K9" s="11">
        <f>(IF(Referentieberekening!C10="Bestaande Situatie",(_xlfn.IFNA(VLOOKUP(Referentie_MKI_Totaal[[#This Row],[Product]]&amp;", "&amp;Referentie_MKI_Totaal[[#Headers],[C1]],Database_Productkaarten[#All],13,FALSE),0)*Referentieberekening!L10),0))</f>
        <v>9.9532273420799999</v>
      </c>
      <c r="L9" s="11">
        <f>(IF(Referentieberekening!C10="Bestaande Situatie",(_xlfn.IFNA(VLOOKUP(Referentie_MKI_Totaal[[#This Row],[Product]]&amp;", "&amp;Referentie_MKI_Totaal[[#Headers],[C2]],Database_Productkaarten[#All],13,FALSE),0)*Referentieberekening!L10),0))</f>
        <v>19.675342882799999</v>
      </c>
      <c r="M9" s="11">
        <f>(IF(Referentieberekening!C10="Bestaande Situatie",(_xlfn.IFNA(VLOOKUP(Referentie_MKI_Totaal[[#This Row],[Product]]&amp;", "&amp;Referentie_MKI_Totaal[[#Headers],[C3]],Database_Productkaarten[#All],13,FALSE),0)*Referentieberekening!L10),0))</f>
        <v>5.0430480605999994</v>
      </c>
      <c r="N9" s="11">
        <f>(IF(Referentieberekening!C10="Bestaande Situatie",(_xlfn.IFNA(VLOOKUP(Referentie_MKI_Totaal[[#This Row],[Product]]&amp;", "&amp;Referentie_MKI_Totaal[[#Headers],[C4]],Database_Productkaarten[#All],13,FALSE),0)*Referentieberekening!L10),0))</f>
        <v>0</v>
      </c>
      <c r="O9" s="11">
        <f>(IF(Referentieberekening!C10="Bestaande Situatie",(_xlfn.IFNA(VLOOKUP(Referentie_MKI_Totaal[[#This Row],[Product]]&amp;", "&amp;Referentie_MKI_Totaal[[#Headers],[D1]],Database_Productkaarten[#All],13,FALSE),0)*Referentieberekening!L10),0))</f>
        <v>-56.886463256531989</v>
      </c>
      <c r="P9" s="38">
        <f>(IF(Referentieberekening!C10="Bestaande Situatie",_xlfn.IFNA(VLOOKUP(Referentie_MKI_Totaal[[#This Row],[Product]]&amp;", "&amp;Referentie_MKI_Totaal[[#Headers],[D2]],Database_Productkaarten[#All],13,FALSE),0)*Referentieberekening!L10,0))</f>
        <v>-23.041915586729747</v>
      </c>
      <c r="Q9" s="191">
        <f>SUM(Referentie_MKI_Totaal[[#This Row],[A1]:[D2]])</f>
        <v>-45.256760557781732</v>
      </c>
    </row>
    <row r="10" spans="2:17" ht="18" x14ac:dyDescent="0.55000000000000004">
      <c r="B10" s="285" t="str">
        <f>Referentieberekening!B11</f>
        <v xml:space="preserve"> Frezen asfalt dik 30 mm - fietspad. </v>
      </c>
      <c r="C10" s="23" t="str">
        <f>Referentieberekening!F11</f>
        <v>SMA 8-11 - PCR 1.0</v>
      </c>
      <c r="D10" s="11">
        <f>(IF(Referentieberekening!C11="Nieuwe Situatie",(_xlfn.IFNA(VLOOKUP(Referentie_MKI_Totaal[[#This Row],[Product]]&amp;", "&amp;Referentie_MKI_Totaal[[#Headers],[A1]],Database_Productkaarten[#All],13,FALSE),0)*Referentieberekening!L11),0))</f>
        <v>0</v>
      </c>
      <c r="E10" s="11">
        <f>(IF(Referentieberekening!C11="Nieuwe Situatie",(_xlfn.IFNA(VLOOKUP(Referentie_MKI_Totaal[[#This Row],[Product]]&amp;", "&amp;Referentie_MKI_Totaal[[#Headers],[A2]],Database_Productkaarten[#All],13,FALSE),0)*Referentieberekening!L11),0))</f>
        <v>0</v>
      </c>
      <c r="F10" s="11">
        <f>(IF(Referentieberekening!C11="Nieuwe Situatie",(_xlfn.IFNA(VLOOKUP(Referentie_MKI_Totaal[[#This Row],[Product]]&amp;", "&amp;Referentie_MKI_Totaal[[#Headers],[A3]],Database_Productkaarten[#All],13,FALSE),0)*Referentieberekening!L11),0))</f>
        <v>0</v>
      </c>
      <c r="G10" s="11">
        <f>IF(Referentieberekening!P11=0,(IF(Referentieberekening!C11="Nieuwe Situatie",(_xlfn.IFNA(VLOOKUP(Referentie_MKI_Totaal[[#This Row],[Product]]&amp;", "&amp;Referentie_MKI_Totaal[[#Headers],[A4]],Database_Productkaarten[#All],13,FALSE),0)*Referentieberekening!L11),0)),(IF(Referentieberekening!C11="Nieuwe Situatie",_xlfn.IFNA(VLOOKUP(Referentieberekening!P11,Database_Transport[#All],7,FALSE)*(Referentieberekening!L11*Referentieberekening!O11),0))))</f>
        <v>0</v>
      </c>
      <c r="H10" s="11">
        <f>IF(Referentieberekening!Q11=0,(IF(Referentieberekening!C11="Nieuwe Situatie",(_xlfn.IFNA(VLOOKUP(Referentie_MKI_Totaal[[#This Row],[Product]]&amp;", "&amp;Referentie_MKI_Totaal[[#Headers],[A5]],Database_Productkaarten[#All],13,FALSE),0)*Referentieberekening!L11),0)),_xlfn.IFNA((IF(Referentieberekening!C11="Nieuwe Situatie",(VLOOKUP(Referentieberekening!Q11,Database_Asfalt_Aanlegset[#All],7,FALSE)*Referentieberekening!L11)+IFERROR(((VLOOKUP(Referentieberekening!R11,Database_Overig_Materieel[#All],7,FALSE)*(Referentieberekening!L11/VLOOKUP(Referentieberekening!R11,Database_Overig_Materieel[#All],8,FALSE)))),0),0)),0))</f>
        <v>0</v>
      </c>
      <c r="I10" s="11">
        <f>(IF(Referentieberekening!C11="Nieuwe Situatie",(_xlfn.IFNA(VLOOKUP(Referentie_MKI_Totaal[[#This Row],[Product]]&amp;", "&amp;Referentie_MKI_Totaal[[#Headers],[B1]],Database_Productkaarten[#All],13,FALSE),0)*Referentieberekening!L11),0))</f>
        <v>0</v>
      </c>
      <c r="J10" s="11">
        <f>(IF(Referentieberekening!C11="Nieuwe Situatie",(SUM(Referentie_MKI_Totaal[[#This Row],[A1]:[B1]],Referentie_MKI_Totaal[[#This Row],[C1]:[D2]])*Referentieberekening!N11),0))</f>
        <v>0</v>
      </c>
      <c r="K10" s="11">
        <f>(IF(Referentieberekening!C11="Bestaande Situatie",(_xlfn.IFNA(VLOOKUP(Referentie_MKI_Totaal[[#This Row],[Product]]&amp;", "&amp;Referentie_MKI_Totaal[[#Headers],[C1]],Database_Productkaarten[#All],13,FALSE),0)*Referentieberekening!L11),0))</f>
        <v>2.6444020721249997</v>
      </c>
      <c r="L10" s="11">
        <f>(IF(Referentieberekening!C11="Bestaande Situatie",(_xlfn.IFNA(VLOOKUP(Referentie_MKI_Totaal[[#This Row],[Product]]&amp;", "&amp;Referentie_MKI_Totaal[[#Headers],[C2]],Database_Productkaarten[#All],13,FALSE),0)*Referentieberekening!L11),0))</f>
        <v>12.193316396249999</v>
      </c>
      <c r="M10" s="11">
        <f>(IF(Referentieberekening!C11="Bestaande Situatie",(_xlfn.IFNA(VLOOKUP(Referentie_MKI_Totaal[[#This Row],[Product]]&amp;", "&amp;Referentie_MKI_Totaal[[#Headers],[C3]],Database_Productkaarten[#All],13,FALSE),0)*Referentieberekening!L11),0))</f>
        <v>3.1253066831249998</v>
      </c>
      <c r="N10" s="11">
        <f>(IF(Referentieberekening!C11="Bestaande Situatie",(_xlfn.IFNA(VLOOKUP(Referentie_MKI_Totaal[[#This Row],[Product]]&amp;", "&amp;Referentie_MKI_Totaal[[#Headers],[C4]],Database_Productkaarten[#All],13,FALSE),0)*Referentieberekening!L11),0))</f>
        <v>0</v>
      </c>
      <c r="O10" s="11">
        <f>(IF(Referentieberekening!C11="Bestaande Situatie",(_xlfn.IFNA(VLOOKUP(Referentie_MKI_Totaal[[#This Row],[Product]]&amp;", "&amp;Referentie_MKI_Totaal[[#Headers],[D1]],Database_Productkaarten[#All],13,FALSE),0)*Referentieberekening!L11),0))</f>
        <v>-84.950447730512735</v>
      </c>
      <c r="P10" s="38">
        <f>(IF(Referentieberekening!C11="Bestaande Situatie",_xlfn.IFNA(VLOOKUP(Referentie_MKI_Totaal[[#This Row],[Product]]&amp;", "&amp;Referentie_MKI_Totaal[[#Headers],[D2]],Database_Productkaarten[#All],13,FALSE),0)*Referentieberekening!L11,0))</f>
        <v>-28.57462897156363</v>
      </c>
      <c r="Q10" s="191">
        <f>SUM(Referentie_MKI_Totaal[[#This Row],[A1]:[D2]])</f>
        <v>-95.562051550576356</v>
      </c>
    </row>
    <row r="11" spans="2:17" ht="18" x14ac:dyDescent="0.55000000000000004">
      <c r="B11" s="285" t="str">
        <f>Referentieberekening!B12</f>
        <v>Aanbrengen menggranulaat, dik 300 mm - rijweg.</v>
      </c>
      <c r="C11" s="23" t="str">
        <f>Referentieberekening!F12</f>
        <v>Menggranulaat 0/31,5</v>
      </c>
      <c r="D11" s="11">
        <f>(IF(Referentieberekening!C12="Nieuwe Situatie",(_xlfn.IFNA(VLOOKUP(Referentie_MKI_Totaal[[#This Row],[Product]]&amp;", "&amp;Referentie_MKI_Totaal[[#Headers],[A1]],Database_Productkaarten[#All],13,FALSE),0)*Referentieberekening!L12),0))</f>
        <v>0</v>
      </c>
      <c r="E11" s="11">
        <f>(IF(Referentieberekening!C12="Nieuwe Situatie",(_xlfn.IFNA(VLOOKUP(Referentie_MKI_Totaal[[#This Row],[Product]]&amp;", "&amp;Referentie_MKI_Totaal[[#Headers],[A2]],Database_Productkaarten[#All],13,FALSE),0)*Referentieberekening!L12),0))</f>
        <v>0</v>
      </c>
      <c r="F11" s="11">
        <f>(IF(Referentieberekening!C12="Nieuwe Situatie",(_xlfn.IFNA(VLOOKUP(Referentie_MKI_Totaal[[#This Row],[Product]]&amp;", "&amp;Referentie_MKI_Totaal[[#Headers],[A3]],Database_Productkaarten[#All],13,FALSE),0)*Referentieberekening!L12),0))</f>
        <v>0</v>
      </c>
      <c r="G11" s="11">
        <f>IF(Referentieberekening!P12=0,(IF(Referentieberekening!C12="Nieuwe Situatie",(_xlfn.IFNA(VLOOKUP(Referentie_MKI_Totaal[[#This Row],[Product]]&amp;", "&amp;Referentie_MKI_Totaal[[#Headers],[A4]],Database_Productkaarten[#All],13,FALSE),0)*Referentieberekening!L12),0)),(IF(Referentieberekening!C12="Nieuwe Situatie",_xlfn.IFNA(VLOOKUP(Referentieberekening!P12,Database_Transport[#All],7,FALSE)*(Referentieberekening!L12*Referentieberekening!O12),0))))</f>
        <v>1836.3936530542155</v>
      </c>
      <c r="H11" s="11">
        <f>IF(Referentieberekening!Q12=0,(IF(Referentieberekening!C12="Nieuwe Situatie",(_xlfn.IFNA(VLOOKUP(Referentie_MKI_Totaal[[#This Row],[Product]]&amp;", "&amp;Referentie_MKI_Totaal[[#Headers],[A5]],Database_Productkaarten[#All],13,FALSE),0)*Referentieberekening!L12),0)),_xlfn.IFNA((IF(Referentieberekening!C12="Nieuwe Situatie",(VLOOKUP(Referentieberekening!Q12,Database_Asfalt_Aanlegset[#All],7,FALSE)*Referentieberekening!L12)+IFERROR(((VLOOKUP(Referentieberekening!R12,Database_Overig_Materieel[#All],7,FALSE)*(Referentieberekening!L12/VLOOKUP(Referentieberekening!R12,Database_Overig_Materieel[#All],8,FALSE)))),0),0)),0))</f>
        <v>150.69147682757716</v>
      </c>
      <c r="I11" s="11">
        <f>(IF(Referentieberekening!C12="Nieuwe Situatie",(_xlfn.IFNA(VLOOKUP(Referentie_MKI_Totaal[[#This Row],[Product]]&amp;", "&amp;Referentie_MKI_Totaal[[#Headers],[B1]],Database_Productkaarten[#All],13,FALSE),0)*Referentieberekening!L12),0))</f>
        <v>0</v>
      </c>
      <c r="J11" s="11">
        <f>(IF(Referentieberekening!C12="Nieuwe Situatie",(SUM(Referentie_MKI_Totaal[[#This Row],[A1]:[B1]],Referentie_MKI_Totaal[[#This Row],[C1]:[D2]])*Referentieberekening!N12),0))</f>
        <v>0</v>
      </c>
      <c r="K11" s="11">
        <f>(IF(Referentieberekening!C12="Bestaande Situatie",(_xlfn.IFNA(VLOOKUP(Referentie_MKI_Totaal[[#This Row],[Product]]&amp;", "&amp;Referentie_MKI_Totaal[[#Headers],[C1]],Database_Productkaarten[#All],13,FALSE),0)*Referentieberekening!L12),0))</f>
        <v>0</v>
      </c>
      <c r="L11" s="11">
        <f>(IF(Referentieberekening!C12="Bestaande Situatie",(_xlfn.IFNA(VLOOKUP(Referentie_MKI_Totaal[[#This Row],[Product]]&amp;", "&amp;Referentie_MKI_Totaal[[#Headers],[C2]],Database_Productkaarten[#All],13,FALSE),0)*Referentieberekening!L12),0))</f>
        <v>0</v>
      </c>
      <c r="M11" s="11">
        <f>(IF(Referentieberekening!C12="Bestaande Situatie",(_xlfn.IFNA(VLOOKUP(Referentie_MKI_Totaal[[#This Row],[Product]]&amp;", "&amp;Referentie_MKI_Totaal[[#Headers],[C3]],Database_Productkaarten[#All],13,FALSE),0)*Referentieberekening!L12),0))</f>
        <v>0</v>
      </c>
      <c r="N11" s="11">
        <f>(IF(Referentieberekening!C12="Bestaande Situatie",(_xlfn.IFNA(VLOOKUP(Referentie_MKI_Totaal[[#This Row],[Product]]&amp;", "&amp;Referentie_MKI_Totaal[[#Headers],[C4]],Database_Productkaarten[#All],13,FALSE),0)*Referentieberekening!L12),0))</f>
        <v>0</v>
      </c>
      <c r="O11" s="11">
        <f>(IF(Referentieberekening!C12="Bestaande Situatie",(_xlfn.IFNA(VLOOKUP(Referentie_MKI_Totaal[[#This Row],[Product]]&amp;", "&amp;Referentie_MKI_Totaal[[#Headers],[D1]],Database_Productkaarten[#All],13,FALSE),0)*Referentieberekening!L12),0))</f>
        <v>0</v>
      </c>
      <c r="P11" s="38">
        <f>(IF(Referentieberekening!C12="Bestaande Situatie",_xlfn.IFNA(VLOOKUP(Referentie_MKI_Totaal[[#This Row],[Product]]&amp;", "&amp;Referentie_MKI_Totaal[[#Headers],[D2]],Database_Productkaarten[#All],13,FALSE),0)*Referentieberekening!L12,0))</f>
        <v>0</v>
      </c>
      <c r="Q11" s="191">
        <f>SUM(Referentie_MKI_Totaal[[#This Row],[A1]:[D2]])</f>
        <v>1987.0851298817927</v>
      </c>
    </row>
    <row r="12" spans="2:17" ht="18" x14ac:dyDescent="0.55000000000000004">
      <c r="B12" s="285" t="str">
        <f>Referentieberekening!B13</f>
        <v>Aanbrengen onderlaag AC 22 base, dik 70 mm.</v>
      </c>
      <c r="C12" s="23" t="str">
        <f>Referentieberekening!F13</f>
        <v>AC bin/base 50% PR - PCR 2.0</v>
      </c>
      <c r="D12" s="11">
        <f>(IF(Referentieberekening!C13="Nieuwe Situatie",(_xlfn.IFNA(VLOOKUP(Referentie_MKI_Totaal[[#This Row],[Product]]&amp;", "&amp;Referentie_MKI_Totaal[[#Headers],[A1]],Database_Productkaarten[#All],13,FALSE),0)*Referentieberekening!L13),0))</f>
        <v>3109.7606626435895</v>
      </c>
      <c r="E12" s="11">
        <f>(IF(Referentieberekening!C13="Nieuwe Situatie",(_xlfn.IFNA(VLOOKUP(Referentie_MKI_Totaal[[#This Row],[Product]]&amp;", "&amp;Referentie_MKI_Totaal[[#Headers],[A2]],Database_Productkaarten[#All],13,FALSE),0)*Referentieberekening!L13),0))</f>
        <v>1642.7024755353477</v>
      </c>
      <c r="F12" s="11">
        <f>(IF(Referentieberekening!C13="Nieuwe Situatie",(_xlfn.IFNA(VLOOKUP(Referentie_MKI_Totaal[[#This Row],[Product]]&amp;", "&amp;Referentie_MKI_Totaal[[#Headers],[A3]],Database_Productkaarten[#All],13,FALSE),0)*Referentieberekening!L13),0))</f>
        <v>1871.153841351862</v>
      </c>
      <c r="G12" s="11">
        <f>IF(Referentieberekening!P13=0,(IF(Referentieberekening!C13="Nieuwe Situatie",(_xlfn.IFNA(VLOOKUP(Referentie_MKI_Totaal[[#This Row],[Product]]&amp;", "&amp;Referentie_MKI_Totaal[[#Headers],[A4]],Database_Productkaarten[#All],13,FALSE),0)*Referentieberekening!L13),0)),(IF(Referentieberekening!C13="Nieuwe Situatie",_xlfn.IFNA(VLOOKUP(Referentieberekening!P13,Database_Transport[#All],7,FALSE)*(Referentieberekening!L13*Referentieberekening!O13),0))))</f>
        <v>420.89119909948221</v>
      </c>
      <c r="H12" s="11">
        <f>IF(Referentieberekening!Q13=0,(IF(Referentieberekening!C13="Nieuwe Situatie",(_xlfn.IFNA(VLOOKUP(Referentie_MKI_Totaal[[#This Row],[Product]]&amp;", "&amp;Referentie_MKI_Totaal[[#Headers],[A5]],Database_Productkaarten[#All],13,FALSE),0)*Referentieberekening!L13),0)),_xlfn.IFNA((IF(Referentieberekening!C13="Nieuwe Situatie",(VLOOKUP(Referentieberekening!Q13,Database_Asfalt_Aanlegset[#All],7,FALSE)*Referentieberekening!L13)+IFERROR(((VLOOKUP(Referentieberekening!R13,Database_Overig_Materieel[#All],7,FALSE)*(Referentieberekening!L13/VLOOKUP(Referentieberekening!R13,Database_Overig_Materieel[#All],8,FALSE)))),0),0)),0))</f>
        <v>158.93014636060826</v>
      </c>
      <c r="I12" s="11">
        <f>(IF(Referentieberekening!C13="Nieuwe Situatie",(_xlfn.IFNA(VLOOKUP(Referentie_MKI_Totaal[[#This Row],[Product]]&amp;", "&amp;Referentie_MKI_Totaal[[#Headers],[B1]],Database_Productkaarten[#All],13,FALSE),0)*Referentieberekening!L13),0))</f>
        <v>0</v>
      </c>
      <c r="J12" s="11">
        <f>(IF(Referentieberekening!C13="Nieuwe Situatie",(SUM(Referentie_MKI_Totaal[[#This Row],[A1]:[B1]],Referentie_MKI_Totaal[[#This Row],[C1]:[D2]])*Referentieberekening!N13),0))</f>
        <v>0</v>
      </c>
      <c r="K12" s="11">
        <f>(IF(Referentieberekening!C13="Bestaande Situatie",(_xlfn.IFNA(VLOOKUP(Referentie_MKI_Totaal[[#This Row],[Product]]&amp;", "&amp;Referentie_MKI_Totaal[[#Headers],[C1]],Database_Productkaarten[#All],13,FALSE),0)*Referentieberekening!L13),0))</f>
        <v>0</v>
      </c>
      <c r="L12" s="11">
        <f>(IF(Referentieberekening!C13="Bestaande Situatie",(_xlfn.IFNA(VLOOKUP(Referentie_MKI_Totaal[[#This Row],[Product]]&amp;", "&amp;Referentie_MKI_Totaal[[#Headers],[C2]],Database_Productkaarten[#All],13,FALSE),0)*Referentieberekening!L13),0))</f>
        <v>0</v>
      </c>
      <c r="M12" s="11">
        <f>(IF(Referentieberekening!C13="Bestaande Situatie",(_xlfn.IFNA(VLOOKUP(Referentie_MKI_Totaal[[#This Row],[Product]]&amp;", "&amp;Referentie_MKI_Totaal[[#Headers],[C3]],Database_Productkaarten[#All],13,FALSE),0)*Referentieberekening!L13),0))</f>
        <v>0</v>
      </c>
      <c r="N12" s="11">
        <f>(IF(Referentieberekening!C13="Bestaande Situatie",(_xlfn.IFNA(VLOOKUP(Referentie_MKI_Totaal[[#This Row],[Product]]&amp;", "&amp;Referentie_MKI_Totaal[[#Headers],[C4]],Database_Productkaarten[#All],13,FALSE),0)*Referentieberekening!L13),0))</f>
        <v>0</v>
      </c>
      <c r="O12" s="11">
        <f>(IF(Referentieberekening!C13="Bestaande Situatie",(_xlfn.IFNA(VLOOKUP(Referentie_MKI_Totaal[[#This Row],[Product]]&amp;", "&amp;Referentie_MKI_Totaal[[#Headers],[D1]],Database_Productkaarten[#All],13,FALSE),0)*Referentieberekening!L13),0))</f>
        <v>0</v>
      </c>
      <c r="P12" s="38">
        <f>(IF(Referentieberekening!C13="Bestaande Situatie",_xlfn.IFNA(VLOOKUP(Referentie_MKI_Totaal[[#This Row],[Product]]&amp;", "&amp;Referentie_MKI_Totaal[[#Headers],[D2]],Database_Productkaarten[#All],13,FALSE),0)*Referentieberekening!L13,0))</f>
        <v>0</v>
      </c>
      <c r="Q12" s="191">
        <f>SUM(Referentie_MKI_Totaal[[#This Row],[A1]:[D2]])</f>
        <v>7203.4383249908888</v>
      </c>
    </row>
    <row r="13" spans="2:17" ht="18" x14ac:dyDescent="0.55000000000000004">
      <c r="B13" s="285" t="str">
        <f>Referentieberekening!B14</f>
        <v>Aanbrengen tussenlaag AC16 bind, dik 50 mm</v>
      </c>
      <c r="C13" s="23" t="str">
        <f>Referentieberekening!F14</f>
        <v>AC bin/base 50% PR - PCR 2.0</v>
      </c>
      <c r="D13" s="11">
        <f>(IF(Referentieberekening!C14="Nieuwe Situatie",(_xlfn.IFNA(VLOOKUP(Referentie_MKI_Totaal[[#This Row],[Product]]&amp;", "&amp;Referentie_MKI_Totaal[[#Headers],[A1]],Database_Productkaarten[#All],13,FALSE),0)*Referentieberekening!L14),0))</f>
        <v>2222.0502147881493</v>
      </c>
      <c r="E13" s="11">
        <f>(IF(Referentieberekening!C14="Nieuwe Situatie",(_xlfn.IFNA(VLOOKUP(Referentie_MKI_Totaal[[#This Row],[Product]]&amp;", "&amp;Referentie_MKI_Totaal[[#Headers],[A2]],Database_Productkaarten[#All],13,FALSE),0)*Referentieberekening!L14),0))</f>
        <v>1173.7775940265954</v>
      </c>
      <c r="F13" s="11">
        <f>(IF(Referentieberekening!C14="Nieuwe Situatie",(_xlfn.IFNA(VLOOKUP(Referentie_MKI_Totaal[[#This Row],[Product]]&amp;", "&amp;Referentie_MKI_Totaal[[#Headers],[A3]],Database_Productkaarten[#All],13,FALSE),0)*Referentieberekening!L14),0))</f>
        <v>1337.0153674601618</v>
      </c>
      <c r="G13" s="11">
        <f>IF(Referentieberekening!P14=0,(IF(Referentieberekening!C14="Nieuwe Situatie",(_xlfn.IFNA(VLOOKUP(Referentie_MKI_Totaal[[#This Row],[Product]]&amp;", "&amp;Referentie_MKI_Totaal[[#Headers],[A4]],Database_Productkaarten[#All],13,FALSE),0)*Referentieberekening!L14),0)),(IF(Referentieberekening!C14="Nieuwe Situatie",_xlfn.IFNA(VLOOKUP(Referentieberekening!P14,Database_Transport[#All],7,FALSE)*(Referentieberekening!L14*Referentieberekening!O14),0))))</f>
        <v>300.74384520846138</v>
      </c>
      <c r="H13" s="11">
        <f>IF(Referentieberekening!Q14=0,(IF(Referentieberekening!C14="Nieuwe Situatie",(_xlfn.IFNA(VLOOKUP(Referentie_MKI_Totaal[[#This Row],[Product]]&amp;", "&amp;Referentie_MKI_Totaal[[#Headers],[A5]],Database_Productkaarten[#All],13,FALSE),0)*Referentieberekening!L14),0)),_xlfn.IFNA((IF(Referentieberekening!C14="Nieuwe Situatie",(VLOOKUP(Referentieberekening!Q14,Database_Asfalt_Aanlegset[#All],7,FALSE)*Referentieberekening!L14)+IFERROR(((VLOOKUP(Referentieberekening!R14,Database_Overig_Materieel[#All],7,FALSE)*(Referentieberekening!L14/VLOOKUP(Referentieberekening!R14,Database_Overig_Materieel[#All],8,FALSE)))),0),0)),0))</f>
        <v>113.56204035222767</v>
      </c>
      <c r="I13" s="11">
        <f>(IF(Referentieberekening!C14="Nieuwe Situatie",(_xlfn.IFNA(VLOOKUP(Referentie_MKI_Totaal[[#This Row],[Product]]&amp;", "&amp;Referentie_MKI_Totaal[[#Headers],[B1]],Database_Productkaarten[#All],13,FALSE),0)*Referentieberekening!L14),0))</f>
        <v>0</v>
      </c>
      <c r="J13" s="11">
        <f>(IF(Referentieberekening!C14="Nieuwe Situatie",(SUM(Referentie_MKI_Totaal[[#This Row],[A1]:[B1]],Referentie_MKI_Totaal[[#This Row],[C1]:[D2]])*Referentieberekening!N14),0))</f>
        <v>0</v>
      </c>
      <c r="K13" s="11">
        <f>(IF(Referentieberekening!C14="Bestaande Situatie",(_xlfn.IFNA(VLOOKUP(Referentie_MKI_Totaal[[#This Row],[Product]]&amp;", "&amp;Referentie_MKI_Totaal[[#Headers],[C1]],Database_Productkaarten[#All],13,FALSE),0)*Referentieberekening!L14),0))</f>
        <v>0</v>
      </c>
      <c r="L13" s="11">
        <f>(IF(Referentieberekening!C14="Bestaande Situatie",(_xlfn.IFNA(VLOOKUP(Referentie_MKI_Totaal[[#This Row],[Product]]&amp;", "&amp;Referentie_MKI_Totaal[[#Headers],[C2]],Database_Productkaarten[#All],13,FALSE),0)*Referentieberekening!L14),0))</f>
        <v>0</v>
      </c>
      <c r="M13" s="11">
        <f>(IF(Referentieberekening!C14="Bestaande Situatie",(_xlfn.IFNA(VLOOKUP(Referentie_MKI_Totaal[[#This Row],[Product]]&amp;", "&amp;Referentie_MKI_Totaal[[#Headers],[C3]],Database_Productkaarten[#All],13,FALSE),0)*Referentieberekening!L14),0))</f>
        <v>0</v>
      </c>
      <c r="N13" s="11">
        <f>(IF(Referentieberekening!C14="Bestaande Situatie",(_xlfn.IFNA(VLOOKUP(Referentie_MKI_Totaal[[#This Row],[Product]]&amp;", "&amp;Referentie_MKI_Totaal[[#Headers],[C4]],Database_Productkaarten[#All],13,FALSE),0)*Referentieberekening!L14),0))</f>
        <v>0</v>
      </c>
      <c r="O13" s="11">
        <f>(IF(Referentieberekening!C14="Bestaande Situatie",(_xlfn.IFNA(VLOOKUP(Referentie_MKI_Totaal[[#This Row],[Product]]&amp;", "&amp;Referentie_MKI_Totaal[[#Headers],[D1]],Database_Productkaarten[#All],13,FALSE),0)*Referentieberekening!L14),0))</f>
        <v>0</v>
      </c>
      <c r="P13" s="38">
        <f>(IF(Referentieberekening!C14="Bestaande Situatie",_xlfn.IFNA(VLOOKUP(Referentie_MKI_Totaal[[#This Row],[Product]]&amp;", "&amp;Referentie_MKI_Totaal[[#Headers],[D2]],Database_Productkaarten[#All],13,FALSE),0)*Referentieberekening!L14,0))</f>
        <v>0</v>
      </c>
      <c r="Q13" s="191">
        <f>SUM(Referentie_MKI_Totaal[[#This Row],[A1]:[D2]])</f>
        <v>5147.1490618355956</v>
      </c>
    </row>
    <row r="14" spans="2:17" ht="18" x14ac:dyDescent="0.55000000000000004">
      <c r="B14" s="285" t="str">
        <f>Referentieberekening!B15</f>
        <v>Aanbrengen deklaag van SMA-NL 8, dik 30 mm.</v>
      </c>
      <c r="C14" s="23" t="str">
        <f>Referentieberekening!F15</f>
        <v>SMA 8-11 - PCR 2.0</v>
      </c>
      <c r="D14" s="11">
        <f>(IF(Referentieberekening!C15="Nieuwe Situatie",(_xlfn.IFNA(VLOOKUP(Referentie_MKI_Totaal[[#This Row],[Product]]&amp;", "&amp;Referentie_MKI_Totaal[[#Headers],[A1]],Database_Productkaarten[#All],13,FALSE),0)*Referentieberekening!L15),0))</f>
        <v>4115.6568385062901</v>
      </c>
      <c r="E14" s="11">
        <f>(IF(Referentieberekening!C15="Nieuwe Situatie",(_xlfn.IFNA(VLOOKUP(Referentie_MKI_Totaal[[#This Row],[Product]]&amp;", "&amp;Referentie_MKI_Totaal[[#Headers],[A2]],Database_Productkaarten[#All],13,FALSE),0)*Referentieberekening!L15),0))</f>
        <v>1743.4491455016762</v>
      </c>
      <c r="F14" s="11">
        <f>(IF(Referentieberekening!C15="Nieuwe Situatie",(_xlfn.IFNA(VLOOKUP(Referentie_MKI_Totaal[[#This Row],[Product]]&amp;", "&amp;Referentie_MKI_Totaal[[#Headers],[A3]],Database_Productkaarten[#All],13,FALSE),0)*Referentieberekening!L15),0))</f>
        <v>785.86079964619682</v>
      </c>
      <c r="G14" s="11">
        <f>IF(Referentieberekening!P15=0,(IF(Referentieberekening!C15="Nieuwe Situatie",(_xlfn.IFNA(VLOOKUP(Referentie_MKI_Totaal[[#This Row],[Product]]&amp;", "&amp;Referentie_MKI_Totaal[[#Headers],[A4]],Database_Productkaarten[#All],13,FALSE),0)*Referentieberekening!L15),0)),(IF(Referentieberekening!C15="Nieuwe Situatie",_xlfn.IFNA(VLOOKUP(Referentieberekening!P15,Database_Transport[#All],7,FALSE)*(Referentieberekening!L15*Referentieberekening!O15),0))))</f>
        <v>180.59649131744061</v>
      </c>
      <c r="H14" s="11">
        <f>IF(Referentieberekening!Q15=0,(IF(Referentieberekening!C15="Nieuwe Situatie",(_xlfn.IFNA(VLOOKUP(Referentie_MKI_Totaal[[#This Row],[Product]]&amp;", "&amp;Referentie_MKI_Totaal[[#Headers],[A5]],Database_Productkaarten[#All],13,FALSE),0)*Referentieberekening!L15),0)),_xlfn.IFNA((IF(Referentieberekening!C15="Nieuwe Situatie",(VLOOKUP(Referentieberekening!Q15,Database_Asfalt_Aanlegset[#All],7,FALSE)*Referentieberekening!L15)+IFERROR(((VLOOKUP(Referentieberekening!R15,Database_Overig_Materieel[#All],7,FALSE)*(Referentieberekening!L15/VLOOKUP(Referentieberekening!R15,Database_Overig_Materieel[#All],8,FALSE)))),0),0)),0))</f>
        <v>124.9182654645429</v>
      </c>
      <c r="I14" s="11">
        <f>(IF(Referentieberekening!C15="Nieuwe Situatie",(_xlfn.IFNA(VLOOKUP(Referentie_MKI_Totaal[[#This Row],[Product]]&amp;", "&amp;Referentie_MKI_Totaal[[#Headers],[B1]],Database_Productkaarten[#All],13,FALSE),0)*Referentieberekening!L15),0))</f>
        <v>56.880590736845306</v>
      </c>
      <c r="J14" s="11">
        <f>(IF(Referentieberekening!C15="Nieuwe Situatie",(SUM(Referentie_MKI_Totaal[[#This Row],[A1]:[B1]],Referentie_MKI_Totaal[[#This Row],[C1]:[D2]])*Referentieberekening!N15),0))</f>
        <v>0</v>
      </c>
      <c r="K14" s="11">
        <f>(IF(Referentieberekening!C15="Bestaande Situatie",(_xlfn.IFNA(VLOOKUP(Referentie_MKI_Totaal[[#This Row],[Product]]&amp;", "&amp;Referentie_MKI_Totaal[[#Headers],[C1]],Database_Productkaarten[#All],13,FALSE),0)*Referentieberekening!L15),0))</f>
        <v>0</v>
      </c>
      <c r="L14" s="11">
        <f>(IF(Referentieberekening!C15="Bestaande Situatie",(_xlfn.IFNA(VLOOKUP(Referentie_MKI_Totaal[[#This Row],[Product]]&amp;", "&amp;Referentie_MKI_Totaal[[#Headers],[C2]],Database_Productkaarten[#All],13,FALSE),0)*Referentieberekening!L15),0))</f>
        <v>0</v>
      </c>
      <c r="M14" s="11">
        <f>(IF(Referentieberekening!C15="Bestaande Situatie",(_xlfn.IFNA(VLOOKUP(Referentie_MKI_Totaal[[#This Row],[Product]]&amp;", "&amp;Referentie_MKI_Totaal[[#Headers],[C3]],Database_Productkaarten[#All],13,FALSE),0)*Referentieberekening!L15),0))</f>
        <v>0</v>
      </c>
      <c r="N14" s="11">
        <f>(IF(Referentieberekening!C15="Bestaande Situatie",(_xlfn.IFNA(VLOOKUP(Referentie_MKI_Totaal[[#This Row],[Product]]&amp;", "&amp;Referentie_MKI_Totaal[[#Headers],[C4]],Database_Productkaarten[#All],13,FALSE),0)*Referentieberekening!L15),0))</f>
        <v>0</v>
      </c>
      <c r="O14" s="11">
        <f>(IF(Referentieberekening!C15="Bestaande Situatie",(_xlfn.IFNA(VLOOKUP(Referentie_MKI_Totaal[[#This Row],[Product]]&amp;", "&amp;Referentie_MKI_Totaal[[#Headers],[D1]],Database_Productkaarten[#All],13,FALSE),0)*Referentieberekening!L15),0))</f>
        <v>0</v>
      </c>
      <c r="P14" s="38">
        <f>(IF(Referentieberekening!C15="Bestaande Situatie",_xlfn.IFNA(VLOOKUP(Referentie_MKI_Totaal[[#This Row],[Product]]&amp;", "&amp;Referentie_MKI_Totaal[[#Headers],[D2]],Database_Productkaarten[#All],13,FALSE),0)*Referentieberekening!L15,0))</f>
        <v>0</v>
      </c>
      <c r="Q14" s="191">
        <f>SUM(Referentie_MKI_Totaal[[#This Row],[A1]:[D2]])</f>
        <v>7007.3621311729912</v>
      </c>
    </row>
    <row r="15" spans="2:17" ht="18" x14ac:dyDescent="0.55000000000000004">
      <c r="B15" s="285" t="str">
        <f>Referentieberekening!B16</f>
        <v>Aanbrengen menggranulaat, dik 200 mm - fietspad.</v>
      </c>
      <c r="C15" s="23" t="str">
        <f>Referentieberekening!F16</f>
        <v>Menggranulaat 0/31,5</v>
      </c>
      <c r="D15" s="11">
        <f>(IF(Referentieberekening!C16="Nieuwe Situatie",(_xlfn.IFNA(VLOOKUP(Referentie_MKI_Totaal[[#This Row],[Product]]&amp;", "&amp;Referentie_MKI_Totaal[[#Headers],[A1]],Database_Productkaarten[#All],13,FALSE),0)*Referentieberekening!L16),0))</f>
        <v>0</v>
      </c>
      <c r="E15" s="11">
        <f>(IF(Referentieberekening!C16="Nieuwe Situatie",(_xlfn.IFNA(VLOOKUP(Referentie_MKI_Totaal[[#This Row],[Product]]&amp;", "&amp;Referentie_MKI_Totaal[[#Headers],[A2]],Database_Productkaarten[#All],13,FALSE),0)*Referentieberekening!L16),0))</f>
        <v>0</v>
      </c>
      <c r="F15" s="11">
        <f>(IF(Referentieberekening!C16="Nieuwe Situatie",(_xlfn.IFNA(VLOOKUP(Referentie_MKI_Totaal[[#This Row],[Product]]&amp;", "&amp;Referentie_MKI_Totaal[[#Headers],[A3]],Database_Productkaarten[#All],13,FALSE),0)*Referentieberekening!L16),0))</f>
        <v>0</v>
      </c>
      <c r="G15" s="11">
        <f>IF(Referentieberekening!P16=0,(IF(Referentieberekening!C16="Nieuwe Situatie",(_xlfn.IFNA(VLOOKUP(Referentie_MKI_Totaal[[#This Row],[Product]]&amp;", "&amp;Referentie_MKI_Totaal[[#Headers],[A4]],Database_Productkaarten[#All],13,FALSE),0)*Referentieberekening!L16),0)),(IF(Referentieberekening!C16="Nieuwe Situatie",_xlfn.IFNA(VLOOKUP(Referentieberekening!P16,Database_Transport[#All],7,FALSE)*(Referentieberekening!L16*Referentieberekening!O16),0))))</f>
        <v>81.901877209386626</v>
      </c>
      <c r="H15" s="11">
        <f>IF(Referentieberekening!Q16=0,(IF(Referentieberekening!C16="Nieuwe Situatie",(_xlfn.IFNA(VLOOKUP(Referentie_MKI_Totaal[[#This Row],[Product]]&amp;", "&amp;Referentie_MKI_Totaal[[#Headers],[A5]],Database_Productkaarten[#All],13,FALSE),0)*Referentieberekening!L16),0)),_xlfn.IFNA((IF(Referentieberekening!C16="Nieuwe Situatie",(VLOOKUP(Referentieberekening!Q16,Database_Asfalt_Aanlegset[#All],7,FALSE)*Referentieberekening!L16)+IFERROR(((VLOOKUP(Referentieberekening!R16,Database_Overig_Materieel[#All],7,FALSE)*(Referentieberekening!L16/VLOOKUP(Referentieberekening!R16,Database_Overig_Materieel[#All],8,FALSE)))),0),0)),0))</f>
        <v>6.7207348550278319</v>
      </c>
      <c r="I15" s="11">
        <f>(IF(Referentieberekening!C16="Nieuwe Situatie",(_xlfn.IFNA(VLOOKUP(Referentie_MKI_Totaal[[#This Row],[Product]]&amp;", "&amp;Referentie_MKI_Totaal[[#Headers],[B1]],Database_Productkaarten[#All],13,FALSE),0)*Referentieberekening!L16),0))</f>
        <v>0</v>
      </c>
      <c r="J15" s="11">
        <f>(IF(Referentieberekening!C16="Nieuwe Situatie",(SUM(Referentie_MKI_Totaal[[#This Row],[A1]:[B1]],Referentie_MKI_Totaal[[#This Row],[C1]:[D2]])*Referentieberekening!N16),0))</f>
        <v>0</v>
      </c>
      <c r="K15" s="11">
        <f>(IF(Referentieberekening!C16="Bestaande Situatie",(_xlfn.IFNA(VLOOKUP(Referentie_MKI_Totaal[[#This Row],[Product]]&amp;", "&amp;Referentie_MKI_Totaal[[#Headers],[C1]],Database_Productkaarten[#All],13,FALSE),0)*Referentieberekening!L16),0))</f>
        <v>0</v>
      </c>
      <c r="L15" s="11">
        <f>(IF(Referentieberekening!C16="Bestaande Situatie",(_xlfn.IFNA(VLOOKUP(Referentie_MKI_Totaal[[#This Row],[Product]]&amp;", "&amp;Referentie_MKI_Totaal[[#Headers],[C2]],Database_Productkaarten[#All],13,FALSE),0)*Referentieberekening!L16),0))</f>
        <v>0</v>
      </c>
      <c r="M15" s="11">
        <f>(IF(Referentieberekening!C16="Bestaande Situatie",(_xlfn.IFNA(VLOOKUP(Referentie_MKI_Totaal[[#This Row],[Product]]&amp;", "&amp;Referentie_MKI_Totaal[[#Headers],[C3]],Database_Productkaarten[#All],13,FALSE),0)*Referentieberekening!L16),0))</f>
        <v>0</v>
      </c>
      <c r="N15" s="11">
        <f>(IF(Referentieberekening!C16="Bestaande Situatie",(_xlfn.IFNA(VLOOKUP(Referentie_MKI_Totaal[[#This Row],[Product]]&amp;", "&amp;Referentie_MKI_Totaal[[#Headers],[C4]],Database_Productkaarten[#All],13,FALSE),0)*Referentieberekening!L16),0))</f>
        <v>0</v>
      </c>
      <c r="O15" s="11">
        <f>(IF(Referentieberekening!C16="Bestaande Situatie",(_xlfn.IFNA(VLOOKUP(Referentie_MKI_Totaal[[#This Row],[Product]]&amp;", "&amp;Referentie_MKI_Totaal[[#Headers],[D1]],Database_Productkaarten[#All],13,FALSE),0)*Referentieberekening!L16),0))</f>
        <v>0</v>
      </c>
      <c r="P15" s="38">
        <f>(IF(Referentieberekening!C16="Bestaande Situatie",_xlfn.IFNA(VLOOKUP(Referentie_MKI_Totaal[[#This Row],[Product]]&amp;", "&amp;Referentie_MKI_Totaal[[#Headers],[D2]],Database_Productkaarten[#All],13,FALSE),0)*Referentieberekening!L16,0))</f>
        <v>0</v>
      </c>
      <c r="Q15" s="191">
        <f>SUM(Referentie_MKI_Totaal[[#This Row],[A1]:[D2]])</f>
        <v>88.622612064414454</v>
      </c>
    </row>
    <row r="16" spans="2:17" ht="18" x14ac:dyDescent="0.55000000000000004">
      <c r="B16" s="285" t="str">
        <f>Referentieberekening!B17</f>
        <v>Aanbrengen onderlaag AC 16 base, dik 50 mm 275 m2.</v>
      </c>
      <c r="C16" s="23" t="str">
        <f>Referentieberekening!F17</f>
        <v>AC bin/base 50% PR - PCR 2.0</v>
      </c>
      <c r="D16" s="11">
        <f>(IF(Referentieberekening!C17="Nieuwe Situatie",(_xlfn.IFNA(VLOOKUP(Referentie_MKI_Totaal[[#This Row],[Product]]&amp;", "&amp;Referentie_MKI_Totaal[[#Headers],[A1]],Database_Productkaarten[#All],13,FALSE),0)*Referentieberekening!L17),0))</f>
        <v>97.093330234188784</v>
      </c>
      <c r="E16" s="11">
        <f>(IF(Referentieberekening!C17="Nieuwe Situatie",(_xlfn.IFNA(VLOOKUP(Referentie_MKI_Totaal[[#This Row],[Product]]&amp;", "&amp;Referentie_MKI_Totaal[[#Headers],[A2]],Database_Productkaarten[#All],13,FALSE),0)*Referentieberekening!L17),0))</f>
        <v>51.288658915019774</v>
      </c>
      <c r="F16" s="11">
        <f>(IF(Referentieberekening!C17="Nieuwe Situatie",(_xlfn.IFNA(VLOOKUP(Referentie_MKI_Totaal[[#This Row],[Product]]&amp;", "&amp;Referentie_MKI_Totaal[[#Headers],[A3]],Database_Productkaarten[#All],13,FALSE),0)*Referentieberekening!L17),0))</f>
        <v>58.421395581904697</v>
      </c>
      <c r="G16" s="11">
        <f>IF(Referentieberekening!P17=0,(IF(Referentieberekening!C17="Nieuwe Situatie",(_xlfn.IFNA(VLOOKUP(Referentie_MKI_Totaal[[#This Row],[Product]]&amp;", "&amp;Referentie_MKI_Totaal[[#Headers],[A4]],Database_Productkaarten[#All],13,FALSE),0)*Referentieberekening!L17),0)),(IF(Referentieberekening!C17="Nieuwe Situatie",_xlfn.IFNA(VLOOKUP(Referentieberekening!P17,Database_Transport[#All],7,FALSE)*(Referentieberekening!L17*Referentieberekening!O17),0))))</f>
        <v>13.141116831830399</v>
      </c>
      <c r="H16" s="11">
        <f>IF(Referentieberekening!Q17=0,(IF(Referentieberekening!C17="Nieuwe Situatie",(_xlfn.IFNA(VLOOKUP(Referentie_MKI_Totaal[[#This Row],[Product]]&amp;", "&amp;Referentie_MKI_Totaal[[#Headers],[A5]],Database_Productkaarten[#All],13,FALSE),0)*Referentieberekening!L17),0)),_xlfn.IFNA((IF(Referentieberekening!C17="Nieuwe Situatie",(VLOOKUP(Referentieberekening!Q17,Database_Asfalt_Aanlegset[#All],7,FALSE)*Referentieberekening!L17)+IFERROR(((VLOOKUP(Referentieberekening!R17,Database_Overig_Materieel[#All],7,FALSE)*(Referentieberekening!L17/VLOOKUP(Referentieberekening!R17,Database_Overig_Materieel[#All],8,FALSE)))),0),0)),0))</f>
        <v>4.9621365946666272</v>
      </c>
      <c r="I16" s="11">
        <f>(IF(Referentieberekening!C17="Nieuwe Situatie",(_xlfn.IFNA(VLOOKUP(Referentie_MKI_Totaal[[#This Row],[Product]]&amp;", "&amp;Referentie_MKI_Totaal[[#Headers],[B1]],Database_Productkaarten[#All],13,FALSE),0)*Referentieberekening!L17),0))</f>
        <v>0</v>
      </c>
      <c r="J16" s="11">
        <f>(IF(Referentieberekening!C17="Nieuwe Situatie",(SUM(Referentie_MKI_Totaal[[#This Row],[A1]:[B1]],Referentie_MKI_Totaal[[#This Row],[C1]:[D2]])*Referentieberekening!N17),0))</f>
        <v>0</v>
      </c>
      <c r="K16" s="11">
        <f>(IF(Referentieberekening!C17="Bestaande Situatie",(_xlfn.IFNA(VLOOKUP(Referentie_MKI_Totaal[[#This Row],[Product]]&amp;", "&amp;Referentie_MKI_Totaal[[#Headers],[C1]],Database_Productkaarten[#All],13,FALSE),0)*Referentieberekening!L17),0))</f>
        <v>0</v>
      </c>
      <c r="L16" s="11">
        <f>(IF(Referentieberekening!C17="Bestaande Situatie",(_xlfn.IFNA(VLOOKUP(Referentie_MKI_Totaal[[#This Row],[Product]]&amp;", "&amp;Referentie_MKI_Totaal[[#Headers],[C2]],Database_Productkaarten[#All],13,FALSE),0)*Referentieberekening!L17),0))</f>
        <v>0</v>
      </c>
      <c r="M16" s="11">
        <f>(IF(Referentieberekening!C17="Bestaande Situatie",(_xlfn.IFNA(VLOOKUP(Referentie_MKI_Totaal[[#This Row],[Product]]&amp;", "&amp;Referentie_MKI_Totaal[[#Headers],[C3]],Database_Productkaarten[#All],13,FALSE),0)*Referentieberekening!L17),0))</f>
        <v>0</v>
      </c>
      <c r="N16" s="11">
        <f>(IF(Referentieberekening!C17="Bestaande Situatie",(_xlfn.IFNA(VLOOKUP(Referentie_MKI_Totaal[[#This Row],[Product]]&amp;", "&amp;Referentie_MKI_Totaal[[#Headers],[C4]],Database_Productkaarten[#All],13,FALSE),0)*Referentieberekening!L17),0))</f>
        <v>0</v>
      </c>
      <c r="O16" s="11">
        <f>(IF(Referentieberekening!C17="Bestaande Situatie",(_xlfn.IFNA(VLOOKUP(Referentie_MKI_Totaal[[#This Row],[Product]]&amp;", "&amp;Referentie_MKI_Totaal[[#Headers],[D1]],Database_Productkaarten[#All],13,FALSE),0)*Referentieberekening!L17),0))</f>
        <v>0</v>
      </c>
      <c r="P16" s="38">
        <f>(IF(Referentieberekening!C17="Bestaande Situatie",_xlfn.IFNA(VLOOKUP(Referentie_MKI_Totaal[[#This Row],[Product]]&amp;", "&amp;Referentie_MKI_Totaal[[#Headers],[D2]],Database_Productkaarten[#All],13,FALSE),0)*Referentieberekening!L17,0))</f>
        <v>0</v>
      </c>
      <c r="Q16" s="191">
        <f>SUM(Referentie_MKI_Totaal[[#This Row],[A1]:[D2]])</f>
        <v>224.90663815761027</v>
      </c>
    </row>
    <row r="17" spans="2:17" ht="18" x14ac:dyDescent="0.55000000000000004">
      <c r="B17" s="285" t="str">
        <f>Referentieberekening!B18</f>
        <v>Aanbrengen deklaag SMA-NL 8, dik 30 mm - 275 m2 (rood)</v>
      </c>
      <c r="C17" s="23" t="str">
        <f>Referentieberekening!F18</f>
        <v>AC surf rood, met blank bindmiddel - PCR 2.0</v>
      </c>
      <c r="D17" s="11">
        <f>(IF(Referentieberekening!C18="Nieuwe Situatie",(_xlfn.IFNA(VLOOKUP(Referentie_MKI_Totaal[[#This Row],[Product]]&amp;", "&amp;Referentie_MKI_Totaal[[#Headers],[A1]],Database_Productkaarten[#All],13,FALSE),0)*Referentieberekening!L18),0))</f>
        <v>849.54499530908026</v>
      </c>
      <c r="E17" s="11">
        <f>(IF(Referentieberekening!C18="Nieuwe Situatie",(_xlfn.IFNA(VLOOKUP(Referentie_MKI_Totaal[[#This Row],[Product]]&amp;", "&amp;Referentie_MKI_Totaal[[#Headers],[A2]],Database_Productkaarten[#All],13,FALSE),0)*Referentieberekening!L18),0))</f>
        <v>68.874970194179511</v>
      </c>
      <c r="F17" s="11">
        <f>(IF(Referentieberekening!C18="Nieuwe Situatie",(_xlfn.IFNA(VLOOKUP(Referentie_MKI_Totaal[[#This Row],[Product]]&amp;", "&amp;Referentie_MKI_Totaal[[#Headers],[A3]],Database_Productkaarten[#All],13,FALSE),0)*Referentieberekening!L18),0))</f>
        <v>35.587273722272315</v>
      </c>
      <c r="G17" s="11">
        <f>IF(Referentieberekening!P18=0,(IF(Referentieberekening!C18="Nieuwe Situatie",(_xlfn.IFNA(VLOOKUP(Referentie_MKI_Totaal[[#This Row],[Product]]&amp;", "&amp;Referentie_MKI_Totaal[[#Headers],[A4]],Database_Productkaarten[#All],13,FALSE),0)*Referentieberekening!L18),0)),(IF(Referentieberekening!C18="Nieuwe Situatie",_xlfn.IFNA(VLOOKUP(Referentieberekening!P18,Database_Transport[#All],7,FALSE)*(Referentieberekening!L18*Referentieberekening!O18),0))))</f>
        <v>7.8846700990982388</v>
      </c>
      <c r="H17" s="11">
        <f>IF(Referentieberekening!Q18=0,(IF(Referentieberekening!C18="Nieuwe Situatie",(_xlfn.IFNA(VLOOKUP(Referentie_MKI_Totaal[[#This Row],[Product]]&amp;", "&amp;Referentie_MKI_Totaal[[#Headers],[A5]],Database_Productkaarten[#All],13,FALSE),0)*Referentieberekening!L18),0)),_xlfn.IFNA((IF(Referentieberekening!C18="Nieuwe Situatie",(VLOOKUP(Referentieberekening!Q18,Database_Asfalt_Aanlegset[#All],7,FALSE)*Referentieberekening!L18)+IFERROR(((VLOOKUP(Referentieberekening!R18,Database_Overig_Materieel[#All],7,FALSE)*(Referentieberekening!L18/VLOOKUP(Referentieberekening!R18,Database_Overig_Materieel[#All],8,FALSE)))),0),0)),0))</f>
        <v>5.4538120117248354</v>
      </c>
      <c r="I17" s="11">
        <f>(IF(Referentieberekening!C18="Nieuwe Situatie",(_xlfn.IFNA(VLOOKUP(Referentie_MKI_Totaal[[#This Row],[Product]]&amp;", "&amp;Referentie_MKI_Totaal[[#Headers],[B1]],Database_Productkaarten[#All],13,FALSE),0)*Referentieberekening!L18),0))</f>
        <v>2.4833521943321233</v>
      </c>
      <c r="J17" s="11">
        <f>(IF(Referentieberekening!C18="Nieuwe Situatie",(SUM(Referentie_MKI_Totaal[[#This Row],[A1]:[B1]],Referentie_MKI_Totaal[[#This Row],[C1]:[D2]])*Referentieberekening!N18),0))</f>
        <v>0</v>
      </c>
      <c r="K17" s="11">
        <f>(IF(Referentieberekening!C18="Bestaande Situatie",(_xlfn.IFNA(VLOOKUP(Referentie_MKI_Totaal[[#This Row],[Product]]&amp;", "&amp;Referentie_MKI_Totaal[[#Headers],[C1]],Database_Productkaarten[#All],13,FALSE),0)*Referentieberekening!L18),0))</f>
        <v>0</v>
      </c>
      <c r="L17" s="11">
        <f>(IF(Referentieberekening!C18="Bestaande Situatie",(_xlfn.IFNA(VLOOKUP(Referentie_MKI_Totaal[[#This Row],[Product]]&amp;", "&amp;Referentie_MKI_Totaal[[#Headers],[C2]],Database_Productkaarten[#All],13,FALSE),0)*Referentieberekening!L18),0))</f>
        <v>0</v>
      </c>
      <c r="M17" s="11">
        <f>(IF(Referentieberekening!C18="Bestaande Situatie",(_xlfn.IFNA(VLOOKUP(Referentie_MKI_Totaal[[#This Row],[Product]]&amp;", "&amp;Referentie_MKI_Totaal[[#Headers],[C3]],Database_Productkaarten[#All],13,FALSE),0)*Referentieberekening!L18),0))</f>
        <v>0</v>
      </c>
      <c r="N17" s="11">
        <f>(IF(Referentieberekening!C18="Bestaande Situatie",(_xlfn.IFNA(VLOOKUP(Referentie_MKI_Totaal[[#This Row],[Product]]&amp;", "&amp;Referentie_MKI_Totaal[[#Headers],[C4]],Database_Productkaarten[#All],13,FALSE),0)*Referentieberekening!L18),0))</f>
        <v>0</v>
      </c>
      <c r="O17" s="11">
        <f>(IF(Referentieberekening!C18="Bestaande Situatie",(_xlfn.IFNA(VLOOKUP(Referentie_MKI_Totaal[[#This Row],[Product]]&amp;", "&amp;Referentie_MKI_Totaal[[#Headers],[D1]],Database_Productkaarten[#All],13,FALSE),0)*Referentieberekening!L18),0))</f>
        <v>0</v>
      </c>
      <c r="P17" s="38">
        <f>(IF(Referentieberekening!C18="Bestaande Situatie",_xlfn.IFNA(VLOOKUP(Referentie_MKI_Totaal[[#This Row],[Product]]&amp;", "&amp;Referentie_MKI_Totaal[[#Headers],[D2]],Database_Productkaarten[#All],13,FALSE),0)*Referentieberekening!L18,0))</f>
        <v>0</v>
      </c>
      <c r="Q17" s="191">
        <f>SUM(Referentie_MKI_Totaal[[#This Row],[A1]:[D2]])</f>
        <v>969.82907353068731</v>
      </c>
    </row>
    <row r="18" spans="2:17" ht="18" x14ac:dyDescent="0.55000000000000004">
      <c r="B18" s="285" t="str">
        <f>Referentieberekening!B19</f>
        <v>Aanbrengen deklaag SMA-NL 8, dik 30 mm - 890 m2 (rood)</v>
      </c>
      <c r="C18" s="23" t="str">
        <f>Referentieberekening!F19</f>
        <v>AC surf rood, met blank bindmiddel - PCR 2.0</v>
      </c>
      <c r="D18" s="11">
        <f>(IF(Referentieberekening!C19="Nieuwe Situatie",(_xlfn.IFNA(VLOOKUP(Referentie_MKI_Totaal[[#This Row],[Product]]&amp;", "&amp;Referentie_MKI_Totaal[[#Headers],[A1]],Database_Productkaarten[#All],13,FALSE),0)*Referentieberekening!L19),0))</f>
        <v>2750.9076038579742</v>
      </c>
      <c r="E18" s="11">
        <f>(IF(Referentieberekening!C19="Nieuwe Situatie",(_xlfn.IFNA(VLOOKUP(Referentie_MKI_Totaal[[#This Row],[Product]]&amp;", "&amp;Referentie_MKI_Totaal[[#Headers],[A2]],Database_Productkaarten[#All],13,FALSE),0)*Referentieberekening!L19),0))</f>
        <v>223.02371300972416</v>
      </c>
      <c r="F18" s="11">
        <f>(IF(Referentieberekening!C19="Nieuwe Situatie",(_xlfn.IFNA(VLOOKUP(Referentie_MKI_Totaal[[#This Row],[Product]]&amp;", "&amp;Referentie_MKI_Totaal[[#Headers],[A3]],Database_Productkaarten[#All],13,FALSE),0)*Referentieberekening!L19),0))</f>
        <v>115.23498157688176</v>
      </c>
      <c r="G18" s="11">
        <f>IF(Referentieberekening!P19=0,(IF(Referentieberekening!C19="Nieuwe Situatie",(_xlfn.IFNA(VLOOKUP(Referentie_MKI_Totaal[[#This Row],[Product]]&amp;", "&amp;Referentie_MKI_Totaal[[#Headers],[A4]],Database_Productkaarten[#All],13,FALSE),0)*Referentieberekening!L19),0)),(IF(Referentieberekening!C19="Nieuwe Situatie",_xlfn.IFNA(VLOOKUP(Referentieberekening!P19,Database_Transport[#All],7,FALSE)*(Referentieberekening!L19*Referentieberekening!O19),0))))</f>
        <v>25.531312701841916</v>
      </c>
      <c r="H18" s="11">
        <f>IF(Referentieberekening!Q19=0,(IF(Referentieberekening!C19="Nieuwe Situatie",(_xlfn.IFNA(VLOOKUP(Referentie_MKI_Totaal[[#This Row],[Product]]&amp;", "&amp;Referentie_MKI_Totaal[[#Headers],[A5]],Database_Productkaarten[#All],13,FALSE),0)*Referentieberekening!L19),0)),_xlfn.IFNA((IF(Referentieberekening!C19="Nieuwe Situatie",(VLOOKUP(Referentieberekening!Q19,Database_Asfalt_Aanlegset[#All],7,FALSE)*Referentieberekening!L19)+IFERROR(((VLOOKUP(Referentieberekening!R19,Database_Overig_Materieel[#All],7,FALSE)*(Referentieberekening!L19/VLOOKUP(Referentieberekening!R19,Database_Overig_Materieel[#All],8,FALSE)))),0),0)),0))</f>
        <v>17.6599627046328</v>
      </c>
      <c r="I18" s="11">
        <f>(IF(Referentieberekening!C19="Nieuwe Situatie",(_xlfn.IFNA(VLOOKUP(Referentie_MKI_Totaal[[#This Row],[Product]]&amp;", "&amp;Referentie_MKI_Totaal[[#Headers],[B1]],Database_Productkaarten[#All],13,FALSE),0)*Referentieberekening!L19),0))</f>
        <v>8.0413309149802092</v>
      </c>
      <c r="J18" s="11">
        <f>(IF(Referentieberekening!C19="Nieuwe Situatie",(SUM(Referentie_MKI_Totaal[[#This Row],[A1]:[B1]],Referentie_MKI_Totaal[[#This Row],[C1]:[D2]])*Referentieberekening!N19),0))</f>
        <v>0</v>
      </c>
      <c r="K18" s="11">
        <f>(IF(Referentieberekening!C19="Bestaande Situatie",(_xlfn.IFNA(VLOOKUP(Referentie_MKI_Totaal[[#This Row],[Product]]&amp;", "&amp;Referentie_MKI_Totaal[[#Headers],[C1]],Database_Productkaarten[#All],13,FALSE),0)*Referentieberekening!L19),0))</f>
        <v>0</v>
      </c>
      <c r="L18" s="11">
        <f>(IF(Referentieberekening!C19="Bestaande Situatie",(_xlfn.IFNA(VLOOKUP(Referentie_MKI_Totaal[[#This Row],[Product]]&amp;", "&amp;Referentie_MKI_Totaal[[#Headers],[C2]],Database_Productkaarten[#All],13,FALSE),0)*Referentieberekening!L19),0))</f>
        <v>0</v>
      </c>
      <c r="M18" s="11">
        <f>(IF(Referentieberekening!C19="Bestaande Situatie",(_xlfn.IFNA(VLOOKUP(Referentie_MKI_Totaal[[#This Row],[Product]]&amp;", "&amp;Referentie_MKI_Totaal[[#Headers],[C3]],Database_Productkaarten[#All],13,FALSE),0)*Referentieberekening!L19),0))</f>
        <v>0</v>
      </c>
      <c r="N18" s="11">
        <f>(IF(Referentieberekening!C19="Bestaande Situatie",(_xlfn.IFNA(VLOOKUP(Referentie_MKI_Totaal[[#This Row],[Product]]&amp;", "&amp;Referentie_MKI_Totaal[[#Headers],[C4]],Database_Productkaarten[#All],13,FALSE),0)*Referentieberekening!L19),0))</f>
        <v>0</v>
      </c>
      <c r="O18" s="11">
        <f>(IF(Referentieberekening!C19="Bestaande Situatie",(_xlfn.IFNA(VLOOKUP(Referentie_MKI_Totaal[[#This Row],[Product]]&amp;", "&amp;Referentie_MKI_Totaal[[#Headers],[D1]],Database_Productkaarten[#All],13,FALSE),0)*Referentieberekening!L19),0))</f>
        <v>0</v>
      </c>
      <c r="P18" s="38">
        <f>(IF(Referentieberekening!C19="Bestaande Situatie",_xlfn.IFNA(VLOOKUP(Referentie_MKI_Totaal[[#This Row],[Product]]&amp;", "&amp;Referentie_MKI_Totaal[[#Headers],[D2]],Database_Productkaarten[#All],13,FALSE),0)*Referentieberekening!L19,0))</f>
        <v>0</v>
      </c>
      <c r="Q18" s="191">
        <f>SUM(Referentie_MKI_Totaal[[#This Row],[A1]:[D2]])</f>
        <v>3140.3989047660357</v>
      </c>
    </row>
    <row r="19" spans="2:17" ht="18" x14ac:dyDescent="0.55000000000000004">
      <c r="B19" s="285" t="str">
        <f>Referentieberekening!B20</f>
        <v>Aanbrengen betonbuis rond profiel, ø300 mm - HWA.</v>
      </c>
      <c r="C19" s="23" t="str">
        <f>Referentieberekening!F20</f>
        <v>Betonbuis 300 mm</v>
      </c>
      <c r="D19" s="11">
        <f>(IF(Referentieberekening!C20="Nieuwe Situatie",(_xlfn.IFNA(VLOOKUP(Referentie_MKI_Totaal[[#This Row],[Product]]&amp;", "&amp;Referentie_MKI_Totaal[[#Headers],[A1]],Database_Productkaarten[#All],13,FALSE),0)*Referentieberekening!L20),0))</f>
        <v>149.85</v>
      </c>
      <c r="E19" s="11">
        <f>(IF(Referentieberekening!C20="Nieuwe Situatie",(_xlfn.IFNA(VLOOKUP(Referentie_MKI_Totaal[[#This Row],[Product]]&amp;", "&amp;Referentie_MKI_Totaal[[#Headers],[A2]],Database_Productkaarten[#All],13,FALSE),0)*Referentieberekening!L20),0))</f>
        <v>0</v>
      </c>
      <c r="F19" s="11">
        <f>(IF(Referentieberekening!C20="Nieuwe Situatie",(_xlfn.IFNA(VLOOKUP(Referentie_MKI_Totaal[[#This Row],[Product]]&amp;", "&amp;Referentie_MKI_Totaal[[#Headers],[A3]],Database_Productkaarten[#All],13,FALSE),0)*Referentieberekening!L20),0))</f>
        <v>0</v>
      </c>
      <c r="G19" s="11">
        <f>IF(Referentieberekening!P20=0,(IF(Referentieberekening!C20="Nieuwe Situatie",(_xlfn.IFNA(VLOOKUP(Referentie_MKI_Totaal[[#This Row],[Product]]&amp;", "&amp;Referentie_MKI_Totaal[[#Headers],[A4]],Database_Productkaarten[#All],13,FALSE),0)*Referentieberekening!L20),0)),(IF(Referentieberekening!C20="Nieuwe Situatie",_xlfn.IFNA(VLOOKUP(Referentieberekening!P20,Database_Transport[#All],7,FALSE)*(Referentieberekening!L20*Referentieberekening!O20),0))))</f>
        <v>42.04</v>
      </c>
      <c r="H19" s="11">
        <f>IF(Referentieberekening!Q20=0,(IF(Referentieberekening!C20="Nieuwe Situatie",(_xlfn.IFNA(VLOOKUP(Referentie_MKI_Totaal[[#This Row],[Product]]&amp;", "&amp;Referentie_MKI_Totaal[[#Headers],[A5]],Database_Productkaarten[#All],13,FALSE),0)*Referentieberekening!L20),0)),_xlfn.IFNA((IF(Referentieberekening!C20="Nieuwe Situatie",(VLOOKUP(Referentieberekening!Q20,Database_Asfalt_Aanlegset[#All],7,FALSE)*Referentieberekening!L20)+IFERROR(((VLOOKUP(Referentieberekening!R20,Database_Overig_Materieel[#All],7,FALSE)*(Referentieberekening!L20/VLOOKUP(Referentieberekening!R20,Database_Overig_Materieel[#All],8,FALSE)))),0),0)),0))</f>
        <v>56.999999999999993</v>
      </c>
      <c r="I19" s="11">
        <f>(IF(Referentieberekening!C20="Nieuwe Situatie",(_xlfn.IFNA(VLOOKUP(Referentie_MKI_Totaal[[#This Row],[Product]]&amp;", "&amp;Referentie_MKI_Totaal[[#Headers],[B1]],Database_Productkaarten[#All],13,FALSE),0)*Referentieberekening!L20),0))</f>
        <v>0</v>
      </c>
      <c r="J19" s="11">
        <f>(IF(Referentieberekening!C20="Nieuwe Situatie",(SUM(Referentie_MKI_Totaal[[#This Row],[A1]:[B1]],Referentie_MKI_Totaal[[#This Row],[C1]:[D2]])*Referentieberekening!N20),0))</f>
        <v>0</v>
      </c>
      <c r="K19" s="11">
        <f>(IF(Referentieberekening!C20="Bestaande Situatie",(_xlfn.IFNA(VLOOKUP(Referentie_MKI_Totaal[[#This Row],[Product]]&amp;", "&amp;Referentie_MKI_Totaal[[#Headers],[C1]],Database_Productkaarten[#All],13,FALSE),0)*Referentieberekening!L20),0))</f>
        <v>0</v>
      </c>
      <c r="L19" s="11">
        <f>(IF(Referentieberekening!C20="Bestaande Situatie",(_xlfn.IFNA(VLOOKUP(Referentie_MKI_Totaal[[#This Row],[Product]]&amp;", "&amp;Referentie_MKI_Totaal[[#Headers],[C2]],Database_Productkaarten[#All],13,FALSE),0)*Referentieberekening!L20),0))</f>
        <v>0</v>
      </c>
      <c r="M19" s="11">
        <f>(IF(Referentieberekening!C20="Bestaande Situatie",(_xlfn.IFNA(VLOOKUP(Referentie_MKI_Totaal[[#This Row],[Product]]&amp;", "&amp;Referentie_MKI_Totaal[[#Headers],[C3]],Database_Productkaarten[#All],13,FALSE),0)*Referentieberekening!L20),0))</f>
        <v>0</v>
      </c>
      <c r="N19" s="11">
        <f>(IF(Referentieberekening!C20="Bestaande Situatie",(_xlfn.IFNA(VLOOKUP(Referentie_MKI_Totaal[[#This Row],[Product]]&amp;", "&amp;Referentie_MKI_Totaal[[#Headers],[C4]],Database_Productkaarten[#All],13,FALSE),0)*Referentieberekening!L20),0))</f>
        <v>0</v>
      </c>
      <c r="O19" s="11">
        <f>(IF(Referentieberekening!C20="Bestaande Situatie",(_xlfn.IFNA(VLOOKUP(Referentie_MKI_Totaal[[#This Row],[Product]]&amp;", "&amp;Referentie_MKI_Totaal[[#Headers],[D1]],Database_Productkaarten[#All],13,FALSE),0)*Referentieberekening!L20),0))</f>
        <v>0</v>
      </c>
      <c r="P19" s="38">
        <f>(IF(Referentieberekening!C20="Bestaande Situatie",_xlfn.IFNA(VLOOKUP(Referentie_MKI_Totaal[[#This Row],[Product]]&amp;", "&amp;Referentie_MKI_Totaal[[#Headers],[D2]],Database_Productkaarten[#All],13,FALSE),0)*Referentieberekening!L20,0))</f>
        <v>0</v>
      </c>
      <c r="Q19" s="191">
        <f>SUM(Referentie_MKI_Totaal[[#This Row],[A1]:[D2]])</f>
        <v>248.89</v>
      </c>
    </row>
    <row r="20" spans="2:17" ht="18" x14ac:dyDescent="0.55000000000000004">
      <c r="B20" s="285" t="str">
        <f>Referentieberekening!B21</f>
        <v>Aanbrengen betonbuis rond profiel, ø500 mm - HWA.</v>
      </c>
      <c r="C20" s="23" t="str">
        <f>Referentieberekening!F21</f>
        <v>Betonbuis 500 mm</v>
      </c>
      <c r="D20" s="11">
        <f>(IF(Referentieberekening!C21="Nieuwe Situatie",(_xlfn.IFNA(VLOOKUP(Referentie_MKI_Totaal[[#This Row],[Product]]&amp;", "&amp;Referentie_MKI_Totaal[[#Headers],[A1]],Database_Productkaarten[#All],13,FALSE),0)*Referentieberekening!L21),0))</f>
        <v>1350</v>
      </c>
      <c r="E20" s="11">
        <f>(IF(Referentieberekening!C21="Nieuwe Situatie",(_xlfn.IFNA(VLOOKUP(Referentie_MKI_Totaal[[#This Row],[Product]]&amp;", "&amp;Referentie_MKI_Totaal[[#Headers],[A2]],Database_Productkaarten[#All],13,FALSE),0)*Referentieberekening!L21),0))</f>
        <v>0</v>
      </c>
      <c r="F20" s="11">
        <f>(IF(Referentieberekening!C21="Nieuwe Situatie",(_xlfn.IFNA(VLOOKUP(Referentie_MKI_Totaal[[#This Row],[Product]]&amp;", "&amp;Referentie_MKI_Totaal[[#Headers],[A3]],Database_Productkaarten[#All],13,FALSE),0)*Referentieberekening!L21),0))</f>
        <v>0</v>
      </c>
      <c r="G20" s="11">
        <f>IF(Referentieberekening!P21=0,(IF(Referentieberekening!C21="Nieuwe Situatie",(_xlfn.IFNA(VLOOKUP(Referentie_MKI_Totaal[[#This Row],[Product]]&amp;", "&amp;Referentie_MKI_Totaal[[#Headers],[A4]],Database_Productkaarten[#All],13,FALSE),0)*Referentieberekening!L21),0)),(IF(Referentieberekening!C21="Nieuwe Situatie",_xlfn.IFNA(VLOOKUP(Referentieberekening!P21,Database_Transport[#All],7,FALSE)*(Referentieberekening!L21*Referentieberekening!O21),0))))</f>
        <v>379.5</v>
      </c>
      <c r="H20" s="11">
        <f>IF(Referentieberekening!Q21=0,(IF(Referentieberekening!C21="Nieuwe Situatie",(_xlfn.IFNA(VLOOKUP(Referentie_MKI_Totaal[[#This Row],[Product]]&amp;", "&amp;Referentie_MKI_Totaal[[#Headers],[A5]],Database_Productkaarten[#All],13,FALSE),0)*Referentieberekening!L21),0)),_xlfn.IFNA((IF(Referentieberekening!C21="Nieuwe Situatie",(VLOOKUP(Referentieberekening!Q21,Database_Asfalt_Aanlegset[#All],7,FALSE)*Referentieberekening!L21)+IFERROR(((VLOOKUP(Referentieberekening!R21,Database_Overig_Materieel[#All],7,FALSE)*(Referentieberekening!L21/VLOOKUP(Referentieberekening!R21,Database_Overig_Materieel[#All],8,FALSE)))),0),0)),0))</f>
        <v>556.45000000000005</v>
      </c>
      <c r="I20" s="11">
        <f>(IF(Referentieberekening!C21="Nieuwe Situatie",(_xlfn.IFNA(VLOOKUP(Referentie_MKI_Totaal[[#This Row],[Product]]&amp;", "&amp;Referentie_MKI_Totaal[[#Headers],[B1]],Database_Productkaarten[#All],13,FALSE),0)*Referentieberekening!L21),0))</f>
        <v>0</v>
      </c>
      <c r="J20" s="11">
        <f>(IF(Referentieberekening!C21="Nieuwe Situatie",(SUM(Referentie_MKI_Totaal[[#This Row],[A1]:[B1]],Referentie_MKI_Totaal[[#This Row],[C1]:[D2]])*Referentieberekening!N21),0))</f>
        <v>0</v>
      </c>
      <c r="K20" s="11">
        <f>(IF(Referentieberekening!C21="Bestaande Situatie",(_xlfn.IFNA(VLOOKUP(Referentie_MKI_Totaal[[#This Row],[Product]]&amp;", "&amp;Referentie_MKI_Totaal[[#Headers],[C1]],Database_Productkaarten[#All],13,FALSE),0)*Referentieberekening!L21),0))</f>
        <v>0</v>
      </c>
      <c r="L20" s="11">
        <f>(IF(Referentieberekening!C21="Bestaande Situatie",(_xlfn.IFNA(VLOOKUP(Referentie_MKI_Totaal[[#This Row],[Product]]&amp;", "&amp;Referentie_MKI_Totaal[[#Headers],[C2]],Database_Productkaarten[#All],13,FALSE),0)*Referentieberekening!L21),0))</f>
        <v>0</v>
      </c>
      <c r="M20" s="11">
        <f>(IF(Referentieberekening!C21="Bestaande Situatie",(_xlfn.IFNA(VLOOKUP(Referentie_MKI_Totaal[[#This Row],[Product]]&amp;", "&amp;Referentie_MKI_Totaal[[#Headers],[C3]],Database_Productkaarten[#All],13,FALSE),0)*Referentieberekening!L21),0))</f>
        <v>0</v>
      </c>
      <c r="N20" s="11">
        <f>(IF(Referentieberekening!C21="Bestaande Situatie",(_xlfn.IFNA(VLOOKUP(Referentie_MKI_Totaal[[#This Row],[Product]]&amp;", "&amp;Referentie_MKI_Totaal[[#Headers],[C4]],Database_Productkaarten[#All],13,FALSE),0)*Referentieberekening!L21),0))</f>
        <v>0</v>
      </c>
      <c r="O20" s="11">
        <f>(IF(Referentieberekening!C21="Bestaande Situatie",(_xlfn.IFNA(VLOOKUP(Referentie_MKI_Totaal[[#This Row],[Product]]&amp;", "&amp;Referentie_MKI_Totaal[[#Headers],[D1]],Database_Productkaarten[#All],13,FALSE),0)*Referentieberekening!L21),0))</f>
        <v>0</v>
      </c>
      <c r="P20" s="38">
        <f>(IF(Referentieberekening!C21="Bestaande Situatie",_xlfn.IFNA(VLOOKUP(Referentie_MKI_Totaal[[#This Row],[Product]]&amp;", "&amp;Referentie_MKI_Totaal[[#Headers],[D2]],Database_Productkaarten[#All],13,FALSE),0)*Referentieberekening!L21,0))</f>
        <v>0</v>
      </c>
      <c r="Q20" s="191">
        <f>SUM(Referentie_MKI_Totaal[[#This Row],[A1]:[D2]])</f>
        <v>2285.9499999999998</v>
      </c>
    </row>
    <row r="21" spans="2:17" ht="18" x14ac:dyDescent="0.55000000000000004">
      <c r="B21" s="285" t="str">
        <f>Referentieberekening!B22</f>
        <v>Aanbrengen betonbuis rond profiel, ø700 mm - HWA.</v>
      </c>
      <c r="C21" s="23" t="str">
        <f>Referentieberekening!F22</f>
        <v>Betonbuis 800 mm</v>
      </c>
      <c r="D21" s="11">
        <f>(IF(Referentieberekening!C22="Nieuwe Situatie",(_xlfn.IFNA(VLOOKUP(Referentie_MKI_Totaal[[#This Row],[Product]]&amp;", "&amp;Referentie_MKI_Totaal[[#Headers],[A1]],Database_Productkaarten[#All],13,FALSE),0)*Referentieberekening!L22),0))</f>
        <v>321.82499999999999</v>
      </c>
      <c r="E21" s="11">
        <f>(IF(Referentieberekening!C22="Nieuwe Situatie",(_xlfn.IFNA(VLOOKUP(Referentie_MKI_Totaal[[#This Row],[Product]]&amp;", "&amp;Referentie_MKI_Totaal[[#Headers],[A2]],Database_Productkaarten[#All],13,FALSE),0)*Referentieberekening!L22),0))</f>
        <v>0</v>
      </c>
      <c r="F21" s="11">
        <f>(IF(Referentieberekening!C22="Nieuwe Situatie",(_xlfn.IFNA(VLOOKUP(Referentie_MKI_Totaal[[#This Row],[Product]]&amp;", "&amp;Referentie_MKI_Totaal[[#Headers],[A3]],Database_Productkaarten[#All],13,FALSE),0)*Referentieberekening!L22),0))</f>
        <v>0</v>
      </c>
      <c r="G21" s="11">
        <f>IF(Referentieberekening!P22=0,(IF(Referentieberekening!C22="Nieuwe Situatie",(_xlfn.IFNA(VLOOKUP(Referentie_MKI_Totaal[[#This Row],[Product]]&amp;", "&amp;Referentie_MKI_Totaal[[#Headers],[A4]],Database_Productkaarten[#All],13,FALSE),0)*Referentieberekening!L22),0)),(IF(Referentieberekening!C22="Nieuwe Situatie",_xlfn.IFNA(VLOOKUP(Referentieberekening!P22,Database_Transport[#All],7,FALSE)*(Referentieberekening!L22*Referentieberekening!O22),0))))</f>
        <v>91.44</v>
      </c>
      <c r="H21" s="11">
        <f>IF(Referentieberekening!Q22=0,(IF(Referentieberekening!C22="Nieuwe Situatie",(_xlfn.IFNA(VLOOKUP(Referentie_MKI_Totaal[[#This Row],[Product]]&amp;", "&amp;Referentie_MKI_Totaal[[#Headers],[A5]],Database_Productkaarten[#All],13,FALSE),0)*Referentieberekening!L22),0)),_xlfn.IFNA((IF(Referentieberekening!C22="Nieuwe Situatie",(VLOOKUP(Referentieberekening!Q22,Database_Asfalt_Aanlegset[#All],7,FALSE)*Referentieberekening!L22)+IFERROR(((VLOOKUP(Referentieberekening!R22,Database_Overig_Materieel[#All],7,FALSE)*(Referentieberekening!L22/VLOOKUP(Referentieberekening!R22,Database_Overig_Materieel[#All],8,FALSE)))),0),0)),0))</f>
        <v>83.01</v>
      </c>
      <c r="I21" s="11">
        <f>(IF(Referentieberekening!C22="Nieuwe Situatie",(_xlfn.IFNA(VLOOKUP(Referentie_MKI_Totaal[[#This Row],[Product]]&amp;", "&amp;Referentie_MKI_Totaal[[#Headers],[B1]],Database_Productkaarten[#All],13,FALSE),0)*Referentieberekening!L22),0))</f>
        <v>0</v>
      </c>
      <c r="J21" s="11">
        <f>(IF(Referentieberekening!C22="Nieuwe Situatie",(SUM(Referentie_MKI_Totaal[[#This Row],[A1]:[B1]],Referentie_MKI_Totaal[[#This Row],[C1]:[D2]])*Referentieberekening!N22),0))</f>
        <v>0</v>
      </c>
      <c r="K21" s="11">
        <f>(IF(Referentieberekening!C22="Bestaande Situatie",(_xlfn.IFNA(VLOOKUP(Referentie_MKI_Totaal[[#This Row],[Product]]&amp;", "&amp;Referentie_MKI_Totaal[[#Headers],[C1]],Database_Productkaarten[#All],13,FALSE),0)*Referentieberekening!L22),0))</f>
        <v>0</v>
      </c>
      <c r="L21" s="11">
        <f>(IF(Referentieberekening!C22="Bestaande Situatie",(_xlfn.IFNA(VLOOKUP(Referentie_MKI_Totaal[[#This Row],[Product]]&amp;", "&amp;Referentie_MKI_Totaal[[#Headers],[C2]],Database_Productkaarten[#All],13,FALSE),0)*Referentieberekening!L22),0))</f>
        <v>0</v>
      </c>
      <c r="M21" s="11">
        <f>(IF(Referentieberekening!C22="Bestaande Situatie",(_xlfn.IFNA(VLOOKUP(Referentie_MKI_Totaal[[#This Row],[Product]]&amp;", "&amp;Referentie_MKI_Totaal[[#Headers],[C3]],Database_Productkaarten[#All],13,FALSE),0)*Referentieberekening!L22),0))</f>
        <v>0</v>
      </c>
      <c r="N21" s="11">
        <f>(IF(Referentieberekening!C22="Bestaande Situatie",(_xlfn.IFNA(VLOOKUP(Referentie_MKI_Totaal[[#This Row],[Product]]&amp;", "&amp;Referentie_MKI_Totaal[[#Headers],[C4]],Database_Productkaarten[#All],13,FALSE),0)*Referentieberekening!L22),0))</f>
        <v>0</v>
      </c>
      <c r="O21" s="11">
        <f>(IF(Referentieberekening!C22="Bestaande Situatie",(_xlfn.IFNA(VLOOKUP(Referentie_MKI_Totaal[[#This Row],[Product]]&amp;", "&amp;Referentie_MKI_Totaal[[#Headers],[D1]],Database_Productkaarten[#All],13,FALSE),0)*Referentieberekening!L22),0))</f>
        <v>0</v>
      </c>
      <c r="P21" s="38">
        <f>(IF(Referentieberekening!C22="Bestaande Situatie",_xlfn.IFNA(VLOOKUP(Referentie_MKI_Totaal[[#This Row],[Product]]&amp;", "&amp;Referentie_MKI_Totaal[[#Headers],[D2]],Database_Productkaarten[#All],13,FALSE),0)*Referentieberekening!L22,0))</f>
        <v>0</v>
      </c>
      <c r="Q21" s="191">
        <f>SUM(Referentie_MKI_Totaal[[#This Row],[A1]:[D2]])</f>
        <v>496.27499999999998</v>
      </c>
    </row>
    <row r="22" spans="2:17" ht="18" x14ac:dyDescent="0.55000000000000004">
      <c r="B22" s="285" t="str">
        <f>Referentieberekening!B23</f>
        <v>Aanbrengen betonbuis rond profiel, ø1000 mm - HWA.</v>
      </c>
      <c r="C22" s="23" t="str">
        <f>Referentieberekening!F23</f>
        <v>Betonbuis 1000 mm</v>
      </c>
      <c r="D22" s="11">
        <f>(IF(Referentieberekening!C23="Nieuwe Situatie",(_xlfn.IFNA(VLOOKUP(Referentie_MKI_Totaal[[#This Row],[Product]]&amp;", "&amp;Referentie_MKI_Totaal[[#Headers],[A1]],Database_Productkaarten[#All],13,FALSE),0)*Referentieberekening!L23),0))</f>
        <v>565.37699999999995</v>
      </c>
      <c r="E22" s="11">
        <f>(IF(Referentieberekening!C23="Nieuwe Situatie",(_xlfn.IFNA(VLOOKUP(Referentie_MKI_Totaal[[#This Row],[Product]]&amp;", "&amp;Referentie_MKI_Totaal[[#Headers],[A2]],Database_Productkaarten[#All],13,FALSE),0)*Referentieberekening!L23),0))</f>
        <v>0</v>
      </c>
      <c r="F22" s="11">
        <f>(IF(Referentieberekening!C23="Nieuwe Situatie",(_xlfn.IFNA(VLOOKUP(Referentie_MKI_Totaal[[#This Row],[Product]]&amp;", "&amp;Referentie_MKI_Totaal[[#Headers],[A3]],Database_Productkaarten[#All],13,FALSE),0)*Referentieberekening!L23),0))</f>
        <v>0</v>
      </c>
      <c r="G22" s="11">
        <f>IF(Referentieberekening!P23=0,(IF(Referentieberekening!C23="Nieuwe Situatie",(_xlfn.IFNA(VLOOKUP(Referentie_MKI_Totaal[[#This Row],[Product]]&amp;", "&amp;Referentie_MKI_Totaal[[#Headers],[A4]],Database_Productkaarten[#All],13,FALSE),0)*Referentieberekening!L23),0)),(IF(Referentieberekening!C23="Nieuwe Situatie",_xlfn.IFNA(VLOOKUP(Referentieberekening!P23,Database_Transport[#All],7,FALSE)*(Referentieberekening!L23*Referentieberekening!O23),0))))</f>
        <v>3.1739999999999997E-3</v>
      </c>
      <c r="H22" s="11">
        <f>IF(Referentieberekening!Q23=0,(IF(Referentieberekening!C23="Nieuwe Situatie",(_xlfn.IFNA(VLOOKUP(Referentie_MKI_Totaal[[#This Row],[Product]]&amp;", "&amp;Referentie_MKI_Totaal[[#Headers],[A5]],Database_Productkaarten[#All],13,FALSE),0)*Referentieberekening!L23),0)),_xlfn.IFNA((IF(Referentieberekening!C23="Nieuwe Situatie",(VLOOKUP(Referentieberekening!Q23,Database_Asfalt_Aanlegset[#All],7,FALSE)*Referentieberekening!L23)+IFERROR(((VLOOKUP(Referentieberekening!R23,Database_Overig_Materieel[#All],7,FALSE)*(Referentieberekening!L23/VLOOKUP(Referentieberekening!R23,Database_Overig_Materieel[#All],8,FALSE)))),0),0)),0))</f>
        <v>38.184599999999996</v>
      </c>
      <c r="I22" s="11">
        <f>(IF(Referentieberekening!C23="Nieuwe Situatie",(_xlfn.IFNA(VLOOKUP(Referentie_MKI_Totaal[[#This Row],[Product]]&amp;", "&amp;Referentie_MKI_Totaal[[#Headers],[B1]],Database_Productkaarten[#All],13,FALSE),0)*Referentieberekening!L23),0))</f>
        <v>0</v>
      </c>
      <c r="J22" s="11">
        <f>(IF(Referentieberekening!C23="Nieuwe Situatie",(SUM(Referentie_MKI_Totaal[[#This Row],[A1]:[B1]],Referentie_MKI_Totaal[[#This Row],[C1]:[D2]])*Referentieberekening!N23),0))</f>
        <v>0</v>
      </c>
      <c r="K22" s="11">
        <f>(IF(Referentieberekening!C23="Bestaande Situatie",(_xlfn.IFNA(VLOOKUP(Referentie_MKI_Totaal[[#This Row],[Product]]&amp;", "&amp;Referentie_MKI_Totaal[[#Headers],[C1]],Database_Productkaarten[#All],13,FALSE),0)*Referentieberekening!L23),0))</f>
        <v>0</v>
      </c>
      <c r="L22" s="11">
        <f>(IF(Referentieberekening!C23="Bestaande Situatie",(_xlfn.IFNA(VLOOKUP(Referentie_MKI_Totaal[[#This Row],[Product]]&amp;", "&amp;Referentie_MKI_Totaal[[#Headers],[C2]],Database_Productkaarten[#All],13,FALSE),0)*Referentieberekening!L23),0))</f>
        <v>0</v>
      </c>
      <c r="M22" s="11">
        <f>(IF(Referentieberekening!C23="Bestaande Situatie",(_xlfn.IFNA(VLOOKUP(Referentie_MKI_Totaal[[#This Row],[Product]]&amp;", "&amp;Referentie_MKI_Totaal[[#Headers],[C3]],Database_Productkaarten[#All],13,FALSE),0)*Referentieberekening!L23),0))</f>
        <v>0</v>
      </c>
      <c r="N22" s="11">
        <f>(IF(Referentieberekening!C23="Bestaande Situatie",(_xlfn.IFNA(VLOOKUP(Referentie_MKI_Totaal[[#This Row],[Product]]&amp;", "&amp;Referentie_MKI_Totaal[[#Headers],[C4]],Database_Productkaarten[#All],13,FALSE),0)*Referentieberekening!L23),0))</f>
        <v>0</v>
      </c>
      <c r="O22" s="11">
        <f>(IF(Referentieberekening!C23="Bestaande Situatie",(_xlfn.IFNA(VLOOKUP(Referentie_MKI_Totaal[[#This Row],[Product]]&amp;", "&amp;Referentie_MKI_Totaal[[#Headers],[D1]],Database_Productkaarten[#All],13,FALSE),0)*Referentieberekening!L23),0))</f>
        <v>0</v>
      </c>
      <c r="P22" s="38">
        <f>(IF(Referentieberekening!C23="Bestaande Situatie",_xlfn.IFNA(VLOOKUP(Referentie_MKI_Totaal[[#This Row],[Product]]&amp;", "&amp;Referentie_MKI_Totaal[[#Headers],[D2]],Database_Productkaarten[#All],13,FALSE),0)*Referentieberekening!L23,0))</f>
        <v>0</v>
      </c>
      <c r="Q22" s="191">
        <f>SUM(Referentie_MKI_Totaal[[#This Row],[A1]:[D2]])</f>
        <v>603.56477399999994</v>
      </c>
    </row>
    <row r="23" spans="2:17" ht="18" x14ac:dyDescent="0.55000000000000004">
      <c r="B23" s="285" t="str">
        <f>Referentieberekening!B24</f>
        <v>Aanbrengen drainage rioolsleuf PP ø 125 mm.</v>
      </c>
      <c r="C23" s="23" t="str">
        <f>Referentieberekening!F24</f>
        <v>PP Drainbuis 125 mm</v>
      </c>
      <c r="D23" s="11">
        <f>(IF(Referentieberekening!C24="Nieuwe Situatie",(_xlfn.IFNA(VLOOKUP(Referentie_MKI_Totaal[[#This Row],[Product]]&amp;", "&amp;Referentie_MKI_Totaal[[#Headers],[A1]],Database_Productkaarten[#All],13,FALSE),0)*Referentieberekening!L24),0))</f>
        <v>83.775999999999996</v>
      </c>
      <c r="E23" s="11">
        <f>(IF(Referentieberekening!C24="Nieuwe Situatie",(_xlfn.IFNA(VLOOKUP(Referentie_MKI_Totaal[[#This Row],[Product]]&amp;", "&amp;Referentie_MKI_Totaal[[#Headers],[A2]],Database_Productkaarten[#All],13,FALSE),0)*Referentieberekening!L24),0))</f>
        <v>0</v>
      </c>
      <c r="F23" s="11">
        <f>(IF(Referentieberekening!C24="Nieuwe Situatie",(_xlfn.IFNA(VLOOKUP(Referentie_MKI_Totaal[[#This Row],[Product]]&amp;", "&amp;Referentie_MKI_Totaal[[#Headers],[A3]],Database_Productkaarten[#All],13,FALSE),0)*Referentieberekening!L24),0))</f>
        <v>0</v>
      </c>
      <c r="G23" s="11">
        <f>IF(Referentieberekening!P24=0,(IF(Referentieberekening!C24="Nieuwe Situatie",(_xlfn.IFNA(VLOOKUP(Referentie_MKI_Totaal[[#This Row],[Product]]&amp;", "&amp;Referentie_MKI_Totaal[[#Headers],[A4]],Database_Productkaarten[#All],13,FALSE),0)*Referentieberekening!L24),0)),(IF(Referentieberekening!C24="Nieuwe Situatie",_xlfn.IFNA(VLOOKUP(Referentieberekening!P24,Database_Transport[#All],7,FALSE)*(Referentieberekening!L24*Referentieberekening!O24),0))))</f>
        <v>0.63817999999999997</v>
      </c>
      <c r="H23" s="11">
        <f>IF(Referentieberekening!Q24=0,(IF(Referentieberekening!C24="Nieuwe Situatie",(_xlfn.IFNA(VLOOKUP(Referentie_MKI_Totaal[[#This Row],[Product]]&amp;", "&amp;Referentie_MKI_Totaal[[#Headers],[A5]],Database_Productkaarten[#All],13,FALSE),0)*Referentieberekening!L24),0)),_xlfn.IFNA((IF(Referentieberekening!C24="Nieuwe Situatie",(VLOOKUP(Referentieberekening!Q24,Database_Asfalt_Aanlegset[#All],7,FALSE)*Referentieberekening!L24)+IFERROR(((VLOOKUP(Referentieberekening!R24,Database_Overig_Materieel[#All],7,FALSE)*(Referentieberekening!L24/VLOOKUP(Referentieberekening!R24,Database_Overig_Materieel[#All],8,FALSE)))),0),0)),0))</f>
        <v>61.610720000000001</v>
      </c>
      <c r="I23" s="11">
        <f>(IF(Referentieberekening!C24="Nieuwe Situatie",(_xlfn.IFNA(VLOOKUP(Referentie_MKI_Totaal[[#This Row],[Product]]&amp;", "&amp;Referentie_MKI_Totaal[[#Headers],[B1]],Database_Productkaarten[#All],13,FALSE),0)*Referentieberekening!L24),0))</f>
        <v>0</v>
      </c>
      <c r="J23" s="11">
        <f>(IF(Referentieberekening!C24="Nieuwe Situatie",(SUM(Referentie_MKI_Totaal[[#This Row],[A1]:[B1]],Referentie_MKI_Totaal[[#This Row],[C1]:[D2]])*Referentieberekening!N24),0))</f>
        <v>0</v>
      </c>
      <c r="K23" s="11">
        <f>(IF(Referentieberekening!C24="Bestaande Situatie",(_xlfn.IFNA(VLOOKUP(Referentie_MKI_Totaal[[#This Row],[Product]]&amp;", "&amp;Referentie_MKI_Totaal[[#Headers],[C1]],Database_Productkaarten[#All],13,FALSE),0)*Referentieberekening!L24),0))</f>
        <v>0</v>
      </c>
      <c r="L23" s="11">
        <f>(IF(Referentieberekening!C24="Bestaande Situatie",(_xlfn.IFNA(VLOOKUP(Referentie_MKI_Totaal[[#This Row],[Product]]&amp;", "&amp;Referentie_MKI_Totaal[[#Headers],[C2]],Database_Productkaarten[#All],13,FALSE),0)*Referentieberekening!L24),0))</f>
        <v>0</v>
      </c>
      <c r="M23" s="11">
        <f>(IF(Referentieberekening!C24="Bestaande Situatie",(_xlfn.IFNA(VLOOKUP(Referentie_MKI_Totaal[[#This Row],[Product]]&amp;", "&amp;Referentie_MKI_Totaal[[#Headers],[C3]],Database_Productkaarten[#All],13,FALSE),0)*Referentieberekening!L24),0))</f>
        <v>0</v>
      </c>
      <c r="N23" s="11">
        <f>(IF(Referentieberekening!C24="Bestaande Situatie",(_xlfn.IFNA(VLOOKUP(Referentie_MKI_Totaal[[#This Row],[Product]]&amp;", "&amp;Referentie_MKI_Totaal[[#Headers],[C4]],Database_Productkaarten[#All],13,FALSE),0)*Referentieberekening!L24),0))</f>
        <v>0</v>
      </c>
      <c r="O23" s="11">
        <f>(IF(Referentieberekening!C24="Bestaande Situatie",(_xlfn.IFNA(VLOOKUP(Referentie_MKI_Totaal[[#This Row],[Product]]&amp;", "&amp;Referentie_MKI_Totaal[[#Headers],[D1]],Database_Productkaarten[#All],13,FALSE),0)*Referentieberekening!L24),0))</f>
        <v>0</v>
      </c>
      <c r="P23" s="38">
        <f>(IF(Referentieberekening!C24="Bestaande Situatie",_xlfn.IFNA(VLOOKUP(Referentie_MKI_Totaal[[#This Row],[Product]]&amp;", "&amp;Referentie_MKI_Totaal[[#Headers],[D2]],Database_Productkaarten[#All],13,FALSE),0)*Referentieberekening!L24,0))</f>
        <v>0</v>
      </c>
      <c r="Q23" s="191">
        <f>SUM(Referentie_MKI_Totaal[[#This Row],[A1]:[D2]])</f>
        <v>146.0249</v>
      </c>
    </row>
    <row r="24" spans="2:17" ht="18" x14ac:dyDescent="0.55000000000000004">
      <c r="B24" s="285" t="str">
        <f>Referentieberekening!B25</f>
        <v>Aanbrengen betonbuis rond profiel, ø300 mm - DWA.</v>
      </c>
      <c r="C24" s="23" t="str">
        <f>Referentieberekening!F25</f>
        <v>Betonbuis 300 mm</v>
      </c>
      <c r="D24" s="11">
        <f>(IF(Referentieberekening!C25="Nieuwe Situatie",(_xlfn.IFNA(VLOOKUP(Referentie_MKI_Totaal[[#This Row],[Product]]&amp;", "&amp;Referentie_MKI_Totaal[[#Headers],[A1]],Database_Productkaarten[#All],13,FALSE),0)*Referentieberekening!L25),0))</f>
        <v>974.02499999999998</v>
      </c>
      <c r="E24" s="11">
        <f>(IF(Referentieberekening!C25="Nieuwe Situatie",(_xlfn.IFNA(VLOOKUP(Referentie_MKI_Totaal[[#This Row],[Product]]&amp;", "&amp;Referentie_MKI_Totaal[[#Headers],[A2]],Database_Productkaarten[#All],13,FALSE),0)*Referentieberekening!L25),0))</f>
        <v>0</v>
      </c>
      <c r="F24" s="11">
        <f>(IF(Referentieberekening!C25="Nieuwe Situatie",(_xlfn.IFNA(VLOOKUP(Referentie_MKI_Totaal[[#This Row],[Product]]&amp;", "&amp;Referentie_MKI_Totaal[[#Headers],[A3]],Database_Productkaarten[#All],13,FALSE),0)*Referentieberekening!L25),0))</f>
        <v>0</v>
      </c>
      <c r="G24" s="11">
        <f>IF(Referentieberekening!P25=0,(IF(Referentieberekening!C25="Nieuwe Situatie",(_xlfn.IFNA(VLOOKUP(Referentie_MKI_Totaal[[#This Row],[Product]]&amp;", "&amp;Referentie_MKI_Totaal[[#Headers],[A4]],Database_Productkaarten[#All],13,FALSE),0)*Referentieberekening!L25),0)),(IF(Referentieberekening!C25="Nieuwe Situatie",_xlfn.IFNA(VLOOKUP(Referentieberekening!P25,Database_Transport[#All],7,FALSE)*(Referentieberekening!L25*Referentieberekening!O25),0))))</f>
        <v>273.26</v>
      </c>
      <c r="H24" s="11">
        <f>IF(Referentieberekening!Q25=0,(IF(Referentieberekening!C25="Nieuwe Situatie",(_xlfn.IFNA(VLOOKUP(Referentie_MKI_Totaal[[#This Row],[Product]]&amp;", "&amp;Referentie_MKI_Totaal[[#Headers],[A5]],Database_Productkaarten[#All],13,FALSE),0)*Referentieberekening!L25),0)),_xlfn.IFNA((IF(Referentieberekening!C25="Nieuwe Situatie",(VLOOKUP(Referentieberekening!Q25,Database_Asfalt_Aanlegset[#All],7,FALSE)*Referentieberekening!L25)+IFERROR(((VLOOKUP(Referentieberekening!R25,Database_Overig_Materieel[#All],7,FALSE)*(Referentieberekening!L25/VLOOKUP(Referentieberekening!R25,Database_Overig_Materieel[#All],8,FALSE)))),0),0)),0))</f>
        <v>370.49999999999994</v>
      </c>
      <c r="I24" s="11">
        <f>(IF(Referentieberekening!C25="Nieuwe Situatie",(_xlfn.IFNA(VLOOKUP(Referentie_MKI_Totaal[[#This Row],[Product]]&amp;", "&amp;Referentie_MKI_Totaal[[#Headers],[B1]],Database_Productkaarten[#All],13,FALSE),0)*Referentieberekening!L25),0))</f>
        <v>0</v>
      </c>
      <c r="J24" s="11">
        <f>(IF(Referentieberekening!C25="Nieuwe Situatie",(SUM(Referentie_MKI_Totaal[[#This Row],[A1]:[B1]],Referentie_MKI_Totaal[[#This Row],[C1]:[D2]])*Referentieberekening!N25),0))</f>
        <v>0</v>
      </c>
      <c r="K24" s="11">
        <f>(IF(Referentieberekening!C25="Bestaande Situatie",(_xlfn.IFNA(VLOOKUP(Referentie_MKI_Totaal[[#This Row],[Product]]&amp;", "&amp;Referentie_MKI_Totaal[[#Headers],[C1]],Database_Productkaarten[#All],13,FALSE),0)*Referentieberekening!L25),0))</f>
        <v>0</v>
      </c>
      <c r="L24" s="11">
        <f>(IF(Referentieberekening!C25="Bestaande Situatie",(_xlfn.IFNA(VLOOKUP(Referentie_MKI_Totaal[[#This Row],[Product]]&amp;", "&amp;Referentie_MKI_Totaal[[#Headers],[C2]],Database_Productkaarten[#All],13,FALSE),0)*Referentieberekening!L25),0))</f>
        <v>0</v>
      </c>
      <c r="M24" s="11">
        <f>(IF(Referentieberekening!C25="Bestaande Situatie",(_xlfn.IFNA(VLOOKUP(Referentie_MKI_Totaal[[#This Row],[Product]]&amp;", "&amp;Referentie_MKI_Totaal[[#Headers],[C3]],Database_Productkaarten[#All],13,FALSE),0)*Referentieberekening!L25),0))</f>
        <v>0</v>
      </c>
      <c r="N24" s="11">
        <f>(IF(Referentieberekening!C25="Bestaande Situatie",(_xlfn.IFNA(VLOOKUP(Referentie_MKI_Totaal[[#This Row],[Product]]&amp;", "&amp;Referentie_MKI_Totaal[[#Headers],[C4]],Database_Productkaarten[#All],13,FALSE),0)*Referentieberekening!L25),0))</f>
        <v>0</v>
      </c>
      <c r="O24" s="11">
        <f>(IF(Referentieberekening!C25="Bestaande Situatie",(_xlfn.IFNA(VLOOKUP(Referentie_MKI_Totaal[[#This Row],[Product]]&amp;", "&amp;Referentie_MKI_Totaal[[#Headers],[D1]],Database_Productkaarten[#All],13,FALSE),0)*Referentieberekening!L25),0))</f>
        <v>0</v>
      </c>
      <c r="P24" s="38">
        <f>(IF(Referentieberekening!C25="Bestaande Situatie",_xlfn.IFNA(VLOOKUP(Referentie_MKI_Totaal[[#This Row],[Product]]&amp;", "&amp;Referentie_MKI_Totaal[[#Headers],[D2]],Database_Productkaarten[#All],13,FALSE),0)*Referentieberekening!L25,0))</f>
        <v>0</v>
      </c>
      <c r="Q24" s="191">
        <f>SUM(Referentie_MKI_Totaal[[#This Row],[A1]:[D2]])</f>
        <v>1617.7849999999999</v>
      </c>
    </row>
    <row r="25" spans="2:17" ht="18" x14ac:dyDescent="0.55000000000000004">
      <c r="B25" s="285" t="str">
        <f>Referentieberekening!B26</f>
        <v>Aanbrengen  PVC 160 mm, incl. grondwerk - HWA.</v>
      </c>
      <c r="C25" s="23" t="str">
        <f>Referentieberekening!F26</f>
        <v>PVC 200 mm</v>
      </c>
      <c r="D25" s="11">
        <f>(IF(Referentieberekening!C26="Nieuwe Situatie",(_xlfn.IFNA(VLOOKUP(Referentie_MKI_Totaal[[#This Row],[Product]]&amp;", "&amp;Referentie_MKI_Totaal[[#Headers],[A1]],Database_Productkaarten[#All],13,FALSE),0)*Referentieberekening!L26),0))</f>
        <v>244.22499999999999</v>
      </c>
      <c r="E25" s="11">
        <f>(IF(Referentieberekening!C26="Nieuwe Situatie",(_xlfn.IFNA(VLOOKUP(Referentie_MKI_Totaal[[#This Row],[Product]]&amp;", "&amp;Referentie_MKI_Totaal[[#Headers],[A2]],Database_Productkaarten[#All],13,FALSE),0)*Referentieberekening!L26),0))</f>
        <v>0</v>
      </c>
      <c r="F25" s="11">
        <f>(IF(Referentieberekening!C26="Nieuwe Situatie",(_xlfn.IFNA(VLOOKUP(Referentie_MKI_Totaal[[#This Row],[Product]]&amp;", "&amp;Referentie_MKI_Totaal[[#Headers],[A3]],Database_Productkaarten[#All],13,FALSE),0)*Referentieberekening!L26),0))</f>
        <v>0</v>
      </c>
      <c r="G25" s="11">
        <f>IF(Referentieberekening!P26=0,(IF(Referentieberekening!C26="Nieuwe Situatie",(_xlfn.IFNA(VLOOKUP(Referentie_MKI_Totaal[[#This Row],[Product]]&amp;", "&amp;Referentie_MKI_Totaal[[#Headers],[A4]],Database_Productkaarten[#All],13,FALSE),0)*Referentieberekening!L26),0)),(IF(Referentieberekening!C26="Nieuwe Situatie",_xlfn.IFNA(VLOOKUP(Referentieberekening!P26,Database_Transport[#All],7,FALSE)*(Referentieberekening!L26*Referentieberekening!O26),0))))</f>
        <v>1.925</v>
      </c>
      <c r="H25" s="11">
        <f>IF(Referentieberekening!Q26=0,(IF(Referentieberekening!C26="Nieuwe Situatie",(_xlfn.IFNA(VLOOKUP(Referentie_MKI_Totaal[[#This Row],[Product]]&amp;", "&amp;Referentie_MKI_Totaal[[#Headers],[A5]],Database_Productkaarten[#All],13,FALSE),0)*Referentieberekening!L26),0)),_xlfn.IFNA((IF(Referentieberekening!C26="Nieuwe Situatie",(VLOOKUP(Referentieberekening!Q26,Database_Asfalt_Aanlegset[#All],7,FALSE)*Referentieberekening!L26)+IFERROR(((VLOOKUP(Referentieberekening!R26,Database_Overig_Materieel[#All],7,FALSE)*(Referentieberekening!L26/VLOOKUP(Referentieberekening!R26,Database_Overig_Materieel[#All],8,FALSE)))),0),0)),0))</f>
        <v>72.071082499999989</v>
      </c>
      <c r="I25" s="11">
        <f>(IF(Referentieberekening!C26="Nieuwe Situatie",(_xlfn.IFNA(VLOOKUP(Referentie_MKI_Totaal[[#This Row],[Product]]&amp;", "&amp;Referentie_MKI_Totaal[[#Headers],[B1]],Database_Productkaarten[#All],13,FALSE),0)*Referentieberekening!L26),0))</f>
        <v>0</v>
      </c>
      <c r="J25" s="11">
        <f>(IF(Referentieberekening!C26="Nieuwe Situatie",(SUM(Referentie_MKI_Totaal[[#This Row],[A1]:[B1]],Referentie_MKI_Totaal[[#This Row],[C1]:[D2]])*Referentieberekening!N26),0))</f>
        <v>0</v>
      </c>
      <c r="K25" s="11">
        <f>(IF(Referentieberekening!C26="Bestaande Situatie",(_xlfn.IFNA(VLOOKUP(Referentie_MKI_Totaal[[#This Row],[Product]]&amp;", "&amp;Referentie_MKI_Totaal[[#Headers],[C1]],Database_Productkaarten[#All],13,FALSE),0)*Referentieberekening!L26),0))</f>
        <v>0</v>
      </c>
      <c r="L25" s="11">
        <f>(IF(Referentieberekening!C26="Bestaande Situatie",(_xlfn.IFNA(VLOOKUP(Referentie_MKI_Totaal[[#This Row],[Product]]&amp;", "&amp;Referentie_MKI_Totaal[[#Headers],[C2]],Database_Productkaarten[#All],13,FALSE),0)*Referentieberekening!L26),0))</f>
        <v>0</v>
      </c>
      <c r="M25" s="11">
        <f>(IF(Referentieberekening!C26="Bestaande Situatie",(_xlfn.IFNA(VLOOKUP(Referentie_MKI_Totaal[[#This Row],[Product]]&amp;", "&amp;Referentie_MKI_Totaal[[#Headers],[C3]],Database_Productkaarten[#All],13,FALSE),0)*Referentieberekening!L26),0))</f>
        <v>0</v>
      </c>
      <c r="N25" s="11">
        <f>(IF(Referentieberekening!C26="Bestaande Situatie",(_xlfn.IFNA(VLOOKUP(Referentie_MKI_Totaal[[#This Row],[Product]]&amp;", "&amp;Referentie_MKI_Totaal[[#Headers],[C4]],Database_Productkaarten[#All],13,FALSE),0)*Referentieberekening!L26),0))</f>
        <v>0</v>
      </c>
      <c r="O25" s="11">
        <f>(IF(Referentieberekening!C26="Bestaande Situatie",(_xlfn.IFNA(VLOOKUP(Referentie_MKI_Totaal[[#This Row],[Product]]&amp;", "&amp;Referentie_MKI_Totaal[[#Headers],[D1]],Database_Productkaarten[#All],13,FALSE),0)*Referentieberekening!L26),0))</f>
        <v>0</v>
      </c>
      <c r="P25" s="38">
        <f>(IF(Referentieberekening!C26="Bestaande Situatie",_xlfn.IFNA(VLOOKUP(Referentie_MKI_Totaal[[#This Row],[Product]]&amp;", "&amp;Referentie_MKI_Totaal[[#Headers],[D2]],Database_Productkaarten[#All],13,FALSE),0)*Referentieberekening!L26,0))</f>
        <v>0</v>
      </c>
      <c r="Q25" s="191">
        <f>SUM(Referentie_MKI_Totaal[[#This Row],[A1]:[D2]])</f>
        <v>318.22108249999997</v>
      </c>
    </row>
    <row r="26" spans="2:17" ht="18" x14ac:dyDescent="0.55000000000000004">
      <c r="B26" s="285" t="str">
        <f>Referentieberekening!B27</f>
        <v>Aanbrengen  PVC 160 mm, incl. grondwerk - DWA.</v>
      </c>
      <c r="C26" s="23" t="str">
        <f>Referentieberekening!F27</f>
        <v>PVC 200 mm</v>
      </c>
      <c r="D26" s="11">
        <f>(IF(Referentieberekening!C27="Nieuwe Situatie",(_xlfn.IFNA(VLOOKUP(Referentie_MKI_Totaal[[#This Row],[Product]]&amp;", "&amp;Referentie_MKI_Totaal[[#Headers],[A1]],Database_Productkaarten[#All],13,FALSE),0)*Referentieberekening!L27),0))</f>
        <v>244.22499999999999</v>
      </c>
      <c r="E26" s="11">
        <f>(IF(Referentieberekening!C27="Nieuwe Situatie",(_xlfn.IFNA(VLOOKUP(Referentie_MKI_Totaal[[#This Row],[Product]]&amp;", "&amp;Referentie_MKI_Totaal[[#Headers],[A2]],Database_Productkaarten[#All],13,FALSE),0)*Referentieberekening!L27),0))</f>
        <v>0</v>
      </c>
      <c r="F26" s="11">
        <f>(IF(Referentieberekening!C27="Nieuwe Situatie",(_xlfn.IFNA(VLOOKUP(Referentie_MKI_Totaal[[#This Row],[Product]]&amp;", "&amp;Referentie_MKI_Totaal[[#Headers],[A3]],Database_Productkaarten[#All],13,FALSE),0)*Referentieberekening!L27),0))</f>
        <v>0</v>
      </c>
      <c r="G26" s="11">
        <f>IF(Referentieberekening!P27=0,(IF(Referentieberekening!C27="Nieuwe Situatie",(_xlfn.IFNA(VLOOKUP(Referentie_MKI_Totaal[[#This Row],[Product]]&amp;", "&amp;Referentie_MKI_Totaal[[#Headers],[A4]],Database_Productkaarten[#All],13,FALSE),0)*Referentieberekening!L27),0)),(IF(Referentieberekening!C27="Nieuwe Situatie",_xlfn.IFNA(VLOOKUP(Referentieberekening!P27,Database_Transport[#All],7,FALSE)*(Referentieberekening!L27*Referentieberekening!O27),0))))</f>
        <v>1.925</v>
      </c>
      <c r="H26" s="11">
        <f>IF(Referentieberekening!Q27=0,(IF(Referentieberekening!C27="Nieuwe Situatie",(_xlfn.IFNA(VLOOKUP(Referentie_MKI_Totaal[[#This Row],[Product]]&amp;", "&amp;Referentie_MKI_Totaal[[#Headers],[A5]],Database_Productkaarten[#All],13,FALSE),0)*Referentieberekening!L27),0)),_xlfn.IFNA((IF(Referentieberekening!C27="Nieuwe Situatie",(VLOOKUP(Referentieberekening!Q27,Database_Asfalt_Aanlegset[#All],7,FALSE)*Referentieberekening!L27)+IFERROR(((VLOOKUP(Referentieberekening!R27,Database_Overig_Materieel[#All],7,FALSE)*(Referentieberekening!L27/VLOOKUP(Referentieberekening!R27,Database_Overig_Materieel[#All],8,FALSE)))),0),0)),0))</f>
        <v>72.071082499999989</v>
      </c>
      <c r="I26" s="11">
        <f>(IF(Referentieberekening!C27="Nieuwe Situatie",(_xlfn.IFNA(VLOOKUP(Referentie_MKI_Totaal[[#This Row],[Product]]&amp;", "&amp;Referentie_MKI_Totaal[[#Headers],[B1]],Database_Productkaarten[#All],13,FALSE),0)*Referentieberekening!L27),0))</f>
        <v>0</v>
      </c>
      <c r="J26" s="11">
        <f>(IF(Referentieberekening!C27="Nieuwe Situatie",(SUM(Referentie_MKI_Totaal[[#This Row],[A1]:[B1]],Referentie_MKI_Totaal[[#This Row],[C1]:[D2]])*Referentieberekening!N27),0))</f>
        <v>0</v>
      </c>
      <c r="K26" s="11">
        <f>(IF(Referentieberekening!C27="Bestaande Situatie",(_xlfn.IFNA(VLOOKUP(Referentie_MKI_Totaal[[#This Row],[Product]]&amp;", "&amp;Referentie_MKI_Totaal[[#Headers],[C1]],Database_Productkaarten[#All],13,FALSE),0)*Referentieberekening!L27),0))</f>
        <v>0</v>
      </c>
      <c r="L26" s="11">
        <f>(IF(Referentieberekening!C27="Bestaande Situatie",(_xlfn.IFNA(VLOOKUP(Referentie_MKI_Totaal[[#This Row],[Product]]&amp;", "&amp;Referentie_MKI_Totaal[[#Headers],[C2]],Database_Productkaarten[#All],13,FALSE),0)*Referentieberekening!L27),0))</f>
        <v>0</v>
      </c>
      <c r="M26" s="11">
        <f>(IF(Referentieberekening!C27="Bestaande Situatie",(_xlfn.IFNA(VLOOKUP(Referentie_MKI_Totaal[[#This Row],[Product]]&amp;", "&amp;Referentie_MKI_Totaal[[#Headers],[C3]],Database_Productkaarten[#All],13,FALSE),0)*Referentieberekening!L27),0))</f>
        <v>0</v>
      </c>
      <c r="N26" s="11">
        <f>(IF(Referentieberekening!C27="Bestaande Situatie",(_xlfn.IFNA(VLOOKUP(Referentie_MKI_Totaal[[#This Row],[Product]]&amp;", "&amp;Referentie_MKI_Totaal[[#Headers],[C4]],Database_Productkaarten[#All],13,FALSE),0)*Referentieberekening!L27),0))</f>
        <v>0</v>
      </c>
      <c r="O26" s="11">
        <f>(IF(Referentieberekening!C27="Bestaande Situatie",(_xlfn.IFNA(VLOOKUP(Referentie_MKI_Totaal[[#This Row],[Product]]&amp;", "&amp;Referentie_MKI_Totaal[[#Headers],[D1]],Database_Productkaarten[#All],13,FALSE),0)*Referentieberekening!L27),0))</f>
        <v>0</v>
      </c>
      <c r="P26" s="38">
        <f>(IF(Referentieberekening!C27="Bestaande Situatie",_xlfn.IFNA(VLOOKUP(Referentie_MKI_Totaal[[#This Row],[Product]]&amp;", "&amp;Referentie_MKI_Totaal[[#Headers],[D2]],Database_Productkaarten[#All],13,FALSE),0)*Referentieberekening!L27,0))</f>
        <v>0</v>
      </c>
      <c r="Q26" s="191">
        <f>SUM(Referentie_MKI_Totaal[[#This Row],[A1]:[D2]])</f>
        <v>318.22108249999997</v>
      </c>
    </row>
    <row r="27" spans="2:17" ht="18" x14ac:dyDescent="0.55000000000000004">
      <c r="B27" s="285" t="str">
        <f>Referentieberekening!B28</f>
        <v xml:space="preserve"> Grond ontgraven uit cunet, hoogte 1,0 m - rijweg/ fietspad </v>
      </c>
      <c r="C27" s="23" t="str">
        <f>Referentieberekening!F28</f>
        <v>Grond</v>
      </c>
      <c r="D27" s="11">
        <f>(IF(Referentieberekening!C28="Nieuwe Situatie",(_xlfn.IFNA(VLOOKUP(Referentie_MKI_Totaal[[#This Row],[Product]]&amp;", "&amp;Referentie_MKI_Totaal[[#Headers],[A1]],Database_Productkaarten[#All],13,FALSE),0)*Referentieberekening!L28),0))</f>
        <v>0</v>
      </c>
      <c r="E27" s="11">
        <f>(IF(Referentieberekening!C28="Nieuwe Situatie",(_xlfn.IFNA(VLOOKUP(Referentie_MKI_Totaal[[#This Row],[Product]]&amp;", "&amp;Referentie_MKI_Totaal[[#Headers],[A2]],Database_Productkaarten[#All],13,FALSE),0)*Referentieberekening!L28),0))</f>
        <v>0</v>
      </c>
      <c r="F27" s="11">
        <f>(IF(Referentieberekening!C28="Nieuwe Situatie",(_xlfn.IFNA(VLOOKUP(Referentie_MKI_Totaal[[#This Row],[Product]]&amp;", "&amp;Referentie_MKI_Totaal[[#Headers],[A3]],Database_Productkaarten[#All],13,FALSE),0)*Referentieberekening!L28),0))</f>
        <v>0</v>
      </c>
      <c r="G27" s="11">
        <f>IF(Referentieberekening!P28=0,(IF(Referentieberekening!C28="Nieuwe Situatie",(_xlfn.IFNA(VLOOKUP(Referentie_MKI_Totaal[[#This Row],[Product]]&amp;", "&amp;Referentie_MKI_Totaal[[#Headers],[A4]],Database_Productkaarten[#All],13,FALSE),0)*Referentieberekening!L28),0)),(IF(Referentieberekening!C28="Nieuwe Situatie",_xlfn.IFNA(VLOOKUP(Referentieberekening!P28,Database_Transport[#All],7,FALSE)*(Referentieberekening!L28*Referentieberekening!O28),0))))</f>
        <v>0</v>
      </c>
      <c r="H27" s="11">
        <f>IF(Referentieberekening!Q28=0,(IF(Referentieberekening!C28="Nieuwe Situatie",(_xlfn.IFNA(VLOOKUP(Referentie_MKI_Totaal[[#This Row],[Product]]&amp;", "&amp;Referentie_MKI_Totaal[[#Headers],[A5]],Database_Productkaarten[#All],13,FALSE),0)*Referentieberekening!L28),0)),_xlfn.IFNA((IF(Referentieberekening!C28="Nieuwe Situatie",(VLOOKUP(Referentieberekening!Q28,Database_Asfalt_Aanlegset[#All],7,FALSE)*Referentieberekening!L28)+IFERROR(((VLOOKUP(Referentieberekening!R28,Database_Overig_Materieel[#All],7,FALSE)*(Referentieberekening!L28/VLOOKUP(Referentieberekening!R28,Database_Overig_Materieel[#All],8,FALSE)))),0),0)),0))</f>
        <v>0</v>
      </c>
      <c r="I27" s="11">
        <f>(IF(Referentieberekening!C28="Nieuwe Situatie",(_xlfn.IFNA(VLOOKUP(Referentie_MKI_Totaal[[#This Row],[Product]]&amp;", "&amp;Referentie_MKI_Totaal[[#Headers],[B1]],Database_Productkaarten[#All],13,FALSE),0)*Referentieberekening!L28),0))</f>
        <v>0</v>
      </c>
      <c r="J27" s="11">
        <f>(IF(Referentieberekening!C28="Nieuwe Situatie",(SUM(Referentie_MKI_Totaal[[#This Row],[A1]:[B1]],Referentie_MKI_Totaal[[#This Row],[C1]:[D2]])*Referentieberekening!N28),0))</f>
        <v>0</v>
      </c>
      <c r="K27" s="11">
        <f>(IF(Referentieberekening!C28="Bestaande Situatie",(_xlfn.IFNA(VLOOKUP(Referentie_MKI_Totaal[[#This Row],[Product]]&amp;", "&amp;Referentie_MKI_Totaal[[#Headers],[C1]],Database_Productkaarten[#All],13,FALSE),0)*Referentieberekening!L28),0))</f>
        <v>532.05817602303648</v>
      </c>
      <c r="L27" s="11">
        <f>(IF(Referentieberekening!C28="Bestaande Situatie",(_xlfn.IFNA(VLOOKUP(Referentie_MKI_Totaal[[#This Row],[Product]]&amp;", "&amp;Referentie_MKI_Totaal[[#Headers],[C2]],Database_Productkaarten[#All],13,FALSE),0)*Referentieberekening!L28),0))</f>
        <v>5763.4654332531327</v>
      </c>
      <c r="M27" s="11">
        <f>(IF(Referentieberekening!C28="Bestaande Situatie",(_xlfn.IFNA(VLOOKUP(Referentie_MKI_Totaal[[#This Row],[Product]]&amp;", "&amp;Referentie_MKI_Totaal[[#Headers],[C3]],Database_Productkaarten[#All],13,FALSE),0)*Referentieberekening!L28),0))</f>
        <v>0</v>
      </c>
      <c r="N27" s="11">
        <f>(IF(Referentieberekening!C28="Bestaande Situatie",(_xlfn.IFNA(VLOOKUP(Referentie_MKI_Totaal[[#This Row],[Product]]&amp;", "&amp;Referentie_MKI_Totaal[[#Headers],[C4]],Database_Productkaarten[#All],13,FALSE),0)*Referentieberekening!L28),0))</f>
        <v>0</v>
      </c>
      <c r="O27" s="11">
        <f>(IF(Referentieberekening!C28="Bestaande Situatie",(_xlfn.IFNA(VLOOKUP(Referentie_MKI_Totaal[[#This Row],[Product]]&amp;", "&amp;Referentie_MKI_Totaal[[#Headers],[D1]],Database_Productkaarten[#All],13,FALSE),0)*Referentieberekening!L28),0))</f>
        <v>0</v>
      </c>
      <c r="P27" s="38">
        <f>(IF(Referentieberekening!C28="Bestaande Situatie",_xlfn.IFNA(VLOOKUP(Referentie_MKI_Totaal[[#This Row],[Product]]&amp;", "&amp;Referentie_MKI_Totaal[[#Headers],[D2]],Database_Productkaarten[#All],13,FALSE),0)*Referentieberekening!L28,0))</f>
        <v>0</v>
      </c>
      <c r="Q27" s="191">
        <f>SUM(Referentie_MKI_Totaal[[#This Row],[A1]:[D2]])</f>
        <v>6295.5236092761688</v>
      </c>
    </row>
    <row r="28" spans="2:17" ht="18" x14ac:dyDescent="0.55000000000000004">
      <c r="B28" s="285" t="str">
        <f>Referentieberekening!B29</f>
        <v xml:space="preserve"> Grond ontgraven uit cunet, hoogte 0,90 m - voetpad. </v>
      </c>
      <c r="C28" s="23" t="str">
        <f>Referentieberekening!F29</f>
        <v>Grond</v>
      </c>
      <c r="D28" s="11">
        <f>(IF(Referentieberekening!C29="Nieuwe Situatie",(_xlfn.IFNA(VLOOKUP(Referentie_MKI_Totaal[[#This Row],[Product]]&amp;", "&amp;Referentie_MKI_Totaal[[#Headers],[A1]],Database_Productkaarten[#All],13,FALSE),0)*Referentieberekening!L29),0))</f>
        <v>0</v>
      </c>
      <c r="E28" s="11">
        <f>(IF(Referentieberekening!C29="Nieuwe Situatie",(_xlfn.IFNA(VLOOKUP(Referentie_MKI_Totaal[[#This Row],[Product]]&amp;", "&amp;Referentie_MKI_Totaal[[#Headers],[A2]],Database_Productkaarten[#All],13,FALSE),0)*Referentieberekening!L29),0))</f>
        <v>0</v>
      </c>
      <c r="F28" s="11">
        <f>(IF(Referentieberekening!C29="Nieuwe Situatie",(_xlfn.IFNA(VLOOKUP(Referentie_MKI_Totaal[[#This Row],[Product]]&amp;", "&amp;Referentie_MKI_Totaal[[#Headers],[A3]],Database_Productkaarten[#All],13,FALSE),0)*Referentieberekening!L29),0))</f>
        <v>0</v>
      </c>
      <c r="G28" s="11">
        <f>IF(Referentieberekening!P29=0,(IF(Referentieberekening!C29="Nieuwe Situatie",(_xlfn.IFNA(VLOOKUP(Referentie_MKI_Totaal[[#This Row],[Product]]&amp;", "&amp;Referentie_MKI_Totaal[[#Headers],[A4]],Database_Productkaarten[#All],13,FALSE),0)*Referentieberekening!L29),0)),(IF(Referentieberekening!C29="Nieuwe Situatie",_xlfn.IFNA(VLOOKUP(Referentieberekening!P29,Database_Transport[#All],7,FALSE)*(Referentieberekening!L29*Referentieberekening!O29),0))))</f>
        <v>0</v>
      </c>
      <c r="H28" s="11">
        <f>IF(Referentieberekening!Q29=0,(IF(Referentieberekening!C29="Nieuwe Situatie",(_xlfn.IFNA(VLOOKUP(Referentie_MKI_Totaal[[#This Row],[Product]]&amp;", "&amp;Referentie_MKI_Totaal[[#Headers],[A5]],Database_Productkaarten[#All],13,FALSE),0)*Referentieberekening!L29),0)),_xlfn.IFNA((IF(Referentieberekening!C29="Nieuwe Situatie",(VLOOKUP(Referentieberekening!Q29,Database_Asfalt_Aanlegset[#All],7,FALSE)*Referentieberekening!L29)+IFERROR(((VLOOKUP(Referentieberekening!R29,Database_Overig_Materieel[#All],7,FALSE)*(Referentieberekening!L29/VLOOKUP(Referentieberekening!R29,Database_Overig_Materieel[#All],8,FALSE)))),0),0)),0))</f>
        <v>0</v>
      </c>
      <c r="I28" s="11">
        <f>(IF(Referentieberekening!C29="Nieuwe Situatie",(_xlfn.IFNA(VLOOKUP(Referentie_MKI_Totaal[[#This Row],[Product]]&amp;", "&amp;Referentie_MKI_Totaal[[#Headers],[B1]],Database_Productkaarten[#All],13,FALSE),0)*Referentieberekening!L29),0))</f>
        <v>0</v>
      </c>
      <c r="J28" s="11">
        <f>(IF(Referentieberekening!C29="Nieuwe Situatie",(SUM(Referentie_MKI_Totaal[[#This Row],[A1]:[B1]],Referentie_MKI_Totaal[[#This Row],[C1]:[D2]])*Referentieberekening!N29),0))</f>
        <v>0</v>
      </c>
      <c r="K28" s="11">
        <f>(IF(Referentieberekening!C29="Bestaande Situatie",(_xlfn.IFNA(VLOOKUP(Referentie_MKI_Totaal[[#This Row],[Product]]&amp;", "&amp;Referentie_MKI_Totaal[[#Headers],[C1]],Database_Productkaarten[#All],13,FALSE),0)*Referentieberekening!L29),0))</f>
        <v>45.504975580917595</v>
      </c>
      <c r="L28" s="11">
        <f>(IF(Referentieberekening!C29="Bestaande Situatie",(_xlfn.IFNA(VLOOKUP(Referentie_MKI_Totaal[[#This Row],[Product]]&amp;", "&amp;Referentie_MKI_Totaal[[#Headers],[C2]],Database_Productkaarten[#All],13,FALSE),0)*Referentieberekening!L29),0))</f>
        <v>492.92796468612318</v>
      </c>
      <c r="M28" s="11">
        <f>(IF(Referentieberekening!C29="Bestaande Situatie",(_xlfn.IFNA(VLOOKUP(Referentie_MKI_Totaal[[#This Row],[Product]]&amp;", "&amp;Referentie_MKI_Totaal[[#Headers],[C3]],Database_Productkaarten[#All],13,FALSE),0)*Referentieberekening!L29),0))</f>
        <v>0</v>
      </c>
      <c r="N28" s="11">
        <f>(IF(Referentieberekening!C29="Bestaande Situatie",(_xlfn.IFNA(VLOOKUP(Referentie_MKI_Totaal[[#This Row],[Product]]&amp;", "&amp;Referentie_MKI_Totaal[[#Headers],[C4]],Database_Productkaarten[#All],13,FALSE),0)*Referentieberekening!L29),0))</f>
        <v>0</v>
      </c>
      <c r="O28" s="11">
        <f>(IF(Referentieberekening!C29="Bestaande Situatie",(_xlfn.IFNA(VLOOKUP(Referentie_MKI_Totaal[[#This Row],[Product]]&amp;", "&amp;Referentie_MKI_Totaal[[#Headers],[D1]],Database_Productkaarten[#All],13,FALSE),0)*Referentieberekening!L29),0))</f>
        <v>0</v>
      </c>
      <c r="P28" s="38">
        <f>(IF(Referentieberekening!C29="Bestaande Situatie",_xlfn.IFNA(VLOOKUP(Referentie_MKI_Totaal[[#This Row],[Product]]&amp;", "&amp;Referentie_MKI_Totaal[[#Headers],[D2]],Database_Productkaarten[#All],13,FALSE),0)*Referentieberekening!L29,0))</f>
        <v>0</v>
      </c>
      <c r="Q28" s="191">
        <f>SUM(Referentie_MKI_Totaal[[#This Row],[A1]:[D2]])</f>
        <v>538.43294026704075</v>
      </c>
    </row>
    <row r="29" spans="2:17" ht="18" x14ac:dyDescent="0.55000000000000004">
      <c r="B29" s="285" t="str">
        <f>Referentieberekening!B30</f>
        <v xml:space="preserve"> Grond ontgraven uit cunet, hoogte 0,90 m - overige verharding. </v>
      </c>
      <c r="C29" s="23" t="str">
        <f>Referentieberekening!F30</f>
        <v>Grond</v>
      </c>
      <c r="D29" s="11">
        <f>(IF(Referentieberekening!C30="Nieuwe Situatie",(_xlfn.IFNA(VLOOKUP(Referentie_MKI_Totaal[[#This Row],[Product]]&amp;", "&amp;Referentie_MKI_Totaal[[#Headers],[A1]],Database_Productkaarten[#All],13,FALSE),0)*Referentieberekening!L30),0))</f>
        <v>0</v>
      </c>
      <c r="E29" s="11">
        <f>(IF(Referentieberekening!C30="Nieuwe Situatie",(_xlfn.IFNA(VLOOKUP(Referentie_MKI_Totaal[[#This Row],[Product]]&amp;", "&amp;Referentie_MKI_Totaal[[#Headers],[A2]],Database_Productkaarten[#All],13,FALSE),0)*Referentieberekening!L30),0))</f>
        <v>0</v>
      </c>
      <c r="F29" s="11">
        <f>(IF(Referentieberekening!C30="Nieuwe Situatie",(_xlfn.IFNA(VLOOKUP(Referentie_MKI_Totaal[[#This Row],[Product]]&amp;", "&amp;Referentie_MKI_Totaal[[#Headers],[A3]],Database_Productkaarten[#All],13,FALSE),0)*Referentieberekening!L30),0))</f>
        <v>0</v>
      </c>
      <c r="G29" s="11">
        <f>IF(Referentieberekening!P30=0,(IF(Referentieberekening!C30="Nieuwe Situatie",(_xlfn.IFNA(VLOOKUP(Referentie_MKI_Totaal[[#This Row],[Product]]&amp;", "&amp;Referentie_MKI_Totaal[[#Headers],[A4]],Database_Productkaarten[#All],13,FALSE),0)*Referentieberekening!L30),0)),(IF(Referentieberekening!C30="Nieuwe Situatie",_xlfn.IFNA(VLOOKUP(Referentieberekening!P30,Database_Transport[#All],7,FALSE)*(Referentieberekening!L30*Referentieberekening!O30),0))))</f>
        <v>0</v>
      </c>
      <c r="H29" s="11">
        <f>IF(Referentieberekening!Q30=0,(IF(Referentieberekening!C30="Nieuwe Situatie",(_xlfn.IFNA(VLOOKUP(Referentie_MKI_Totaal[[#This Row],[Product]]&amp;", "&amp;Referentie_MKI_Totaal[[#Headers],[A5]],Database_Productkaarten[#All],13,FALSE),0)*Referentieberekening!L30),0)),_xlfn.IFNA((IF(Referentieberekening!C30="Nieuwe Situatie",(VLOOKUP(Referentieberekening!Q30,Database_Asfalt_Aanlegset[#All],7,FALSE)*Referentieberekening!L30)+IFERROR(((VLOOKUP(Referentieberekening!R30,Database_Overig_Materieel[#All],7,FALSE)*(Referentieberekening!L30/VLOOKUP(Referentieberekening!R30,Database_Overig_Materieel[#All],8,FALSE)))),0),0)),0))</f>
        <v>0</v>
      </c>
      <c r="I29" s="11">
        <f>(IF(Referentieberekening!C30="Nieuwe Situatie",(_xlfn.IFNA(VLOOKUP(Referentie_MKI_Totaal[[#This Row],[Product]]&amp;", "&amp;Referentie_MKI_Totaal[[#Headers],[B1]],Database_Productkaarten[#All],13,FALSE),0)*Referentieberekening!L30),0))</f>
        <v>0</v>
      </c>
      <c r="J29" s="11">
        <f>(IF(Referentieberekening!C30="Nieuwe Situatie",(SUM(Referentie_MKI_Totaal[[#This Row],[A1]:[B1]],Referentie_MKI_Totaal[[#This Row],[C1]:[D2]])*Referentieberekening!N30),0))</f>
        <v>0</v>
      </c>
      <c r="K29" s="11">
        <f>(IF(Referentieberekening!C30="Bestaande Situatie",(_xlfn.IFNA(VLOOKUP(Referentie_MKI_Totaal[[#This Row],[Product]]&amp;", "&amp;Referentie_MKI_Totaal[[#Headers],[C1]],Database_Productkaarten[#All],13,FALSE),0)*Referentieberekening!L30),0))</f>
        <v>77.008420213860546</v>
      </c>
      <c r="L29" s="11">
        <f>(IF(Referentieberekening!C30="Bestaande Situatie",(_xlfn.IFNA(VLOOKUP(Referentie_MKI_Totaal[[#This Row],[Product]]&amp;", "&amp;Referentie_MKI_Totaal[[#Headers],[C2]],Database_Productkaarten[#All],13,FALSE),0)*Referentieberekening!L30),0))</f>
        <v>834.18578639190071</v>
      </c>
      <c r="M29" s="11">
        <f>(IF(Referentieberekening!C30="Bestaande Situatie",(_xlfn.IFNA(VLOOKUP(Referentie_MKI_Totaal[[#This Row],[Product]]&amp;", "&amp;Referentie_MKI_Totaal[[#Headers],[C3]],Database_Productkaarten[#All],13,FALSE),0)*Referentieberekening!L30),0))</f>
        <v>0</v>
      </c>
      <c r="N29" s="11">
        <f>(IF(Referentieberekening!C30="Bestaande Situatie",(_xlfn.IFNA(VLOOKUP(Referentie_MKI_Totaal[[#This Row],[Product]]&amp;", "&amp;Referentie_MKI_Totaal[[#Headers],[C4]],Database_Productkaarten[#All],13,FALSE),0)*Referentieberekening!L30),0))</f>
        <v>0</v>
      </c>
      <c r="O29" s="11">
        <f>(IF(Referentieberekening!C30="Bestaande Situatie",(_xlfn.IFNA(VLOOKUP(Referentie_MKI_Totaal[[#This Row],[Product]]&amp;", "&amp;Referentie_MKI_Totaal[[#Headers],[D1]],Database_Productkaarten[#All],13,FALSE),0)*Referentieberekening!L30),0))</f>
        <v>0</v>
      </c>
      <c r="P29" s="38">
        <f>(IF(Referentieberekening!C30="Bestaande Situatie",_xlfn.IFNA(VLOOKUP(Referentie_MKI_Totaal[[#This Row],[Product]]&amp;", "&amp;Referentie_MKI_Totaal[[#Headers],[D2]],Database_Productkaarten[#All],13,FALSE),0)*Referentieberekening!L30,0))</f>
        <v>0</v>
      </c>
      <c r="Q29" s="191">
        <f>SUM(Referentie_MKI_Totaal[[#This Row],[A1]:[D2]])</f>
        <v>911.19420660576122</v>
      </c>
    </row>
    <row r="30" spans="2:17" ht="18" x14ac:dyDescent="0.55000000000000004">
      <c r="B30" s="285" t="str">
        <f>Referentieberekening!B31</f>
        <v>Grond ontgraven t.b.v. sleuf hoofdriool.</v>
      </c>
      <c r="C30" s="23" t="str">
        <f>Referentieberekening!F31</f>
        <v>Grond</v>
      </c>
      <c r="D30" s="11">
        <f>(IF(Referentieberekening!C31="Nieuwe Situatie",(_xlfn.IFNA(VLOOKUP(Referentie_MKI_Totaal[[#This Row],[Product]]&amp;", "&amp;Referentie_MKI_Totaal[[#Headers],[A1]],Database_Productkaarten[#All],13,FALSE),0)*Referentieberekening!L31),0))</f>
        <v>0</v>
      </c>
      <c r="E30" s="11">
        <f>(IF(Referentieberekening!C31="Nieuwe Situatie",(_xlfn.IFNA(VLOOKUP(Referentie_MKI_Totaal[[#This Row],[Product]]&amp;", "&amp;Referentie_MKI_Totaal[[#Headers],[A2]],Database_Productkaarten[#All],13,FALSE),0)*Referentieberekening!L31),0))</f>
        <v>0</v>
      </c>
      <c r="F30" s="11">
        <f>(IF(Referentieberekening!C31="Nieuwe Situatie",(_xlfn.IFNA(VLOOKUP(Referentie_MKI_Totaal[[#This Row],[Product]]&amp;", "&amp;Referentie_MKI_Totaal[[#Headers],[A3]],Database_Productkaarten[#All],13,FALSE),0)*Referentieberekening!L31),0))</f>
        <v>0</v>
      </c>
      <c r="G30" s="11">
        <f>IF(Referentieberekening!P31=0,(IF(Referentieberekening!C31="Nieuwe Situatie",(_xlfn.IFNA(VLOOKUP(Referentie_MKI_Totaal[[#This Row],[Product]]&amp;", "&amp;Referentie_MKI_Totaal[[#Headers],[A4]],Database_Productkaarten[#All],13,FALSE),0)*Referentieberekening!L31),0)),(IF(Referentieberekening!C31="Nieuwe Situatie",_xlfn.IFNA(VLOOKUP(Referentieberekening!P31,Database_Transport[#All],7,FALSE)*(Referentieberekening!L31*Referentieberekening!O31),0))))</f>
        <v>0</v>
      </c>
      <c r="H30" s="11">
        <f>IF(Referentieberekening!Q31=0,(IF(Referentieberekening!C31="Nieuwe Situatie",(_xlfn.IFNA(VLOOKUP(Referentie_MKI_Totaal[[#This Row],[Product]]&amp;", "&amp;Referentie_MKI_Totaal[[#Headers],[A5]],Database_Productkaarten[#All],13,FALSE),0)*Referentieberekening!L31),0)),_xlfn.IFNA((IF(Referentieberekening!C31="Nieuwe Situatie",(VLOOKUP(Referentieberekening!Q31,Database_Asfalt_Aanlegset[#All],7,FALSE)*Referentieberekening!L31)+IFERROR(((VLOOKUP(Referentieberekening!R31,Database_Overig_Materieel[#All],7,FALSE)*(Referentieberekening!L31/VLOOKUP(Referentieberekening!R31,Database_Overig_Materieel[#All],8,FALSE)))),0),0)),0))</f>
        <v>0</v>
      </c>
      <c r="I30" s="11">
        <f>(IF(Referentieberekening!C31="Nieuwe Situatie",(_xlfn.IFNA(VLOOKUP(Referentie_MKI_Totaal[[#This Row],[Product]]&amp;", "&amp;Referentie_MKI_Totaal[[#Headers],[B1]],Database_Productkaarten[#All],13,FALSE),0)*Referentieberekening!L31),0))</f>
        <v>0</v>
      </c>
      <c r="J30" s="11">
        <f>(IF(Referentieberekening!C31="Nieuwe Situatie",(SUM(Referentie_MKI_Totaal[[#This Row],[A1]:[B1]],Referentie_MKI_Totaal[[#This Row],[C1]:[D2]])*Referentieberekening!N31),0))</f>
        <v>0</v>
      </c>
      <c r="K30" s="11">
        <f>(IF(Referentieberekening!C31="Bestaande Situatie",(_xlfn.IFNA(VLOOKUP(Referentie_MKI_Totaal[[#This Row],[Product]]&amp;", "&amp;Referentie_MKI_Totaal[[#Headers],[C1]],Database_Productkaarten[#All],13,FALSE),0)*Referentieberekening!L31),0))</f>
        <v>143.51569221674012</v>
      </c>
      <c r="L30" s="11">
        <f>(IF(Referentieberekening!C31="Bestaande Situatie",(_xlfn.IFNA(VLOOKUP(Referentie_MKI_Totaal[[#This Row],[Product]]&amp;", "&amp;Referentie_MKI_Totaal[[#Headers],[C2]],Database_Productkaarten[#All],13,FALSE),0)*Referentieberekening!L31),0))</f>
        <v>1554.6189655485423</v>
      </c>
      <c r="M30" s="11">
        <f>(IF(Referentieberekening!C31="Bestaande Situatie",(_xlfn.IFNA(VLOOKUP(Referentie_MKI_Totaal[[#This Row],[Product]]&amp;", "&amp;Referentie_MKI_Totaal[[#Headers],[C3]],Database_Productkaarten[#All],13,FALSE),0)*Referentieberekening!L31),0))</f>
        <v>0</v>
      </c>
      <c r="N30" s="11">
        <f>(IF(Referentieberekening!C31="Bestaande Situatie",(_xlfn.IFNA(VLOOKUP(Referentie_MKI_Totaal[[#This Row],[Product]]&amp;", "&amp;Referentie_MKI_Totaal[[#Headers],[C4]],Database_Productkaarten[#All],13,FALSE),0)*Referentieberekening!L31),0))</f>
        <v>0</v>
      </c>
      <c r="O30" s="11">
        <f>(IF(Referentieberekening!C31="Bestaande Situatie",(_xlfn.IFNA(VLOOKUP(Referentie_MKI_Totaal[[#This Row],[Product]]&amp;", "&amp;Referentie_MKI_Totaal[[#Headers],[D1]],Database_Productkaarten[#All],13,FALSE),0)*Referentieberekening!L31),0))</f>
        <v>0</v>
      </c>
      <c r="P30" s="38">
        <f>(IF(Referentieberekening!C31="Bestaande Situatie",_xlfn.IFNA(VLOOKUP(Referentie_MKI_Totaal[[#This Row],[Product]]&amp;", "&amp;Referentie_MKI_Totaal[[#Headers],[D2]],Database_Productkaarten[#All],13,FALSE),0)*Referentieberekening!L31,0))</f>
        <v>0</v>
      </c>
      <c r="Q30" s="191">
        <f>SUM(Referentie_MKI_Totaal[[#This Row],[A1]:[D2]])</f>
        <v>1698.1346577652823</v>
      </c>
    </row>
    <row r="31" spans="2:17" ht="18" x14ac:dyDescent="0.55000000000000004">
      <c r="B31" s="285" t="str">
        <f>Referentieberekening!B32</f>
        <v xml:space="preserve"> Zand leveren en verwerken in cunet, hoogte 0,70 m - rijweg. </v>
      </c>
      <c r="C31" s="23" t="str">
        <f>Referentieberekening!F32</f>
        <v>Ophoogzand, Cascade-leden</v>
      </c>
      <c r="D31" s="11">
        <f>(IF(Referentieberekening!C32="Nieuwe Situatie",(_xlfn.IFNA(VLOOKUP(Referentie_MKI_Totaal[[#This Row],[Product]]&amp;", "&amp;Referentie_MKI_Totaal[[#Headers],[A1]],Database_Productkaarten[#All],13,FALSE),0)*Referentieberekening!L32),0))</f>
        <v>756.70399999999995</v>
      </c>
      <c r="E31" s="11">
        <f>(IF(Referentieberekening!C32="Nieuwe Situatie",(_xlfn.IFNA(VLOOKUP(Referentie_MKI_Totaal[[#This Row],[Product]]&amp;", "&amp;Referentie_MKI_Totaal[[#Headers],[A2]],Database_Productkaarten[#All],13,FALSE),0)*Referentieberekening!L32),0))</f>
        <v>3.2832949999999999</v>
      </c>
      <c r="F31" s="11">
        <f>(IF(Referentieberekening!C32="Nieuwe Situatie",(_xlfn.IFNA(VLOOKUP(Referentie_MKI_Totaal[[#This Row],[Product]]&amp;", "&amp;Referentie_MKI_Totaal[[#Headers],[A3]],Database_Productkaarten[#All],13,FALSE),0)*Referentieberekening!L32),0))</f>
        <v>560.25200000000007</v>
      </c>
      <c r="G31" s="11">
        <f>IF(Referentieberekening!P32=0,(IF(Referentieberekening!C32="Nieuwe Situatie",(_xlfn.IFNA(VLOOKUP(Referentie_MKI_Totaal[[#This Row],[Product]]&amp;", "&amp;Referentie_MKI_Totaal[[#Headers],[A4]],Database_Productkaarten[#All],13,FALSE),0)*Referentieberekening!L32),0)),(IF(Referentieberekening!C32="Nieuwe Situatie",_xlfn.IFNA(VLOOKUP(Referentieberekening!P32,Database_Transport[#All],7,FALSE)*(Referentieberekening!L32*Referentieberekening!O32),0))))</f>
        <v>4310.7498450195098</v>
      </c>
      <c r="H31" s="11">
        <f>IF(Referentieberekening!Q32=0,(IF(Referentieberekening!C32="Nieuwe Situatie",(_xlfn.IFNA(VLOOKUP(Referentie_MKI_Totaal[[#This Row],[Product]]&amp;", "&amp;Referentie_MKI_Totaal[[#Headers],[A5]],Database_Productkaarten[#All],13,FALSE),0)*Referentieberekening!L32),0)),_xlfn.IFNA((IF(Referentieberekening!C32="Nieuwe Situatie",(VLOOKUP(Referentieberekening!Q32,Database_Asfalt_Aanlegset[#All],7,FALSE)*Referentieberekening!L32)+IFERROR(((VLOOKUP(Referentieberekening!R32,Database_Overig_Materieel[#All],7,FALSE)*(Referentieberekening!L32/VLOOKUP(Referentieberekening!R32,Database_Overig_Materieel[#All],8,FALSE)))),0),0)),0))</f>
        <v>397.94976241196684</v>
      </c>
      <c r="I31" s="11">
        <f>(IF(Referentieberekening!C32="Nieuwe Situatie",(_xlfn.IFNA(VLOOKUP(Referentie_MKI_Totaal[[#This Row],[Product]]&amp;", "&amp;Referentie_MKI_Totaal[[#Headers],[B1]],Database_Productkaarten[#All],13,FALSE),0)*Referentieberekening!L32),0))</f>
        <v>0</v>
      </c>
      <c r="J31" s="11">
        <f>(IF(Referentieberekening!C32="Nieuwe Situatie",(SUM(Referentie_MKI_Totaal[[#This Row],[A1]:[B1]],Referentie_MKI_Totaal[[#This Row],[C1]:[D2]])*Referentieberekening!N32),0))</f>
        <v>0</v>
      </c>
      <c r="K31" s="11">
        <f>(IF(Referentieberekening!C32="Bestaande Situatie",(_xlfn.IFNA(VLOOKUP(Referentie_MKI_Totaal[[#This Row],[Product]]&amp;", "&amp;Referentie_MKI_Totaal[[#Headers],[C1]],Database_Productkaarten[#All],13,FALSE),0)*Referentieberekening!L32),0))</f>
        <v>0</v>
      </c>
      <c r="L31" s="11">
        <f>(IF(Referentieberekening!C32="Bestaande Situatie",(_xlfn.IFNA(VLOOKUP(Referentie_MKI_Totaal[[#This Row],[Product]]&amp;", "&amp;Referentie_MKI_Totaal[[#Headers],[C2]],Database_Productkaarten[#All],13,FALSE),0)*Referentieberekening!L32),0))</f>
        <v>0</v>
      </c>
      <c r="M31" s="11">
        <f>(IF(Referentieberekening!C32="Bestaande Situatie",(_xlfn.IFNA(VLOOKUP(Referentie_MKI_Totaal[[#This Row],[Product]]&amp;", "&amp;Referentie_MKI_Totaal[[#Headers],[C3]],Database_Productkaarten[#All],13,FALSE),0)*Referentieberekening!L32),0))</f>
        <v>0</v>
      </c>
      <c r="N31" s="11">
        <f>(IF(Referentieberekening!C32="Bestaande Situatie",(_xlfn.IFNA(VLOOKUP(Referentie_MKI_Totaal[[#This Row],[Product]]&amp;", "&amp;Referentie_MKI_Totaal[[#Headers],[C4]],Database_Productkaarten[#All],13,FALSE),0)*Referentieberekening!L32),0))</f>
        <v>0</v>
      </c>
      <c r="O31" s="11">
        <f>(IF(Referentieberekening!C32="Bestaande Situatie",(_xlfn.IFNA(VLOOKUP(Referentie_MKI_Totaal[[#This Row],[Product]]&amp;", "&amp;Referentie_MKI_Totaal[[#Headers],[D1]],Database_Productkaarten[#All],13,FALSE),0)*Referentieberekening!L32),0))</f>
        <v>0</v>
      </c>
      <c r="P31" s="38">
        <f>(IF(Referentieberekening!C32="Bestaande Situatie",_xlfn.IFNA(VLOOKUP(Referentie_MKI_Totaal[[#This Row],[Product]]&amp;", "&amp;Referentie_MKI_Totaal[[#Headers],[D2]],Database_Productkaarten[#All],13,FALSE),0)*Referentieberekening!L32,0))</f>
        <v>0</v>
      </c>
      <c r="Q31" s="191">
        <f>SUM(Referentie_MKI_Totaal[[#This Row],[A1]:[D2]])</f>
        <v>6028.9389024314769</v>
      </c>
    </row>
    <row r="32" spans="2:17" ht="18" x14ac:dyDescent="0.55000000000000004">
      <c r="B32" s="285" t="str">
        <f>Referentieberekening!B33</f>
        <v xml:space="preserve"> Zand verwerken in cunet, hoogte 1,00 m - voetpad (vrijgekomen). </v>
      </c>
      <c r="C32" s="23" t="str">
        <f>Referentieberekening!F33</f>
        <v>Zand (hergebruik)</v>
      </c>
      <c r="D32" s="11">
        <f>(IF(Referentieberekening!C33="Nieuwe Situatie",(_xlfn.IFNA(VLOOKUP(Referentie_MKI_Totaal[[#This Row],[Product]]&amp;", "&amp;Referentie_MKI_Totaal[[#Headers],[A1]],Database_Productkaarten[#All],13,FALSE),0)*Referentieberekening!L33),0))</f>
        <v>0</v>
      </c>
      <c r="E32" s="11">
        <f>(IF(Referentieberekening!C33="Nieuwe Situatie",(_xlfn.IFNA(VLOOKUP(Referentie_MKI_Totaal[[#This Row],[Product]]&amp;", "&amp;Referentie_MKI_Totaal[[#Headers],[A2]],Database_Productkaarten[#All],13,FALSE),0)*Referentieberekening!L33),0))</f>
        <v>0</v>
      </c>
      <c r="F32" s="11">
        <f>(IF(Referentieberekening!C33="Nieuwe Situatie",(_xlfn.IFNA(VLOOKUP(Referentie_MKI_Totaal[[#This Row],[Product]]&amp;", "&amp;Referentie_MKI_Totaal[[#Headers],[A3]],Database_Productkaarten[#All],13,FALSE),0)*Referentieberekening!L33),0))</f>
        <v>0</v>
      </c>
      <c r="G32" s="11">
        <f>IF(Referentieberekening!P33=0,(IF(Referentieberekening!C33="Nieuwe Situatie",(_xlfn.IFNA(VLOOKUP(Referentie_MKI_Totaal[[#This Row],[Product]]&amp;", "&amp;Referentie_MKI_Totaal[[#Headers],[A4]],Database_Productkaarten[#All],13,FALSE),0)*Referentieberekening!L33),0)),(IF(Referentieberekening!C33="Nieuwe Situatie",_xlfn.IFNA(VLOOKUP(Referentieberekening!P33,Database_Transport[#All],7,FALSE)*(Referentieberekening!L33*Referentieberekening!O33),0))))</f>
        <v>120.86214518746289</v>
      </c>
      <c r="H32" s="11">
        <f>IF(Referentieberekening!Q33=0,(IF(Referentieberekening!C33="Nieuwe Situatie",(_xlfn.IFNA(VLOOKUP(Referentie_MKI_Totaal[[#This Row],[Product]]&amp;", "&amp;Referentie_MKI_Totaal[[#Headers],[A5]],Database_Productkaarten[#All],13,FALSE),0)*Referentieberekening!L33),0)),_xlfn.IFNA((IF(Referentieberekening!C33="Nieuwe Situatie",(VLOOKUP(Referentieberekening!Q33,Database_Asfalt_Aanlegset[#All],7,FALSE)*Referentieberekening!L33)+IFERROR(((VLOOKUP(Referentieberekening!R33,Database_Overig_Materieel[#All],7,FALSE)*(Referentieberekening!L33/VLOOKUP(Referentieberekening!R33,Database_Overig_Materieel[#All],8,FALSE)))),0),0)),0))</f>
        <v>55.787349870836479</v>
      </c>
      <c r="I32" s="11">
        <f>(IF(Referentieberekening!C33="Nieuwe Situatie",(_xlfn.IFNA(VLOOKUP(Referentie_MKI_Totaal[[#This Row],[Product]]&amp;", "&amp;Referentie_MKI_Totaal[[#Headers],[B1]],Database_Productkaarten[#All],13,FALSE),0)*Referentieberekening!L33),0))</f>
        <v>0</v>
      </c>
      <c r="J32" s="11">
        <f>(IF(Referentieberekening!C33="Nieuwe Situatie",(SUM(Referentie_MKI_Totaal[[#This Row],[A1]:[B1]],Referentie_MKI_Totaal[[#This Row],[C1]:[D2]])*Referentieberekening!N33),0))</f>
        <v>0</v>
      </c>
      <c r="K32" s="11">
        <f>(IF(Referentieberekening!C33="Bestaande Situatie",(_xlfn.IFNA(VLOOKUP(Referentie_MKI_Totaal[[#This Row],[Product]]&amp;", "&amp;Referentie_MKI_Totaal[[#Headers],[C1]],Database_Productkaarten[#All],13,FALSE),0)*Referentieberekening!L33),0))</f>
        <v>0</v>
      </c>
      <c r="L32" s="11">
        <f>(IF(Referentieberekening!C33="Bestaande Situatie",(_xlfn.IFNA(VLOOKUP(Referentie_MKI_Totaal[[#This Row],[Product]]&amp;", "&amp;Referentie_MKI_Totaal[[#Headers],[C2]],Database_Productkaarten[#All],13,FALSE),0)*Referentieberekening!L33),0))</f>
        <v>0</v>
      </c>
      <c r="M32" s="11">
        <f>(IF(Referentieberekening!C33="Bestaande Situatie",(_xlfn.IFNA(VLOOKUP(Referentie_MKI_Totaal[[#This Row],[Product]]&amp;", "&amp;Referentie_MKI_Totaal[[#Headers],[C3]],Database_Productkaarten[#All],13,FALSE),0)*Referentieberekening!L33),0))</f>
        <v>0</v>
      </c>
      <c r="N32" s="11">
        <f>(IF(Referentieberekening!C33="Bestaande Situatie",(_xlfn.IFNA(VLOOKUP(Referentie_MKI_Totaal[[#This Row],[Product]]&amp;", "&amp;Referentie_MKI_Totaal[[#Headers],[C4]],Database_Productkaarten[#All],13,FALSE),0)*Referentieberekening!L33),0))</f>
        <v>0</v>
      </c>
      <c r="O32" s="11">
        <f>(IF(Referentieberekening!C33="Bestaande Situatie",(_xlfn.IFNA(VLOOKUP(Referentie_MKI_Totaal[[#This Row],[Product]]&amp;", "&amp;Referentie_MKI_Totaal[[#Headers],[D1]],Database_Productkaarten[#All],13,FALSE),0)*Referentieberekening!L33),0))</f>
        <v>0</v>
      </c>
      <c r="P32" s="38">
        <f>(IF(Referentieberekening!C33="Bestaande Situatie",_xlfn.IFNA(VLOOKUP(Referentie_MKI_Totaal[[#This Row],[Product]]&amp;", "&amp;Referentie_MKI_Totaal[[#Headers],[D2]],Database_Productkaarten[#All],13,FALSE),0)*Referentieberekening!L33,0))</f>
        <v>0</v>
      </c>
      <c r="Q32" s="191">
        <f>SUM(Referentie_MKI_Totaal[[#This Row],[A1]:[D2]])</f>
        <v>176.64949505829935</v>
      </c>
    </row>
    <row r="33" spans="2:17" ht="18" x14ac:dyDescent="0.55000000000000004">
      <c r="B33" s="285" t="str">
        <f>Referentieberekening!B34</f>
        <v xml:space="preserve"> Zand verwerken in cunet, hoogte 1,00 m - overige verharding (vrijgekomen). </v>
      </c>
      <c r="C33" s="23" t="str">
        <f>Referentieberekening!F34</f>
        <v>Zand (hergebruik)</v>
      </c>
      <c r="D33" s="11">
        <f>(IF(Referentieberekening!C34="Nieuwe Situatie",(_xlfn.IFNA(VLOOKUP(Referentie_MKI_Totaal[[#This Row],[Product]]&amp;", "&amp;Referentie_MKI_Totaal[[#Headers],[A1]],Database_Productkaarten[#All],13,FALSE),0)*Referentieberekening!L34),0))</f>
        <v>0</v>
      </c>
      <c r="E33" s="11">
        <f>(IF(Referentieberekening!C34="Nieuwe Situatie",(_xlfn.IFNA(VLOOKUP(Referentie_MKI_Totaal[[#This Row],[Product]]&amp;", "&amp;Referentie_MKI_Totaal[[#Headers],[A2]],Database_Productkaarten[#All],13,FALSE),0)*Referentieberekening!L34),0))</f>
        <v>0</v>
      </c>
      <c r="F33" s="11">
        <f>(IF(Referentieberekening!C34="Nieuwe Situatie",(_xlfn.IFNA(VLOOKUP(Referentie_MKI_Totaal[[#This Row],[Product]]&amp;", "&amp;Referentie_MKI_Totaal[[#Headers],[A3]],Database_Productkaarten[#All],13,FALSE),0)*Referentieberekening!L34),0))</f>
        <v>0</v>
      </c>
      <c r="G33" s="11">
        <f>IF(Referentieberekening!P34=0,(IF(Referentieberekening!C34="Nieuwe Situatie",(_xlfn.IFNA(VLOOKUP(Referentie_MKI_Totaal[[#This Row],[Product]]&amp;", "&amp;Referentie_MKI_Totaal[[#Headers],[A4]],Database_Productkaarten[#All],13,FALSE),0)*Referentieberekening!L34),0)),(IF(Referentieberekening!C34="Nieuwe Situatie",_xlfn.IFNA(VLOOKUP(Referentieberekening!P34,Database_Transport[#All],7,FALSE)*(Referentieberekening!L34*Referentieberekening!O34),0))))</f>
        <v>201.4369086457715</v>
      </c>
      <c r="H33" s="11">
        <f>IF(Referentieberekening!Q34=0,(IF(Referentieberekening!C34="Nieuwe Situatie",(_xlfn.IFNA(VLOOKUP(Referentie_MKI_Totaal[[#This Row],[Product]]&amp;", "&amp;Referentie_MKI_Totaal[[#Headers],[A5]],Database_Productkaarten[#All],13,FALSE),0)*Referentieberekening!L34),0)),_xlfn.IFNA((IF(Referentieberekening!C34="Nieuwe Situatie",(VLOOKUP(Referentieberekening!Q34,Database_Asfalt_Aanlegset[#All],7,FALSE)*Referentieberekening!L34)+IFERROR(((VLOOKUP(Referentieberekening!R34,Database_Overig_Materieel[#All],7,FALSE)*(Referentieberekening!L34/VLOOKUP(Referentieberekening!R34,Database_Overig_Materieel[#All],8,FALSE)))),0),0)),0))</f>
        <v>92.978916451394127</v>
      </c>
      <c r="I33" s="11">
        <f>(IF(Referentieberekening!C34="Nieuwe Situatie",(_xlfn.IFNA(VLOOKUP(Referentie_MKI_Totaal[[#This Row],[Product]]&amp;", "&amp;Referentie_MKI_Totaal[[#Headers],[B1]],Database_Productkaarten[#All],13,FALSE),0)*Referentieberekening!L34),0))</f>
        <v>0</v>
      </c>
      <c r="J33" s="11">
        <f>(IF(Referentieberekening!C34="Nieuwe Situatie",(SUM(Referentie_MKI_Totaal[[#This Row],[A1]:[B1]],Referentie_MKI_Totaal[[#This Row],[C1]:[D2]])*Referentieberekening!N34),0))</f>
        <v>0</v>
      </c>
      <c r="K33" s="11">
        <f>(IF(Referentieberekening!C34="Bestaande Situatie",(_xlfn.IFNA(VLOOKUP(Referentie_MKI_Totaal[[#This Row],[Product]]&amp;", "&amp;Referentie_MKI_Totaal[[#Headers],[C1]],Database_Productkaarten[#All],13,FALSE),0)*Referentieberekening!L34),0))</f>
        <v>0</v>
      </c>
      <c r="L33" s="11">
        <f>(IF(Referentieberekening!C34="Bestaande Situatie",(_xlfn.IFNA(VLOOKUP(Referentie_MKI_Totaal[[#This Row],[Product]]&amp;", "&amp;Referentie_MKI_Totaal[[#Headers],[C2]],Database_Productkaarten[#All],13,FALSE),0)*Referentieberekening!L34),0))</f>
        <v>0</v>
      </c>
      <c r="M33" s="11">
        <f>(IF(Referentieberekening!C34="Bestaande Situatie",(_xlfn.IFNA(VLOOKUP(Referentie_MKI_Totaal[[#This Row],[Product]]&amp;", "&amp;Referentie_MKI_Totaal[[#Headers],[C3]],Database_Productkaarten[#All],13,FALSE),0)*Referentieberekening!L34),0))</f>
        <v>0</v>
      </c>
      <c r="N33" s="11">
        <f>(IF(Referentieberekening!C34="Bestaande Situatie",(_xlfn.IFNA(VLOOKUP(Referentie_MKI_Totaal[[#This Row],[Product]]&amp;", "&amp;Referentie_MKI_Totaal[[#Headers],[C4]],Database_Productkaarten[#All],13,FALSE),0)*Referentieberekening!L34),0))</f>
        <v>0</v>
      </c>
      <c r="O33" s="11">
        <f>(IF(Referentieberekening!C34="Bestaande Situatie",(_xlfn.IFNA(VLOOKUP(Referentie_MKI_Totaal[[#This Row],[Product]]&amp;", "&amp;Referentie_MKI_Totaal[[#Headers],[D1]],Database_Productkaarten[#All],13,FALSE),0)*Referentieberekening!L34),0))</f>
        <v>0</v>
      </c>
      <c r="P33" s="38">
        <f>(IF(Referentieberekening!C34="Bestaande Situatie",_xlfn.IFNA(VLOOKUP(Referentie_MKI_Totaal[[#This Row],[Product]]&amp;", "&amp;Referentie_MKI_Totaal[[#Headers],[D2]],Database_Productkaarten[#All],13,FALSE),0)*Referentieberekening!L34,0))</f>
        <v>0</v>
      </c>
      <c r="Q33" s="191">
        <f>SUM(Referentie_MKI_Totaal[[#This Row],[A1]:[D2]])</f>
        <v>294.41582509716562</v>
      </c>
    </row>
    <row r="34" spans="2:17" ht="18" x14ac:dyDescent="0.55000000000000004">
      <c r="B34" s="285" t="str">
        <f>Referentieberekening!B35</f>
        <v xml:space="preserve"> Aanvullen sleuf ten behoeve van hoofdriolering. </v>
      </c>
      <c r="C34" s="23" t="str">
        <f>Referentieberekening!F35</f>
        <v>Zand (hergebruik)</v>
      </c>
      <c r="D34" s="11">
        <f>(IF(Referentieberekening!C35="Nieuwe Situatie",(_xlfn.IFNA(VLOOKUP(Referentie_MKI_Totaal[[#This Row],[Product]]&amp;", "&amp;Referentie_MKI_Totaal[[#Headers],[A1]],Database_Productkaarten[#All],13,FALSE),0)*Referentieberekening!L35),0))</f>
        <v>0</v>
      </c>
      <c r="E34" s="11">
        <f>(IF(Referentieberekening!C35="Nieuwe Situatie",(_xlfn.IFNA(VLOOKUP(Referentie_MKI_Totaal[[#This Row],[Product]]&amp;", "&amp;Referentie_MKI_Totaal[[#Headers],[A2]],Database_Productkaarten[#All],13,FALSE),0)*Referentieberekening!L35),0))</f>
        <v>0</v>
      </c>
      <c r="F34" s="11">
        <f>(IF(Referentieberekening!C35="Nieuwe Situatie",(_xlfn.IFNA(VLOOKUP(Referentie_MKI_Totaal[[#This Row],[Product]]&amp;", "&amp;Referentie_MKI_Totaal[[#Headers],[A3]],Database_Productkaarten[#All],13,FALSE),0)*Referentieberekening!L35),0))</f>
        <v>0</v>
      </c>
      <c r="G34" s="11">
        <f>IF(Referentieberekening!P35=0,(IF(Referentieberekening!C35="Nieuwe Situatie",(_xlfn.IFNA(VLOOKUP(Referentie_MKI_Totaal[[#This Row],[Product]]&amp;", "&amp;Referentie_MKI_Totaal[[#Headers],[A4]],Database_Productkaarten[#All],13,FALSE),0)*Referentieberekening!L35),0)),(IF(Referentieberekening!C35="Nieuwe Situatie",_xlfn.IFNA(VLOOKUP(Referentieberekening!P35,Database_Transport[#All],7,FALSE)*(Referentieberekening!L35*Referentieberekening!O35),0))))</f>
        <v>314.2415774874035</v>
      </c>
      <c r="H34" s="11">
        <f>IF(Referentieberekening!Q35=0,(IF(Referentieberekening!C35="Nieuwe Situatie",(_xlfn.IFNA(VLOOKUP(Referentie_MKI_Totaal[[#This Row],[Product]]&amp;", "&amp;Referentie_MKI_Totaal[[#Headers],[A5]],Database_Productkaarten[#All],13,FALSE),0)*Referentieberekening!L35),0)),_xlfn.IFNA((IF(Referentieberekening!C35="Nieuwe Situatie",(VLOOKUP(Referentieberekening!Q35,Database_Asfalt_Aanlegset[#All],7,FALSE)*Referentieberekening!L35)+IFERROR(((VLOOKUP(Referentieberekening!R35,Database_Overig_Materieel[#All],7,FALSE)*(Referentieberekening!L35/VLOOKUP(Referentieberekening!R35,Database_Overig_Materieel[#All],8,FALSE)))),0),0)),0))</f>
        <v>145.04710966417485</v>
      </c>
      <c r="I34" s="11">
        <f>(IF(Referentieberekening!C35="Nieuwe Situatie",(_xlfn.IFNA(VLOOKUP(Referentie_MKI_Totaal[[#This Row],[Product]]&amp;", "&amp;Referentie_MKI_Totaal[[#Headers],[B1]],Database_Productkaarten[#All],13,FALSE),0)*Referentieberekening!L35),0))</f>
        <v>0</v>
      </c>
      <c r="J34" s="11">
        <f>(IF(Referentieberekening!C35="Nieuwe Situatie",(SUM(Referentie_MKI_Totaal[[#This Row],[A1]:[B1]],Referentie_MKI_Totaal[[#This Row],[C1]:[D2]])*Referentieberekening!N35),0))</f>
        <v>0</v>
      </c>
      <c r="K34" s="11">
        <f>(IF(Referentieberekening!C35="Bestaande Situatie",(_xlfn.IFNA(VLOOKUP(Referentie_MKI_Totaal[[#This Row],[Product]]&amp;", "&amp;Referentie_MKI_Totaal[[#Headers],[C1]],Database_Productkaarten[#All],13,FALSE),0)*Referentieberekening!L35),0))</f>
        <v>0</v>
      </c>
      <c r="L34" s="11">
        <f>(IF(Referentieberekening!C35="Bestaande Situatie",(_xlfn.IFNA(VLOOKUP(Referentie_MKI_Totaal[[#This Row],[Product]]&amp;", "&amp;Referentie_MKI_Totaal[[#Headers],[C2]],Database_Productkaarten[#All],13,FALSE),0)*Referentieberekening!L35),0))</f>
        <v>0</v>
      </c>
      <c r="M34" s="11">
        <f>(IF(Referentieberekening!C35="Bestaande Situatie",(_xlfn.IFNA(VLOOKUP(Referentie_MKI_Totaal[[#This Row],[Product]]&amp;", "&amp;Referentie_MKI_Totaal[[#Headers],[C3]],Database_Productkaarten[#All],13,FALSE),0)*Referentieberekening!L35),0))</f>
        <v>0</v>
      </c>
      <c r="N34" s="11">
        <f>(IF(Referentieberekening!C35="Bestaande Situatie",(_xlfn.IFNA(VLOOKUP(Referentie_MKI_Totaal[[#This Row],[Product]]&amp;", "&amp;Referentie_MKI_Totaal[[#Headers],[C4]],Database_Productkaarten[#All],13,FALSE),0)*Referentieberekening!L35),0))</f>
        <v>0</v>
      </c>
      <c r="O34" s="11">
        <f>(IF(Referentieberekening!C35="Bestaande Situatie",(_xlfn.IFNA(VLOOKUP(Referentie_MKI_Totaal[[#This Row],[Product]]&amp;", "&amp;Referentie_MKI_Totaal[[#Headers],[D1]],Database_Productkaarten[#All],13,FALSE),0)*Referentieberekening!L35),0))</f>
        <v>0</v>
      </c>
      <c r="P34" s="38">
        <f>(IF(Referentieberekening!C35="Bestaande Situatie",_xlfn.IFNA(VLOOKUP(Referentie_MKI_Totaal[[#This Row],[Product]]&amp;", "&amp;Referentie_MKI_Totaal[[#Headers],[D2]],Database_Productkaarten[#All],13,FALSE),0)*Referentieberekening!L35,0))</f>
        <v>0</v>
      </c>
      <c r="Q34" s="191">
        <f>SUM(Referentie_MKI_Totaal[[#This Row],[A1]:[D2]])</f>
        <v>459.28868715157836</v>
      </c>
    </row>
    <row r="35" spans="2:17" ht="18" x14ac:dyDescent="0.55000000000000004">
      <c r="B35" s="23" t="s">
        <v>16</v>
      </c>
      <c r="C35" s="23"/>
      <c r="D35" s="109">
        <f>SUBTOTAL(109,Referentie_MKI_Totaal[A1])</f>
        <v>21907.197845339273</v>
      </c>
      <c r="E35" s="109">
        <f>SUBTOTAL(109,Referentie_MKI_Totaal[A2])</f>
        <v>4906.3998521825424</v>
      </c>
      <c r="F35" s="109">
        <f>SUBTOTAL(109,Referentie_MKI_Totaal[A3])</f>
        <v>4763.5256593392796</v>
      </c>
      <c r="G35" s="109">
        <f>SUBTOTAL(109,Referentie_MKI_Totaal[A4])</f>
        <v>9602.5074215983677</v>
      </c>
      <c r="H35" s="109">
        <f>SUBTOTAL(109,Referentie_MKI_Totaal[A5])</f>
        <v>2709.9334741400157</v>
      </c>
      <c r="I35" s="109">
        <f>SUBTOTAL(109,Referentie_MKI_Totaal[B1])</f>
        <v>67.405273846157641</v>
      </c>
      <c r="J35" s="109">
        <f>SUBTOTAL(109,Referentie_MKI_Totaal[B4])</f>
        <v>0</v>
      </c>
      <c r="K35" s="109">
        <f>SUBTOTAL(109,Referentie_MKI_Totaal[C1])</f>
        <v>810.68489344875979</v>
      </c>
      <c r="L35" s="109">
        <f>SUBTOTAL(109,Referentie_MKI_Totaal[C2])</f>
        <v>8716.3168091587486</v>
      </c>
      <c r="M35" s="109">
        <f>SUBTOTAL(109,Referentie_MKI_Totaal[C3])</f>
        <v>96.355854743725004</v>
      </c>
      <c r="N35" s="109">
        <f>SUBTOTAL(109,Referentie_MKI_Totaal[C4])</f>
        <v>31.9375</v>
      </c>
      <c r="O35" s="109">
        <f>SUBTOTAL(109,Referentie_MKI_Totaal[D1])</f>
        <v>-141.02441098704472</v>
      </c>
      <c r="P35" s="109">
        <f>SUBTOTAL(109,Referentie_MKI_Totaal[D2])</f>
        <v>-110.67904455829337</v>
      </c>
      <c r="Q35" s="196">
        <f>SUBTOTAL(109,Referentie_MKI_Totaal[Totaal])</f>
        <v>53360.561128251531</v>
      </c>
    </row>
    <row r="36" spans="2:17" ht="18" x14ac:dyDescent="0.55000000000000004">
      <c r="B36" s="164"/>
      <c r="C36" s="164"/>
      <c r="D36" s="165"/>
      <c r="E36" s="165"/>
      <c r="F36" s="165"/>
      <c r="G36" s="165"/>
      <c r="H36" s="165"/>
      <c r="I36" s="165"/>
      <c r="J36" s="165"/>
      <c r="K36" s="165"/>
      <c r="L36" s="165"/>
      <c r="M36" s="165"/>
      <c r="N36" s="165"/>
      <c r="O36" s="165"/>
      <c r="P36" s="165"/>
    </row>
    <row r="38" spans="2:17" ht="22" x14ac:dyDescent="0.65">
      <c r="B38" s="134" t="s">
        <v>311</v>
      </c>
      <c r="C38" s="134"/>
      <c r="D38" s="134"/>
      <c r="E38" s="17"/>
      <c r="F38" s="17"/>
      <c r="G38" s="17"/>
      <c r="H38" s="17"/>
      <c r="I38" s="17"/>
      <c r="J38" s="17"/>
      <c r="K38" s="17"/>
      <c r="L38" s="17"/>
      <c r="M38" s="17"/>
      <c r="N38" s="17"/>
      <c r="O38" s="17"/>
      <c r="P38" s="17"/>
    </row>
    <row r="39" spans="2:17" ht="18" x14ac:dyDescent="0.55000000000000004">
      <c r="B39" s="23" t="s">
        <v>55</v>
      </c>
      <c r="C39" s="23" t="s">
        <v>4</v>
      </c>
      <c r="D39" s="24" t="s">
        <v>19</v>
      </c>
      <c r="E39" s="25" t="s">
        <v>20</v>
      </c>
      <c r="F39" s="26" t="s">
        <v>21</v>
      </c>
      <c r="G39" s="27" t="s">
        <v>22</v>
      </c>
      <c r="H39" s="28" t="s">
        <v>23</v>
      </c>
      <c r="I39" s="29" t="s">
        <v>24</v>
      </c>
      <c r="J39" s="30" t="s">
        <v>50</v>
      </c>
      <c r="K39" s="31" t="s">
        <v>25</v>
      </c>
      <c r="L39" s="32" t="s">
        <v>26</v>
      </c>
      <c r="M39" s="33" t="s">
        <v>27</v>
      </c>
      <c r="N39" s="34" t="s">
        <v>28</v>
      </c>
      <c r="O39" s="35" t="s">
        <v>51</v>
      </c>
      <c r="P39" s="36" t="s">
        <v>52</v>
      </c>
      <c r="Q39" s="192" t="s">
        <v>16</v>
      </c>
    </row>
    <row r="40" spans="2:17" ht="18" x14ac:dyDescent="0.55000000000000004">
      <c r="B40" s="285" t="str">
        <f>Referentieberekening!B5</f>
        <v xml:space="preserve"> Opbreken betonstraatstenen. </v>
      </c>
      <c r="C40" s="23" t="str">
        <f>Referentieberekening!F5</f>
        <v>Betonstraatsteen 210x105x80</v>
      </c>
      <c r="D40" s="72">
        <f>(IF(Referentieberekening!C5="Nieuwe Situatie",(_xlfn.IFNA(VLOOKUP(Referentie_CO2_Totaal[[#This Row],[Product]]&amp;", "&amp;Referentie_CO2_Totaal[[#Headers],[A1]],Database_Productkaarten[#All],17,FALSE),0)*Referentieberekening!L5),0))</f>
        <v>0</v>
      </c>
      <c r="E40" s="72">
        <f>(IF(Referentieberekening!C5="Nieuwe Situatie",(_xlfn.IFNA(VLOOKUP(Referentie_CO2_Totaal[[#This Row],[Product]]&amp;", "&amp;Referentie_CO2_Totaal[[#Headers],[A2]],Database_Productkaarten[#All],17,FALSE),0)*Referentieberekening!L5),0))</f>
        <v>0</v>
      </c>
      <c r="F40" s="72">
        <f>(IF(Referentieberekening!C5="Nieuwe Situatie",(_xlfn.IFNA(VLOOKUP(Referentie_CO2_Totaal[[#This Row],[Product]]&amp;", "&amp;Referentie_CO2_Totaal[[#Headers],[A3]],Database_Productkaarten[#All],17,FALSE),0)*Referentieberekening!L5),0))</f>
        <v>0</v>
      </c>
      <c r="G40" s="72">
        <f>IF(Referentieberekening!P5=0,(IF(Referentieberekening!C5="Nieuwe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Situatie",_xlfn.IFNA(VLOOKUP(Inschrijfberekening!O6,Database_Transport[#All],12,FALSE)*(Inschrijfberekening!K6*Inschrijfberekening!N6),Referentie_Backlog!G40),0))</f>
        <v>0</v>
      </c>
      <c r="H40" s="72">
        <f>(IF(Referentieberekening!C5="Nieuwe Situatie",(_xlfn.IFNA(VLOOKUP(Referentie_CO2_Totaal[[#This Row],[Product]]&amp;", "&amp;Referentie_CO2_Totaal[[#Headers],[A5]],Database_Productkaarten[#All],17,FALSE),0)*Referentieberekening!L5),0))</f>
        <v>0</v>
      </c>
      <c r="I40" s="72">
        <f>(IF(Referentieberekening!C5="Nieuwe Situatie",(_xlfn.IFNA(VLOOKUP(Referentie_CO2_Totaal[[#This Row],[Product]]&amp;", "&amp;Referentie_CO2_Totaal[[#Headers],[B1]],Database_Productkaarten[#All],17,FALSE),0)*Referentieberekening!L5),0))</f>
        <v>0</v>
      </c>
      <c r="J40" s="72">
        <f>(IF(Referentieberekening!C5="Nieuwe Situatie",(SUM(Referentie_CO2_Totaal[[#This Row],[A1]:[B1]],Referentie_CO2_Totaal[[#This Row],[C1]:[D2]])*Referentieberekening!N5),0))</f>
        <v>0</v>
      </c>
      <c r="K40" s="72">
        <f>(IF(Referentieberekening!C5="Bestaande Situatie",(_xlfn.IFNA(VLOOKUP(Referentie_CO2_Totaal[[#This Row],[Product]]&amp;", "&amp;Referentie_CO2_Totaal[[#Headers],[C1]],Database_Productkaarten[#All],17,FALSE),0)*Referentieberekening!L5),0))</f>
        <v>486.875</v>
      </c>
      <c r="L40" s="72">
        <f>(IF(Referentieberekening!C5="Bestaande Situatie",(_xlfn.IFNA(VLOOKUP(Referentie_CO2_Totaal[[#This Row],[Product]]&amp;", "&amp;Referentie_CO2_Totaal[[#Headers],[C2]],Database_Productkaarten[#All],17,FALSE),0)*Referentieberekening!L5),0))</f>
        <v>740.18749999999989</v>
      </c>
      <c r="M40" s="72">
        <f>(IF(Referentieberekening!C5="Bestaande Situatie",(_xlfn.IFNA(VLOOKUP(Referentie_CO2_Totaal[[#This Row],[Product]]&amp;", "&amp;Referentie_CO2_Totaal[[#Headers],[C3]],Database_Productkaarten[#All],17,FALSE),0)*Referentieberekening!L5),0))</f>
        <v>0.20624999999999999</v>
      </c>
      <c r="N40" s="72">
        <f>(IF(Referentieberekening!C5="Bestaande Situatie",(_xlfn.IFNA(VLOOKUP(Referentie_CO2_Totaal[[#This Row],[Product]]&amp;", "&amp;Referentie_CO2_Totaal[[#Headers],[C4]],Database_Productkaarten[#All],17,FALSE),0)*Referentieberekening!L5),0))</f>
        <v>5.9375</v>
      </c>
      <c r="O40" s="72">
        <f>(IF(Referentieberekening!C5="Bestaande Situatie",(_xlfn.IFNA(VLOOKUP(Referentie_CO2_Totaal[[#This Row],[Product]]&amp;", "&amp;Referentie_CO2_Totaal[[#Headers],[D1]],Database_Productkaarten[#All],17,FALSE),0)*Referentieberekening!L5),0))</f>
        <v>-461.75</v>
      </c>
      <c r="P40" s="73">
        <f>(IF(Referentieberekening!C5="Bestaande Situatie",_xlfn.IFNA(VLOOKUP(Referentie_CO2_Totaal[[#This Row],[Product]]&amp;", "&amp;Referentie_CO2_Totaal[[#Headers],[D2]],Database_Productkaarten[#All],17,FALSE),0)*Referentieberekening!L5,0))</f>
        <v>0</v>
      </c>
      <c r="Q40" s="72">
        <f>SUM(Referentie_CO2_Totaal[[#This Row],[A1]:[D2]])</f>
        <v>771.45624999999995</v>
      </c>
    </row>
    <row r="41" spans="2:17" ht="18" x14ac:dyDescent="0.55000000000000004">
      <c r="B41" s="285" t="str">
        <f>Referentieberekening!B6</f>
        <v>Aanbrengen band 280x300x260 mm, betonrug.</v>
      </c>
      <c r="C41" s="23" t="str">
        <f>Referentieberekening!F6</f>
        <v>Trottoirband 280x300</v>
      </c>
      <c r="D41" s="72">
        <f>(IF(Referentieberekening!C6="Nieuwe Situatie",(_xlfn.IFNA(VLOOKUP(Referentie_CO2_Totaal[[#This Row],[Product]]&amp;", "&amp;Referentie_CO2_Totaal[[#Headers],[A1]],Database_Productkaarten[#All],17,FALSE),0)*Referentieberekening!L6),0))</f>
        <v>39139.791599999997</v>
      </c>
      <c r="E41" s="72">
        <f>(IF(Referentieberekening!C6="Nieuwe Situatie",(_xlfn.IFNA(VLOOKUP(Referentie_CO2_Totaal[[#This Row],[Product]]&amp;", "&amp;Referentie_CO2_Totaal[[#Headers],[A2]],Database_Productkaarten[#All],17,FALSE),0)*Referentieberekening!L6),0))</f>
        <v>0</v>
      </c>
      <c r="F41" s="72">
        <f>(IF(Referentieberekening!C6="Nieuwe Situatie",(_xlfn.IFNA(VLOOKUP(Referentie_CO2_Totaal[[#This Row],[Product]]&amp;", "&amp;Referentie_CO2_Totaal[[#Headers],[A3]],Database_Productkaarten[#All],17,FALSE),0)*Referentieberekening!L6),0))</f>
        <v>0</v>
      </c>
      <c r="G41" s="72">
        <f>IF(Referentieberekening!P6=0,(IF(Referentieberekening!C6="Nieuwe Situatie",(_xlfn.IFNA(VLOOKUP(Referentie_CO2_Totaal[[#This Row],[Product]]&amp;", "&amp;Referentie_CO2_Totaal[[#Headers],[A4]],Database_Productkaarten[#All],17,FALSE),0)*Referentieberekening!L6),0)),IF(Inschrijfberekening!C7="Nieuwe Situatie",_xlfn.IFNA(VLOOKUP(Inschrijfberekening!O7,Database_Transport[#All],12,FALSE)*(Inschrijfberekening!K7*Inschrijfberekening!N7),Referentie_Backlog!G41),0))</f>
        <v>5836.3619999999992</v>
      </c>
      <c r="H41" s="72">
        <f>(IF(Referentieberekening!C6="Nieuwe Situatie",(_xlfn.IFNA(VLOOKUP(Referentie_CO2_Totaal[[#This Row],[Product]]&amp;", "&amp;Referentie_CO2_Totaal[[#Headers],[A5]],Database_Productkaarten[#All],17,FALSE),0)*Referentieberekening!L6),0))</f>
        <v>305.41399999999999</v>
      </c>
      <c r="I41" s="72">
        <f>(IF(Referentieberekening!C6="Nieuwe Situatie",(_xlfn.IFNA(VLOOKUP(Referentie_CO2_Totaal[[#This Row],[Product]]&amp;", "&amp;Referentie_CO2_Totaal[[#Headers],[B1]],Database_Productkaarten[#All],17,FALSE),0)*Referentieberekening!L6),0))</f>
        <v>0</v>
      </c>
      <c r="J41" s="72">
        <f>(IF(Referentieberekening!C6="Nieuwe Situatie",(SUM(Referentie_CO2_Totaal[[#This Row],[A1]:[B1]],Referentie_CO2_Totaal[[#This Row],[C1]:[D2]])*Referentieberekening!N6),0))</f>
        <v>0</v>
      </c>
      <c r="K41" s="72">
        <f>(IF(Referentieberekening!C6="Bestaande Situatie",(_xlfn.IFNA(VLOOKUP(Referentie_CO2_Totaal[[#This Row],[Product]]&amp;", "&amp;Referentie_CO2_Totaal[[#Headers],[C1]],Database_Productkaarten[#All],17,FALSE),0)*Referentieberekening!L6),0))</f>
        <v>0</v>
      </c>
      <c r="L41" s="72">
        <f>(IF(Referentieberekening!C6="Bestaande Situatie",(_xlfn.IFNA(VLOOKUP(Referentie_CO2_Totaal[[#This Row],[Product]]&amp;", "&amp;Referentie_CO2_Totaal[[#Headers],[C2]],Database_Productkaarten[#All],17,FALSE),0)*Referentieberekening!L6),0))</f>
        <v>0</v>
      </c>
      <c r="M41" s="72">
        <f>(IF(Referentieberekening!C6="Bestaande Situatie",(_xlfn.IFNA(VLOOKUP(Referentie_CO2_Totaal[[#This Row],[Product]]&amp;", "&amp;Referentie_CO2_Totaal[[#Headers],[C3]],Database_Productkaarten[#All],17,FALSE),0)*Referentieberekening!L6),0))</f>
        <v>0</v>
      </c>
      <c r="N41" s="72">
        <f>(IF(Referentieberekening!C6="Bestaande Situatie",(_xlfn.IFNA(VLOOKUP(Referentie_CO2_Totaal[[#This Row],[Product]]&amp;", "&amp;Referentie_CO2_Totaal[[#Headers],[C4]],Database_Productkaarten[#All],17,FALSE),0)*Referentieberekening!L6),0))</f>
        <v>0</v>
      </c>
      <c r="O41" s="72">
        <f>(IF(Referentieberekening!C6="Bestaande Situatie",(_xlfn.IFNA(VLOOKUP(Referentie_CO2_Totaal[[#This Row],[Product]]&amp;", "&amp;Referentie_CO2_Totaal[[#Headers],[D1]],Database_Productkaarten[#All],17,FALSE),0)*Referentieberekening!L6),0))</f>
        <v>0</v>
      </c>
      <c r="P41" s="73">
        <f>(IF(Referentieberekening!C6="Bestaande Situatie",_xlfn.IFNA(VLOOKUP(Referentie_CO2_Totaal[[#This Row],[Product]]&amp;", "&amp;Referentie_CO2_Totaal[[#Headers],[D2]],Database_Productkaarten[#All],17,FALSE),0)*Referentieberekening!L6,0))</f>
        <v>0</v>
      </c>
      <c r="Q41" s="72">
        <f>SUM(Referentie_CO2_Totaal[[#This Row],[A1]:[D2]])</f>
        <v>45281.567599999995</v>
      </c>
    </row>
    <row r="42" spans="2:17" ht="18" x14ac:dyDescent="0.55000000000000004">
      <c r="B42" s="285" t="str">
        <f>Referentieberekening!B7</f>
        <v>Aanbrengen opsluitband 100x200mm.</v>
      </c>
      <c r="C42" s="23" t="str">
        <f>Referentieberekening!F7</f>
        <v>Opsluitband 100x200</v>
      </c>
      <c r="D42" s="72">
        <f>(IF(Referentieberekening!C7="Nieuwe Situatie",(_xlfn.IFNA(VLOOKUP(Referentie_CO2_Totaal[[#This Row],[Product]]&amp;", "&amp;Referentie_CO2_Totaal[[#Headers],[A1]],Database_Productkaarten[#All],17,FALSE),0)*Referentieberekening!L7),0))</f>
        <v>5898.1</v>
      </c>
      <c r="E42" s="72">
        <f>(IF(Referentieberekening!C7="Nieuwe Situatie",(_xlfn.IFNA(VLOOKUP(Referentie_CO2_Totaal[[#This Row],[Product]]&amp;", "&amp;Referentie_CO2_Totaal[[#Headers],[A2]],Database_Productkaarten[#All],17,FALSE),0)*Referentieberekening!L7),0))</f>
        <v>0</v>
      </c>
      <c r="F42" s="72">
        <f>(IF(Referentieberekening!C7="Nieuwe Situatie",(_xlfn.IFNA(VLOOKUP(Referentie_CO2_Totaal[[#This Row],[Product]]&amp;", "&amp;Referentie_CO2_Totaal[[#Headers],[A3]],Database_Productkaarten[#All],17,FALSE),0)*Referentieberekening!L7),0))</f>
        <v>0</v>
      </c>
      <c r="G42" s="72">
        <f>IF(Referentieberekening!P7=0,(IF(Referentieberekening!C7="Nieuwe Situatie",(_xlfn.IFNA(VLOOKUP(Referentie_CO2_Totaal[[#This Row],[Product]]&amp;", "&amp;Referentie_CO2_Totaal[[#Headers],[A4]],Database_Productkaarten[#All],17,FALSE),0)*Referentieberekening!L7),0)),IF(Inschrijfberekening!C8="Nieuwe Situatie",_xlfn.IFNA(VLOOKUP(Inschrijfberekening!O8,Database_Transport[#All],12,FALSE)*(Inschrijfberekening!K8*Inschrijfberekening!N8),Referentie_Backlog!G42),0))</f>
        <v>879.5</v>
      </c>
      <c r="H42" s="72">
        <f>(IF(Referentieberekening!C7="Nieuwe Situatie",(_xlfn.IFNA(VLOOKUP(Referentie_CO2_Totaal[[#This Row],[Product]]&amp;", "&amp;Referentie_CO2_Totaal[[#Headers],[A5]],Database_Productkaarten[#All],17,FALSE),0)*Referentieberekening!L7),0))</f>
        <v>193.3</v>
      </c>
      <c r="I42" s="72">
        <f>(IF(Referentieberekening!C7="Nieuwe Situatie",(_xlfn.IFNA(VLOOKUP(Referentie_CO2_Totaal[[#This Row],[Product]]&amp;", "&amp;Referentie_CO2_Totaal[[#Headers],[B1]],Database_Productkaarten[#All],17,FALSE),0)*Referentieberekening!L7),0))</f>
        <v>0</v>
      </c>
      <c r="J42" s="72">
        <f>(IF(Referentieberekening!C7="Nieuwe Situatie",(SUM(Referentie_CO2_Totaal[[#This Row],[A1]:[B1]],Referentie_CO2_Totaal[[#This Row],[C1]:[D2]])*Referentieberekening!N7),0))</f>
        <v>0</v>
      </c>
      <c r="K42" s="72">
        <f>(IF(Referentieberekening!C7="Bestaande Situatie",(_xlfn.IFNA(VLOOKUP(Referentie_CO2_Totaal[[#This Row],[Product]]&amp;", "&amp;Referentie_CO2_Totaal[[#Headers],[C1]],Database_Productkaarten[#All],17,FALSE),0)*Referentieberekening!L7),0))</f>
        <v>0</v>
      </c>
      <c r="L42" s="72">
        <f>(IF(Referentieberekening!C7="Bestaande Situatie",(_xlfn.IFNA(VLOOKUP(Referentie_CO2_Totaal[[#This Row],[Product]]&amp;", "&amp;Referentie_CO2_Totaal[[#Headers],[C2]],Database_Productkaarten[#All],17,FALSE),0)*Referentieberekening!L7),0))</f>
        <v>0</v>
      </c>
      <c r="M42" s="72">
        <f>(IF(Referentieberekening!C7="Bestaande Situatie",(_xlfn.IFNA(VLOOKUP(Referentie_CO2_Totaal[[#This Row],[Product]]&amp;", "&amp;Referentie_CO2_Totaal[[#Headers],[C3]],Database_Productkaarten[#All],17,FALSE),0)*Referentieberekening!L7),0))</f>
        <v>0</v>
      </c>
      <c r="N42" s="72">
        <f>(IF(Referentieberekening!C7="Bestaande Situatie",(_xlfn.IFNA(VLOOKUP(Referentie_CO2_Totaal[[#This Row],[Product]]&amp;", "&amp;Referentie_CO2_Totaal[[#Headers],[C4]],Database_Productkaarten[#All],17,FALSE),0)*Referentieberekening!L7),0))</f>
        <v>0</v>
      </c>
      <c r="O42" s="72">
        <f>(IF(Referentieberekening!C7="Bestaande Situatie",(_xlfn.IFNA(VLOOKUP(Referentie_CO2_Totaal[[#This Row],[Product]]&amp;", "&amp;Referentie_CO2_Totaal[[#Headers],[D1]],Database_Productkaarten[#All],17,FALSE),0)*Referentieberekening!L7),0))</f>
        <v>0</v>
      </c>
      <c r="P42" s="73">
        <f>(IF(Referentieberekening!C7="Bestaande Situatie",_xlfn.IFNA(VLOOKUP(Referentie_CO2_Totaal[[#This Row],[Product]]&amp;", "&amp;Referentie_CO2_Totaal[[#Headers],[D2]],Database_Productkaarten[#All],17,FALSE),0)*Referentieberekening!L7,0))</f>
        <v>0</v>
      </c>
      <c r="Q42" s="72">
        <f>SUM(Referentie_CO2_Totaal[[#This Row],[A1]:[D2]])</f>
        <v>6970.9000000000005</v>
      </c>
    </row>
    <row r="43" spans="2:17" ht="18" x14ac:dyDescent="0.55000000000000004">
      <c r="B43" s="285" t="str">
        <f>Referentieberekening!B8</f>
        <v>Aanbrengen straatlaag van straatzand dik 50 mm.</v>
      </c>
      <c r="C43" s="23" t="str">
        <f>Referentieberekening!F8</f>
        <v>Straatzand</v>
      </c>
      <c r="D43" s="72">
        <f>(IF(Referentieberekening!C8="Nieuwe Situatie",(_xlfn.IFNA(VLOOKUP(Referentie_CO2_Totaal[[#This Row],[Product]]&amp;", "&amp;Referentie_CO2_Totaal[[#Headers],[A1]],Database_Productkaarten[#All],17,FALSE),0)*Referentieberekening!L8),0))</f>
        <v>718.00920000000008</v>
      </c>
      <c r="E43" s="72">
        <f>(IF(Referentieberekening!C8="Nieuwe Situatie",(_xlfn.IFNA(VLOOKUP(Referentie_CO2_Totaal[[#This Row],[Product]]&amp;", "&amp;Referentie_CO2_Totaal[[#Headers],[A2]],Database_Productkaarten[#All],17,FALSE),0)*Referentieberekening!L8),0))</f>
        <v>0</v>
      </c>
      <c r="F43" s="72">
        <f>(IF(Referentieberekening!C8="Nieuwe Situatie",(_xlfn.IFNA(VLOOKUP(Referentie_CO2_Totaal[[#This Row],[Product]]&amp;", "&amp;Referentie_CO2_Totaal[[#Headers],[A3]],Database_Productkaarten[#All],17,FALSE),0)*Referentieberekening!L8),0))</f>
        <v>0</v>
      </c>
      <c r="G43" s="72">
        <f>IF(Referentieberekening!P8=0,(IF(Referentieberekening!C8="Nieuwe Situatie",(_xlfn.IFNA(VLOOKUP(Referentie_CO2_Totaal[[#This Row],[Product]]&amp;", "&amp;Referentie_CO2_Totaal[[#Headers],[A4]],Database_Productkaarten[#All],17,FALSE),0)*Referentieberekening!L8),0)),IF(Inschrijfberekening!C9="Nieuwe Situatie",_xlfn.IFNA(VLOOKUP(Inschrijfberekening!O9,Database_Transport[#All],12,FALSE)*(Inschrijfberekening!K9*Inschrijfberekening!N9),Referentie_Backlog!G43),0))</f>
        <v>243.32483231999998</v>
      </c>
      <c r="H43" s="72">
        <f>(IF(Referentieberekening!C8="Nieuwe Situatie",(_xlfn.IFNA(VLOOKUP(Referentie_CO2_Totaal[[#This Row],[Product]]&amp;", "&amp;Referentie_CO2_Totaal[[#Headers],[A5]],Database_Productkaarten[#All],17,FALSE),0)*Referentieberekening!L8),0))</f>
        <v>27.1989325692</v>
      </c>
      <c r="I43" s="72">
        <f>(IF(Referentieberekening!C8="Nieuwe Situatie",(_xlfn.IFNA(VLOOKUP(Referentie_CO2_Totaal[[#This Row],[Product]]&amp;", "&amp;Referentie_CO2_Totaal[[#Headers],[B1]],Database_Productkaarten[#All],17,FALSE),0)*Referentieberekening!L8),0))</f>
        <v>0</v>
      </c>
      <c r="J43" s="72">
        <f>(IF(Referentieberekening!C8="Nieuwe Situatie",(SUM(Referentie_CO2_Totaal[[#This Row],[A1]:[B1]],Referentie_CO2_Totaal[[#This Row],[C1]:[D2]])*Referentieberekening!N8),0))</f>
        <v>0</v>
      </c>
      <c r="K43" s="72">
        <f>(IF(Referentieberekening!C8="Bestaande Situatie",(_xlfn.IFNA(VLOOKUP(Referentie_CO2_Totaal[[#This Row],[Product]]&amp;", "&amp;Referentie_CO2_Totaal[[#Headers],[C1]],Database_Productkaarten[#All],17,FALSE),0)*Referentieberekening!L8),0))</f>
        <v>0</v>
      </c>
      <c r="L43" s="72">
        <f>(IF(Referentieberekening!C8="Bestaande Situatie",(_xlfn.IFNA(VLOOKUP(Referentie_CO2_Totaal[[#This Row],[Product]]&amp;", "&amp;Referentie_CO2_Totaal[[#Headers],[C2]],Database_Productkaarten[#All],17,FALSE),0)*Referentieberekening!L8),0))</f>
        <v>0</v>
      </c>
      <c r="M43" s="72">
        <f>(IF(Referentieberekening!C8="Bestaande Situatie",(_xlfn.IFNA(VLOOKUP(Referentie_CO2_Totaal[[#This Row],[Product]]&amp;", "&amp;Referentie_CO2_Totaal[[#Headers],[C3]],Database_Productkaarten[#All],17,FALSE),0)*Referentieberekening!L8),0))</f>
        <v>0</v>
      </c>
      <c r="N43" s="72">
        <f>(IF(Referentieberekening!C8="Bestaande Situatie",(_xlfn.IFNA(VLOOKUP(Referentie_CO2_Totaal[[#This Row],[Product]]&amp;", "&amp;Referentie_CO2_Totaal[[#Headers],[C4]],Database_Productkaarten[#All],17,FALSE),0)*Referentieberekening!L8),0))</f>
        <v>0</v>
      </c>
      <c r="O43" s="72">
        <f>(IF(Referentieberekening!C8="Bestaande Situatie",(_xlfn.IFNA(VLOOKUP(Referentie_CO2_Totaal[[#This Row],[Product]]&amp;", "&amp;Referentie_CO2_Totaal[[#Headers],[D1]],Database_Productkaarten[#All],17,FALSE),0)*Referentieberekening!L8),0))</f>
        <v>0</v>
      </c>
      <c r="P43" s="73">
        <f>(IF(Referentieberekening!C8="Bestaande Situatie",_xlfn.IFNA(VLOOKUP(Referentie_CO2_Totaal[[#This Row],[Product]]&amp;", "&amp;Referentie_CO2_Totaal[[#Headers],[D2]],Database_Productkaarten[#All],17,FALSE),0)*Referentieberekening!L8,0))</f>
        <v>0</v>
      </c>
      <c r="Q43" s="72">
        <f>SUM(Referentie_CO2_Totaal[[#This Row],[A1]:[D2]])</f>
        <v>988.5329648892</v>
      </c>
    </row>
    <row r="44" spans="2:17" ht="18" x14ac:dyDescent="0.55000000000000004">
      <c r="B44" s="285" t="str">
        <f>Referentieberekening!B9</f>
        <v>Aanbrengen betontegels 300x300x45 mm.</v>
      </c>
      <c r="C44" s="23" t="str">
        <f>Referentieberekening!F9</f>
        <v>Betontegel 300x300x45</v>
      </c>
      <c r="D44" s="72">
        <f>(IF(Referentieberekening!C9="Nieuwe Situatie",(_xlfn.IFNA(VLOOKUP(Referentie_CO2_Totaal[[#This Row],[Product]]&amp;", "&amp;Referentie_CO2_Totaal[[#Headers],[A1]],Database_Productkaarten[#All],17,FALSE),0)*Referentieberekening!L9),0))</f>
        <v>9593.351999999999</v>
      </c>
      <c r="E44" s="72">
        <f>(IF(Referentieberekening!C9="Nieuwe Situatie",(_xlfn.IFNA(VLOOKUP(Referentie_CO2_Totaal[[#This Row],[Product]]&amp;", "&amp;Referentie_CO2_Totaal[[#Headers],[A2]],Database_Productkaarten[#All],17,FALSE),0)*Referentieberekening!L9),0))</f>
        <v>0</v>
      </c>
      <c r="F44" s="72">
        <f>(IF(Referentieberekening!C9="Nieuwe Situatie",(_xlfn.IFNA(VLOOKUP(Referentie_CO2_Totaal[[#This Row],[Product]]&amp;", "&amp;Referentie_CO2_Totaal[[#Headers],[A3]],Database_Productkaarten[#All],17,FALSE),0)*Referentieberekening!L9),0))</f>
        <v>0</v>
      </c>
      <c r="G44" s="72">
        <f>IF(Referentieberekening!P9=0,(IF(Referentieberekening!C9="Nieuwe Situatie",(_xlfn.IFNA(VLOOKUP(Referentie_CO2_Totaal[[#This Row],[Product]]&amp;", "&amp;Referentie_CO2_Totaal[[#Headers],[A4]],Database_Productkaarten[#All],17,FALSE),0)*Referentieberekening!L9),0)),IF(Inschrijfberekening!C10="Nieuwe Situatie",_xlfn.IFNA(VLOOKUP(Inschrijfberekening!O10,Database_Transport[#All],12,FALSE)*(Inschrijfberekening!K10*Inschrijfberekening!N10),Referentie_Backlog!G44),0))</f>
        <v>1425.816</v>
      </c>
      <c r="H44" s="72">
        <f>(IF(Referentieberekening!C9="Nieuwe Situatie",(_xlfn.IFNA(VLOOKUP(Referentie_CO2_Totaal[[#This Row],[Product]]&amp;", "&amp;Referentie_CO2_Totaal[[#Headers],[A5]],Database_Productkaarten[#All],17,FALSE),0)*Referentieberekening!L9),0))</f>
        <v>740.37599999999998</v>
      </c>
      <c r="I44" s="72">
        <f>(IF(Referentieberekening!C9="Nieuwe Situatie",(_xlfn.IFNA(VLOOKUP(Referentie_CO2_Totaal[[#This Row],[Product]]&amp;", "&amp;Referentie_CO2_Totaal[[#Headers],[B1]],Database_Productkaarten[#All],17,FALSE),0)*Referentieberekening!L9),0))</f>
        <v>0</v>
      </c>
      <c r="J44" s="72">
        <f>(IF(Referentieberekening!C9="Nieuwe Situatie",(SUM(Referentie_CO2_Totaal[[#This Row],[A1]:[B1]],Referentie_CO2_Totaal[[#This Row],[C1]:[D2]])*Referentieberekening!N9),0))</f>
        <v>0</v>
      </c>
      <c r="K44" s="72">
        <f>(IF(Referentieberekening!C9="Bestaande Situatie",(_xlfn.IFNA(VLOOKUP(Referentie_CO2_Totaal[[#This Row],[Product]]&amp;", "&amp;Referentie_CO2_Totaal[[#Headers],[C1]],Database_Productkaarten[#All],17,FALSE),0)*Referentieberekening!L9),0))</f>
        <v>0</v>
      </c>
      <c r="L44" s="72">
        <f>(IF(Referentieberekening!C9="Bestaande Situatie",(_xlfn.IFNA(VLOOKUP(Referentie_CO2_Totaal[[#This Row],[Product]]&amp;", "&amp;Referentie_CO2_Totaal[[#Headers],[C2]],Database_Productkaarten[#All],17,FALSE),0)*Referentieberekening!L9),0))</f>
        <v>0</v>
      </c>
      <c r="M44" s="72">
        <f>(IF(Referentieberekening!C9="Bestaande Situatie",(_xlfn.IFNA(VLOOKUP(Referentie_CO2_Totaal[[#This Row],[Product]]&amp;", "&amp;Referentie_CO2_Totaal[[#Headers],[C3]],Database_Productkaarten[#All],17,FALSE),0)*Referentieberekening!L9),0))</f>
        <v>0</v>
      </c>
      <c r="N44" s="72">
        <f>(IF(Referentieberekening!C9="Bestaande Situatie",(_xlfn.IFNA(VLOOKUP(Referentie_CO2_Totaal[[#This Row],[Product]]&amp;", "&amp;Referentie_CO2_Totaal[[#Headers],[C4]],Database_Productkaarten[#All],17,FALSE),0)*Referentieberekening!L9),0))</f>
        <v>0</v>
      </c>
      <c r="O44" s="72">
        <f>(IF(Referentieberekening!C9="Bestaande Situatie",(_xlfn.IFNA(VLOOKUP(Referentie_CO2_Totaal[[#This Row],[Product]]&amp;", "&amp;Referentie_CO2_Totaal[[#Headers],[D1]],Database_Productkaarten[#All],17,FALSE),0)*Referentieberekening!L9),0))</f>
        <v>0</v>
      </c>
      <c r="P44" s="73">
        <f>(IF(Referentieberekening!C9="Bestaande Situatie",_xlfn.IFNA(VLOOKUP(Referentie_CO2_Totaal[[#This Row],[Product]]&amp;", "&amp;Referentie_CO2_Totaal[[#Headers],[D2]],Database_Productkaarten[#All],17,FALSE),0)*Referentieberekening!L9,0))</f>
        <v>0</v>
      </c>
      <c r="Q44" s="72">
        <f>SUM(Referentie_CO2_Totaal[[#This Row],[A1]:[D2]])</f>
        <v>11759.544</v>
      </c>
    </row>
    <row r="45" spans="2:17" ht="18" x14ac:dyDescent="0.55000000000000004">
      <c r="B45" s="285" t="str">
        <f>Referentieberekening!B10</f>
        <v xml:space="preserve"> Opbreken asfaltverharding, dik 120 mm. </v>
      </c>
      <c r="C45" s="23" t="str">
        <f>Referentieberekening!F10</f>
        <v>AC bin/base 50% PR - PCR 1.0</v>
      </c>
      <c r="D45" s="72">
        <f>(IF(Referentieberekening!C10="Nieuwe Situatie",(_xlfn.IFNA(VLOOKUP(Referentie_CO2_Totaal[[#This Row],[Product]]&amp;", "&amp;Referentie_CO2_Totaal[[#Headers],[A1]],Database_Productkaarten[#All],17,FALSE),0)*Referentieberekening!L10),0))</f>
        <v>0</v>
      </c>
      <c r="E45" s="72">
        <f>(IF(Referentieberekening!C10="Nieuwe Situatie",(_xlfn.IFNA(VLOOKUP(Referentie_CO2_Totaal[[#This Row],[Product]]&amp;", "&amp;Referentie_CO2_Totaal[[#Headers],[A2]],Database_Productkaarten[#All],17,FALSE),0)*Referentieberekening!L10),0))</f>
        <v>0</v>
      </c>
      <c r="F45" s="72">
        <f>(IF(Referentieberekening!C10="Nieuwe Situatie",(_xlfn.IFNA(VLOOKUP(Referentie_CO2_Totaal[[#This Row],[Product]]&amp;", "&amp;Referentie_CO2_Totaal[[#Headers],[A3]],Database_Productkaarten[#All],17,FALSE),0)*Referentieberekening!L10),0))</f>
        <v>0</v>
      </c>
      <c r="G45" s="72">
        <f>IF(Referentieberekening!P10=0,(IF(Referentieberekening!C10="Nieuwe Situatie",(_xlfn.IFNA(VLOOKUP(Referentie_CO2_Totaal[[#This Row],[Product]]&amp;", "&amp;Referentie_CO2_Totaal[[#Headers],[A4]],Database_Productkaarten[#All],17,FALSE),0)*Referentieberekening!L10),0)),IF(Inschrijfberekening!C11="Nieuwe Situatie",_xlfn.IFNA(VLOOKUP(Inschrijfberekening!O11,Database_Transport[#All],12,FALSE)*(Inschrijfberekening!K11*Inschrijfberekening!N11),Referentie_Backlog!G45),0))</f>
        <v>0</v>
      </c>
      <c r="H45" s="72">
        <f>(IF(Referentieberekening!C10="Nieuwe Situatie",(_xlfn.IFNA(VLOOKUP(Referentie_CO2_Totaal[[#This Row],[Product]]&amp;", "&amp;Referentie_CO2_Totaal[[#Headers],[A5]],Database_Productkaarten[#All],17,FALSE),0)*Referentieberekening!L10),0))</f>
        <v>0</v>
      </c>
      <c r="I45" s="72">
        <f>(IF(Referentieberekening!C10="Nieuwe Situatie",(_xlfn.IFNA(VLOOKUP(Referentie_CO2_Totaal[[#This Row],[Product]]&amp;", "&amp;Referentie_CO2_Totaal[[#Headers],[B1]],Database_Productkaarten[#All],17,FALSE),0)*Referentieberekening!L10),0))</f>
        <v>0</v>
      </c>
      <c r="J45" s="72">
        <f>(IF(Referentieberekening!C10="Nieuwe Situatie",(SUM(Referentie_CO2_Totaal[[#This Row],[A1]:[B1]],Referentie_CO2_Totaal[[#This Row],[C1]:[D2]])*Referentieberekening!N10),0))</f>
        <v>0</v>
      </c>
      <c r="K45" s="72">
        <f>(IF(Referentieberekening!C10="Bestaande Situatie",(_xlfn.IFNA(VLOOKUP(Referentie_CO2_Totaal[[#This Row],[Product]]&amp;", "&amp;Referentie_CO2_Totaal[[#Headers],[C1]],Database_Productkaarten[#All],17,FALSE),0)*Referentieberekening!L10),0))</f>
        <v>106.08226706880001</v>
      </c>
      <c r="L45" s="72">
        <f>(IF(Referentieberekening!C10="Bestaande Situatie",(_xlfn.IFNA(VLOOKUP(Referentie_CO2_Totaal[[#This Row],[Product]]&amp;", "&amp;Referentie_CO2_Totaal[[#Headers],[C2]],Database_Productkaarten[#All],17,FALSE),0)*Referentieberekening!L10),0))</f>
        <v>178.38545056199999</v>
      </c>
      <c r="M45" s="72">
        <f>(IF(Referentieberekening!C10="Bestaande Situatie",(_xlfn.IFNA(VLOOKUP(Referentie_CO2_Totaal[[#This Row],[Product]]&amp;", "&amp;Referentie_CO2_Totaal[[#Headers],[C3]],Database_Productkaarten[#All],17,FALSE),0)*Referentieberekening!L10),0))</f>
        <v>51.229470837599997</v>
      </c>
      <c r="N45" s="72">
        <f>(IF(Referentieberekening!C10="Bestaande Situatie",(_xlfn.IFNA(VLOOKUP(Referentie_CO2_Totaal[[#This Row],[Product]]&amp;", "&amp;Referentie_CO2_Totaal[[#Headers],[C4]],Database_Productkaarten[#All],17,FALSE),0)*Referentieberekening!L10),0))</f>
        <v>0</v>
      </c>
      <c r="O45" s="72">
        <f>(IF(Referentieberekening!C10="Bestaande Situatie",(_xlfn.IFNA(VLOOKUP(Referentie_CO2_Totaal[[#This Row],[Product]]&amp;", "&amp;Referentie_CO2_Totaal[[#Headers],[D1]],Database_Productkaarten[#All],17,FALSE),0)*Referentieberekening!L10),0))</f>
        <v>-425.72452020841257</v>
      </c>
      <c r="P45" s="73">
        <f>(IF(Referentieberekening!C10="Bestaande Situatie",_xlfn.IFNA(VLOOKUP(Referentie_CO2_Totaal[[#This Row],[Product]]&amp;", "&amp;Referentie_CO2_Totaal[[#Headers],[D2]],Database_Productkaarten[#All],17,FALSE),0)*Referentieberekening!L10,0))</f>
        <v>-182.27275865978331</v>
      </c>
      <c r="Q45" s="72">
        <f>SUM(Referentie_CO2_Totaal[[#This Row],[A1]:[D2]])</f>
        <v>-272.30009039979586</v>
      </c>
    </row>
    <row r="46" spans="2:17" ht="18" x14ac:dyDescent="0.55000000000000004">
      <c r="B46" s="285" t="str">
        <f>Referentieberekening!B11</f>
        <v xml:space="preserve"> Frezen asfalt dik 30 mm - fietspad. </v>
      </c>
      <c r="C46" s="23" t="str">
        <f>Referentieberekening!F11</f>
        <v>SMA 8-11 - PCR 1.0</v>
      </c>
      <c r="D46" s="72">
        <f>(IF(Referentieberekening!C11="Nieuwe Situatie",(_xlfn.IFNA(VLOOKUP(Referentie_CO2_Totaal[[#This Row],[Product]]&amp;", "&amp;Referentie_CO2_Totaal[[#Headers],[A1]],Database_Productkaarten[#All],17,FALSE),0)*Referentieberekening!L11),0))</f>
        <v>0</v>
      </c>
      <c r="E46" s="72">
        <f>(IF(Referentieberekening!C11="Nieuwe Situatie",(_xlfn.IFNA(VLOOKUP(Referentie_CO2_Totaal[[#This Row],[Product]]&amp;", "&amp;Referentie_CO2_Totaal[[#Headers],[A2]],Database_Productkaarten[#All],17,FALSE),0)*Referentieberekening!L11),0))</f>
        <v>0</v>
      </c>
      <c r="F46" s="72">
        <f>(IF(Referentieberekening!C11="Nieuwe Situatie",(_xlfn.IFNA(VLOOKUP(Referentie_CO2_Totaal[[#This Row],[Product]]&amp;", "&amp;Referentie_CO2_Totaal[[#Headers],[A3]],Database_Productkaarten[#All],17,FALSE),0)*Referentieberekening!L11),0))</f>
        <v>0</v>
      </c>
      <c r="G46" s="72">
        <f>IF(Referentieberekening!P11=0,(IF(Referentieberekening!C11="Nieuwe Situatie",(_xlfn.IFNA(VLOOKUP(Referentie_CO2_Totaal[[#This Row],[Product]]&amp;", "&amp;Referentie_CO2_Totaal[[#Headers],[A4]],Database_Productkaarten[#All],17,FALSE),0)*Referentieberekening!L11),0)),IF(Inschrijfberekening!C12="Nieuwe Situatie",_xlfn.IFNA(VLOOKUP(Inschrijfberekening!O12,Database_Transport[#All],12,FALSE)*(Inschrijfberekening!K12*Inschrijfberekening!N12),Referentie_Backlog!G46),0))</f>
        <v>0</v>
      </c>
      <c r="H46" s="72">
        <f>(IF(Referentieberekening!C11="Nieuwe Situatie",(_xlfn.IFNA(VLOOKUP(Referentie_CO2_Totaal[[#This Row],[Product]]&amp;", "&amp;Referentie_CO2_Totaal[[#Headers],[A5]],Database_Productkaarten[#All],17,FALSE),0)*Referentieberekening!L11),0))</f>
        <v>0</v>
      </c>
      <c r="I46" s="72">
        <f>(IF(Referentieberekening!C11="Nieuwe Situatie",(_xlfn.IFNA(VLOOKUP(Referentie_CO2_Totaal[[#This Row],[Product]]&amp;", "&amp;Referentie_CO2_Totaal[[#Headers],[B1]],Database_Productkaarten[#All],17,FALSE),0)*Referentieberekening!L11),0))</f>
        <v>0</v>
      </c>
      <c r="J46" s="72">
        <f>(IF(Referentieberekening!C11="Nieuwe Situatie",(SUM(Referentie_CO2_Totaal[[#This Row],[A1]:[B1]],Referentie_CO2_Totaal[[#This Row],[C1]:[D2]])*Referentieberekening!N11),0))</f>
        <v>0</v>
      </c>
      <c r="K46" s="72">
        <f>(IF(Referentieberekening!C11="Bestaande Situatie",(_xlfn.IFNA(VLOOKUP(Referentie_CO2_Totaal[[#This Row],[Product]]&amp;", "&amp;Referentie_CO2_Totaal[[#Headers],[C1]],Database_Productkaarten[#All],17,FALSE),0)*Referentieberekening!L11),0))</f>
        <v>28.175105392499997</v>
      </c>
      <c r="L46" s="72">
        <f>(IF(Referentieberekening!C11="Bestaande Situatie",(_xlfn.IFNA(VLOOKUP(Referentie_CO2_Totaal[[#This Row],[Product]]&amp;", "&amp;Referentie_CO2_Totaal[[#Headers],[C2]],Database_Productkaarten[#All],17,FALSE),0)*Referentieberekening!L11),0))</f>
        <v>110.55005506875</v>
      </c>
      <c r="M46" s="72">
        <f>(IF(Referentieberekening!C11="Bestaande Situatie",(_xlfn.IFNA(VLOOKUP(Referentie_CO2_Totaal[[#This Row],[Product]]&amp;", "&amp;Referentie_CO2_Totaal[[#Headers],[C3]],Database_Productkaarten[#All],17,FALSE),0)*Referentieberekening!L11),0))</f>
        <v>31.748221642499999</v>
      </c>
      <c r="N46" s="72">
        <f>(IF(Referentieberekening!C11="Bestaande Situatie",(_xlfn.IFNA(VLOOKUP(Referentie_CO2_Totaal[[#This Row],[Product]]&amp;", "&amp;Referentie_CO2_Totaal[[#Headers],[C4]],Database_Productkaarten[#All],17,FALSE),0)*Referentieberekening!L11),0))</f>
        <v>0</v>
      </c>
      <c r="O46" s="72">
        <f>(IF(Referentieberekening!C11="Bestaande Situatie",(_xlfn.IFNA(VLOOKUP(Referentie_CO2_Totaal[[#This Row],[Product]]&amp;", "&amp;Referentie_CO2_Totaal[[#Headers],[D1]],Database_Productkaarten[#All],17,FALSE),0)*Referentieberekening!L11),0))</f>
        <v>-622.77150636309239</v>
      </c>
      <c r="P46" s="73">
        <f>(IF(Referentieberekening!C11="Bestaande Situatie",_xlfn.IFNA(VLOOKUP(Referentie_CO2_Totaal[[#This Row],[Product]]&amp;", "&amp;Referentie_CO2_Totaal[[#Headers],[D2]],Database_Productkaarten[#All],17,FALSE),0)*Referentieberekening!L11,0))</f>
        <v>-172.96667595152678</v>
      </c>
      <c r="Q46" s="72">
        <f>SUM(Referentie_CO2_Totaal[[#This Row],[A1]:[D2]])</f>
        <v>-625.26480021086923</v>
      </c>
    </row>
    <row r="47" spans="2:17" ht="18" x14ac:dyDescent="0.55000000000000004">
      <c r="B47" s="285" t="str">
        <f>Referentieberekening!B12</f>
        <v>Aanbrengen menggranulaat, dik 300 mm - rijweg.</v>
      </c>
      <c r="C47" s="23" t="str">
        <f>Referentieberekening!F12</f>
        <v>Menggranulaat 0/31,5</v>
      </c>
      <c r="D47" s="72">
        <f>(IF(Referentieberekening!C12="Nieuwe Situatie",(_xlfn.IFNA(VLOOKUP(Referentie_CO2_Totaal[[#This Row],[Product]]&amp;", "&amp;Referentie_CO2_Totaal[[#Headers],[A1]],Database_Productkaarten[#All],17,FALSE),0)*Referentieberekening!L12),0))</f>
        <v>0</v>
      </c>
      <c r="E47" s="72">
        <f>(IF(Referentieberekening!C12="Nieuwe Situatie",(_xlfn.IFNA(VLOOKUP(Referentie_CO2_Totaal[[#This Row],[Product]]&amp;", "&amp;Referentie_CO2_Totaal[[#Headers],[A2]],Database_Productkaarten[#All],17,FALSE),0)*Referentieberekening!L12),0))</f>
        <v>0</v>
      </c>
      <c r="F47" s="72">
        <f>(IF(Referentieberekening!C12="Nieuwe Situatie",(_xlfn.IFNA(VLOOKUP(Referentie_CO2_Totaal[[#This Row],[Product]]&amp;", "&amp;Referentie_CO2_Totaal[[#Headers],[A3]],Database_Productkaarten[#All],17,FALSE),0)*Referentieberekening!L12),0))</f>
        <v>0</v>
      </c>
      <c r="G47" s="72">
        <f>IF(Referentieberekening!P12=0,(IF(Referentieberekening!C12="Nieuwe Situatie",(_xlfn.IFNA(VLOOKUP(Referentie_CO2_Totaal[[#This Row],[Product]]&amp;", "&amp;Referentie_CO2_Totaal[[#Headers],[A4]],Database_Productkaarten[#All],17,FALSE),0)*Referentieberekening!L12),0)),IF(Inschrijfberekening!C13="Nieuwe Situatie",_xlfn.IFNA(VLOOKUP(Inschrijfberekening!O13,Database_Transport[#All],12,FALSE)*(Inschrijfberekening!K13*Inschrijfberekening!N13),Referentie_Backlog!G47),0))</f>
        <v>16367.396924024997</v>
      </c>
      <c r="H47" s="72">
        <f>(IF(Referentieberekening!C12="Nieuwe Situatie",(_xlfn.IFNA(VLOOKUP(Referentie_CO2_Totaal[[#This Row],[Product]]&amp;", "&amp;Referentie_CO2_Totaal[[#Headers],[A5]],Database_Productkaarten[#All],17,FALSE),0)*Referentieberekening!L12),0))</f>
        <v>1626.2695098667502</v>
      </c>
      <c r="I47" s="72">
        <f>(IF(Referentieberekening!C12="Nieuwe Situatie",(_xlfn.IFNA(VLOOKUP(Referentie_CO2_Totaal[[#This Row],[Product]]&amp;", "&amp;Referentie_CO2_Totaal[[#Headers],[B1]],Database_Productkaarten[#All],17,FALSE),0)*Referentieberekening!L12),0))</f>
        <v>0</v>
      </c>
      <c r="J47" s="72">
        <f>(IF(Referentieberekening!C12="Nieuwe Situatie",(SUM(Referentie_CO2_Totaal[[#This Row],[A1]:[B1]],Referentie_CO2_Totaal[[#This Row],[C1]:[D2]])*Referentieberekening!N12),0))</f>
        <v>0</v>
      </c>
      <c r="K47" s="72">
        <f>(IF(Referentieberekening!C12="Bestaande Situatie",(_xlfn.IFNA(VLOOKUP(Referentie_CO2_Totaal[[#This Row],[Product]]&amp;", "&amp;Referentie_CO2_Totaal[[#Headers],[C1]],Database_Productkaarten[#All],17,FALSE),0)*Referentieberekening!L12),0))</f>
        <v>0</v>
      </c>
      <c r="L47" s="72">
        <f>(IF(Referentieberekening!C12="Bestaande Situatie",(_xlfn.IFNA(VLOOKUP(Referentie_CO2_Totaal[[#This Row],[Product]]&amp;", "&amp;Referentie_CO2_Totaal[[#Headers],[C2]],Database_Productkaarten[#All],17,FALSE),0)*Referentieberekening!L12),0))</f>
        <v>0</v>
      </c>
      <c r="M47" s="72">
        <f>(IF(Referentieberekening!C12="Bestaande Situatie",(_xlfn.IFNA(VLOOKUP(Referentie_CO2_Totaal[[#This Row],[Product]]&amp;", "&amp;Referentie_CO2_Totaal[[#Headers],[C3]],Database_Productkaarten[#All],17,FALSE),0)*Referentieberekening!L12),0))</f>
        <v>0</v>
      </c>
      <c r="N47" s="72">
        <f>(IF(Referentieberekening!C12="Bestaande Situatie",(_xlfn.IFNA(VLOOKUP(Referentie_CO2_Totaal[[#This Row],[Product]]&amp;", "&amp;Referentie_CO2_Totaal[[#Headers],[C4]],Database_Productkaarten[#All],17,FALSE),0)*Referentieberekening!L12),0))</f>
        <v>0</v>
      </c>
      <c r="O47" s="72">
        <f>(IF(Referentieberekening!C12="Bestaande Situatie",(_xlfn.IFNA(VLOOKUP(Referentie_CO2_Totaal[[#This Row],[Product]]&amp;", "&amp;Referentie_CO2_Totaal[[#Headers],[D1]],Database_Productkaarten[#All],17,FALSE),0)*Referentieberekening!L12),0))</f>
        <v>0</v>
      </c>
      <c r="P47" s="73">
        <f>(IF(Referentieberekening!C12="Bestaande Situatie",_xlfn.IFNA(VLOOKUP(Referentie_CO2_Totaal[[#This Row],[Product]]&amp;", "&amp;Referentie_CO2_Totaal[[#Headers],[D2]],Database_Productkaarten[#All],17,FALSE),0)*Referentieberekening!L12,0))</f>
        <v>0</v>
      </c>
      <c r="Q47" s="72">
        <f>SUM(Referentie_CO2_Totaal[[#This Row],[A1]:[D2]])</f>
        <v>17993.666433891747</v>
      </c>
    </row>
    <row r="48" spans="2:17" ht="18" x14ac:dyDescent="0.55000000000000004">
      <c r="B48" s="285" t="str">
        <f>Referentieberekening!B13</f>
        <v>Aanbrengen onderlaag AC 22 base, dik 70 mm.</v>
      </c>
      <c r="C48" s="23" t="str">
        <f>Referentieberekening!F13</f>
        <v>AC bin/base 50% PR - PCR 2.0</v>
      </c>
      <c r="D48" s="72">
        <f>(IF(Referentieberekening!C13="Nieuwe Situatie",(_xlfn.IFNA(VLOOKUP(Referentie_CO2_Totaal[[#This Row],[Product]]&amp;", "&amp;Referentie_CO2_Totaal[[#Headers],[A1]],Database_Productkaarten[#All],17,FALSE),0)*Referentieberekening!L13),0))</f>
        <v>24073.429651344009</v>
      </c>
      <c r="E48" s="72">
        <f>(IF(Referentieberekening!C13="Nieuwe Situatie",(_xlfn.IFNA(VLOOKUP(Referentie_CO2_Totaal[[#This Row],[Product]]&amp;", "&amp;Referentie_CO2_Totaal[[#Headers],[A2]],Database_Productkaarten[#All],17,FALSE),0)*Referentieberekening!L13),0))</f>
        <v>13744.364064474479</v>
      </c>
      <c r="F48" s="72">
        <f>(IF(Referentieberekening!C13="Nieuwe Situatie",(_xlfn.IFNA(VLOOKUP(Referentie_CO2_Totaal[[#This Row],[Product]]&amp;", "&amp;Referentie_CO2_Totaal[[#Headers],[A3]],Database_Productkaarten[#All],17,FALSE),0)*Referentieberekening!L13),0))</f>
        <v>26458.584578439011</v>
      </c>
      <c r="G48" s="72">
        <f>IF(Referentieberekening!P13=0,(IF(Referentieberekening!C13="Nieuwe Situatie",(_xlfn.IFNA(VLOOKUP(Referentie_CO2_Totaal[[#This Row],[Product]]&amp;", "&amp;Referentie_CO2_Totaal[[#Headers],[A4]],Database_Productkaarten[#All],17,FALSE),0)*Referentieberekening!L13),0)),IF(Inschrijfberekening!C14="Nieuwe Situatie",_xlfn.IFNA(VLOOKUP(Inschrijfberekening!O14,Database_Transport[#All],12,FALSE)*(Inschrijfberekening!K14*Inschrijfberekening!N14),Referentie_Backlog!G48),0))</f>
        <v>4471.8343144304999</v>
      </c>
      <c r="H48" s="72">
        <f>(IF(Referentieberekening!C13="Nieuwe Situatie",(_xlfn.IFNA(VLOOKUP(Referentie_CO2_Totaal[[#This Row],[Product]]&amp;", "&amp;Referentie_CO2_Totaal[[#Headers],[A5]],Database_Productkaarten[#All],17,FALSE),0)*Referentieberekening!L13),0))</f>
        <v>1564.4702083580344</v>
      </c>
      <c r="I48" s="72">
        <f>(IF(Referentieberekening!C13="Nieuwe Situatie",(_xlfn.IFNA(VLOOKUP(Referentie_CO2_Totaal[[#This Row],[Product]]&amp;", "&amp;Referentie_CO2_Totaal[[#Headers],[B1]],Database_Productkaarten[#All],17,FALSE),0)*Referentieberekening!L13),0))</f>
        <v>0</v>
      </c>
      <c r="J48" s="72">
        <f>(IF(Referentieberekening!C13="Nieuwe Situatie",(SUM(Referentie_CO2_Totaal[[#This Row],[A1]:[B1]],Referentie_CO2_Totaal[[#This Row],[C1]:[D2]])*Referentieberekening!N13),0))</f>
        <v>0</v>
      </c>
      <c r="K48" s="72">
        <f>(IF(Referentieberekening!C13="Bestaande Situatie",(_xlfn.IFNA(VLOOKUP(Referentie_CO2_Totaal[[#This Row],[Product]]&amp;", "&amp;Referentie_CO2_Totaal[[#Headers],[C1]],Database_Productkaarten[#All],17,FALSE),0)*Referentieberekening!L13),0))</f>
        <v>0</v>
      </c>
      <c r="L48" s="72">
        <f>(IF(Referentieberekening!C13="Bestaande Situatie",(_xlfn.IFNA(VLOOKUP(Referentie_CO2_Totaal[[#This Row],[Product]]&amp;", "&amp;Referentie_CO2_Totaal[[#Headers],[C2]],Database_Productkaarten[#All],17,FALSE),0)*Referentieberekening!L13),0))</f>
        <v>0</v>
      </c>
      <c r="M48" s="72">
        <f>(IF(Referentieberekening!C13="Bestaande Situatie",(_xlfn.IFNA(VLOOKUP(Referentie_CO2_Totaal[[#This Row],[Product]]&amp;", "&amp;Referentie_CO2_Totaal[[#Headers],[C3]],Database_Productkaarten[#All],17,FALSE),0)*Referentieberekening!L13),0))</f>
        <v>0</v>
      </c>
      <c r="N48" s="72">
        <f>(IF(Referentieberekening!C13="Bestaande Situatie",(_xlfn.IFNA(VLOOKUP(Referentie_CO2_Totaal[[#This Row],[Product]]&amp;", "&amp;Referentie_CO2_Totaal[[#Headers],[C4]],Database_Productkaarten[#All],17,FALSE),0)*Referentieberekening!L13),0))</f>
        <v>0</v>
      </c>
      <c r="O48" s="72">
        <f>(IF(Referentieberekening!C13="Bestaande Situatie",(_xlfn.IFNA(VLOOKUP(Referentie_CO2_Totaal[[#This Row],[Product]]&amp;", "&amp;Referentie_CO2_Totaal[[#Headers],[D1]],Database_Productkaarten[#All],17,FALSE),0)*Referentieberekening!L13),0))</f>
        <v>0</v>
      </c>
      <c r="P48" s="73">
        <f>(IF(Referentieberekening!C13="Bestaande Situatie",_xlfn.IFNA(VLOOKUP(Referentie_CO2_Totaal[[#This Row],[Product]]&amp;", "&amp;Referentie_CO2_Totaal[[#Headers],[D2]],Database_Productkaarten[#All],17,FALSE),0)*Referentieberekening!L13,0))</f>
        <v>0</v>
      </c>
      <c r="Q48" s="72">
        <f>SUM(Referentie_CO2_Totaal[[#This Row],[A1]:[D2]])</f>
        <v>70312.682817046036</v>
      </c>
    </row>
    <row r="49" spans="2:17" ht="18" x14ac:dyDescent="0.55000000000000004">
      <c r="B49" s="285" t="str">
        <f>Referentieberekening!B14</f>
        <v>Aanbrengen tussenlaag AC16 bind, dik 50 mm</v>
      </c>
      <c r="C49" s="23" t="str">
        <f>Referentieberekening!F14</f>
        <v>AC bin/base 50% PR - PCR 2.0</v>
      </c>
      <c r="D49" s="72">
        <f>(IF(Referentieberekening!C14="Nieuwe Situatie",(_xlfn.IFNA(VLOOKUP(Referentie_CO2_Totaal[[#This Row],[Product]]&amp;", "&amp;Referentie_CO2_Totaal[[#Headers],[A1]],Database_Productkaarten[#All],17,FALSE),0)*Referentieberekening!L14),0))</f>
        <v>17201.44259654465</v>
      </c>
      <c r="E49" s="72">
        <f>(IF(Referentieberekening!C14="Nieuwe Situatie",(_xlfn.IFNA(VLOOKUP(Referentie_CO2_Totaal[[#This Row],[Product]]&amp;", "&amp;Referentie_CO2_Totaal[[#Headers],[A2]],Database_Productkaarten[#All],17,FALSE),0)*Referentieberekening!L14),0))</f>
        <v>9820.9059907618721</v>
      </c>
      <c r="F49" s="72">
        <f>(IF(Referentieberekening!C14="Nieuwe Situatie",(_xlfn.IFNA(VLOOKUP(Referentie_CO2_Totaal[[#This Row],[Product]]&amp;", "&amp;Referentie_CO2_Totaal[[#Headers],[A3]],Database_Productkaarten[#All],17,FALSE),0)*Referentieberekening!L14),0))</f>
        <v>18905.732602435011</v>
      </c>
      <c r="G49" s="72">
        <f>IF(Referentieberekening!P14=0,(IF(Referentieberekening!C14="Nieuwe Situatie",(_xlfn.IFNA(VLOOKUP(Referentie_CO2_Totaal[[#This Row],[Product]]&amp;", "&amp;Referentie_CO2_Totaal[[#Headers],[A4]],Database_Productkaarten[#All],17,FALSE),0)*Referentieberekening!L14),0)),IF(Inschrijfberekening!C15="Nieuwe Situatie",_xlfn.IFNA(VLOOKUP(Inschrijfberekening!O15,Database_Transport[#All],12,FALSE)*(Inschrijfberekening!K15*Inschrijfberekening!N15),Referentie_Backlog!G49),0))</f>
        <v>3195.3071238704997</v>
      </c>
      <c r="H49" s="72">
        <f>(IF(Referentieberekening!C14="Nieuwe Situatie",(_xlfn.IFNA(VLOOKUP(Referentie_CO2_Totaal[[#This Row],[Product]]&amp;", "&amp;Referentie_CO2_Totaal[[#Headers],[A5]],Database_Productkaarten[#All],17,FALSE),0)*Referentieberekening!L14),0))</f>
        <v>1117.8774637776855</v>
      </c>
      <c r="I49" s="72">
        <f>(IF(Referentieberekening!C14="Nieuwe Situatie",(_xlfn.IFNA(VLOOKUP(Referentie_CO2_Totaal[[#This Row],[Product]]&amp;", "&amp;Referentie_CO2_Totaal[[#Headers],[B1]],Database_Productkaarten[#All],17,FALSE),0)*Referentieberekening!L14),0))</f>
        <v>0</v>
      </c>
      <c r="J49" s="72">
        <f>(IF(Referentieberekening!C14="Nieuwe Situatie",(SUM(Referentie_CO2_Totaal[[#This Row],[A1]:[B1]],Referentie_CO2_Totaal[[#This Row],[C1]:[D2]])*Referentieberekening!N14),0))</f>
        <v>0</v>
      </c>
      <c r="K49" s="72">
        <f>(IF(Referentieberekening!C14="Bestaande Situatie",(_xlfn.IFNA(VLOOKUP(Referentie_CO2_Totaal[[#This Row],[Product]]&amp;", "&amp;Referentie_CO2_Totaal[[#Headers],[C1]],Database_Productkaarten[#All],17,FALSE),0)*Referentieberekening!L14),0))</f>
        <v>0</v>
      </c>
      <c r="L49" s="72">
        <f>(IF(Referentieberekening!C14="Bestaande Situatie",(_xlfn.IFNA(VLOOKUP(Referentie_CO2_Totaal[[#This Row],[Product]]&amp;", "&amp;Referentie_CO2_Totaal[[#Headers],[C2]],Database_Productkaarten[#All],17,FALSE),0)*Referentieberekening!L14),0))</f>
        <v>0</v>
      </c>
      <c r="M49" s="72">
        <f>(IF(Referentieberekening!C14="Bestaande Situatie",(_xlfn.IFNA(VLOOKUP(Referentie_CO2_Totaal[[#This Row],[Product]]&amp;", "&amp;Referentie_CO2_Totaal[[#Headers],[C3]],Database_Productkaarten[#All],17,FALSE),0)*Referentieberekening!L14),0))</f>
        <v>0</v>
      </c>
      <c r="N49" s="72">
        <f>(IF(Referentieberekening!C14="Bestaande Situatie",(_xlfn.IFNA(VLOOKUP(Referentie_CO2_Totaal[[#This Row],[Product]]&amp;", "&amp;Referentie_CO2_Totaal[[#Headers],[C4]],Database_Productkaarten[#All],17,FALSE),0)*Referentieberekening!L14),0))</f>
        <v>0</v>
      </c>
      <c r="O49" s="72">
        <f>(IF(Referentieberekening!C14="Bestaande Situatie",(_xlfn.IFNA(VLOOKUP(Referentie_CO2_Totaal[[#This Row],[Product]]&amp;", "&amp;Referentie_CO2_Totaal[[#Headers],[D1]],Database_Productkaarten[#All],17,FALSE),0)*Referentieberekening!L14),0))</f>
        <v>0</v>
      </c>
      <c r="P49" s="73">
        <f>(IF(Referentieberekening!C14="Bestaande Situatie",_xlfn.IFNA(VLOOKUP(Referentie_CO2_Totaal[[#This Row],[Product]]&amp;", "&amp;Referentie_CO2_Totaal[[#Headers],[D2]],Database_Productkaarten[#All],17,FALSE),0)*Referentieberekening!L14,0))</f>
        <v>0</v>
      </c>
      <c r="Q49" s="72">
        <f>SUM(Referentie_CO2_Totaal[[#This Row],[A1]:[D2]])</f>
        <v>50241.265777389723</v>
      </c>
    </row>
    <row r="50" spans="2:17" ht="18" x14ac:dyDescent="0.55000000000000004">
      <c r="B50" s="285" t="str">
        <f>Referentieberekening!B15</f>
        <v>Aanbrengen deklaag van SMA-NL 8, dik 30 mm.</v>
      </c>
      <c r="C50" s="23" t="str">
        <f>Referentieberekening!F15</f>
        <v>SMA 8-11 - PCR 2.0</v>
      </c>
      <c r="D50" s="72">
        <f>(IF(Referentieberekening!C15="Nieuwe Situatie",(_xlfn.IFNA(VLOOKUP(Referentie_CO2_Totaal[[#This Row],[Product]]&amp;", "&amp;Referentie_CO2_Totaal[[#Headers],[A1]],Database_Productkaarten[#All],17,FALSE),0)*Referentieberekening!L15),0))</f>
        <v>30876.703922189296</v>
      </c>
      <c r="E50" s="72">
        <f>(IF(Referentieberekening!C15="Nieuwe Situatie",(_xlfn.IFNA(VLOOKUP(Referentie_CO2_Totaal[[#This Row],[Product]]&amp;", "&amp;Referentie_CO2_Totaal[[#Headers],[A2]],Database_Productkaarten[#All],17,FALSE),0)*Referentieberekening!L15),0))</f>
        <v>14588.945736579069</v>
      </c>
      <c r="F50" s="72">
        <f>(IF(Referentieberekening!C15="Nieuwe Situatie",(_xlfn.IFNA(VLOOKUP(Referentie_CO2_Totaal[[#This Row],[Product]]&amp;", "&amp;Referentie_CO2_Totaal[[#Headers],[A3]],Database_Productkaarten[#All],17,FALSE),0)*Referentieberekening!L15),0))</f>
        <v>10878.387545870792</v>
      </c>
      <c r="G50" s="72">
        <f>IF(Referentieberekening!P15=0,(IF(Referentieberekening!C15="Nieuwe Situatie",(_xlfn.IFNA(VLOOKUP(Referentie_CO2_Totaal[[#This Row],[Product]]&amp;", "&amp;Referentie_CO2_Totaal[[#Headers],[A4]],Database_Productkaarten[#All],17,FALSE),0)*Referentieberekening!L15),0)),IF(Inschrijfberekening!C16="Nieuwe Situatie",_xlfn.IFNA(VLOOKUP(Inschrijfberekening!O16,Database_Transport[#All],12,FALSE)*(Inschrijfberekening!K16*Inschrijfberekening!N16),Referentie_Backlog!G50),0))</f>
        <v>1918.7799333104999</v>
      </c>
      <c r="H50" s="72">
        <f>(IF(Referentieberekening!C15="Nieuwe Situatie",(_xlfn.IFNA(VLOOKUP(Referentie_CO2_Totaal[[#This Row],[Product]]&amp;", "&amp;Referentie_CO2_Totaal[[#Headers],[A5]],Database_Productkaarten[#All],17,FALSE),0)*Referentieberekening!L15),0))</f>
        <v>1216.7035535066439</v>
      </c>
      <c r="I50" s="72">
        <f>(IF(Referentieberekening!C15="Nieuwe Situatie",(_xlfn.IFNA(VLOOKUP(Referentie_CO2_Totaal[[#This Row],[Product]]&amp;", "&amp;Referentie_CO2_Totaal[[#Headers],[B1]],Database_Productkaarten[#All],17,FALSE),0)*Referentieberekening!L15),0))</f>
        <v>0</v>
      </c>
      <c r="J50" s="72">
        <f>(IF(Referentieberekening!C15="Nieuwe Situatie",(SUM(Referentie_CO2_Totaal[[#This Row],[A1]:[B1]],Referentie_CO2_Totaal[[#This Row],[C1]:[D2]])*Referentieberekening!N15),0))</f>
        <v>0</v>
      </c>
      <c r="K50" s="72">
        <f>(IF(Referentieberekening!C15="Bestaande Situatie",(_xlfn.IFNA(VLOOKUP(Referentie_CO2_Totaal[[#This Row],[Product]]&amp;", "&amp;Referentie_CO2_Totaal[[#Headers],[C1]],Database_Productkaarten[#All],17,FALSE),0)*Referentieberekening!L15),0))</f>
        <v>0</v>
      </c>
      <c r="L50" s="72">
        <f>(IF(Referentieberekening!C15="Bestaande Situatie",(_xlfn.IFNA(VLOOKUP(Referentie_CO2_Totaal[[#This Row],[Product]]&amp;", "&amp;Referentie_CO2_Totaal[[#Headers],[C2]],Database_Productkaarten[#All],17,FALSE),0)*Referentieberekening!L15),0))</f>
        <v>0</v>
      </c>
      <c r="M50" s="72">
        <f>(IF(Referentieberekening!C15="Bestaande Situatie",(_xlfn.IFNA(VLOOKUP(Referentie_CO2_Totaal[[#This Row],[Product]]&amp;", "&amp;Referentie_CO2_Totaal[[#Headers],[C3]],Database_Productkaarten[#All],17,FALSE),0)*Referentieberekening!L15),0))</f>
        <v>0</v>
      </c>
      <c r="N50" s="72">
        <f>(IF(Referentieberekening!C15="Bestaande Situatie",(_xlfn.IFNA(VLOOKUP(Referentie_CO2_Totaal[[#This Row],[Product]]&amp;", "&amp;Referentie_CO2_Totaal[[#Headers],[C4]],Database_Productkaarten[#All],17,FALSE),0)*Referentieberekening!L15),0))</f>
        <v>0</v>
      </c>
      <c r="O50" s="72">
        <f>(IF(Referentieberekening!C15="Bestaande Situatie",(_xlfn.IFNA(VLOOKUP(Referentie_CO2_Totaal[[#This Row],[Product]]&amp;", "&amp;Referentie_CO2_Totaal[[#Headers],[D1]],Database_Productkaarten[#All],17,FALSE),0)*Referentieberekening!L15),0))</f>
        <v>0</v>
      </c>
      <c r="P50" s="73">
        <f>(IF(Referentieberekening!C15="Bestaande Situatie",_xlfn.IFNA(VLOOKUP(Referentie_CO2_Totaal[[#This Row],[Product]]&amp;", "&amp;Referentie_CO2_Totaal[[#Headers],[D2]],Database_Productkaarten[#All],17,FALSE),0)*Referentieberekening!L15,0))</f>
        <v>0</v>
      </c>
      <c r="Q50" s="72">
        <f>SUM(Referentie_CO2_Totaal[[#This Row],[A1]:[D2]])</f>
        <v>59479.520691456302</v>
      </c>
    </row>
    <row r="51" spans="2:17" ht="18" x14ac:dyDescent="0.55000000000000004">
      <c r="B51" s="285" t="str">
        <f>Referentieberekening!B16</f>
        <v>Aanbrengen menggranulaat, dik 200 mm - fietspad.</v>
      </c>
      <c r="C51" s="23" t="str">
        <f>Referentieberekening!F16</f>
        <v>Menggranulaat 0/31,5</v>
      </c>
      <c r="D51" s="72">
        <f>(IF(Referentieberekening!C16="Nieuwe Situatie",(_xlfn.IFNA(VLOOKUP(Referentie_CO2_Totaal[[#This Row],[Product]]&amp;", "&amp;Referentie_CO2_Totaal[[#Headers],[A1]],Database_Productkaarten[#All],17,FALSE),0)*Referentieberekening!L16),0))</f>
        <v>0</v>
      </c>
      <c r="E51" s="72">
        <f>(IF(Referentieberekening!C16="Nieuwe Situatie",(_xlfn.IFNA(VLOOKUP(Referentie_CO2_Totaal[[#This Row],[Product]]&amp;", "&amp;Referentie_CO2_Totaal[[#Headers],[A2]],Database_Productkaarten[#All],17,FALSE),0)*Referentieberekening!L16),0))</f>
        <v>0</v>
      </c>
      <c r="F51" s="72">
        <f>(IF(Referentieberekening!C16="Nieuwe Situatie",(_xlfn.IFNA(VLOOKUP(Referentie_CO2_Totaal[[#This Row],[Product]]&amp;", "&amp;Referentie_CO2_Totaal[[#Headers],[A3]],Database_Productkaarten[#All],17,FALSE),0)*Referentieberekening!L16),0))</f>
        <v>0</v>
      </c>
      <c r="G51" s="72">
        <f>IF(Referentieberekening!P16=0,(IF(Referentieberekening!C16="Nieuwe Situatie",(_xlfn.IFNA(VLOOKUP(Referentie_CO2_Totaal[[#This Row],[Product]]&amp;", "&amp;Referentie_CO2_Totaal[[#Headers],[A4]],Database_Productkaarten[#All],17,FALSE),0)*Referentieberekening!L16),0)),IF(Inschrijfberekening!C17="Nieuwe Situatie",_xlfn.IFNA(VLOOKUP(Inschrijfberekening!O17,Database_Transport[#All],12,FALSE)*(Inschrijfberekening!K17*Inschrijfberekening!N17),Referentie_Backlog!G51),0))</f>
        <v>729.9744969599999</v>
      </c>
      <c r="H51" s="72">
        <f>(IF(Referentieberekening!C16="Nieuwe Situatie",(_xlfn.IFNA(VLOOKUP(Referentie_CO2_Totaal[[#This Row],[Product]]&amp;", "&amp;Referentie_CO2_Totaal[[#Headers],[A5]],Database_Productkaarten[#All],17,FALSE),0)*Referentieberekening!L16),0))</f>
        <v>72.53048685120001</v>
      </c>
      <c r="I51" s="72">
        <f>(IF(Referentieberekening!C16="Nieuwe Situatie",(_xlfn.IFNA(VLOOKUP(Referentie_CO2_Totaal[[#This Row],[Product]]&amp;", "&amp;Referentie_CO2_Totaal[[#Headers],[B1]],Database_Productkaarten[#All],17,FALSE),0)*Referentieberekening!L16),0))</f>
        <v>0</v>
      </c>
      <c r="J51" s="72">
        <f>(IF(Referentieberekening!C16="Nieuwe Situatie",(SUM(Referentie_CO2_Totaal[[#This Row],[A1]:[B1]],Referentie_CO2_Totaal[[#This Row],[C1]:[D2]])*Referentieberekening!N16),0))</f>
        <v>0</v>
      </c>
      <c r="K51" s="72">
        <f>(IF(Referentieberekening!C16="Bestaande Situatie",(_xlfn.IFNA(VLOOKUP(Referentie_CO2_Totaal[[#This Row],[Product]]&amp;", "&amp;Referentie_CO2_Totaal[[#Headers],[C1]],Database_Productkaarten[#All],17,FALSE),0)*Referentieberekening!L16),0))</f>
        <v>0</v>
      </c>
      <c r="L51" s="72">
        <f>(IF(Referentieberekening!C16="Bestaande Situatie",(_xlfn.IFNA(VLOOKUP(Referentie_CO2_Totaal[[#This Row],[Product]]&amp;", "&amp;Referentie_CO2_Totaal[[#Headers],[C2]],Database_Productkaarten[#All],17,FALSE),0)*Referentieberekening!L16),0))</f>
        <v>0</v>
      </c>
      <c r="M51" s="72">
        <f>(IF(Referentieberekening!C16="Bestaande Situatie",(_xlfn.IFNA(VLOOKUP(Referentie_CO2_Totaal[[#This Row],[Product]]&amp;", "&amp;Referentie_CO2_Totaal[[#Headers],[C3]],Database_Productkaarten[#All],17,FALSE),0)*Referentieberekening!L16),0))</f>
        <v>0</v>
      </c>
      <c r="N51" s="72">
        <f>(IF(Referentieberekening!C16="Bestaande Situatie",(_xlfn.IFNA(VLOOKUP(Referentie_CO2_Totaal[[#This Row],[Product]]&amp;", "&amp;Referentie_CO2_Totaal[[#Headers],[C4]],Database_Productkaarten[#All],17,FALSE),0)*Referentieberekening!L16),0))</f>
        <v>0</v>
      </c>
      <c r="O51" s="72">
        <f>(IF(Referentieberekening!C16="Bestaande Situatie",(_xlfn.IFNA(VLOOKUP(Referentie_CO2_Totaal[[#This Row],[Product]]&amp;", "&amp;Referentie_CO2_Totaal[[#Headers],[D1]],Database_Productkaarten[#All],17,FALSE),0)*Referentieberekening!L16),0))</f>
        <v>0</v>
      </c>
      <c r="P51" s="73">
        <f>(IF(Referentieberekening!C16="Bestaande Situatie",_xlfn.IFNA(VLOOKUP(Referentie_CO2_Totaal[[#This Row],[Product]]&amp;", "&amp;Referentie_CO2_Totaal[[#Headers],[D2]],Database_Productkaarten[#All],17,FALSE),0)*Referentieberekening!L16,0))</f>
        <v>0</v>
      </c>
      <c r="Q51" s="72">
        <f>SUM(Referentie_CO2_Totaal[[#This Row],[A1]:[D2]])</f>
        <v>802.50498381119996</v>
      </c>
    </row>
    <row r="52" spans="2:17" ht="18" x14ac:dyDescent="0.55000000000000004">
      <c r="B52" s="285" t="str">
        <f>Referentieberekening!B17</f>
        <v>Aanbrengen onderlaag AC 16 base, dik 50 mm 275 m2.</v>
      </c>
      <c r="C52" s="23" t="str">
        <f>Referentieberekening!F17</f>
        <v>AC bin/base 50% PR - PCR 2.0</v>
      </c>
      <c r="D52" s="72">
        <f>(IF(Referentieberekening!C17="Nieuwe Situatie",(_xlfn.IFNA(VLOOKUP(Referentie_CO2_Totaal[[#This Row],[Product]]&amp;", "&amp;Referentie_CO2_Totaal[[#Headers],[A1]],Database_Productkaarten[#All],17,FALSE),0)*Referentieberekening!L17),0))</f>
        <v>751.62358411868001</v>
      </c>
      <c r="E52" s="72">
        <f>(IF(Referentieberekening!C17="Nieuwe Situatie",(_xlfn.IFNA(VLOOKUP(Referentie_CO2_Totaal[[#This Row],[Product]]&amp;", "&amp;Referentie_CO2_Totaal[[#Headers],[A2]],Database_Productkaarten[#All],17,FALSE),0)*Referentieberekening!L17),0))</f>
        <v>429.12822681231648</v>
      </c>
      <c r="F52" s="72">
        <f>(IF(Referentieberekening!C17="Nieuwe Situatie",(_xlfn.IFNA(VLOOKUP(Referentie_CO2_Totaal[[#This Row],[Product]]&amp;", "&amp;Referentie_CO2_Totaal[[#Headers],[A3]],Database_Productkaarten[#All],17,FALSE),0)*Referentieberekening!L17),0))</f>
        <v>826.09318487543749</v>
      </c>
      <c r="G52" s="72">
        <f>IF(Referentieberekening!P17=0,(IF(Referentieberekening!C17="Nieuwe Situatie",(_xlfn.IFNA(VLOOKUP(Referentie_CO2_Totaal[[#This Row],[Product]]&amp;", "&amp;Referentie_CO2_Totaal[[#Headers],[A4]],Database_Productkaarten[#All],17,FALSE),0)*Referentieberekening!L17),0)),IF(Inschrijfberekening!C18="Nieuwe Situatie",_xlfn.IFNA(VLOOKUP(Inschrijfberekening!O18,Database_Transport[#All],12,FALSE)*(Inschrijfberekening!K18*Inschrijfberekening!N18),Referentie_Backlog!G52),0))</f>
        <v>139.6201614675</v>
      </c>
      <c r="H52" s="72">
        <f>(IF(Referentieberekening!C17="Nieuwe Situatie",(_xlfn.IFNA(VLOOKUP(Referentie_CO2_Totaal[[#This Row],[Product]]&amp;", "&amp;Referentie_CO2_Totaal[[#Headers],[A5]],Database_Productkaarten[#All],17,FALSE),0)*Referentieberekening!L17),0))</f>
        <v>48.84608143847565</v>
      </c>
      <c r="I52" s="72">
        <f>(IF(Referentieberekening!C17="Nieuwe Situatie",(_xlfn.IFNA(VLOOKUP(Referentie_CO2_Totaal[[#This Row],[Product]]&amp;", "&amp;Referentie_CO2_Totaal[[#Headers],[B1]],Database_Productkaarten[#All],17,FALSE),0)*Referentieberekening!L17),0))</f>
        <v>0</v>
      </c>
      <c r="J52" s="72">
        <f>(IF(Referentieberekening!C17="Nieuwe Situatie",(SUM(Referentie_CO2_Totaal[[#This Row],[A1]:[B1]],Referentie_CO2_Totaal[[#This Row],[C1]:[D2]])*Referentieberekening!N17),0))</f>
        <v>0</v>
      </c>
      <c r="K52" s="72">
        <f>(IF(Referentieberekening!C17="Bestaande Situatie",(_xlfn.IFNA(VLOOKUP(Referentie_CO2_Totaal[[#This Row],[Product]]&amp;", "&amp;Referentie_CO2_Totaal[[#Headers],[C1]],Database_Productkaarten[#All],17,FALSE),0)*Referentieberekening!L17),0))</f>
        <v>0</v>
      </c>
      <c r="L52" s="72">
        <f>(IF(Referentieberekening!C17="Bestaande Situatie",(_xlfn.IFNA(VLOOKUP(Referentie_CO2_Totaal[[#This Row],[Product]]&amp;", "&amp;Referentie_CO2_Totaal[[#Headers],[C2]],Database_Productkaarten[#All],17,FALSE),0)*Referentieberekening!L17),0))</f>
        <v>0</v>
      </c>
      <c r="M52" s="72">
        <f>(IF(Referentieberekening!C17="Bestaande Situatie",(_xlfn.IFNA(VLOOKUP(Referentie_CO2_Totaal[[#This Row],[Product]]&amp;", "&amp;Referentie_CO2_Totaal[[#Headers],[C3]],Database_Productkaarten[#All],17,FALSE),0)*Referentieberekening!L17),0))</f>
        <v>0</v>
      </c>
      <c r="N52" s="72">
        <f>(IF(Referentieberekening!C17="Bestaande Situatie",(_xlfn.IFNA(VLOOKUP(Referentie_CO2_Totaal[[#This Row],[Product]]&amp;", "&amp;Referentie_CO2_Totaal[[#Headers],[C4]],Database_Productkaarten[#All],17,FALSE),0)*Referentieberekening!L17),0))</f>
        <v>0</v>
      </c>
      <c r="O52" s="72">
        <f>(IF(Referentieberekening!C17="Bestaande Situatie",(_xlfn.IFNA(VLOOKUP(Referentie_CO2_Totaal[[#This Row],[Product]]&amp;", "&amp;Referentie_CO2_Totaal[[#Headers],[D1]],Database_Productkaarten[#All],17,FALSE),0)*Referentieberekening!L17),0))</f>
        <v>0</v>
      </c>
      <c r="P52" s="73">
        <f>(IF(Referentieberekening!C17="Bestaande Situatie",_xlfn.IFNA(VLOOKUP(Referentie_CO2_Totaal[[#This Row],[Product]]&amp;", "&amp;Referentie_CO2_Totaal[[#Headers],[D2]],Database_Productkaarten[#All],17,FALSE),0)*Referentieberekening!L17,0))</f>
        <v>0</v>
      </c>
      <c r="Q52" s="72">
        <f>SUM(Referentie_CO2_Totaal[[#This Row],[A1]:[D2]])</f>
        <v>2195.3112387124097</v>
      </c>
    </row>
    <row r="53" spans="2:17" ht="18" x14ac:dyDescent="0.55000000000000004">
      <c r="B53" s="285" t="str">
        <f>Referentieberekening!B18</f>
        <v>Aanbrengen deklaag SMA-NL 8, dik 30 mm - 275 m2 (rood)</v>
      </c>
      <c r="C53" s="23" t="str">
        <f>Referentieberekening!F18</f>
        <v>AC surf rood, met blank bindmiddel - PCR 2.0</v>
      </c>
      <c r="D53" s="72">
        <f>(IF(Referentieberekening!C18="Nieuwe Situatie",(_xlfn.IFNA(VLOOKUP(Referentie_CO2_Totaal[[#This Row],[Product]]&amp;", "&amp;Referentie_CO2_Totaal[[#Headers],[A1]],Database_Productkaarten[#All],17,FALSE),0)*Referentieberekening!L18),0))</f>
        <v>4900.0893940100968</v>
      </c>
      <c r="E53" s="72">
        <f>(IF(Referentieberekening!C18="Nieuwe Situatie",(_xlfn.IFNA(VLOOKUP(Referentie_CO2_Totaal[[#This Row],[Product]]&amp;", "&amp;Referentie_CO2_Totaal[[#Headers],[A2]],Database_Productkaarten[#All],17,FALSE),0)*Referentieberekening!L18),0))</f>
        <v>515.98558776244829</v>
      </c>
      <c r="F53" s="72">
        <f>(IF(Referentieberekening!C18="Nieuwe Situatie",(_xlfn.IFNA(VLOOKUP(Referentie_CO2_Totaal[[#This Row],[Product]]&amp;", "&amp;Referentie_CO2_Totaal[[#Headers],[A3]],Database_Productkaarten[#All],17,FALSE),0)*Referentieberekening!L18),0))</f>
        <v>497.27641734086819</v>
      </c>
      <c r="G53" s="72">
        <f>IF(Referentieberekening!P18=0,(IF(Referentieberekening!C18="Nieuwe Situatie",(_xlfn.IFNA(VLOOKUP(Referentie_CO2_Totaal[[#This Row],[Product]]&amp;", "&amp;Referentie_CO2_Totaal[[#Headers],[A4]],Database_Productkaarten[#All],17,FALSE),0)*Referentieberekening!L18),0)),IF(Inschrijfberekening!C19="Nieuwe Situatie",_xlfn.IFNA(VLOOKUP(Inschrijfberekening!O19,Database_Transport[#All],12,FALSE)*(Inschrijfberekening!K19*Inschrijfberekening!N19),Referentie_Backlog!G53),0))</f>
        <v>83.772096880500001</v>
      </c>
      <c r="H53" s="72">
        <f>(IF(Referentieberekening!C18="Nieuwe Situatie",(_xlfn.IFNA(VLOOKUP(Referentie_CO2_Totaal[[#This Row],[Product]]&amp;", "&amp;Referentie_CO2_Totaal[[#Headers],[A5]],Database_Productkaarten[#All],17,FALSE),0)*Referentieberekening!L18),0))</f>
        <v>53.12011357952418</v>
      </c>
      <c r="I53" s="72">
        <f>(IF(Referentieberekening!C18="Nieuwe Situatie",(_xlfn.IFNA(VLOOKUP(Referentie_CO2_Totaal[[#This Row],[Product]]&amp;", "&amp;Referentie_CO2_Totaal[[#Headers],[B1]],Database_Productkaarten[#All],17,FALSE),0)*Referentieberekening!L18),0))</f>
        <v>0</v>
      </c>
      <c r="J53" s="72">
        <f>(IF(Referentieberekening!C18="Nieuwe Situatie",(SUM(Referentie_CO2_Totaal[[#This Row],[A1]:[B1]],Referentie_CO2_Totaal[[#This Row],[C1]:[D2]])*Referentieberekening!N18),0))</f>
        <v>0</v>
      </c>
      <c r="K53" s="72">
        <f>(IF(Referentieberekening!C18="Bestaande Situatie",(_xlfn.IFNA(VLOOKUP(Referentie_CO2_Totaal[[#This Row],[Product]]&amp;", "&amp;Referentie_CO2_Totaal[[#Headers],[C1]],Database_Productkaarten[#All],17,FALSE),0)*Referentieberekening!L18),0))</f>
        <v>0</v>
      </c>
      <c r="L53" s="72">
        <f>(IF(Referentieberekening!C18="Bestaande Situatie",(_xlfn.IFNA(VLOOKUP(Referentie_CO2_Totaal[[#This Row],[Product]]&amp;", "&amp;Referentie_CO2_Totaal[[#Headers],[C2]],Database_Productkaarten[#All],17,FALSE),0)*Referentieberekening!L18),0))</f>
        <v>0</v>
      </c>
      <c r="M53" s="72">
        <f>(IF(Referentieberekening!C18="Bestaande Situatie",(_xlfn.IFNA(VLOOKUP(Referentie_CO2_Totaal[[#This Row],[Product]]&amp;", "&amp;Referentie_CO2_Totaal[[#Headers],[C3]],Database_Productkaarten[#All],17,FALSE),0)*Referentieberekening!L18),0))</f>
        <v>0</v>
      </c>
      <c r="N53" s="72">
        <f>(IF(Referentieberekening!C18="Bestaande Situatie",(_xlfn.IFNA(VLOOKUP(Referentie_CO2_Totaal[[#This Row],[Product]]&amp;", "&amp;Referentie_CO2_Totaal[[#Headers],[C4]],Database_Productkaarten[#All],17,FALSE),0)*Referentieberekening!L18),0))</f>
        <v>0</v>
      </c>
      <c r="O53" s="72">
        <f>(IF(Referentieberekening!C18="Bestaande Situatie",(_xlfn.IFNA(VLOOKUP(Referentie_CO2_Totaal[[#This Row],[Product]]&amp;", "&amp;Referentie_CO2_Totaal[[#Headers],[D1]],Database_Productkaarten[#All],17,FALSE),0)*Referentieberekening!L18),0))</f>
        <v>0</v>
      </c>
      <c r="P53" s="73">
        <f>(IF(Referentieberekening!C18="Bestaande Situatie",_xlfn.IFNA(VLOOKUP(Referentie_CO2_Totaal[[#This Row],[Product]]&amp;", "&amp;Referentie_CO2_Totaal[[#Headers],[D2]],Database_Productkaarten[#All],17,FALSE),0)*Referentieberekening!L18,0))</f>
        <v>0</v>
      </c>
      <c r="Q53" s="72">
        <f>SUM(Referentie_CO2_Totaal[[#This Row],[A1]:[D2]])</f>
        <v>6050.2436095734374</v>
      </c>
    </row>
    <row r="54" spans="2:17" ht="18" x14ac:dyDescent="0.55000000000000004">
      <c r="B54" s="285" t="str">
        <f>Referentieberekening!B19</f>
        <v>Aanbrengen deklaag SMA-NL 8, dik 30 mm - 890 m2 (rood)</v>
      </c>
      <c r="C54" s="23" t="str">
        <f>Referentieberekening!F19</f>
        <v>AC surf rood, met blank bindmiddel - PCR 2.0</v>
      </c>
      <c r="D54" s="72">
        <f>(IF(Referentieberekening!C19="Nieuwe Situatie",(_xlfn.IFNA(VLOOKUP(Referentie_CO2_Totaal[[#This Row],[Product]]&amp;", "&amp;Referentie_CO2_Totaal[[#Headers],[A1]],Database_Productkaarten[#All],17,FALSE),0)*Referentieberekening!L19),0))</f>
        <v>15866.956132985077</v>
      </c>
      <c r="E54" s="72">
        <f>(IF(Referentieberekening!C19="Nieuwe Situatie",(_xlfn.IFNA(VLOOKUP(Referentie_CO2_Totaal[[#This Row],[Product]]&amp;", "&amp;Referentie_CO2_Totaal[[#Headers],[A2]],Database_Productkaarten[#All],17,FALSE),0)*Referentieberekening!L19),0))</f>
        <v>1670.8104746593563</v>
      </c>
      <c r="F54" s="72">
        <f>(IF(Referentieberekening!C19="Nieuwe Situatie",(_xlfn.IFNA(VLOOKUP(Referentie_CO2_Totaal[[#This Row],[Product]]&amp;", "&amp;Referentie_CO2_Totaal[[#Headers],[A3]],Database_Productkaarten[#All],17,FALSE),0)*Referentieberekening!L19),0))</f>
        <v>1610.2283990085257</v>
      </c>
      <c r="G54" s="72">
        <f>IF(Referentieberekening!P19=0,(IF(Referentieberekening!C19="Nieuwe Situatie",(_xlfn.IFNA(VLOOKUP(Referentie_CO2_Totaal[[#This Row],[Product]]&amp;", "&amp;Referentie_CO2_Totaal[[#Headers],[A4]],Database_Productkaarten[#All],17,FALSE),0)*Referentieberekening!L19),0)),IF(Inschrijfberekening!C20="Nieuwe Situatie",_xlfn.IFNA(VLOOKUP(Inschrijfberekening!O20,Database_Transport[#All],12,FALSE)*(Inschrijfberekening!K20*Inschrijfberekening!N20),Referentie_Backlog!G54),0))</f>
        <v>271.26202799399999</v>
      </c>
      <c r="H54" s="72">
        <f>(IF(Referentieberekening!C19="Nieuwe Situatie",(_xlfn.IFNA(VLOOKUP(Referentie_CO2_Totaal[[#This Row],[Product]]&amp;", "&amp;Referentie_CO2_Totaal[[#Headers],[A5]],Database_Productkaarten[#All],17,FALSE),0)*Referentieberekening!L19),0))</f>
        <v>172.00798682893546</v>
      </c>
      <c r="I54" s="72">
        <f>(IF(Referentieberekening!C19="Nieuwe Situatie",(_xlfn.IFNA(VLOOKUP(Referentie_CO2_Totaal[[#This Row],[Product]]&amp;", "&amp;Referentie_CO2_Totaal[[#Headers],[B1]],Database_Productkaarten[#All],17,FALSE),0)*Referentieberekening!L19),0))</f>
        <v>0</v>
      </c>
      <c r="J54" s="72">
        <f>(IF(Referentieberekening!C19="Nieuwe Situatie",(SUM(Referentie_CO2_Totaal[[#This Row],[A1]:[B1]],Referentie_CO2_Totaal[[#This Row],[C1]:[D2]])*Referentieberekening!N19),0))</f>
        <v>0</v>
      </c>
      <c r="K54" s="72">
        <f>(IF(Referentieberekening!C19="Bestaande Situatie",(_xlfn.IFNA(VLOOKUP(Referentie_CO2_Totaal[[#This Row],[Product]]&amp;", "&amp;Referentie_CO2_Totaal[[#Headers],[C1]],Database_Productkaarten[#All],17,FALSE),0)*Referentieberekening!L19),0))</f>
        <v>0</v>
      </c>
      <c r="L54" s="72">
        <f>(IF(Referentieberekening!C19="Bestaande Situatie",(_xlfn.IFNA(VLOOKUP(Referentie_CO2_Totaal[[#This Row],[Product]]&amp;", "&amp;Referentie_CO2_Totaal[[#Headers],[C2]],Database_Productkaarten[#All],17,FALSE),0)*Referentieberekening!L19),0))</f>
        <v>0</v>
      </c>
      <c r="M54" s="72">
        <f>(IF(Referentieberekening!C19="Bestaande Situatie",(_xlfn.IFNA(VLOOKUP(Referentie_CO2_Totaal[[#This Row],[Product]]&amp;", "&amp;Referentie_CO2_Totaal[[#Headers],[C3]],Database_Productkaarten[#All],17,FALSE),0)*Referentieberekening!L19),0))</f>
        <v>0</v>
      </c>
      <c r="N54" s="72">
        <f>(IF(Referentieberekening!C19="Bestaande Situatie",(_xlfn.IFNA(VLOOKUP(Referentie_CO2_Totaal[[#This Row],[Product]]&amp;", "&amp;Referentie_CO2_Totaal[[#Headers],[C4]],Database_Productkaarten[#All],17,FALSE),0)*Referentieberekening!L19),0))</f>
        <v>0</v>
      </c>
      <c r="O54" s="72">
        <f>(IF(Referentieberekening!C19="Bestaande Situatie",(_xlfn.IFNA(VLOOKUP(Referentie_CO2_Totaal[[#This Row],[Product]]&amp;", "&amp;Referentie_CO2_Totaal[[#Headers],[D1]],Database_Productkaarten[#All],17,FALSE),0)*Referentieberekening!L19),0))</f>
        <v>0</v>
      </c>
      <c r="P54" s="73">
        <f>(IF(Referentieberekening!C19="Bestaande Situatie",_xlfn.IFNA(VLOOKUP(Referentie_CO2_Totaal[[#This Row],[Product]]&amp;", "&amp;Referentie_CO2_Totaal[[#Headers],[D2]],Database_Productkaarten[#All],17,FALSE),0)*Referentieberekening!L19,0))</f>
        <v>0</v>
      </c>
      <c r="Q54" s="72">
        <f>SUM(Referentie_CO2_Totaal[[#This Row],[A1]:[D2]])</f>
        <v>19591.265021475894</v>
      </c>
    </row>
    <row r="55" spans="2:17" ht="18" x14ac:dyDescent="0.55000000000000004">
      <c r="B55" s="285" t="str">
        <f>Referentieberekening!B20</f>
        <v>Aanbrengen betonbuis rond profiel, ø300 mm - HWA.</v>
      </c>
      <c r="C55" s="23" t="str">
        <f>Referentieberekening!F20</f>
        <v>Betonbuis 300 mm</v>
      </c>
      <c r="D55" s="72">
        <f>(IF(Referentieberekening!C20="Nieuwe Situatie",(_xlfn.IFNA(VLOOKUP(Referentie_CO2_Totaal[[#This Row],[Product]]&amp;", "&amp;Referentie_CO2_Totaal[[#Headers],[A1]],Database_Productkaarten[#All],17,FALSE),0)*Referentieberekening!L20),0))</f>
        <v>1929.6</v>
      </c>
      <c r="E55" s="72">
        <f>(IF(Referentieberekening!C20="Nieuwe Situatie",(_xlfn.IFNA(VLOOKUP(Referentie_CO2_Totaal[[#This Row],[Product]]&amp;", "&amp;Referentie_CO2_Totaal[[#Headers],[A2]],Database_Productkaarten[#All],17,FALSE),0)*Referentieberekening!L20),0))</f>
        <v>0</v>
      </c>
      <c r="F55" s="72">
        <f>(IF(Referentieberekening!C20="Nieuwe Situatie",(_xlfn.IFNA(VLOOKUP(Referentie_CO2_Totaal[[#This Row],[Product]]&amp;", "&amp;Referentie_CO2_Totaal[[#Headers],[A3]],Database_Productkaarten[#All],17,FALSE),0)*Referentieberekening!L20),0))</f>
        <v>0</v>
      </c>
      <c r="G55" s="72">
        <f>IF(Referentieberekening!P20=0,(IF(Referentieberekening!C20="Nieuwe Situatie",(_xlfn.IFNA(VLOOKUP(Referentie_CO2_Totaal[[#This Row],[Product]]&amp;", "&amp;Referentie_CO2_Totaal[[#Headers],[A4]],Database_Productkaarten[#All],17,FALSE),0)*Referentieberekening!L20),0)),IF(Inschrijfberekening!C21="Nieuwe Situatie",_xlfn.IFNA(VLOOKUP(Inschrijfberekening!O21,Database_Transport[#All],12,FALSE)*(Inschrijfberekening!K21*Inschrijfberekening!N21),Referentie_Backlog!G55),0))</f>
        <v>353.86</v>
      </c>
      <c r="H55" s="72">
        <f>(IF(Referentieberekening!C20="Nieuwe Situatie",(_xlfn.IFNA(VLOOKUP(Referentie_CO2_Totaal[[#This Row],[Product]]&amp;", "&amp;Referentie_CO2_Totaal[[#Headers],[A5]],Database_Productkaarten[#All],17,FALSE),0)*Referentieberekening!L20),0))</f>
        <v>65.5</v>
      </c>
      <c r="I55" s="72">
        <f>(IF(Referentieberekening!C20="Nieuwe Situatie",(_xlfn.IFNA(VLOOKUP(Referentie_CO2_Totaal[[#This Row],[Product]]&amp;", "&amp;Referentie_CO2_Totaal[[#Headers],[B1]],Database_Productkaarten[#All],17,FALSE),0)*Referentieberekening!L20),0))</f>
        <v>0</v>
      </c>
      <c r="J55" s="72">
        <f>(IF(Referentieberekening!C20="Nieuwe Situatie",(SUM(Referentie_CO2_Totaal[[#This Row],[A1]:[B1]],Referentie_CO2_Totaal[[#This Row],[C1]:[D2]])*Referentieberekening!N20),0))</f>
        <v>0</v>
      </c>
      <c r="K55" s="72">
        <f>(IF(Referentieberekening!C20="Bestaande Situatie",(_xlfn.IFNA(VLOOKUP(Referentie_CO2_Totaal[[#This Row],[Product]]&amp;", "&amp;Referentie_CO2_Totaal[[#Headers],[C1]],Database_Productkaarten[#All],17,FALSE),0)*Referentieberekening!L20),0))</f>
        <v>0</v>
      </c>
      <c r="L55" s="72">
        <f>(IF(Referentieberekening!C20="Bestaande Situatie",(_xlfn.IFNA(VLOOKUP(Referentie_CO2_Totaal[[#This Row],[Product]]&amp;", "&amp;Referentie_CO2_Totaal[[#Headers],[C2]],Database_Productkaarten[#All],17,FALSE),0)*Referentieberekening!L20),0))</f>
        <v>0</v>
      </c>
      <c r="M55" s="72">
        <f>(IF(Referentieberekening!C20="Bestaande Situatie",(_xlfn.IFNA(VLOOKUP(Referentie_CO2_Totaal[[#This Row],[Product]]&amp;", "&amp;Referentie_CO2_Totaal[[#Headers],[C3]],Database_Productkaarten[#All],17,FALSE),0)*Referentieberekening!L20),0))</f>
        <v>0</v>
      </c>
      <c r="N55" s="72">
        <f>(IF(Referentieberekening!C20="Bestaande Situatie",(_xlfn.IFNA(VLOOKUP(Referentie_CO2_Totaal[[#This Row],[Product]]&amp;", "&amp;Referentie_CO2_Totaal[[#Headers],[C4]],Database_Productkaarten[#All],17,FALSE),0)*Referentieberekening!L20),0))</f>
        <v>0</v>
      </c>
      <c r="O55" s="72">
        <f>(IF(Referentieberekening!C20="Bestaande Situatie",(_xlfn.IFNA(VLOOKUP(Referentie_CO2_Totaal[[#This Row],[Product]]&amp;", "&amp;Referentie_CO2_Totaal[[#Headers],[D1]],Database_Productkaarten[#All],17,FALSE),0)*Referentieberekening!L20),0))</f>
        <v>0</v>
      </c>
      <c r="P55" s="73">
        <f>(IF(Referentieberekening!C20="Bestaande Situatie",_xlfn.IFNA(VLOOKUP(Referentie_CO2_Totaal[[#This Row],[Product]]&amp;", "&amp;Referentie_CO2_Totaal[[#Headers],[D2]],Database_Productkaarten[#All],17,FALSE),0)*Referentieberekening!L20,0))</f>
        <v>0</v>
      </c>
      <c r="Q55" s="72">
        <f>SUM(Referentie_CO2_Totaal[[#This Row],[A1]:[D2]])</f>
        <v>2348.96</v>
      </c>
    </row>
    <row r="56" spans="2:17" ht="18" x14ac:dyDescent="0.55000000000000004">
      <c r="B56" s="285" t="str">
        <f>Referentieberekening!B21</f>
        <v>Aanbrengen betonbuis rond profiel, ø500 mm - HWA.</v>
      </c>
      <c r="C56" s="23" t="str">
        <f>Referentieberekening!F21</f>
        <v>Betonbuis 500 mm</v>
      </c>
      <c r="D56" s="72">
        <f>(IF(Referentieberekening!C21="Nieuwe Situatie",(_xlfn.IFNA(VLOOKUP(Referentie_CO2_Totaal[[#This Row],[Product]]&amp;", "&amp;Referentie_CO2_Totaal[[#Headers],[A1]],Database_Productkaarten[#All],17,FALSE),0)*Referentieberekening!L21),0))</f>
        <v>17383.3</v>
      </c>
      <c r="E56" s="72">
        <f>(IF(Referentieberekening!C21="Nieuwe Situatie",(_xlfn.IFNA(VLOOKUP(Referentie_CO2_Totaal[[#This Row],[Product]]&amp;", "&amp;Referentie_CO2_Totaal[[#Headers],[A2]],Database_Productkaarten[#All],17,FALSE),0)*Referentieberekening!L21),0))</f>
        <v>0</v>
      </c>
      <c r="F56" s="72">
        <f>(IF(Referentieberekening!C21="Nieuwe Situatie",(_xlfn.IFNA(VLOOKUP(Referentie_CO2_Totaal[[#This Row],[Product]]&amp;", "&amp;Referentie_CO2_Totaal[[#Headers],[A3]],Database_Productkaarten[#All],17,FALSE),0)*Referentieberekening!L21),0))</f>
        <v>0</v>
      </c>
      <c r="G56" s="72">
        <f>IF(Referentieberekening!P21=0,(IF(Referentieberekening!C21="Nieuwe Situatie",(_xlfn.IFNA(VLOOKUP(Referentie_CO2_Totaal[[#This Row],[Product]]&amp;", "&amp;Referentie_CO2_Totaal[[#Headers],[A4]],Database_Productkaarten[#All],17,FALSE),0)*Referentieberekening!L21),0)),IF(Inschrijfberekening!C22="Nieuwe Situatie",_xlfn.IFNA(VLOOKUP(Inschrijfberekening!O22,Database_Transport[#All],12,FALSE)*(Inschrijfberekening!K22*Inschrijfberekening!N22),Referentie_Backlog!G56),0))</f>
        <v>3185.45</v>
      </c>
      <c r="H56" s="72">
        <f>(IF(Referentieberekening!C21="Nieuwe Situatie",(_xlfn.IFNA(VLOOKUP(Referentie_CO2_Totaal[[#This Row],[Product]]&amp;", "&amp;Referentie_CO2_Totaal[[#Headers],[A5]],Database_Productkaarten[#All],17,FALSE),0)*Referentieberekening!L21),0))</f>
        <v>6041.45</v>
      </c>
      <c r="I56" s="72">
        <f>(IF(Referentieberekening!C21="Nieuwe Situatie",(_xlfn.IFNA(VLOOKUP(Referentie_CO2_Totaal[[#This Row],[Product]]&amp;", "&amp;Referentie_CO2_Totaal[[#Headers],[B1]],Database_Productkaarten[#All],17,FALSE),0)*Referentieberekening!L21),0))</f>
        <v>0</v>
      </c>
      <c r="J56" s="72">
        <f>(IF(Referentieberekening!C21="Nieuwe Situatie",(SUM(Referentie_CO2_Totaal[[#This Row],[A1]:[B1]],Referentie_CO2_Totaal[[#This Row],[C1]:[D2]])*Referentieberekening!N21),0))</f>
        <v>0</v>
      </c>
      <c r="K56" s="72">
        <f>(IF(Referentieberekening!C21="Bestaande Situatie",(_xlfn.IFNA(VLOOKUP(Referentie_CO2_Totaal[[#This Row],[Product]]&amp;", "&amp;Referentie_CO2_Totaal[[#Headers],[C1]],Database_Productkaarten[#All],17,FALSE),0)*Referentieberekening!L21),0))</f>
        <v>0</v>
      </c>
      <c r="L56" s="72">
        <f>(IF(Referentieberekening!C21="Bestaande Situatie",(_xlfn.IFNA(VLOOKUP(Referentie_CO2_Totaal[[#This Row],[Product]]&amp;", "&amp;Referentie_CO2_Totaal[[#Headers],[C2]],Database_Productkaarten[#All],17,FALSE),0)*Referentieberekening!L21),0))</f>
        <v>0</v>
      </c>
      <c r="M56" s="72">
        <f>(IF(Referentieberekening!C21="Bestaande Situatie",(_xlfn.IFNA(VLOOKUP(Referentie_CO2_Totaal[[#This Row],[Product]]&amp;", "&amp;Referentie_CO2_Totaal[[#Headers],[C3]],Database_Productkaarten[#All],17,FALSE),0)*Referentieberekening!L21),0))</f>
        <v>0</v>
      </c>
      <c r="N56" s="72">
        <f>(IF(Referentieberekening!C21="Bestaande Situatie",(_xlfn.IFNA(VLOOKUP(Referentie_CO2_Totaal[[#This Row],[Product]]&amp;", "&amp;Referentie_CO2_Totaal[[#Headers],[C4]],Database_Productkaarten[#All],17,FALSE),0)*Referentieberekening!L21),0))</f>
        <v>0</v>
      </c>
      <c r="O56" s="72">
        <f>(IF(Referentieberekening!C21="Bestaande Situatie",(_xlfn.IFNA(VLOOKUP(Referentie_CO2_Totaal[[#This Row],[Product]]&amp;", "&amp;Referentie_CO2_Totaal[[#Headers],[D1]],Database_Productkaarten[#All],17,FALSE),0)*Referentieberekening!L21),0))</f>
        <v>0</v>
      </c>
      <c r="P56" s="73">
        <f>(IF(Referentieberekening!C21="Bestaande Situatie",_xlfn.IFNA(VLOOKUP(Referentie_CO2_Totaal[[#This Row],[Product]]&amp;", "&amp;Referentie_CO2_Totaal[[#Headers],[D2]],Database_Productkaarten[#All],17,FALSE),0)*Referentieberekening!L21,0))</f>
        <v>0</v>
      </c>
      <c r="Q56" s="72">
        <f>SUM(Referentie_CO2_Totaal[[#This Row],[A1]:[D2]])</f>
        <v>26610.2</v>
      </c>
    </row>
    <row r="57" spans="2:17" ht="18" x14ac:dyDescent="0.55000000000000004">
      <c r="B57" s="285" t="str">
        <f>Referentieberekening!B22</f>
        <v>Aanbrengen betonbuis rond profiel, ø700 mm - HWA.</v>
      </c>
      <c r="C57" s="23" t="str">
        <f>Referentieberekening!F22</f>
        <v>Betonbuis 800 mm</v>
      </c>
      <c r="D57" s="72">
        <f>(IF(Referentieberekening!C22="Nieuwe Situatie",(_xlfn.IFNA(VLOOKUP(Referentie_CO2_Totaal[[#This Row],[Product]]&amp;", "&amp;Referentie_CO2_Totaal[[#Headers],[A1]],Database_Productkaarten[#All],17,FALSE),0)*Referentieberekening!L22),0))</f>
        <v>4160.4750000000004</v>
      </c>
      <c r="E57" s="72">
        <f>(IF(Referentieberekening!C22="Nieuwe Situatie",(_xlfn.IFNA(VLOOKUP(Referentie_CO2_Totaal[[#This Row],[Product]]&amp;", "&amp;Referentie_CO2_Totaal[[#Headers],[A2]],Database_Productkaarten[#All],17,FALSE),0)*Referentieberekening!L22),0))</f>
        <v>0</v>
      </c>
      <c r="F57" s="72">
        <f>(IF(Referentieberekening!C22="Nieuwe Situatie",(_xlfn.IFNA(VLOOKUP(Referentie_CO2_Totaal[[#This Row],[Product]]&amp;", "&amp;Referentie_CO2_Totaal[[#Headers],[A3]],Database_Productkaarten[#All],17,FALSE),0)*Referentieberekening!L22),0))</f>
        <v>0</v>
      </c>
      <c r="G57" s="72">
        <f>IF(Referentieberekening!P22=0,(IF(Referentieberekening!C22="Nieuwe Situatie",(_xlfn.IFNA(VLOOKUP(Referentie_CO2_Totaal[[#This Row],[Product]]&amp;", "&amp;Referentie_CO2_Totaal[[#Headers],[A4]],Database_Productkaarten[#All],17,FALSE),0)*Referentieberekening!L22),0)),IF(Inschrijfberekening!C23="Nieuwe Situatie",_xlfn.IFNA(VLOOKUP(Inschrijfberekening!O23,Database_Transport[#All],12,FALSE)*(Inschrijfberekening!K23*Inschrijfberekening!N23),Referentie_Backlog!G57),0))</f>
        <v>767.53</v>
      </c>
      <c r="H57" s="72">
        <f>(IF(Referentieberekening!C22="Nieuwe Situatie",(_xlfn.IFNA(VLOOKUP(Referentie_CO2_Totaal[[#This Row],[Product]]&amp;", "&amp;Referentie_CO2_Totaal[[#Headers],[A5]],Database_Productkaarten[#All],17,FALSE),0)*Referentieberekening!L22),0))</f>
        <v>904.88</v>
      </c>
      <c r="I57" s="72">
        <f>(IF(Referentieberekening!C22="Nieuwe Situatie",(_xlfn.IFNA(VLOOKUP(Referentie_CO2_Totaal[[#This Row],[Product]]&amp;", "&amp;Referentie_CO2_Totaal[[#Headers],[B1]],Database_Productkaarten[#All],17,FALSE),0)*Referentieberekening!L22),0))</f>
        <v>0</v>
      </c>
      <c r="J57" s="72">
        <f>(IF(Referentieberekening!C22="Nieuwe Situatie",(SUM(Referentie_CO2_Totaal[[#This Row],[A1]:[B1]],Referentie_CO2_Totaal[[#This Row],[C1]:[D2]])*Referentieberekening!N22),0))</f>
        <v>0</v>
      </c>
      <c r="K57" s="72">
        <f>(IF(Referentieberekening!C22="Bestaande Situatie",(_xlfn.IFNA(VLOOKUP(Referentie_CO2_Totaal[[#This Row],[Product]]&amp;", "&amp;Referentie_CO2_Totaal[[#Headers],[C1]],Database_Productkaarten[#All],17,FALSE),0)*Referentieberekening!L22),0))</f>
        <v>0</v>
      </c>
      <c r="L57" s="72">
        <f>(IF(Referentieberekening!C22="Bestaande Situatie",(_xlfn.IFNA(VLOOKUP(Referentie_CO2_Totaal[[#This Row],[Product]]&amp;", "&amp;Referentie_CO2_Totaal[[#Headers],[C2]],Database_Productkaarten[#All],17,FALSE),0)*Referentieberekening!L22),0))</f>
        <v>0</v>
      </c>
      <c r="M57" s="72">
        <f>(IF(Referentieberekening!C22="Bestaande Situatie",(_xlfn.IFNA(VLOOKUP(Referentie_CO2_Totaal[[#This Row],[Product]]&amp;", "&amp;Referentie_CO2_Totaal[[#Headers],[C3]],Database_Productkaarten[#All],17,FALSE),0)*Referentieberekening!L22),0))</f>
        <v>0</v>
      </c>
      <c r="N57" s="72">
        <f>(IF(Referentieberekening!C22="Bestaande Situatie",(_xlfn.IFNA(VLOOKUP(Referentie_CO2_Totaal[[#This Row],[Product]]&amp;", "&amp;Referentie_CO2_Totaal[[#Headers],[C4]],Database_Productkaarten[#All],17,FALSE),0)*Referentieberekening!L22),0))</f>
        <v>0</v>
      </c>
      <c r="O57" s="72">
        <f>(IF(Referentieberekening!C22="Bestaande Situatie",(_xlfn.IFNA(VLOOKUP(Referentie_CO2_Totaal[[#This Row],[Product]]&amp;", "&amp;Referentie_CO2_Totaal[[#Headers],[D1]],Database_Productkaarten[#All],17,FALSE),0)*Referentieberekening!L22),0))</f>
        <v>0</v>
      </c>
      <c r="P57" s="73">
        <f>(IF(Referentieberekening!C22="Bestaande Situatie",_xlfn.IFNA(VLOOKUP(Referentie_CO2_Totaal[[#This Row],[Product]]&amp;", "&amp;Referentie_CO2_Totaal[[#Headers],[D2]],Database_Productkaarten[#All],17,FALSE),0)*Referentieberekening!L22,0))</f>
        <v>0</v>
      </c>
      <c r="Q57" s="72">
        <f>SUM(Referentie_CO2_Totaal[[#This Row],[A1]:[D2]])</f>
        <v>5832.8850000000002</v>
      </c>
    </row>
    <row r="58" spans="2:17" ht="18" x14ac:dyDescent="0.55000000000000004">
      <c r="B58" s="285" t="str">
        <f>Referentieberekening!B23</f>
        <v>Aanbrengen betonbuis rond profiel, ø1000 mm - HWA.</v>
      </c>
      <c r="C58" s="23" t="str">
        <f>Referentieberekening!F23</f>
        <v>Betonbuis 1000 mm</v>
      </c>
      <c r="D58" s="72">
        <f>(IF(Referentieberekening!C23="Nieuwe Situatie",(_xlfn.IFNA(VLOOKUP(Referentie_CO2_Totaal[[#This Row],[Product]]&amp;", "&amp;Referentie_CO2_Totaal[[#Headers],[A1]],Database_Productkaarten[#All],17,FALSE),0)*Referentieberekening!L23),0))</f>
        <v>10684.992</v>
      </c>
      <c r="E58" s="72">
        <f>(IF(Referentieberekening!C23="Nieuwe Situatie",(_xlfn.IFNA(VLOOKUP(Referentie_CO2_Totaal[[#This Row],[Product]]&amp;", "&amp;Referentie_CO2_Totaal[[#Headers],[A2]],Database_Productkaarten[#All],17,FALSE),0)*Referentieberekening!L23),0))</f>
        <v>0</v>
      </c>
      <c r="F58" s="72">
        <f>(IF(Referentieberekening!C23="Nieuwe Situatie",(_xlfn.IFNA(VLOOKUP(Referentie_CO2_Totaal[[#This Row],[Product]]&amp;", "&amp;Referentie_CO2_Totaal[[#Headers],[A3]],Database_Productkaarten[#All],17,FALSE),0)*Referentieberekening!L23),0))</f>
        <v>0</v>
      </c>
      <c r="G58" s="72">
        <f>IF(Referentieberekening!P23=0,(IF(Referentieberekening!C23="Nieuwe Situatie",(_xlfn.IFNA(VLOOKUP(Referentie_CO2_Totaal[[#This Row],[Product]]&amp;", "&amp;Referentie_CO2_Totaal[[#Headers],[A4]],Database_Productkaarten[#All],17,FALSE),0)*Referentieberekening!L23),0)),IF(Inschrijfberekening!C24="Nieuwe Situatie",_xlfn.IFNA(VLOOKUP(Inschrijfberekening!O24,Database_Transport[#All],12,FALSE)*(Inschrijfberekening!K24*Inschrijfberekening!N24),Referentie_Backlog!G58),0))</f>
        <v>1.5210000000000001</v>
      </c>
      <c r="H58" s="72">
        <f>(IF(Referentieberekening!C23="Nieuwe Situatie",(_xlfn.IFNA(VLOOKUP(Referentie_CO2_Totaal[[#This Row],[Product]]&amp;", "&amp;Referentie_CO2_Totaal[[#Headers],[A5]],Database_Productkaarten[#All],17,FALSE),0)*Referentieberekening!L23),0))</f>
        <v>665.09010000000012</v>
      </c>
      <c r="I58" s="72">
        <f>(IF(Referentieberekening!C23="Nieuwe Situatie",(_xlfn.IFNA(VLOOKUP(Referentie_CO2_Totaal[[#This Row],[Product]]&amp;", "&amp;Referentie_CO2_Totaal[[#Headers],[B1]],Database_Productkaarten[#All],17,FALSE),0)*Referentieberekening!L23),0))</f>
        <v>0</v>
      </c>
      <c r="J58" s="72">
        <f>(IF(Referentieberekening!C23="Nieuwe Situatie",(SUM(Referentie_CO2_Totaal[[#This Row],[A1]:[B1]],Referentie_CO2_Totaal[[#This Row],[C1]:[D2]])*Referentieberekening!N23),0))</f>
        <v>0</v>
      </c>
      <c r="K58" s="72">
        <f>(IF(Referentieberekening!C23="Bestaande Situatie",(_xlfn.IFNA(VLOOKUP(Referentie_CO2_Totaal[[#This Row],[Product]]&amp;", "&amp;Referentie_CO2_Totaal[[#Headers],[C1]],Database_Productkaarten[#All],17,FALSE),0)*Referentieberekening!L23),0))</f>
        <v>0</v>
      </c>
      <c r="L58" s="72">
        <f>(IF(Referentieberekening!C23="Bestaande Situatie",(_xlfn.IFNA(VLOOKUP(Referentie_CO2_Totaal[[#This Row],[Product]]&amp;", "&amp;Referentie_CO2_Totaal[[#Headers],[C2]],Database_Productkaarten[#All],17,FALSE),0)*Referentieberekening!L23),0))</f>
        <v>0</v>
      </c>
      <c r="M58" s="72">
        <f>(IF(Referentieberekening!C23="Bestaande Situatie",(_xlfn.IFNA(VLOOKUP(Referentie_CO2_Totaal[[#This Row],[Product]]&amp;", "&amp;Referentie_CO2_Totaal[[#Headers],[C3]],Database_Productkaarten[#All],17,FALSE),0)*Referentieberekening!L23),0))</f>
        <v>0</v>
      </c>
      <c r="N58" s="72">
        <f>(IF(Referentieberekening!C23="Bestaande Situatie",(_xlfn.IFNA(VLOOKUP(Referentie_CO2_Totaal[[#This Row],[Product]]&amp;", "&amp;Referentie_CO2_Totaal[[#Headers],[C4]],Database_Productkaarten[#All],17,FALSE),0)*Referentieberekening!L23),0))</f>
        <v>0</v>
      </c>
      <c r="O58" s="72">
        <f>(IF(Referentieberekening!C23="Bestaande Situatie",(_xlfn.IFNA(VLOOKUP(Referentie_CO2_Totaal[[#This Row],[Product]]&amp;", "&amp;Referentie_CO2_Totaal[[#Headers],[D1]],Database_Productkaarten[#All],17,FALSE),0)*Referentieberekening!L23),0))</f>
        <v>0</v>
      </c>
      <c r="P58" s="73">
        <f>(IF(Referentieberekening!C23="Bestaande Situatie",_xlfn.IFNA(VLOOKUP(Referentie_CO2_Totaal[[#This Row],[Product]]&amp;", "&amp;Referentie_CO2_Totaal[[#Headers],[D2]],Database_Productkaarten[#All],17,FALSE),0)*Referentieberekening!L23,0))</f>
        <v>0</v>
      </c>
      <c r="Q58" s="72">
        <f>SUM(Referentie_CO2_Totaal[[#This Row],[A1]:[D2]])</f>
        <v>11351.6031</v>
      </c>
    </row>
    <row r="59" spans="2:17" ht="18" x14ac:dyDescent="0.55000000000000004">
      <c r="B59" s="285" t="str">
        <f>Referentieberekening!B24</f>
        <v>Aanbrengen drainage rioolsleuf PP ø 125 mm.</v>
      </c>
      <c r="C59" s="23" t="str">
        <f>Referentieberekening!F24</f>
        <v>PP Drainbuis 125 mm</v>
      </c>
      <c r="D59" s="72">
        <f>(IF(Referentieberekening!C24="Nieuwe Situatie",(_xlfn.IFNA(VLOOKUP(Referentie_CO2_Totaal[[#This Row],[Product]]&amp;", "&amp;Referentie_CO2_Totaal[[#Headers],[A1]],Database_Productkaarten[#All],17,FALSE),0)*Referentieberekening!L24),0))</f>
        <v>1014.968</v>
      </c>
      <c r="E59" s="72">
        <f>(IF(Referentieberekening!C24="Nieuwe Situatie",(_xlfn.IFNA(VLOOKUP(Referentie_CO2_Totaal[[#This Row],[Product]]&amp;", "&amp;Referentie_CO2_Totaal[[#Headers],[A2]],Database_Productkaarten[#All],17,FALSE),0)*Referentieberekening!L24),0))</f>
        <v>0</v>
      </c>
      <c r="F59" s="72">
        <f>(IF(Referentieberekening!C24="Nieuwe Situatie",(_xlfn.IFNA(VLOOKUP(Referentie_CO2_Totaal[[#This Row],[Product]]&amp;", "&amp;Referentie_CO2_Totaal[[#Headers],[A3]],Database_Productkaarten[#All],17,FALSE),0)*Referentieberekening!L24),0))</f>
        <v>0</v>
      </c>
      <c r="G59" s="72">
        <f>IF(Referentieberekening!P24=0,(IF(Referentieberekening!C24="Nieuwe Situatie",(_xlfn.IFNA(VLOOKUP(Referentie_CO2_Totaal[[#This Row],[Product]]&amp;", "&amp;Referentie_CO2_Totaal[[#Headers],[A4]],Database_Productkaarten[#All],17,FALSE),0)*Referentieberekening!L24),0)),IF(Inschrijfberekening!C25="Nieuwe Situatie",_xlfn.IFNA(VLOOKUP(Inschrijfberekening!O25,Database_Transport[#All],12,FALSE)*(Inschrijfberekening!K25*Inschrijfberekening!N25),Referentie_Backlog!G59),0))</f>
        <v>5.7119999999999997</v>
      </c>
      <c r="H59" s="72">
        <f>(IF(Referentieberekening!C24="Nieuwe Situatie",(_xlfn.IFNA(VLOOKUP(Referentie_CO2_Totaal[[#This Row],[Product]]&amp;", "&amp;Referentie_CO2_Totaal[[#Headers],[A5]],Database_Productkaarten[#All],17,FALSE),0)*Referentieberekening!L24),0))</f>
        <v>671.29191999999989</v>
      </c>
      <c r="I59" s="72">
        <f>(IF(Referentieberekening!C24="Nieuwe Situatie",(_xlfn.IFNA(VLOOKUP(Referentie_CO2_Totaal[[#This Row],[Product]]&amp;", "&amp;Referentie_CO2_Totaal[[#Headers],[B1]],Database_Productkaarten[#All],17,FALSE),0)*Referentieberekening!L24),0))</f>
        <v>0</v>
      </c>
      <c r="J59" s="72">
        <f>(IF(Referentieberekening!C24="Nieuwe Situatie",(SUM(Referentie_CO2_Totaal[[#This Row],[A1]:[B1]],Referentie_CO2_Totaal[[#This Row],[C1]:[D2]])*Referentieberekening!N24),0))</f>
        <v>0</v>
      </c>
      <c r="K59" s="72">
        <f>(IF(Referentieberekening!C24="Bestaande Situatie",(_xlfn.IFNA(VLOOKUP(Referentie_CO2_Totaal[[#This Row],[Product]]&amp;", "&amp;Referentie_CO2_Totaal[[#Headers],[C1]],Database_Productkaarten[#All],17,FALSE),0)*Referentieberekening!L24),0))</f>
        <v>0</v>
      </c>
      <c r="L59" s="72">
        <f>(IF(Referentieberekening!C24="Bestaande Situatie",(_xlfn.IFNA(VLOOKUP(Referentie_CO2_Totaal[[#This Row],[Product]]&amp;", "&amp;Referentie_CO2_Totaal[[#Headers],[C2]],Database_Productkaarten[#All],17,FALSE),0)*Referentieberekening!L24),0))</f>
        <v>0</v>
      </c>
      <c r="M59" s="72">
        <f>(IF(Referentieberekening!C24="Bestaande Situatie",(_xlfn.IFNA(VLOOKUP(Referentie_CO2_Totaal[[#This Row],[Product]]&amp;", "&amp;Referentie_CO2_Totaal[[#Headers],[C3]],Database_Productkaarten[#All],17,FALSE),0)*Referentieberekening!L24),0))</f>
        <v>0</v>
      </c>
      <c r="N59" s="72">
        <f>(IF(Referentieberekening!C24="Bestaande Situatie",(_xlfn.IFNA(VLOOKUP(Referentie_CO2_Totaal[[#This Row],[Product]]&amp;", "&amp;Referentie_CO2_Totaal[[#Headers],[C4]],Database_Productkaarten[#All],17,FALSE),0)*Referentieberekening!L24),0))</f>
        <v>0</v>
      </c>
      <c r="O59" s="72">
        <f>(IF(Referentieberekening!C24="Bestaande Situatie",(_xlfn.IFNA(VLOOKUP(Referentie_CO2_Totaal[[#This Row],[Product]]&amp;", "&amp;Referentie_CO2_Totaal[[#Headers],[D1]],Database_Productkaarten[#All],17,FALSE),0)*Referentieberekening!L24),0))</f>
        <v>0</v>
      </c>
      <c r="P59" s="73">
        <f>(IF(Referentieberekening!C24="Bestaande Situatie",_xlfn.IFNA(VLOOKUP(Referentie_CO2_Totaal[[#This Row],[Product]]&amp;", "&amp;Referentie_CO2_Totaal[[#Headers],[D2]],Database_Productkaarten[#All],17,FALSE),0)*Referentieberekening!L24,0))</f>
        <v>0</v>
      </c>
      <c r="Q59" s="72">
        <f>SUM(Referentie_CO2_Totaal[[#This Row],[A1]:[D2]])</f>
        <v>1691.97192</v>
      </c>
    </row>
    <row r="60" spans="2:17" ht="18" x14ac:dyDescent="0.55000000000000004">
      <c r="B60" s="285" t="str">
        <f>Referentieberekening!B25</f>
        <v>Aanbrengen betonbuis rond profiel, ø300 mm - DWA.</v>
      </c>
      <c r="C60" s="23" t="str">
        <f>Referentieberekening!F25</f>
        <v>Betonbuis 300 mm</v>
      </c>
      <c r="D60" s="72">
        <f>(IF(Referentieberekening!C25="Nieuwe Situatie",(_xlfn.IFNA(VLOOKUP(Referentie_CO2_Totaal[[#This Row],[Product]]&amp;", "&amp;Referentie_CO2_Totaal[[#Headers],[A1]],Database_Productkaarten[#All],17,FALSE),0)*Referentieberekening!L25),0))</f>
        <v>12542.4</v>
      </c>
      <c r="E60" s="72">
        <f>(IF(Referentieberekening!C25="Nieuwe Situatie",(_xlfn.IFNA(VLOOKUP(Referentie_CO2_Totaal[[#This Row],[Product]]&amp;", "&amp;Referentie_CO2_Totaal[[#Headers],[A2]],Database_Productkaarten[#All],17,FALSE),0)*Referentieberekening!L25),0))</f>
        <v>0</v>
      </c>
      <c r="F60" s="72">
        <f>(IF(Referentieberekening!C25="Nieuwe Situatie",(_xlfn.IFNA(VLOOKUP(Referentie_CO2_Totaal[[#This Row],[Product]]&amp;", "&amp;Referentie_CO2_Totaal[[#Headers],[A3]],Database_Productkaarten[#All],17,FALSE),0)*Referentieberekening!L25),0))</f>
        <v>0</v>
      </c>
      <c r="G60" s="72">
        <f>IF(Referentieberekening!P25=0,(IF(Referentieberekening!C25="Nieuwe Situatie",(_xlfn.IFNA(VLOOKUP(Referentie_CO2_Totaal[[#This Row],[Product]]&amp;", "&amp;Referentie_CO2_Totaal[[#Headers],[A4]],Database_Productkaarten[#All],17,FALSE),0)*Referentieberekening!L25),0)),IF(Inschrijfberekening!C26="Nieuwe Situatie",_xlfn.IFNA(VLOOKUP(Inschrijfberekening!O26,Database_Transport[#All],12,FALSE)*(Inschrijfberekening!K26*Inschrijfberekening!N26),Referentie_Backlog!G60),0))</f>
        <v>2300.09</v>
      </c>
      <c r="H60" s="72">
        <f>(IF(Referentieberekening!C25="Nieuwe Situatie",(_xlfn.IFNA(VLOOKUP(Referentie_CO2_Totaal[[#This Row],[Product]]&amp;", "&amp;Referentie_CO2_Totaal[[#Headers],[A5]],Database_Productkaarten[#All],17,FALSE),0)*Referentieberekening!L25),0))</f>
        <v>425.75</v>
      </c>
      <c r="I60" s="72">
        <f>(IF(Referentieberekening!C25="Nieuwe Situatie",(_xlfn.IFNA(VLOOKUP(Referentie_CO2_Totaal[[#This Row],[Product]]&amp;", "&amp;Referentie_CO2_Totaal[[#Headers],[B1]],Database_Productkaarten[#All],17,FALSE),0)*Referentieberekening!L25),0))</f>
        <v>0</v>
      </c>
      <c r="J60" s="72">
        <f>(IF(Referentieberekening!C25="Nieuwe Situatie",(SUM(Referentie_CO2_Totaal[[#This Row],[A1]:[B1]],Referentie_CO2_Totaal[[#This Row],[C1]:[D2]])*Referentieberekening!N25),0))</f>
        <v>0</v>
      </c>
      <c r="K60" s="72">
        <f>(IF(Referentieberekening!C25="Bestaande Situatie",(_xlfn.IFNA(VLOOKUP(Referentie_CO2_Totaal[[#This Row],[Product]]&amp;", "&amp;Referentie_CO2_Totaal[[#Headers],[C1]],Database_Productkaarten[#All],17,FALSE),0)*Referentieberekening!L25),0))</f>
        <v>0</v>
      </c>
      <c r="L60" s="72">
        <f>(IF(Referentieberekening!C25="Bestaande Situatie",(_xlfn.IFNA(VLOOKUP(Referentie_CO2_Totaal[[#This Row],[Product]]&amp;", "&amp;Referentie_CO2_Totaal[[#Headers],[C2]],Database_Productkaarten[#All],17,FALSE),0)*Referentieberekening!L25),0))</f>
        <v>0</v>
      </c>
      <c r="M60" s="72">
        <f>(IF(Referentieberekening!C25="Bestaande Situatie",(_xlfn.IFNA(VLOOKUP(Referentie_CO2_Totaal[[#This Row],[Product]]&amp;", "&amp;Referentie_CO2_Totaal[[#Headers],[C3]],Database_Productkaarten[#All],17,FALSE),0)*Referentieberekening!L25),0))</f>
        <v>0</v>
      </c>
      <c r="N60" s="72">
        <f>(IF(Referentieberekening!C25="Bestaande Situatie",(_xlfn.IFNA(VLOOKUP(Referentie_CO2_Totaal[[#This Row],[Product]]&amp;", "&amp;Referentie_CO2_Totaal[[#Headers],[C4]],Database_Productkaarten[#All],17,FALSE),0)*Referentieberekening!L25),0))</f>
        <v>0</v>
      </c>
      <c r="O60" s="72">
        <f>(IF(Referentieberekening!C25="Bestaande Situatie",(_xlfn.IFNA(VLOOKUP(Referentie_CO2_Totaal[[#This Row],[Product]]&amp;", "&amp;Referentie_CO2_Totaal[[#Headers],[D1]],Database_Productkaarten[#All],17,FALSE),0)*Referentieberekening!L25),0))</f>
        <v>0</v>
      </c>
      <c r="P60" s="73">
        <f>(IF(Referentieberekening!C25="Bestaande Situatie",_xlfn.IFNA(VLOOKUP(Referentie_CO2_Totaal[[#This Row],[Product]]&amp;", "&amp;Referentie_CO2_Totaal[[#Headers],[D2]],Database_Productkaarten[#All],17,FALSE),0)*Referentieberekening!L25,0))</f>
        <v>0</v>
      </c>
      <c r="Q60" s="72">
        <f>SUM(Referentie_CO2_Totaal[[#This Row],[A1]:[D2]])</f>
        <v>15268.24</v>
      </c>
    </row>
    <row r="61" spans="2:17" ht="18" x14ac:dyDescent="0.55000000000000004">
      <c r="B61" s="285" t="str">
        <f>Referentieberekening!B26</f>
        <v>Aanbrengen  PVC 160 mm, incl. grondwerk - HWA.</v>
      </c>
      <c r="C61" s="23" t="str">
        <f>Referentieberekening!F26</f>
        <v>PVC 200 mm</v>
      </c>
      <c r="D61" s="72">
        <f>(IF(Referentieberekening!C26="Nieuwe Situatie",(_xlfn.IFNA(VLOOKUP(Referentie_CO2_Totaal[[#This Row],[Product]]&amp;", "&amp;Referentie_CO2_Totaal[[#Headers],[A1]],Database_Productkaarten[#All],17,FALSE),0)*Referentieberekening!L26),0))</f>
        <v>3301.2249999999999</v>
      </c>
      <c r="E61" s="72">
        <f>(IF(Referentieberekening!C26="Nieuwe Situatie",(_xlfn.IFNA(VLOOKUP(Referentie_CO2_Totaal[[#This Row],[Product]]&amp;", "&amp;Referentie_CO2_Totaal[[#Headers],[A2]],Database_Productkaarten[#All],17,FALSE),0)*Referentieberekening!L26),0))</f>
        <v>0</v>
      </c>
      <c r="F61" s="72">
        <f>(IF(Referentieberekening!C26="Nieuwe Situatie",(_xlfn.IFNA(VLOOKUP(Referentie_CO2_Totaal[[#This Row],[Product]]&amp;", "&amp;Referentie_CO2_Totaal[[#Headers],[A3]],Database_Productkaarten[#All],17,FALSE),0)*Referentieberekening!L26),0))</f>
        <v>0</v>
      </c>
      <c r="G61" s="72">
        <f>IF(Referentieberekening!P26=0,(IF(Referentieberekening!C26="Nieuwe Situatie",(_xlfn.IFNA(VLOOKUP(Referentie_CO2_Totaal[[#This Row],[Product]]&amp;", "&amp;Referentie_CO2_Totaal[[#Headers],[A4]],Database_Productkaarten[#All],17,FALSE),0)*Referentieberekening!L26),0)),IF(Inschrijfberekening!C27="Nieuwe Situatie",_xlfn.IFNA(VLOOKUP(Inschrijfberekening!O27,Database_Transport[#All],12,FALSE)*(Inschrijfberekening!K27*Inschrijfberekening!N27),Referentie_Backlog!G61),0))</f>
        <v>17.024999999999999</v>
      </c>
      <c r="H61" s="72">
        <f>(IF(Referentieberekening!C26="Nieuwe Situatie",(_xlfn.IFNA(VLOOKUP(Referentie_CO2_Totaal[[#This Row],[Product]]&amp;", "&amp;Referentie_CO2_Totaal[[#Headers],[A5]],Database_Productkaarten[#All],17,FALSE),0)*Referentieberekening!L26),0))</f>
        <v>2357.5203200000001</v>
      </c>
      <c r="I61" s="72">
        <f>(IF(Referentieberekening!C26="Nieuwe Situatie",(_xlfn.IFNA(VLOOKUP(Referentie_CO2_Totaal[[#This Row],[Product]]&amp;", "&amp;Referentie_CO2_Totaal[[#Headers],[B1]],Database_Productkaarten[#All],17,FALSE),0)*Referentieberekening!L26),0))</f>
        <v>0</v>
      </c>
      <c r="J61" s="72">
        <f>(IF(Referentieberekening!C26="Nieuwe Situatie",(SUM(Referentie_CO2_Totaal[[#This Row],[A1]:[B1]],Referentie_CO2_Totaal[[#This Row],[C1]:[D2]])*Referentieberekening!N26),0))</f>
        <v>0</v>
      </c>
      <c r="K61" s="72">
        <f>(IF(Referentieberekening!C26="Bestaande Situatie",(_xlfn.IFNA(VLOOKUP(Referentie_CO2_Totaal[[#This Row],[Product]]&amp;", "&amp;Referentie_CO2_Totaal[[#Headers],[C1]],Database_Productkaarten[#All],17,FALSE),0)*Referentieberekening!L26),0))</f>
        <v>0</v>
      </c>
      <c r="L61" s="72">
        <f>(IF(Referentieberekening!C26="Bestaande Situatie",(_xlfn.IFNA(VLOOKUP(Referentie_CO2_Totaal[[#This Row],[Product]]&amp;", "&amp;Referentie_CO2_Totaal[[#Headers],[C2]],Database_Productkaarten[#All],17,FALSE),0)*Referentieberekening!L26),0))</f>
        <v>0</v>
      </c>
      <c r="M61" s="72">
        <f>(IF(Referentieberekening!C26="Bestaande Situatie",(_xlfn.IFNA(VLOOKUP(Referentie_CO2_Totaal[[#This Row],[Product]]&amp;", "&amp;Referentie_CO2_Totaal[[#Headers],[C3]],Database_Productkaarten[#All],17,FALSE),0)*Referentieberekening!L26),0))</f>
        <v>0</v>
      </c>
      <c r="N61" s="72">
        <f>(IF(Referentieberekening!C26="Bestaande Situatie",(_xlfn.IFNA(VLOOKUP(Referentie_CO2_Totaal[[#This Row],[Product]]&amp;", "&amp;Referentie_CO2_Totaal[[#Headers],[C4]],Database_Productkaarten[#All],17,FALSE),0)*Referentieberekening!L26),0))</f>
        <v>0</v>
      </c>
      <c r="O61" s="72">
        <f>(IF(Referentieberekening!C26="Bestaande Situatie",(_xlfn.IFNA(VLOOKUP(Referentie_CO2_Totaal[[#This Row],[Product]]&amp;", "&amp;Referentie_CO2_Totaal[[#Headers],[D1]],Database_Productkaarten[#All],17,FALSE),0)*Referentieberekening!L26),0))</f>
        <v>0</v>
      </c>
      <c r="P61" s="73">
        <f>(IF(Referentieberekening!C26="Bestaande Situatie",_xlfn.IFNA(VLOOKUP(Referentie_CO2_Totaal[[#This Row],[Product]]&amp;", "&amp;Referentie_CO2_Totaal[[#Headers],[D2]],Database_Productkaarten[#All],17,FALSE),0)*Referentieberekening!L26,0))</f>
        <v>0</v>
      </c>
      <c r="Q61" s="72">
        <f>SUM(Referentie_CO2_Totaal[[#This Row],[A1]:[D2]])</f>
        <v>5675.7703199999996</v>
      </c>
    </row>
    <row r="62" spans="2:17" ht="18" x14ac:dyDescent="0.55000000000000004">
      <c r="B62" s="285" t="str">
        <f>Referentieberekening!B27</f>
        <v>Aanbrengen  PVC 160 mm, incl. grondwerk - DWA.</v>
      </c>
      <c r="C62" s="23" t="str">
        <f>Referentieberekening!F27</f>
        <v>PVC 200 mm</v>
      </c>
      <c r="D62" s="72">
        <f>(IF(Referentieberekening!C27="Nieuwe Situatie",(_xlfn.IFNA(VLOOKUP(Referentie_CO2_Totaal[[#This Row],[Product]]&amp;", "&amp;Referentie_CO2_Totaal[[#Headers],[A1]],Database_Productkaarten[#All],17,FALSE),0)*Referentieberekening!L27),0))</f>
        <v>3301.2249999999999</v>
      </c>
      <c r="E62" s="72">
        <f>(IF(Referentieberekening!C27="Nieuwe Situatie",(_xlfn.IFNA(VLOOKUP(Referentie_CO2_Totaal[[#This Row],[Product]]&amp;", "&amp;Referentie_CO2_Totaal[[#Headers],[A2]],Database_Productkaarten[#All],17,FALSE),0)*Referentieberekening!L27),0))</f>
        <v>0</v>
      </c>
      <c r="F62" s="72">
        <f>(IF(Referentieberekening!C27="Nieuwe Situatie",(_xlfn.IFNA(VLOOKUP(Referentie_CO2_Totaal[[#This Row],[Product]]&amp;", "&amp;Referentie_CO2_Totaal[[#Headers],[A3]],Database_Productkaarten[#All],17,FALSE),0)*Referentieberekening!L27),0))</f>
        <v>0</v>
      </c>
      <c r="G62" s="72">
        <f>IF(Referentieberekening!P27=0,(IF(Referentieberekening!C27="Nieuwe Situatie",(_xlfn.IFNA(VLOOKUP(Referentie_CO2_Totaal[[#This Row],[Product]]&amp;", "&amp;Referentie_CO2_Totaal[[#Headers],[A4]],Database_Productkaarten[#All],17,FALSE),0)*Referentieberekening!L27),0)),IF(Inschrijfberekening!C28="Nieuwe Situatie",_xlfn.IFNA(VLOOKUP(Inschrijfberekening!O28,Database_Transport[#All],12,FALSE)*(Inschrijfberekening!K28*Inschrijfberekening!N28),Referentie_Backlog!G62),0))</f>
        <v>17.024999999999999</v>
      </c>
      <c r="H62" s="72">
        <f>(IF(Referentieberekening!C27="Nieuwe Situatie",(_xlfn.IFNA(VLOOKUP(Referentie_CO2_Totaal[[#This Row],[Product]]&amp;", "&amp;Referentie_CO2_Totaal[[#Headers],[A5]],Database_Productkaarten[#All],17,FALSE),0)*Referentieberekening!L27),0))</f>
        <v>2357.5203200000001</v>
      </c>
      <c r="I62" s="72">
        <f>(IF(Referentieberekening!C27="Nieuwe Situatie",(_xlfn.IFNA(VLOOKUP(Referentie_CO2_Totaal[[#This Row],[Product]]&amp;", "&amp;Referentie_CO2_Totaal[[#Headers],[B1]],Database_Productkaarten[#All],17,FALSE),0)*Referentieberekening!L27),0))</f>
        <v>0</v>
      </c>
      <c r="J62" s="72">
        <f>(IF(Referentieberekening!C27="Nieuwe Situatie",(SUM(Referentie_CO2_Totaal[[#This Row],[A1]:[B1]],Referentie_CO2_Totaal[[#This Row],[C1]:[D2]])*Referentieberekening!N27),0))</f>
        <v>0</v>
      </c>
      <c r="K62" s="72">
        <f>(IF(Referentieberekening!C27="Bestaande Situatie",(_xlfn.IFNA(VLOOKUP(Referentie_CO2_Totaal[[#This Row],[Product]]&amp;", "&amp;Referentie_CO2_Totaal[[#Headers],[C1]],Database_Productkaarten[#All],17,FALSE),0)*Referentieberekening!L27),0))</f>
        <v>0</v>
      </c>
      <c r="L62" s="72">
        <f>(IF(Referentieberekening!C27="Bestaande Situatie",(_xlfn.IFNA(VLOOKUP(Referentie_CO2_Totaal[[#This Row],[Product]]&amp;", "&amp;Referentie_CO2_Totaal[[#Headers],[C2]],Database_Productkaarten[#All],17,FALSE),0)*Referentieberekening!L27),0))</f>
        <v>0</v>
      </c>
      <c r="M62" s="72">
        <f>(IF(Referentieberekening!C27="Bestaande Situatie",(_xlfn.IFNA(VLOOKUP(Referentie_CO2_Totaal[[#This Row],[Product]]&amp;", "&amp;Referentie_CO2_Totaal[[#Headers],[C3]],Database_Productkaarten[#All],17,FALSE),0)*Referentieberekening!L27),0))</f>
        <v>0</v>
      </c>
      <c r="N62" s="72">
        <f>(IF(Referentieberekening!C27="Bestaande Situatie",(_xlfn.IFNA(VLOOKUP(Referentie_CO2_Totaal[[#This Row],[Product]]&amp;", "&amp;Referentie_CO2_Totaal[[#Headers],[C4]],Database_Productkaarten[#All],17,FALSE),0)*Referentieberekening!L27),0))</f>
        <v>0</v>
      </c>
      <c r="O62" s="72">
        <f>(IF(Referentieberekening!C27="Bestaande Situatie",(_xlfn.IFNA(VLOOKUP(Referentie_CO2_Totaal[[#This Row],[Product]]&amp;", "&amp;Referentie_CO2_Totaal[[#Headers],[D1]],Database_Productkaarten[#All],17,FALSE),0)*Referentieberekening!L27),0))</f>
        <v>0</v>
      </c>
      <c r="P62" s="73">
        <f>(IF(Referentieberekening!C27="Bestaande Situatie",_xlfn.IFNA(VLOOKUP(Referentie_CO2_Totaal[[#This Row],[Product]]&amp;", "&amp;Referentie_CO2_Totaal[[#Headers],[D2]],Database_Productkaarten[#All],17,FALSE),0)*Referentieberekening!L27,0))</f>
        <v>0</v>
      </c>
      <c r="Q62" s="72">
        <f>SUM(Referentie_CO2_Totaal[[#This Row],[A1]:[D2]])</f>
        <v>5675.7703199999996</v>
      </c>
    </row>
    <row r="63" spans="2:17" ht="18" x14ac:dyDescent="0.55000000000000004">
      <c r="B63" s="285" t="str">
        <f>Referentieberekening!B28</f>
        <v xml:space="preserve"> Grond ontgraven uit cunet, hoogte 1,0 m - rijweg/ fietspad </v>
      </c>
      <c r="C63" s="23" t="str">
        <f>Referentieberekening!F28</f>
        <v>Grond</v>
      </c>
      <c r="D63" s="72">
        <f>(IF(Referentieberekening!C28="Nieuwe Situatie",(_xlfn.IFNA(VLOOKUP(Referentie_CO2_Totaal[[#This Row],[Product]]&amp;", "&amp;Referentie_CO2_Totaal[[#Headers],[A1]],Database_Productkaarten[#All],17,FALSE),0)*Referentieberekening!L28),0))</f>
        <v>0</v>
      </c>
      <c r="E63" s="72">
        <f>(IF(Referentieberekening!C28="Nieuwe Situatie",(_xlfn.IFNA(VLOOKUP(Referentie_CO2_Totaal[[#This Row],[Product]]&amp;", "&amp;Referentie_CO2_Totaal[[#Headers],[A2]],Database_Productkaarten[#All],17,FALSE),0)*Referentieberekening!L28),0))</f>
        <v>0</v>
      </c>
      <c r="F63" s="72">
        <f>(IF(Referentieberekening!C28="Nieuwe Situatie",(_xlfn.IFNA(VLOOKUP(Referentie_CO2_Totaal[[#This Row],[Product]]&amp;", "&amp;Referentie_CO2_Totaal[[#Headers],[A3]],Database_Productkaarten[#All],17,FALSE),0)*Referentieberekening!L28),0))</f>
        <v>0</v>
      </c>
      <c r="G63" s="72">
        <f>IF(Referentieberekening!P28=0,(IF(Referentieberekening!C28="Nieuwe Situatie",(_xlfn.IFNA(VLOOKUP(Referentie_CO2_Totaal[[#This Row],[Product]]&amp;", "&amp;Referentie_CO2_Totaal[[#Headers],[A4]],Database_Productkaarten[#All],17,FALSE),0)*Referentieberekening!L28),0)),IF(Inschrijfberekening!C29="Nieuwe Situatie",_xlfn.IFNA(VLOOKUP(Inschrijfberekening!O29,Database_Transport[#All],12,FALSE)*(Inschrijfberekening!K29*Inschrijfberekening!N29),Referentie_Backlog!G63),0))</f>
        <v>0</v>
      </c>
      <c r="H63" s="72">
        <f>(IF(Referentieberekening!C28="Nieuwe Situatie",(_xlfn.IFNA(VLOOKUP(Referentie_CO2_Totaal[[#This Row],[Product]]&amp;", "&amp;Referentie_CO2_Totaal[[#Headers],[A5]],Database_Productkaarten[#All],17,FALSE),0)*Referentieberekening!L28),0))</f>
        <v>0</v>
      </c>
      <c r="I63" s="72">
        <f>(IF(Referentieberekening!C28="Nieuwe Situatie",(_xlfn.IFNA(VLOOKUP(Referentie_CO2_Totaal[[#This Row],[Product]]&amp;", "&amp;Referentie_CO2_Totaal[[#Headers],[B1]],Database_Productkaarten[#All],17,FALSE),0)*Referentieberekening!L28),0))</f>
        <v>0</v>
      </c>
      <c r="J63" s="72">
        <f>(IF(Referentieberekening!C28="Nieuwe Situatie",(SUM(Referentie_CO2_Totaal[[#This Row],[A1]:[B1]],Referentie_CO2_Totaal[[#This Row],[C1]:[D2]])*Referentieberekening!N28),0))</f>
        <v>0</v>
      </c>
      <c r="K63" s="72">
        <f>(IF(Referentieberekening!C28="Bestaande Situatie",(_xlfn.IFNA(VLOOKUP(Referentie_CO2_Totaal[[#This Row],[Product]]&amp;", "&amp;Referentie_CO2_Totaal[[#Headers],[C1]],Database_Productkaarten[#All],17,FALSE),0)*Referentieberekening!L28),0))</f>
        <v>5741.9968757199995</v>
      </c>
      <c r="L63" s="72">
        <f>(IF(Referentieberekening!C28="Bestaande Situatie",(_xlfn.IFNA(VLOOKUP(Referentie_CO2_Totaal[[#This Row],[Product]]&amp;", "&amp;Referentie_CO2_Totaal[[#Headers],[C2]],Database_Productkaarten[#All],17,FALSE),0)*Referentieberekening!L28),0))</f>
        <v>51368.575711999991</v>
      </c>
      <c r="M63" s="72">
        <f>(IF(Referentieberekening!C28="Bestaande Situatie",(_xlfn.IFNA(VLOOKUP(Referentie_CO2_Totaal[[#This Row],[Product]]&amp;", "&amp;Referentie_CO2_Totaal[[#Headers],[C3]],Database_Productkaarten[#All],17,FALSE),0)*Referentieberekening!L28),0))</f>
        <v>0</v>
      </c>
      <c r="N63" s="72">
        <f>(IF(Referentieberekening!C28="Bestaande Situatie",(_xlfn.IFNA(VLOOKUP(Referentie_CO2_Totaal[[#This Row],[Product]]&amp;", "&amp;Referentie_CO2_Totaal[[#Headers],[C4]],Database_Productkaarten[#All],17,FALSE),0)*Referentieberekening!L28),0))</f>
        <v>0</v>
      </c>
      <c r="O63" s="72">
        <f>(IF(Referentieberekening!C28="Bestaande Situatie",(_xlfn.IFNA(VLOOKUP(Referentie_CO2_Totaal[[#This Row],[Product]]&amp;", "&amp;Referentie_CO2_Totaal[[#Headers],[D1]],Database_Productkaarten[#All],17,FALSE),0)*Referentieberekening!L28),0))</f>
        <v>0</v>
      </c>
      <c r="P63" s="73">
        <f>(IF(Referentieberekening!C28="Bestaande Situatie",_xlfn.IFNA(VLOOKUP(Referentie_CO2_Totaal[[#This Row],[Product]]&amp;", "&amp;Referentie_CO2_Totaal[[#Headers],[D2]],Database_Productkaarten[#All],17,FALSE),0)*Referentieberekening!L28,0))</f>
        <v>0</v>
      </c>
      <c r="Q63" s="72">
        <f>SUM(Referentie_CO2_Totaal[[#This Row],[A1]:[D2]])</f>
        <v>57110.572587719987</v>
      </c>
    </row>
    <row r="64" spans="2:17" ht="18" x14ac:dyDescent="0.55000000000000004">
      <c r="B64" s="285" t="str">
        <f>Referentieberekening!B29</f>
        <v xml:space="preserve"> Grond ontgraven uit cunet, hoogte 0,90 m - voetpad. </v>
      </c>
      <c r="C64" s="23" t="str">
        <f>Referentieberekening!F29</f>
        <v>Grond</v>
      </c>
      <c r="D64" s="72">
        <f>(IF(Referentieberekening!C29="Nieuwe Situatie",(_xlfn.IFNA(VLOOKUP(Referentie_CO2_Totaal[[#This Row],[Product]]&amp;", "&amp;Referentie_CO2_Totaal[[#Headers],[A1]],Database_Productkaarten[#All],17,FALSE),0)*Referentieberekening!L29),0))</f>
        <v>0</v>
      </c>
      <c r="E64" s="72">
        <f>(IF(Referentieberekening!C29="Nieuwe Situatie",(_xlfn.IFNA(VLOOKUP(Referentie_CO2_Totaal[[#This Row],[Product]]&amp;", "&amp;Referentie_CO2_Totaal[[#Headers],[A2]],Database_Productkaarten[#All],17,FALSE),0)*Referentieberekening!L29),0))</f>
        <v>0</v>
      </c>
      <c r="F64" s="72">
        <f>(IF(Referentieberekening!C29="Nieuwe Situatie",(_xlfn.IFNA(VLOOKUP(Referentie_CO2_Totaal[[#This Row],[Product]]&amp;", "&amp;Referentie_CO2_Totaal[[#Headers],[A3]],Database_Productkaarten[#All],17,FALSE),0)*Referentieberekening!L29),0))</f>
        <v>0</v>
      </c>
      <c r="G64" s="72">
        <f>IF(Referentieberekening!P29=0,(IF(Referentieberekening!C29="Nieuwe Situatie",(_xlfn.IFNA(VLOOKUP(Referentie_CO2_Totaal[[#This Row],[Product]]&amp;", "&amp;Referentie_CO2_Totaal[[#Headers],[A4]],Database_Productkaarten[#All],17,FALSE),0)*Referentieberekening!L29),0)),IF(Inschrijfberekening!C30="Nieuwe Situatie",_xlfn.IFNA(VLOOKUP(Inschrijfberekening!O30,Database_Transport[#All],12,FALSE)*(Inschrijfberekening!K30*Inschrijfberekening!N30),Referentie_Backlog!G64),0))</f>
        <v>0</v>
      </c>
      <c r="H64" s="72">
        <f>(IF(Referentieberekening!C29="Nieuwe Situatie",(_xlfn.IFNA(VLOOKUP(Referentie_CO2_Totaal[[#This Row],[Product]]&amp;", "&amp;Referentie_CO2_Totaal[[#Headers],[A5]],Database_Productkaarten[#All],17,FALSE),0)*Referentieberekening!L29),0))</f>
        <v>0</v>
      </c>
      <c r="I64" s="72">
        <f>(IF(Referentieberekening!C29="Nieuwe Situatie",(_xlfn.IFNA(VLOOKUP(Referentie_CO2_Totaal[[#This Row],[Product]]&amp;", "&amp;Referentie_CO2_Totaal[[#Headers],[B1]],Database_Productkaarten[#All],17,FALSE),0)*Referentieberekening!L29),0))</f>
        <v>0</v>
      </c>
      <c r="J64" s="72">
        <f>(IF(Referentieberekening!C29="Nieuwe Situatie",(SUM(Referentie_CO2_Totaal[[#This Row],[A1]:[B1]],Referentie_CO2_Totaal[[#This Row],[C1]:[D2]])*Referentieberekening!N29),0))</f>
        <v>0</v>
      </c>
      <c r="K64" s="72">
        <f>(IF(Referentieberekening!C29="Bestaande Situatie",(_xlfn.IFNA(VLOOKUP(Referentie_CO2_Totaal[[#This Row],[Product]]&amp;", "&amp;Referentie_CO2_Totaal[[#Headers],[C1]],Database_Productkaarten[#All],17,FALSE),0)*Referentieberekening!L29),0))</f>
        <v>491.09183805499998</v>
      </c>
      <c r="L64" s="72">
        <f>(IF(Referentieberekening!C29="Bestaande Situatie",(_xlfn.IFNA(VLOOKUP(Referentie_CO2_Totaal[[#This Row],[Product]]&amp;", "&amp;Referentie_CO2_Totaal[[#Headers],[C2]],Database_Productkaarten[#All],17,FALSE),0)*Referentieberekening!L29),0))</f>
        <v>4393.3650279999993</v>
      </c>
      <c r="M64" s="72">
        <f>(IF(Referentieberekening!C29="Bestaande Situatie",(_xlfn.IFNA(VLOOKUP(Referentie_CO2_Totaal[[#This Row],[Product]]&amp;", "&amp;Referentie_CO2_Totaal[[#Headers],[C3]],Database_Productkaarten[#All],17,FALSE),0)*Referentieberekening!L29),0))</f>
        <v>0</v>
      </c>
      <c r="N64" s="72">
        <f>(IF(Referentieberekening!C29="Bestaande Situatie",(_xlfn.IFNA(VLOOKUP(Referentie_CO2_Totaal[[#This Row],[Product]]&amp;", "&amp;Referentie_CO2_Totaal[[#Headers],[C4]],Database_Productkaarten[#All],17,FALSE),0)*Referentieberekening!L29),0))</f>
        <v>0</v>
      </c>
      <c r="O64" s="72">
        <f>(IF(Referentieberekening!C29="Bestaande Situatie",(_xlfn.IFNA(VLOOKUP(Referentie_CO2_Totaal[[#This Row],[Product]]&amp;", "&amp;Referentie_CO2_Totaal[[#Headers],[D1]],Database_Productkaarten[#All],17,FALSE),0)*Referentieberekening!L29),0))</f>
        <v>0</v>
      </c>
      <c r="P64" s="73">
        <f>(IF(Referentieberekening!C29="Bestaande Situatie",_xlfn.IFNA(VLOOKUP(Referentie_CO2_Totaal[[#This Row],[Product]]&amp;", "&amp;Referentie_CO2_Totaal[[#Headers],[D2]],Database_Productkaarten[#All],17,FALSE),0)*Referentieberekening!L29,0))</f>
        <v>0</v>
      </c>
      <c r="Q64" s="72">
        <f>SUM(Referentie_CO2_Totaal[[#This Row],[A1]:[D2]])</f>
        <v>4884.4568660549994</v>
      </c>
    </row>
    <row r="65" spans="2:19" ht="18" x14ac:dyDescent="0.55000000000000004">
      <c r="B65" s="285" t="str">
        <f>Referentieberekening!B30</f>
        <v xml:space="preserve"> Grond ontgraven uit cunet, hoogte 0,90 m - overige verharding. </v>
      </c>
      <c r="C65" s="23" t="str">
        <f>Referentieberekening!F30</f>
        <v>Grond</v>
      </c>
      <c r="D65" s="72">
        <f>(IF(Referentieberekening!C30="Nieuwe Situatie",(_xlfn.IFNA(VLOOKUP(Referentie_CO2_Totaal[[#This Row],[Product]]&amp;", "&amp;Referentie_CO2_Totaal[[#Headers],[A1]],Database_Productkaarten[#All],17,FALSE),0)*Referentieberekening!L30),0))</f>
        <v>0</v>
      </c>
      <c r="E65" s="72">
        <f>(IF(Referentieberekening!C30="Nieuwe Situatie",(_xlfn.IFNA(VLOOKUP(Referentie_CO2_Totaal[[#This Row],[Product]]&amp;", "&amp;Referentie_CO2_Totaal[[#Headers],[A2]],Database_Productkaarten[#All],17,FALSE),0)*Referentieberekening!L30),0))</f>
        <v>0</v>
      </c>
      <c r="F65" s="72">
        <f>(IF(Referentieberekening!C30="Nieuwe Situatie",(_xlfn.IFNA(VLOOKUP(Referentie_CO2_Totaal[[#This Row],[Product]]&amp;", "&amp;Referentie_CO2_Totaal[[#Headers],[A3]],Database_Productkaarten[#All],17,FALSE),0)*Referentieberekening!L30),0))</f>
        <v>0</v>
      </c>
      <c r="G65" s="72">
        <f>IF(Referentieberekening!P30=0,(IF(Referentieberekening!C30="Nieuwe Situatie",(_xlfn.IFNA(VLOOKUP(Referentie_CO2_Totaal[[#This Row],[Product]]&amp;", "&amp;Referentie_CO2_Totaal[[#Headers],[A4]],Database_Productkaarten[#All],17,FALSE),0)*Referentieberekening!L30),0)),IF(Inschrijfberekening!C31="Nieuwe Situatie",_xlfn.IFNA(VLOOKUP(Inschrijfberekening!O31,Database_Transport[#All],12,FALSE)*(Inschrijfberekening!K31*Inschrijfberekening!N31),Referentie_Backlog!G65),0))</f>
        <v>0</v>
      </c>
      <c r="H65" s="72">
        <f>(IF(Referentieberekening!C30="Nieuwe Situatie",(_xlfn.IFNA(VLOOKUP(Referentie_CO2_Totaal[[#This Row],[Product]]&amp;", "&amp;Referentie_CO2_Totaal[[#Headers],[A5]],Database_Productkaarten[#All],17,FALSE),0)*Referentieberekening!L30),0))</f>
        <v>0</v>
      </c>
      <c r="I65" s="72">
        <f>(IF(Referentieberekening!C30="Nieuwe Situatie",(_xlfn.IFNA(VLOOKUP(Referentie_CO2_Totaal[[#This Row],[Product]]&amp;", "&amp;Referentie_CO2_Totaal[[#Headers],[B1]],Database_Productkaarten[#All],17,FALSE),0)*Referentieberekening!L30),0))</f>
        <v>0</v>
      </c>
      <c r="J65" s="72">
        <f>(IF(Referentieberekening!C30="Nieuwe Situatie",(SUM(Referentie_CO2_Totaal[[#This Row],[A1]:[B1]],Referentie_CO2_Totaal[[#This Row],[C1]:[D2]])*Referentieberekening!N30),0))</f>
        <v>0</v>
      </c>
      <c r="K65" s="72">
        <f>(IF(Referentieberekening!C30="Bestaande Situatie",(_xlfn.IFNA(VLOOKUP(Referentie_CO2_Totaal[[#This Row],[Product]]&amp;", "&amp;Referentie_CO2_Totaal[[#Headers],[C1]],Database_Productkaarten[#All],17,FALSE),0)*Referentieberekening!L30),0))</f>
        <v>831.07849517</v>
      </c>
      <c r="L65" s="72">
        <f>(IF(Referentieberekening!C30="Bestaande Situatie",(_xlfn.IFNA(VLOOKUP(Referentie_CO2_Totaal[[#This Row],[Product]]&amp;", "&amp;Referentie_CO2_Totaal[[#Headers],[C2]],Database_Productkaarten[#All],17,FALSE),0)*Referentieberekening!L30),0))</f>
        <v>7434.9254319999991</v>
      </c>
      <c r="M65" s="72">
        <f>(IF(Referentieberekening!C30="Bestaande Situatie",(_xlfn.IFNA(VLOOKUP(Referentie_CO2_Totaal[[#This Row],[Product]]&amp;", "&amp;Referentie_CO2_Totaal[[#Headers],[C3]],Database_Productkaarten[#All],17,FALSE),0)*Referentieberekening!L30),0))</f>
        <v>0</v>
      </c>
      <c r="N65" s="72">
        <f>(IF(Referentieberekening!C30="Bestaande Situatie",(_xlfn.IFNA(VLOOKUP(Referentie_CO2_Totaal[[#This Row],[Product]]&amp;", "&amp;Referentie_CO2_Totaal[[#Headers],[C4]],Database_Productkaarten[#All],17,FALSE),0)*Referentieberekening!L30),0))</f>
        <v>0</v>
      </c>
      <c r="O65" s="72">
        <f>(IF(Referentieberekening!C30="Bestaande Situatie",(_xlfn.IFNA(VLOOKUP(Referentie_CO2_Totaal[[#This Row],[Product]]&amp;", "&amp;Referentie_CO2_Totaal[[#Headers],[D1]],Database_Productkaarten[#All],17,FALSE),0)*Referentieberekening!L30),0))</f>
        <v>0</v>
      </c>
      <c r="P65" s="73">
        <f>(IF(Referentieberekening!C30="Bestaande Situatie",_xlfn.IFNA(VLOOKUP(Referentie_CO2_Totaal[[#This Row],[Product]]&amp;", "&amp;Referentie_CO2_Totaal[[#Headers],[D2]],Database_Productkaarten[#All],17,FALSE),0)*Referentieberekening!L30,0))</f>
        <v>0</v>
      </c>
      <c r="Q65" s="72">
        <f>SUM(Referentie_CO2_Totaal[[#This Row],[A1]:[D2]])</f>
        <v>8266.0039271699989</v>
      </c>
    </row>
    <row r="66" spans="2:19" ht="18" x14ac:dyDescent="0.55000000000000004">
      <c r="B66" s="285" t="str">
        <f>Referentieberekening!B31</f>
        <v>Grond ontgraven t.b.v. sleuf hoofdriool.</v>
      </c>
      <c r="C66" s="23" t="str">
        <f>Referentieberekening!F31</f>
        <v>Grond</v>
      </c>
      <c r="D66" s="72">
        <f>(IF(Referentieberekening!C31="Nieuwe Situatie",(_xlfn.IFNA(VLOOKUP(Referentie_CO2_Totaal[[#This Row],[Product]]&amp;", "&amp;Referentie_CO2_Totaal[[#Headers],[A1]],Database_Productkaarten[#All],17,FALSE),0)*Referentieberekening!L31),0))</f>
        <v>0</v>
      </c>
      <c r="E66" s="72">
        <f>(IF(Referentieberekening!C31="Nieuwe Situatie",(_xlfn.IFNA(VLOOKUP(Referentie_CO2_Totaal[[#This Row],[Product]]&amp;", "&amp;Referentie_CO2_Totaal[[#Headers],[A2]],Database_Productkaarten[#All],17,FALSE),0)*Referentieberekening!L31),0))</f>
        <v>0</v>
      </c>
      <c r="F66" s="72">
        <f>(IF(Referentieberekening!C31="Nieuwe Situatie",(_xlfn.IFNA(VLOOKUP(Referentie_CO2_Totaal[[#This Row],[Product]]&amp;", "&amp;Referentie_CO2_Totaal[[#Headers],[A3]],Database_Productkaarten[#All],17,FALSE),0)*Referentieberekening!L31),0))</f>
        <v>0</v>
      </c>
      <c r="G66" s="72">
        <f>IF(Referentieberekening!P31=0,(IF(Referentieberekening!C31="Nieuwe Situatie",(_xlfn.IFNA(VLOOKUP(Referentie_CO2_Totaal[[#This Row],[Product]]&amp;", "&amp;Referentie_CO2_Totaal[[#Headers],[A4]],Database_Productkaarten[#All],17,FALSE),0)*Referentieberekening!L31),0)),IF(Inschrijfberekening!C32="Nieuwe Situatie",_xlfn.IFNA(VLOOKUP(Inschrijfberekening!O32,Database_Transport[#All],12,FALSE)*(Inschrijfberekening!K32*Inschrijfberekening!N32),Referentie_Backlog!G66),0))</f>
        <v>0</v>
      </c>
      <c r="H66" s="72">
        <f>(IF(Referentieberekening!C31="Nieuwe Situatie",(_xlfn.IFNA(VLOOKUP(Referentie_CO2_Totaal[[#This Row],[Product]]&amp;", "&amp;Referentie_CO2_Totaal[[#Headers],[A5]],Database_Productkaarten[#All],17,FALSE),0)*Referentieberekening!L31),0))</f>
        <v>0</v>
      </c>
      <c r="I66" s="72">
        <f>(IF(Referentieberekening!C31="Nieuwe Situatie",(_xlfn.IFNA(VLOOKUP(Referentie_CO2_Totaal[[#This Row],[Product]]&amp;", "&amp;Referentie_CO2_Totaal[[#Headers],[B1]],Database_Productkaarten[#All],17,FALSE),0)*Referentieberekening!L31),0))</f>
        <v>0</v>
      </c>
      <c r="J66" s="72">
        <f>(IF(Referentieberekening!C31="Nieuwe Situatie",(SUM(Referentie_CO2_Totaal[[#This Row],[A1]:[B1]],Referentie_CO2_Totaal[[#This Row],[C1]:[D2]])*Referentieberekening!N31),0))</f>
        <v>0</v>
      </c>
      <c r="K66" s="72">
        <f>(IF(Referentieberekening!C31="Bestaande Situatie",(_xlfn.IFNA(VLOOKUP(Referentie_CO2_Totaal[[#This Row],[Product]]&amp;", "&amp;Referentie_CO2_Totaal[[#Headers],[C1]],Database_Productkaarten[#All],17,FALSE),0)*Referentieberekening!L31),0))</f>
        <v>1548.828104635</v>
      </c>
      <c r="L66" s="72">
        <f>(IF(Referentieberekening!C31="Bestaande Situatie",(_xlfn.IFNA(VLOOKUP(Referentie_CO2_Totaal[[#This Row],[Product]]&amp;", "&amp;Referentie_CO2_Totaal[[#Headers],[C2]],Database_Productkaarten[#All],17,FALSE),0)*Referentieberekening!L31),0))</f>
        <v>13855.997395999999</v>
      </c>
      <c r="M66" s="72">
        <f>(IF(Referentieberekening!C31="Bestaande Situatie",(_xlfn.IFNA(VLOOKUP(Referentie_CO2_Totaal[[#This Row],[Product]]&amp;", "&amp;Referentie_CO2_Totaal[[#Headers],[C3]],Database_Productkaarten[#All],17,FALSE),0)*Referentieberekening!L31),0))</f>
        <v>0</v>
      </c>
      <c r="N66" s="72">
        <f>(IF(Referentieberekening!C31="Bestaande Situatie",(_xlfn.IFNA(VLOOKUP(Referentie_CO2_Totaal[[#This Row],[Product]]&amp;", "&amp;Referentie_CO2_Totaal[[#Headers],[C4]],Database_Productkaarten[#All],17,FALSE),0)*Referentieberekening!L31),0))</f>
        <v>0</v>
      </c>
      <c r="O66" s="72">
        <f>(IF(Referentieberekening!C31="Bestaande Situatie",(_xlfn.IFNA(VLOOKUP(Referentie_CO2_Totaal[[#This Row],[Product]]&amp;", "&amp;Referentie_CO2_Totaal[[#Headers],[D1]],Database_Productkaarten[#All],17,FALSE),0)*Referentieberekening!L31),0))</f>
        <v>0</v>
      </c>
      <c r="P66" s="73">
        <f>(IF(Referentieberekening!C31="Bestaande Situatie",_xlfn.IFNA(VLOOKUP(Referentie_CO2_Totaal[[#This Row],[Product]]&amp;", "&amp;Referentie_CO2_Totaal[[#Headers],[D2]],Database_Productkaarten[#All],17,FALSE),0)*Referentieberekening!L31,0))</f>
        <v>0</v>
      </c>
      <c r="Q66" s="72">
        <f>SUM(Referentie_CO2_Totaal[[#This Row],[A1]:[D2]])</f>
        <v>15404.825500634999</v>
      </c>
    </row>
    <row r="67" spans="2:19" ht="18" x14ac:dyDescent="0.55000000000000004">
      <c r="B67" s="285" t="str">
        <f>Referentieberekening!B32</f>
        <v xml:space="preserve"> Zand leveren en verwerken in cunet, hoogte 0,70 m - rijweg. </v>
      </c>
      <c r="C67" s="23" t="str">
        <f>Referentieberekening!F32</f>
        <v>Ophoogzand, Cascade-leden</v>
      </c>
      <c r="D67" s="72">
        <f>(IF(Referentieberekening!C32="Nieuwe Situatie",(_xlfn.IFNA(VLOOKUP(Referentie_CO2_Totaal[[#This Row],[Product]]&amp;", "&amp;Referentie_CO2_Totaal[[#Headers],[A1]],Database_Productkaarten[#All],17,FALSE),0)*Referentieberekening!L32),0))</f>
        <v>6639.3499999999995</v>
      </c>
      <c r="E67" s="72">
        <f>(IF(Referentieberekening!C32="Nieuwe Situatie",(_xlfn.IFNA(VLOOKUP(Referentie_CO2_Totaal[[#This Row],[Product]]&amp;", "&amp;Referentie_CO2_Totaal[[#Headers],[A2]],Database_Productkaarten[#All],17,FALSE),0)*Referentieberekening!L32),0))</f>
        <v>28.012599999999999</v>
      </c>
      <c r="F67" s="72">
        <f>(IF(Referentieberekening!C32="Nieuwe Situatie",(_xlfn.IFNA(VLOOKUP(Referentie_CO2_Totaal[[#This Row],[Product]]&amp;", "&amp;Referentie_CO2_Totaal[[#Headers],[A3]],Database_Productkaarten[#All],17,FALSE),0)*Referentieberekening!L32),0))</f>
        <v>4656.6400000000003</v>
      </c>
      <c r="G67" s="72">
        <f>IF(Referentieberekening!P32=0,(IF(Referentieberekening!C32="Nieuwe Situatie",(_xlfn.IFNA(VLOOKUP(Referentie_CO2_Totaal[[#This Row],[Product]]&amp;", "&amp;Referentie_CO2_Totaal[[#Headers],[A4]],Database_Productkaarten[#All],17,FALSE),0)*Referentieberekening!L32),0)),IF(Inschrijfberekening!C33="Nieuwe Situatie",_xlfn.IFNA(VLOOKUP(Inschrijfberekening!O33,Database_Transport[#All],12,FALSE)*(Inschrijfberekening!K33*Inschrijfberekening!N33),Referentie_Backlog!G67),0))</f>
        <v>38420.822047749993</v>
      </c>
      <c r="H67" s="72">
        <f>(IF(Referentieberekening!C32="Nieuwe Situatie",(_xlfn.IFNA(VLOOKUP(Referentie_CO2_Totaal[[#This Row],[Product]]&amp;", "&amp;Referentie_CO2_Totaal[[#Headers],[A5]],Database_Productkaarten[#All],17,FALSE),0)*Referentieberekening!L32),0))</f>
        <v>4294.6925645290621</v>
      </c>
      <c r="I67" s="72">
        <f>(IF(Referentieberekening!C32="Nieuwe Situatie",(_xlfn.IFNA(VLOOKUP(Referentie_CO2_Totaal[[#This Row],[Product]]&amp;", "&amp;Referentie_CO2_Totaal[[#Headers],[B1]],Database_Productkaarten[#All],17,FALSE),0)*Referentieberekening!L32),0))</f>
        <v>0</v>
      </c>
      <c r="J67" s="72">
        <f>(IF(Referentieberekening!C32="Nieuwe Situatie",(SUM(Referentie_CO2_Totaal[[#This Row],[A1]:[B1]],Referentie_CO2_Totaal[[#This Row],[C1]:[D2]])*Referentieberekening!N32),0))</f>
        <v>0</v>
      </c>
      <c r="K67" s="72">
        <f>(IF(Referentieberekening!C32="Bestaande Situatie",(_xlfn.IFNA(VLOOKUP(Referentie_CO2_Totaal[[#This Row],[Product]]&amp;", "&amp;Referentie_CO2_Totaal[[#Headers],[C1]],Database_Productkaarten[#All],17,FALSE),0)*Referentieberekening!L32),0))</f>
        <v>0</v>
      </c>
      <c r="L67" s="72">
        <f>(IF(Referentieberekening!C32="Bestaande Situatie",(_xlfn.IFNA(VLOOKUP(Referentie_CO2_Totaal[[#This Row],[Product]]&amp;", "&amp;Referentie_CO2_Totaal[[#Headers],[C2]],Database_Productkaarten[#All],17,FALSE),0)*Referentieberekening!L32),0))</f>
        <v>0</v>
      </c>
      <c r="M67" s="72">
        <f>(IF(Referentieberekening!C32="Bestaande Situatie",(_xlfn.IFNA(VLOOKUP(Referentie_CO2_Totaal[[#This Row],[Product]]&amp;", "&amp;Referentie_CO2_Totaal[[#Headers],[C3]],Database_Productkaarten[#All],17,FALSE),0)*Referentieberekening!L32),0))</f>
        <v>0</v>
      </c>
      <c r="N67" s="72">
        <f>(IF(Referentieberekening!C32="Bestaande Situatie",(_xlfn.IFNA(VLOOKUP(Referentie_CO2_Totaal[[#This Row],[Product]]&amp;", "&amp;Referentie_CO2_Totaal[[#Headers],[C4]],Database_Productkaarten[#All],17,FALSE),0)*Referentieberekening!L32),0))</f>
        <v>0</v>
      </c>
      <c r="O67" s="72">
        <f>(IF(Referentieberekening!C32="Bestaande Situatie",(_xlfn.IFNA(VLOOKUP(Referentie_CO2_Totaal[[#This Row],[Product]]&amp;", "&amp;Referentie_CO2_Totaal[[#Headers],[D1]],Database_Productkaarten[#All],17,FALSE),0)*Referentieberekening!L32),0))</f>
        <v>0</v>
      </c>
      <c r="P67" s="73">
        <f>(IF(Referentieberekening!C32="Bestaande Situatie",_xlfn.IFNA(VLOOKUP(Referentie_CO2_Totaal[[#This Row],[Product]]&amp;", "&amp;Referentie_CO2_Totaal[[#Headers],[D2]],Database_Productkaarten[#All],17,FALSE),0)*Referentieberekening!L32,0))</f>
        <v>0</v>
      </c>
      <c r="Q67" s="72">
        <f>SUM(Referentie_CO2_Totaal[[#This Row],[A1]:[D2]])</f>
        <v>54039.517212279054</v>
      </c>
    </row>
    <row r="68" spans="2:19" ht="18" x14ac:dyDescent="0.55000000000000004">
      <c r="B68" s="285" t="str">
        <f>Referentieberekening!B33</f>
        <v xml:space="preserve"> Zand verwerken in cunet, hoogte 1,00 m - voetpad (vrijgekomen). </v>
      </c>
      <c r="C68" s="23" t="str">
        <f>Referentieberekening!F33</f>
        <v>Zand (hergebruik)</v>
      </c>
      <c r="D68" s="72">
        <f>(IF(Referentieberekening!C33="Nieuwe Situatie",(_xlfn.IFNA(VLOOKUP(Referentie_CO2_Totaal[[#This Row],[Product]]&amp;", "&amp;Referentie_CO2_Totaal[[#Headers],[A1]],Database_Productkaarten[#All],17,FALSE),0)*Referentieberekening!L33),0))</f>
        <v>0</v>
      </c>
      <c r="E68" s="72">
        <f>(IF(Referentieberekening!C33="Nieuwe Situatie",(_xlfn.IFNA(VLOOKUP(Referentie_CO2_Totaal[[#This Row],[Product]]&amp;", "&amp;Referentie_CO2_Totaal[[#Headers],[A2]],Database_Productkaarten[#All],17,FALSE),0)*Referentieberekening!L33),0))</f>
        <v>0</v>
      </c>
      <c r="F68" s="72">
        <f>(IF(Referentieberekening!C33="Nieuwe Situatie",(_xlfn.IFNA(VLOOKUP(Referentie_CO2_Totaal[[#This Row],[Product]]&amp;", "&amp;Referentie_CO2_Totaal[[#Headers],[A3]],Database_Productkaarten[#All],17,FALSE),0)*Referentieberekening!L33),0))</f>
        <v>0</v>
      </c>
      <c r="G68" s="72">
        <f>IF(Referentieberekening!P33=0,(IF(Referentieberekening!C33="Nieuwe Situatie",(_xlfn.IFNA(VLOOKUP(Referentie_CO2_Totaal[[#This Row],[Product]]&amp;", "&amp;Referentie_CO2_Totaal[[#Headers],[A4]],Database_Productkaarten[#All],17,FALSE),0)*Referentieberekening!L33),0)),IF(Inschrijfberekening!C34="Nieuwe Situatie",_xlfn.IFNA(VLOOKUP(Inschrijfberekening!O34,Database_Transport[#All],12,FALSE)*(Inschrijfberekening!K34*Inschrijfberekening!N34),Referentie_Backlog!G68),0))</f>
        <v>0</v>
      </c>
      <c r="H68" s="72">
        <f>(IF(Referentieberekening!C33="Nieuwe Situatie",(_xlfn.IFNA(VLOOKUP(Referentie_CO2_Totaal[[#This Row],[Product]]&amp;", "&amp;Referentie_CO2_Totaal[[#Headers],[A5]],Database_Productkaarten[#All],17,FALSE),0)*Referentieberekening!L33),0))</f>
        <v>602.05970530781246</v>
      </c>
      <c r="I68" s="72">
        <f>(IF(Referentieberekening!C33="Nieuwe Situatie",(_xlfn.IFNA(VLOOKUP(Referentie_CO2_Totaal[[#This Row],[Product]]&amp;", "&amp;Referentie_CO2_Totaal[[#Headers],[B1]],Database_Productkaarten[#All],17,FALSE),0)*Referentieberekening!L33),0))</f>
        <v>0</v>
      </c>
      <c r="J68" s="72">
        <f>(IF(Referentieberekening!C33="Nieuwe Situatie",(SUM(Referentie_CO2_Totaal[[#This Row],[A1]:[B1]],Referentie_CO2_Totaal[[#This Row],[C1]:[D2]])*Referentieberekening!N33),0))</f>
        <v>0</v>
      </c>
      <c r="K68" s="72">
        <f>(IF(Referentieberekening!C33="Bestaande Situatie",(_xlfn.IFNA(VLOOKUP(Referentie_CO2_Totaal[[#This Row],[Product]]&amp;", "&amp;Referentie_CO2_Totaal[[#Headers],[C1]],Database_Productkaarten[#All],17,FALSE),0)*Referentieberekening!L33),0))</f>
        <v>0</v>
      </c>
      <c r="L68" s="72">
        <f>(IF(Referentieberekening!C33="Bestaande Situatie",(_xlfn.IFNA(VLOOKUP(Referentie_CO2_Totaal[[#This Row],[Product]]&amp;", "&amp;Referentie_CO2_Totaal[[#Headers],[C2]],Database_Productkaarten[#All],17,FALSE),0)*Referentieberekening!L33),0))</f>
        <v>0</v>
      </c>
      <c r="M68" s="72">
        <f>(IF(Referentieberekening!C33="Bestaande Situatie",(_xlfn.IFNA(VLOOKUP(Referentie_CO2_Totaal[[#This Row],[Product]]&amp;", "&amp;Referentie_CO2_Totaal[[#Headers],[C3]],Database_Productkaarten[#All],17,FALSE),0)*Referentieberekening!L33),0))</f>
        <v>0</v>
      </c>
      <c r="N68" s="72">
        <f>(IF(Referentieberekening!C33="Bestaande Situatie",(_xlfn.IFNA(VLOOKUP(Referentie_CO2_Totaal[[#This Row],[Product]]&amp;", "&amp;Referentie_CO2_Totaal[[#Headers],[C4]],Database_Productkaarten[#All],17,FALSE),0)*Referentieberekening!L33),0))</f>
        <v>0</v>
      </c>
      <c r="O68" s="72">
        <f>(IF(Referentieberekening!C33="Bestaande Situatie",(_xlfn.IFNA(VLOOKUP(Referentie_CO2_Totaal[[#This Row],[Product]]&amp;", "&amp;Referentie_CO2_Totaal[[#Headers],[D1]],Database_Productkaarten[#All],17,FALSE),0)*Referentieberekening!L33),0))</f>
        <v>0</v>
      </c>
      <c r="P68" s="73">
        <f>(IF(Referentieberekening!C33="Bestaande Situatie",_xlfn.IFNA(VLOOKUP(Referentie_CO2_Totaal[[#This Row],[Product]]&amp;", "&amp;Referentie_CO2_Totaal[[#Headers],[D2]],Database_Productkaarten[#All],17,FALSE),0)*Referentieberekening!L33,0))</f>
        <v>0</v>
      </c>
      <c r="Q68" s="72">
        <f>SUM(Referentie_CO2_Totaal[[#This Row],[A1]:[D2]])</f>
        <v>602.05970530781246</v>
      </c>
    </row>
    <row r="69" spans="2:19" ht="18" x14ac:dyDescent="0.55000000000000004">
      <c r="B69" s="285" t="str">
        <f>Referentieberekening!B34</f>
        <v xml:space="preserve"> Zand verwerken in cunet, hoogte 1,00 m - overige verharding (vrijgekomen). </v>
      </c>
      <c r="C69" s="23" t="str">
        <f>Referentieberekening!F34</f>
        <v>Zand (hergebruik)</v>
      </c>
      <c r="D69" s="72">
        <f>(IF(Referentieberekening!C34="Nieuwe Situatie",(_xlfn.IFNA(VLOOKUP(Referentie_CO2_Totaal[[#This Row],[Product]]&amp;", "&amp;Referentie_CO2_Totaal[[#Headers],[A1]],Database_Productkaarten[#All],17,FALSE),0)*Referentieberekening!L34),0))</f>
        <v>0</v>
      </c>
      <c r="E69" s="72">
        <f>(IF(Referentieberekening!C34="Nieuwe Situatie",(_xlfn.IFNA(VLOOKUP(Referentie_CO2_Totaal[[#This Row],[Product]]&amp;", "&amp;Referentie_CO2_Totaal[[#Headers],[A2]],Database_Productkaarten[#All],17,FALSE),0)*Referentieberekening!L34),0))</f>
        <v>0</v>
      </c>
      <c r="F69" s="72">
        <f>(IF(Referentieberekening!C34="Nieuwe Situatie",(_xlfn.IFNA(VLOOKUP(Referentie_CO2_Totaal[[#This Row],[Product]]&amp;", "&amp;Referentie_CO2_Totaal[[#Headers],[A3]],Database_Productkaarten[#All],17,FALSE),0)*Referentieberekening!L34),0))</f>
        <v>0</v>
      </c>
      <c r="G69" s="72">
        <f>IF(Referentieberekening!P34=0,(IF(Referentieberekening!C34="Nieuwe Situatie",(_xlfn.IFNA(VLOOKUP(Referentie_CO2_Totaal[[#This Row],[Product]]&amp;", "&amp;Referentie_CO2_Totaal[[#Headers],[A4]],Database_Productkaarten[#All],17,FALSE),0)*Referentieberekening!L34),0)),IF(Inschrijfberekening!C35="Nieuwe Situatie",_xlfn.IFNA(VLOOKUP(Inschrijfberekening!O35,Database_Transport[#All],12,FALSE)*(Inschrijfberekening!K35*Inschrijfberekening!N35),Referentie_Backlog!G69),0))</f>
        <v>0</v>
      </c>
      <c r="H69" s="72">
        <f>(IF(Referentieberekening!C34="Nieuwe Situatie",(_xlfn.IFNA(VLOOKUP(Referentie_CO2_Totaal[[#This Row],[Product]]&amp;", "&amp;Referentie_CO2_Totaal[[#Headers],[A5]],Database_Productkaarten[#All],17,FALSE),0)*Referentieberekening!L34),0))</f>
        <v>1003.4328421796874</v>
      </c>
      <c r="I69" s="72">
        <f>(IF(Referentieberekening!C34="Nieuwe Situatie",(_xlfn.IFNA(VLOOKUP(Referentie_CO2_Totaal[[#This Row],[Product]]&amp;", "&amp;Referentie_CO2_Totaal[[#Headers],[B1]],Database_Productkaarten[#All],17,FALSE),0)*Referentieberekening!L34),0))</f>
        <v>0</v>
      </c>
      <c r="J69" s="72">
        <f>(IF(Referentieberekening!C34="Nieuwe Situatie",(SUM(Referentie_CO2_Totaal[[#This Row],[A1]:[B1]],Referentie_CO2_Totaal[[#This Row],[C1]:[D2]])*Referentieberekening!N34),0))</f>
        <v>0</v>
      </c>
      <c r="K69" s="72">
        <f>(IF(Referentieberekening!C34="Bestaande Situatie",(_xlfn.IFNA(VLOOKUP(Referentie_CO2_Totaal[[#This Row],[Product]]&amp;", "&amp;Referentie_CO2_Totaal[[#Headers],[C1]],Database_Productkaarten[#All],17,FALSE),0)*Referentieberekening!L34),0))</f>
        <v>0</v>
      </c>
      <c r="L69" s="72">
        <f>(IF(Referentieberekening!C34="Bestaande Situatie",(_xlfn.IFNA(VLOOKUP(Referentie_CO2_Totaal[[#This Row],[Product]]&amp;", "&amp;Referentie_CO2_Totaal[[#Headers],[C2]],Database_Productkaarten[#All],17,FALSE),0)*Referentieberekening!L34),0))</f>
        <v>0</v>
      </c>
      <c r="M69" s="72">
        <f>(IF(Referentieberekening!C34="Bestaande Situatie",(_xlfn.IFNA(VLOOKUP(Referentie_CO2_Totaal[[#This Row],[Product]]&amp;", "&amp;Referentie_CO2_Totaal[[#Headers],[C3]],Database_Productkaarten[#All],17,FALSE),0)*Referentieberekening!L34),0))</f>
        <v>0</v>
      </c>
      <c r="N69" s="72">
        <f>(IF(Referentieberekening!C34="Bestaande Situatie",(_xlfn.IFNA(VLOOKUP(Referentie_CO2_Totaal[[#This Row],[Product]]&amp;", "&amp;Referentie_CO2_Totaal[[#Headers],[C4]],Database_Productkaarten[#All],17,FALSE),0)*Referentieberekening!L34),0))</f>
        <v>0</v>
      </c>
      <c r="O69" s="72">
        <f>(IF(Referentieberekening!C34="Bestaande Situatie",(_xlfn.IFNA(VLOOKUP(Referentie_CO2_Totaal[[#This Row],[Product]]&amp;", "&amp;Referentie_CO2_Totaal[[#Headers],[D1]],Database_Productkaarten[#All],17,FALSE),0)*Referentieberekening!L34),0))</f>
        <v>0</v>
      </c>
      <c r="P69" s="73">
        <f>(IF(Referentieberekening!C34="Bestaande Situatie",_xlfn.IFNA(VLOOKUP(Referentie_CO2_Totaal[[#This Row],[Product]]&amp;", "&amp;Referentie_CO2_Totaal[[#Headers],[D2]],Database_Productkaarten[#All],17,FALSE),0)*Referentieberekening!L34,0))</f>
        <v>0</v>
      </c>
      <c r="Q69" s="72">
        <f>SUM(Referentie_CO2_Totaal[[#This Row],[A1]:[D2]])</f>
        <v>1003.4328421796874</v>
      </c>
    </row>
    <row r="70" spans="2:19" ht="18" x14ac:dyDescent="0.55000000000000004">
      <c r="B70" s="285" t="str">
        <f>Referentieberekening!B35</f>
        <v xml:space="preserve"> Aanvullen sleuf ten behoeve van hoofdriolering. </v>
      </c>
      <c r="C70" s="23" t="str">
        <f>Referentieberekening!F35</f>
        <v>Zand (hergebruik)</v>
      </c>
      <c r="D70" s="72">
        <f>(IF(Referentieberekening!C35="Nieuwe Situatie",(_xlfn.IFNA(VLOOKUP(Referentie_CO2_Totaal[[#This Row],[Product]]&amp;", "&amp;Referentie_CO2_Totaal[[#Headers],[A1]],Database_Productkaarten[#All],17,FALSE),0)*Referentieberekening!L35),0))</f>
        <v>0</v>
      </c>
      <c r="E70" s="72">
        <f>(IF(Referentieberekening!C35="Nieuwe Situatie",(_xlfn.IFNA(VLOOKUP(Referentie_CO2_Totaal[[#This Row],[Product]]&amp;", "&amp;Referentie_CO2_Totaal[[#Headers],[A2]],Database_Productkaarten[#All],17,FALSE),0)*Referentieberekening!L35),0))</f>
        <v>0</v>
      </c>
      <c r="F70" s="72">
        <f>(IF(Referentieberekening!C35="Nieuwe Situatie",(_xlfn.IFNA(VLOOKUP(Referentie_CO2_Totaal[[#This Row],[Product]]&amp;", "&amp;Referentie_CO2_Totaal[[#Headers],[A3]],Database_Productkaarten[#All],17,FALSE),0)*Referentieberekening!L35),0))</f>
        <v>0</v>
      </c>
      <c r="G70" s="72">
        <f>IF(Referentieberekening!P35=0,(IF(Referentieberekening!C35="Nieuwe Situatie",(_xlfn.IFNA(VLOOKUP(Referentie_CO2_Totaal[[#This Row],[Product]]&amp;", "&amp;Referentie_CO2_Totaal[[#Headers],[A4]],Database_Productkaarten[#All],17,FALSE),0)*Referentieberekening!L35),0)),IF(Inschrijfberekening!C36="Nieuwe Situatie",_xlfn.IFNA(VLOOKUP(Inschrijfberekening!O36,Database_Transport[#All],12,FALSE)*(Inschrijfberekening!K36*Inschrijfberekening!N36),Referentie_Backlog!G70),0))</f>
        <v>0</v>
      </c>
      <c r="H70" s="72">
        <f>(IF(Referentieberekening!C35="Nieuwe Situatie",(_xlfn.IFNA(VLOOKUP(Referentie_CO2_Totaal[[#This Row],[Product]]&amp;", "&amp;Referentie_CO2_Totaal[[#Headers],[A5]],Database_Productkaarten[#All],17,FALSE),0)*Referentieberekening!L35),0))</f>
        <v>1565.3552338003124</v>
      </c>
      <c r="I70" s="72">
        <f>(IF(Referentieberekening!C35="Nieuwe Situatie",(_xlfn.IFNA(VLOOKUP(Referentie_CO2_Totaal[[#This Row],[Product]]&amp;", "&amp;Referentie_CO2_Totaal[[#Headers],[B1]],Database_Productkaarten[#All],17,FALSE),0)*Referentieberekening!L35),0))</f>
        <v>0</v>
      </c>
      <c r="J70" s="72">
        <f>(IF(Referentieberekening!C35="Nieuwe Situatie",(SUM(Referentie_CO2_Totaal[[#This Row],[A1]:[B1]],Referentie_CO2_Totaal[[#This Row],[C1]:[D2]])*Referentieberekening!N35),0))</f>
        <v>0</v>
      </c>
      <c r="K70" s="72">
        <f>(IF(Referentieberekening!C35="Bestaande Situatie",(_xlfn.IFNA(VLOOKUP(Referentie_CO2_Totaal[[#This Row],[Product]]&amp;", "&amp;Referentie_CO2_Totaal[[#Headers],[C1]],Database_Productkaarten[#All],17,FALSE),0)*Referentieberekening!L35),0))</f>
        <v>0</v>
      </c>
      <c r="L70" s="72">
        <f>(IF(Referentieberekening!C35="Bestaande Situatie",(_xlfn.IFNA(VLOOKUP(Referentie_CO2_Totaal[[#This Row],[Product]]&amp;", "&amp;Referentie_CO2_Totaal[[#Headers],[C2]],Database_Productkaarten[#All],17,FALSE),0)*Referentieberekening!L35),0))</f>
        <v>0</v>
      </c>
      <c r="M70" s="72">
        <f>(IF(Referentieberekening!C35="Bestaande Situatie",(_xlfn.IFNA(VLOOKUP(Referentie_CO2_Totaal[[#This Row],[Product]]&amp;", "&amp;Referentie_CO2_Totaal[[#Headers],[C3]],Database_Productkaarten[#All],17,FALSE),0)*Referentieberekening!L35),0))</f>
        <v>0</v>
      </c>
      <c r="N70" s="72">
        <f>(IF(Referentieberekening!C35="Bestaande Situatie",(_xlfn.IFNA(VLOOKUP(Referentie_CO2_Totaal[[#This Row],[Product]]&amp;", "&amp;Referentie_CO2_Totaal[[#Headers],[C4]],Database_Productkaarten[#All],17,FALSE),0)*Referentieberekening!L35),0))</f>
        <v>0</v>
      </c>
      <c r="O70" s="72">
        <f>(IF(Referentieberekening!C35="Bestaande Situatie",(_xlfn.IFNA(VLOOKUP(Referentie_CO2_Totaal[[#This Row],[Product]]&amp;", "&amp;Referentie_CO2_Totaal[[#Headers],[D1]],Database_Productkaarten[#All],17,FALSE),0)*Referentieberekening!L35),0))</f>
        <v>0</v>
      </c>
      <c r="P70" s="73">
        <f>(IF(Referentieberekening!C35="Bestaande Situatie",_xlfn.IFNA(VLOOKUP(Referentie_CO2_Totaal[[#This Row],[Product]]&amp;", "&amp;Referentie_CO2_Totaal[[#Headers],[D2]],Database_Productkaarten[#All],17,FALSE),0)*Referentieberekening!L35,0))</f>
        <v>0</v>
      </c>
      <c r="Q70" s="72">
        <f>SUM(Referentie_CO2_Totaal[[#This Row],[A1]:[D2]])</f>
        <v>1565.3552338003124</v>
      </c>
    </row>
    <row r="71" spans="2:19" ht="18" x14ac:dyDescent="0.55000000000000004">
      <c r="B71" s="23" t="s">
        <v>16</v>
      </c>
      <c r="C71" s="23"/>
      <c r="D71" s="77">
        <f>SUBTOTAL(109,Referentie_CO2_Totaal[A1])</f>
        <v>209977.03308119182</v>
      </c>
      <c r="E71" s="77">
        <f>SUBTOTAL(109,Referentie_CO2_Totaal[A2])</f>
        <v>40798.152681049556</v>
      </c>
      <c r="F71" s="77">
        <f>SUBTOTAL(109,Referentie_CO2_Totaal[A3])</f>
        <v>63832.942727969647</v>
      </c>
      <c r="G71" s="77">
        <f>SUBTOTAL(109,Referentie_CO2_Totaal[A4])</f>
        <v>80631.984959008492</v>
      </c>
      <c r="H71" s="77">
        <f>SUBTOTAL(109,Referentie_CO2_Totaal[A5])</f>
        <v>28092.657342593324</v>
      </c>
      <c r="I71" s="77">
        <f>SUBTOTAL(109,Referentie_CO2_Totaal[B1])</f>
        <v>0</v>
      </c>
      <c r="J71" s="77">
        <f>SUBTOTAL(109,Referentie_CO2_Totaal[B4])</f>
        <v>0</v>
      </c>
      <c r="K71" s="77">
        <f>SUBTOTAL(109,Referentie_CO2_Totaal[C1])</f>
        <v>9234.1276860413</v>
      </c>
      <c r="L71" s="77">
        <f>SUBTOTAL(109,Referentie_CO2_Totaal[C2])</f>
        <v>78081.98657363074</v>
      </c>
      <c r="M71" s="77">
        <f>SUBTOTAL(109,Referentie_CO2_Totaal[C3])</f>
        <v>83.183942480100001</v>
      </c>
      <c r="N71" s="77">
        <f>SUBTOTAL(109,Referentie_CO2_Totaal[C4])</f>
        <v>5.9375</v>
      </c>
      <c r="O71" s="77">
        <f>SUBTOTAL(109,Referentie_CO2_Totaal[D1])</f>
        <v>-1510.2460265715049</v>
      </c>
      <c r="P71" s="77">
        <f>SUBTOTAL(109,Referentie_CO2_Totaal[D2])</f>
        <v>-355.23943461131012</v>
      </c>
      <c r="Q71" s="190">
        <f>SUBTOTAL(109,Referentie_CO2_Totaal[Totaal])</f>
        <v>508872.52103278221</v>
      </c>
    </row>
    <row r="72" spans="2:19" ht="18" x14ac:dyDescent="0.55000000000000004">
      <c r="B72" s="17"/>
      <c r="C72" s="17"/>
      <c r="D72" s="17"/>
      <c r="E72" s="17"/>
      <c r="F72" s="17"/>
      <c r="G72" s="17"/>
      <c r="H72" s="17"/>
      <c r="I72" s="17"/>
      <c r="J72" s="17"/>
      <c r="K72" s="17"/>
      <c r="L72" s="17"/>
      <c r="M72" s="17"/>
      <c r="N72" s="17"/>
      <c r="O72" s="17"/>
      <c r="P72" s="17"/>
    </row>
    <row r="73" spans="2:19" ht="18" x14ac:dyDescent="0.55000000000000004">
      <c r="B73" s="17"/>
      <c r="C73" s="17"/>
      <c r="D73" s="17"/>
      <c r="E73" s="17"/>
      <c r="F73" s="17"/>
      <c r="G73" s="17"/>
      <c r="H73" s="17"/>
      <c r="I73" s="17"/>
      <c r="J73" s="17"/>
      <c r="K73" s="17"/>
      <c r="L73" s="17"/>
      <c r="M73" s="17"/>
      <c r="N73" s="17"/>
      <c r="O73" s="17"/>
      <c r="P73" s="17"/>
    </row>
    <row r="74" spans="2:19" ht="22" x14ac:dyDescent="0.65">
      <c r="B74" s="134" t="s">
        <v>368</v>
      </c>
      <c r="C74" s="134"/>
      <c r="D74" s="134"/>
      <c r="E74" s="17"/>
      <c r="F74" s="17"/>
      <c r="G74" s="17"/>
      <c r="H74" s="17"/>
      <c r="I74" s="17"/>
      <c r="J74" s="17"/>
      <c r="K74" s="17"/>
      <c r="L74" s="17"/>
      <c r="M74" s="17"/>
      <c r="N74" s="17"/>
      <c r="O74" s="17"/>
      <c r="P74" s="17"/>
    </row>
    <row r="75" spans="2:19" ht="18.5" thickBot="1" x14ac:dyDescent="0.6">
      <c r="B75" s="65" t="s">
        <v>55</v>
      </c>
      <c r="C75" s="66" t="s">
        <v>4</v>
      </c>
      <c r="D75" s="74" t="s">
        <v>2</v>
      </c>
      <c r="E75" s="75" t="s">
        <v>310</v>
      </c>
      <c r="F75" s="75" t="s">
        <v>334</v>
      </c>
      <c r="G75" s="75" t="s">
        <v>335</v>
      </c>
      <c r="H75" s="178" t="s">
        <v>477</v>
      </c>
      <c r="I75" s="75" t="s">
        <v>478</v>
      </c>
      <c r="J75" s="75" t="s">
        <v>479</v>
      </c>
      <c r="K75" s="195" t="s">
        <v>494</v>
      </c>
      <c r="L75" s="195" t="s">
        <v>495</v>
      </c>
      <c r="M75" s="195" t="s">
        <v>493</v>
      </c>
      <c r="N75" s="17"/>
      <c r="O75" s="17"/>
      <c r="P75" s="17"/>
      <c r="Q75" s="17"/>
      <c r="R75" s="17"/>
      <c r="S75" s="17"/>
    </row>
    <row r="76" spans="2:19" ht="18.5" thickTop="1" x14ac:dyDescent="0.55000000000000004">
      <c r="B76" s="286" t="str">
        <f>Referentieberekening!B5</f>
        <v xml:space="preserve"> Opbreken betonstraatstenen. </v>
      </c>
      <c r="C76" s="67" t="str">
        <f>Referentieberekening!F5</f>
        <v>Betonstraatsteen 210x105x80</v>
      </c>
      <c r="D76" s="117">
        <f>Referentieberekening!L5*0.18</f>
        <v>112.5</v>
      </c>
      <c r="E76" s="76">
        <f>_xlfn.IFNA(VLOOKUP(Referentie_Materiaal_Totaal[[#This Row],[Product]]&amp;", "&amp;"Totaal",Database_Productkaarten[#All],63,FALSE),0)</f>
        <v>0</v>
      </c>
      <c r="F76" s="118">
        <f>Referentie_Materiaal_Totaal[[#This Row],[Hoeveelheid '[ton']]]*(1-Referentie_Materiaal_Totaal[[#This Row],[% Secundair]])</f>
        <v>112.5</v>
      </c>
      <c r="G76" s="118">
        <f>Referentie_Materiaal_Totaal[[#This Row],[Hoeveelheid '[ton']]]*Referentie_Materiaal_Totaal[[#This Row],[% Secundair]]</f>
        <v>0</v>
      </c>
      <c r="H76" s="176">
        <f>Referentieberekening!L5*Referentieberekening!N5</f>
        <v>0</v>
      </c>
      <c r="I76" s="176">
        <f>Referentie_Materiaal_Totaal[[#This Row],[Hoeveelheid Vervaningen '[ton']]]*(1-Referentie_Materiaal_Totaal[[#This Row],[% Secundair]])</f>
        <v>0</v>
      </c>
      <c r="J76" s="176">
        <f>Referentie_Materiaal_Totaal[[#This Row],[Hoeveelheid Vervaningen '[ton']]]*Referentie_Materiaal_Totaal[[#This Row],[% Secundair]]</f>
        <v>0</v>
      </c>
      <c r="K76" s="176"/>
      <c r="L76" s="176"/>
      <c r="M76" s="176"/>
      <c r="N76" s="17"/>
      <c r="O76" s="17"/>
      <c r="P76" s="17"/>
      <c r="Q76" s="17"/>
      <c r="R76" s="17"/>
      <c r="S76" s="17"/>
    </row>
    <row r="77" spans="2:19" ht="18" x14ac:dyDescent="0.55000000000000004">
      <c r="B77" s="286" t="str">
        <f>Referentieberekening!B6</f>
        <v>Aanbrengen band 280x300x260 mm, betonrug.</v>
      </c>
      <c r="C77" s="67" t="str">
        <f>Referentieberekening!F6</f>
        <v>Trottoirband 280x300</v>
      </c>
      <c r="D77" s="117">
        <f>Referentieberekening!L6*0.1911</f>
        <v>301.93799999999999</v>
      </c>
      <c r="E77" s="76">
        <f>_xlfn.IFNA(VLOOKUP(Referentie_Materiaal_Totaal[[#This Row],[Product]]&amp;", "&amp;"Totaal",Database_Productkaarten[#All],63,FALSE),0)</f>
        <v>0</v>
      </c>
      <c r="F77" s="118">
        <f>Referentie_Materiaal_Totaal[[#This Row],[Hoeveelheid '[ton']]]*(1-Referentie_Materiaal_Totaal[[#This Row],[% Secundair]])</f>
        <v>301.93799999999999</v>
      </c>
      <c r="G77" s="118">
        <f>Referentie_Materiaal_Totaal[[#This Row],[Hoeveelheid '[ton']]]*Referentie_Materiaal_Totaal[[#This Row],[% Secundair]]</f>
        <v>0</v>
      </c>
      <c r="H77" s="176">
        <f>Referentieberekening!L6*Referentieberekening!N6</f>
        <v>0</v>
      </c>
      <c r="I77" s="176">
        <f>Referentie_Materiaal_Totaal[[#This Row],[Hoeveelheid Vervaningen '[ton']]]*(1-Referentie_Materiaal_Totaal[[#This Row],[% Secundair]])</f>
        <v>0</v>
      </c>
      <c r="J77" s="176">
        <f>Referentie_Materiaal_Totaal[[#This Row],[Hoeveelheid Vervaningen '[ton']]]*Referentie_Materiaal_Totaal[[#This Row],[% Secundair]]</f>
        <v>0</v>
      </c>
      <c r="K77" s="176"/>
      <c r="L77" s="176"/>
      <c r="M77" s="176"/>
      <c r="N77" s="17"/>
      <c r="O77" s="17"/>
      <c r="P77" s="17"/>
      <c r="Q77" s="17"/>
      <c r="R77" s="17"/>
      <c r="S77" s="17"/>
    </row>
    <row r="78" spans="2:19" ht="18" x14ac:dyDescent="0.55000000000000004">
      <c r="B78" s="286" t="str">
        <f>Referentieberekening!B7</f>
        <v>Aanbrengen opsluitband 100x200mm.</v>
      </c>
      <c r="C78" s="67" t="str">
        <f>Referentieberekening!F7</f>
        <v>Opsluitband 100x200</v>
      </c>
      <c r="D78" s="117">
        <f>Referentieberekening!L7*0.0455</f>
        <v>45.5</v>
      </c>
      <c r="E78" s="76">
        <f>_xlfn.IFNA(VLOOKUP(Referentie_Materiaal_Totaal[[#This Row],[Product]]&amp;", "&amp;"Totaal",Database_Productkaarten[#All],63,FALSE),0)</f>
        <v>0</v>
      </c>
      <c r="F78" s="118">
        <f>Referentie_Materiaal_Totaal[[#This Row],[Hoeveelheid '[ton']]]*(1-Referentie_Materiaal_Totaal[[#This Row],[% Secundair]])</f>
        <v>45.5</v>
      </c>
      <c r="G78" s="118">
        <f>Referentie_Materiaal_Totaal[[#This Row],[Hoeveelheid '[ton']]]*Referentie_Materiaal_Totaal[[#This Row],[% Secundair]]</f>
        <v>0</v>
      </c>
      <c r="H78" s="176">
        <f>Referentieberekening!L7*Referentieberekening!N7</f>
        <v>0</v>
      </c>
      <c r="I78" s="176">
        <f>Referentie_Materiaal_Totaal[[#This Row],[Hoeveelheid Vervaningen '[ton']]]*(1-Referentie_Materiaal_Totaal[[#This Row],[% Secundair]])</f>
        <v>0</v>
      </c>
      <c r="J78" s="176">
        <f>Referentie_Materiaal_Totaal[[#This Row],[Hoeveelheid Vervaningen '[ton']]]*Referentie_Materiaal_Totaal[[#This Row],[% Secundair]]</f>
        <v>0</v>
      </c>
      <c r="K78" s="176"/>
      <c r="L78" s="176"/>
      <c r="M78" s="176"/>
      <c r="N78" s="17"/>
      <c r="O78" s="17"/>
      <c r="P78" s="17"/>
      <c r="Q78" s="17"/>
      <c r="R78" s="17"/>
      <c r="S78" s="17"/>
    </row>
    <row r="79" spans="2:19" ht="18" x14ac:dyDescent="0.55000000000000004">
      <c r="B79" s="286" t="str">
        <f>Referentieberekening!B8</f>
        <v>Aanbrengen straatlaag van straatzand dik 50 mm.</v>
      </c>
      <c r="C79" s="67" t="str">
        <f>Referentieberekening!F8</f>
        <v>Straatzand</v>
      </c>
      <c r="D79" s="117">
        <f>Referentieberekening!L8</f>
        <v>57.6</v>
      </c>
      <c r="E79" s="76">
        <f>_xlfn.IFNA(VLOOKUP(Referentie_Materiaal_Totaal[[#This Row],[Product]]&amp;", "&amp;"Totaal",Database_Productkaarten[#All],63,FALSE),0)</f>
        <v>0</v>
      </c>
      <c r="F79" s="118">
        <f>Referentie_Materiaal_Totaal[[#This Row],[Hoeveelheid '[ton']]]*(1-Referentie_Materiaal_Totaal[[#This Row],[% Secundair]])</f>
        <v>57.6</v>
      </c>
      <c r="G79" s="118">
        <f>Referentie_Materiaal_Totaal[[#This Row],[Hoeveelheid '[ton']]]*Referentie_Materiaal_Totaal[[#This Row],[% Secundair]]</f>
        <v>0</v>
      </c>
      <c r="H79" s="176">
        <f>Referentieberekening!L8*Referentieberekening!N8</f>
        <v>0</v>
      </c>
      <c r="I79" s="176">
        <f>Referentie_Materiaal_Totaal[[#This Row],[Hoeveelheid Vervaningen '[ton']]]*(1-Referentie_Materiaal_Totaal[[#This Row],[% Secundair]])</f>
        <v>0</v>
      </c>
      <c r="J79" s="176">
        <f>Referentie_Materiaal_Totaal[[#This Row],[Hoeveelheid Vervaningen '[ton']]]*Referentie_Materiaal_Totaal[[#This Row],[% Secundair]]</f>
        <v>0</v>
      </c>
      <c r="K79" s="176"/>
      <c r="L79" s="176"/>
      <c r="M79" s="176"/>
      <c r="N79" s="17"/>
      <c r="O79" s="17"/>
      <c r="P79" s="17"/>
      <c r="Q79" s="17"/>
      <c r="R79" s="17"/>
      <c r="S79" s="17"/>
    </row>
    <row r="80" spans="2:19" ht="18" x14ac:dyDescent="0.55000000000000004">
      <c r="B80" s="286" t="str">
        <f>Referentieberekening!B9</f>
        <v>Aanbrengen betontegels 300x300x45 mm.</v>
      </c>
      <c r="C80" s="67" t="str">
        <f>Referentieberekening!F9</f>
        <v>Betontegel 300x300x45</v>
      </c>
      <c r="D80" s="117">
        <f>Referentieberekening!L9*0.1045</f>
        <v>75.239999999999995</v>
      </c>
      <c r="E80" s="76">
        <f>_xlfn.IFNA(VLOOKUP(Referentie_Materiaal_Totaal[[#This Row],[Product]]&amp;", "&amp;"Totaal",Database_Productkaarten[#All],63,FALSE),0)</f>
        <v>0</v>
      </c>
      <c r="F80" s="118">
        <f>Referentie_Materiaal_Totaal[[#This Row],[Hoeveelheid '[ton']]]*(1-Referentie_Materiaal_Totaal[[#This Row],[% Secundair]])</f>
        <v>75.239999999999995</v>
      </c>
      <c r="G80" s="118">
        <f>Referentie_Materiaal_Totaal[[#This Row],[Hoeveelheid '[ton']]]*Referentie_Materiaal_Totaal[[#This Row],[% Secundair]]</f>
        <v>0</v>
      </c>
      <c r="H80" s="176">
        <f>Referentieberekening!L9*Referentieberekening!N9</f>
        <v>0</v>
      </c>
      <c r="I80" s="176">
        <f>Referentie_Materiaal_Totaal[[#This Row],[Hoeveelheid Vervaningen '[ton']]]*(1-Referentie_Materiaal_Totaal[[#This Row],[% Secundair]])</f>
        <v>0</v>
      </c>
      <c r="J80" s="176">
        <f>Referentie_Materiaal_Totaal[[#This Row],[Hoeveelheid Vervaningen '[ton']]]*Referentie_Materiaal_Totaal[[#This Row],[% Secundair]]</f>
        <v>0</v>
      </c>
      <c r="K80" s="176"/>
      <c r="L80" s="176"/>
      <c r="M80" s="176"/>
      <c r="N80" s="17"/>
      <c r="O80" s="17"/>
      <c r="P80" s="17"/>
      <c r="Q80" s="17"/>
      <c r="R80" s="17"/>
      <c r="S80" s="17"/>
    </row>
    <row r="81" spans="2:19" ht="18" x14ac:dyDescent="0.55000000000000004">
      <c r="B81" s="286" t="str">
        <f>Referentieberekening!B10</f>
        <v xml:space="preserve"> Opbreken asfaltverharding, dik 120 mm. </v>
      </c>
      <c r="C81" s="67" t="str">
        <f>Referentieberekening!F10</f>
        <v>AC bin/base 50% PR - PCR 1.0</v>
      </c>
      <c r="D81" s="117">
        <f>Referentieberekening!L10</f>
        <v>31.283999999999999</v>
      </c>
      <c r="E81" s="76">
        <f>_xlfn.IFNA(VLOOKUP(Referentie_Materiaal_Totaal[[#This Row],[Product]]&amp;", "&amp;"Totaal",Database_Productkaarten[#All],63,FALSE),0)</f>
        <v>0.5</v>
      </c>
      <c r="F81" s="118">
        <f>Referentie_Materiaal_Totaal[[#This Row],[Hoeveelheid '[ton']]]*(1-Referentie_Materiaal_Totaal[[#This Row],[% Secundair]])</f>
        <v>15.641999999999999</v>
      </c>
      <c r="G81" s="118">
        <f>Referentie_Materiaal_Totaal[[#This Row],[Hoeveelheid '[ton']]]*Referentie_Materiaal_Totaal[[#This Row],[% Secundair]]</f>
        <v>15.641999999999999</v>
      </c>
      <c r="H81" s="176">
        <f>Referentieberekening!L10*Referentieberekening!N10</f>
        <v>0</v>
      </c>
      <c r="I81" s="176">
        <f>Referentie_Materiaal_Totaal[[#This Row],[Hoeveelheid Vervaningen '[ton']]]*(1-Referentie_Materiaal_Totaal[[#This Row],[% Secundair]])</f>
        <v>0</v>
      </c>
      <c r="J81" s="176">
        <f>Referentie_Materiaal_Totaal[[#This Row],[Hoeveelheid Vervaningen '[ton']]]*Referentie_Materiaal_Totaal[[#This Row],[% Secundair]]</f>
        <v>0</v>
      </c>
      <c r="K81" s="176"/>
      <c r="L81" s="176"/>
      <c r="M81" s="176"/>
      <c r="N81" s="17"/>
      <c r="O81" s="17"/>
      <c r="P81" s="17"/>
      <c r="Q81" s="17"/>
      <c r="R81" s="17"/>
      <c r="S81" s="17"/>
    </row>
    <row r="82" spans="2:19" ht="18" x14ac:dyDescent="0.55000000000000004">
      <c r="B82" s="286" t="str">
        <f>Referentieberekening!B11</f>
        <v xml:space="preserve"> Frezen asfalt dik 30 mm - fietspad. </v>
      </c>
      <c r="C82" s="67" t="str">
        <f>Referentieberekening!F11</f>
        <v>SMA 8-11 - PCR 1.0</v>
      </c>
      <c r="D82" s="117">
        <f>Referentieberekening!L11</f>
        <v>19.387499999999999</v>
      </c>
      <c r="E82" s="76">
        <f>_xlfn.IFNA(VLOOKUP(Referentie_Materiaal_Totaal[[#This Row],[Product]]&amp;", "&amp;"Totaal",Database_Productkaarten[#All],63,FALSE),0)</f>
        <v>0</v>
      </c>
      <c r="F82" s="118">
        <f>Referentie_Materiaal_Totaal[[#This Row],[Hoeveelheid '[ton']]]*(1-Referentie_Materiaal_Totaal[[#This Row],[% Secundair]])</f>
        <v>19.387499999999999</v>
      </c>
      <c r="G82" s="118">
        <f>Referentie_Materiaal_Totaal[[#This Row],[Hoeveelheid '[ton']]]*Referentie_Materiaal_Totaal[[#This Row],[% Secundair]]</f>
        <v>0</v>
      </c>
      <c r="H82" s="176">
        <f>Referentieberekening!L11*Referentieberekening!N11</f>
        <v>0</v>
      </c>
      <c r="I82" s="176">
        <f>Referentie_Materiaal_Totaal[[#This Row],[Hoeveelheid Vervaningen '[ton']]]*(1-Referentie_Materiaal_Totaal[[#This Row],[% Secundair]])</f>
        <v>0</v>
      </c>
      <c r="J82" s="176">
        <f>Referentie_Materiaal_Totaal[[#This Row],[Hoeveelheid Vervaningen '[ton']]]*Referentie_Materiaal_Totaal[[#This Row],[% Secundair]]</f>
        <v>0</v>
      </c>
      <c r="K82" s="176"/>
      <c r="L82" s="176"/>
      <c r="M82" s="176"/>
      <c r="N82" s="17"/>
      <c r="O82" s="17"/>
      <c r="P82" s="17"/>
      <c r="Q82" s="17"/>
      <c r="R82" s="17"/>
      <c r="S82" s="17"/>
    </row>
    <row r="83" spans="2:19" ht="18" x14ac:dyDescent="0.55000000000000004">
      <c r="B83" s="286" t="str">
        <f>Referentieberekening!B12</f>
        <v>Aanbrengen menggranulaat, dik 300 mm - rijweg.</v>
      </c>
      <c r="C83" s="67" t="str">
        <f>Referentieberekening!F12</f>
        <v>Menggranulaat 0/31,5</v>
      </c>
      <c r="D83" s="117">
        <f>Referentieberekening!L12*1.8</f>
        <v>6974.1</v>
      </c>
      <c r="E83" s="76">
        <f>_xlfn.IFNA(VLOOKUP(Referentie_Materiaal_Totaal[[#This Row],[Product]]&amp;", "&amp;"Totaal",Database_Productkaarten[#All],63,FALSE),0)</f>
        <v>1</v>
      </c>
      <c r="F83" s="118">
        <f>Referentie_Materiaal_Totaal[[#This Row],[Hoeveelheid '[ton']]]*(1-Referentie_Materiaal_Totaal[[#This Row],[% Secundair]])</f>
        <v>0</v>
      </c>
      <c r="G83" s="118">
        <f>Referentie_Materiaal_Totaal[[#This Row],[Hoeveelheid '[ton']]]*Referentie_Materiaal_Totaal[[#This Row],[% Secundair]]</f>
        <v>6974.1</v>
      </c>
      <c r="H83" s="176">
        <f>Referentieberekening!L12*Referentieberekening!N12</f>
        <v>0</v>
      </c>
      <c r="I83" s="176">
        <f>Referentie_Materiaal_Totaal[[#This Row],[Hoeveelheid Vervaningen '[ton']]]*(1-Referentie_Materiaal_Totaal[[#This Row],[% Secundair]])</f>
        <v>0</v>
      </c>
      <c r="J83" s="176">
        <f>Referentie_Materiaal_Totaal[[#This Row],[Hoeveelheid Vervaningen '[ton']]]*Referentie_Materiaal_Totaal[[#This Row],[% Secundair]]</f>
        <v>0</v>
      </c>
      <c r="K83" s="176"/>
      <c r="L83" s="176"/>
      <c r="M83" s="176"/>
      <c r="N83" s="17"/>
      <c r="O83" s="17"/>
      <c r="P83" s="17"/>
      <c r="Q83" s="17"/>
      <c r="R83" s="17"/>
      <c r="S83" s="17"/>
    </row>
    <row r="84" spans="2:19" ht="18" x14ac:dyDescent="0.55000000000000004">
      <c r="B84" s="286" t="str">
        <f>Referentieberekening!B13</f>
        <v>Aanbrengen onderlaag AC 22 base, dik 70 mm.</v>
      </c>
      <c r="C84" s="67" t="str">
        <f>Referentieberekening!F13</f>
        <v>AC bin/base 50% PR - PCR 2.0</v>
      </c>
      <c r="D84" s="117">
        <f>Referentieberekening!L13</f>
        <v>1121</v>
      </c>
      <c r="E84" s="76">
        <f>_xlfn.IFNA(VLOOKUP(Referentie_Materiaal_Totaal[[#This Row],[Product]]&amp;", "&amp;"Totaal",Database_Productkaarten[#All],63,FALSE),0)</f>
        <v>0.5</v>
      </c>
      <c r="F84" s="118">
        <f>Referentie_Materiaal_Totaal[[#This Row],[Hoeveelheid '[ton']]]*(1-Referentie_Materiaal_Totaal[[#This Row],[% Secundair]])</f>
        <v>560.5</v>
      </c>
      <c r="G84" s="118">
        <f>Referentie_Materiaal_Totaal[[#This Row],[Hoeveelheid '[ton']]]*Referentie_Materiaal_Totaal[[#This Row],[% Secundair]]</f>
        <v>560.5</v>
      </c>
      <c r="H84" s="176">
        <f>Referentieberekening!L13*Referentieberekening!N13</f>
        <v>0</v>
      </c>
      <c r="I84" s="176">
        <f>Referentie_Materiaal_Totaal[[#This Row],[Hoeveelheid Vervaningen '[ton']]]*(1-Referentie_Materiaal_Totaal[[#This Row],[% Secundair]])</f>
        <v>0</v>
      </c>
      <c r="J84" s="176">
        <f>Referentie_Materiaal_Totaal[[#This Row],[Hoeveelheid Vervaningen '[ton']]]*Referentie_Materiaal_Totaal[[#This Row],[% Secundair]]</f>
        <v>0</v>
      </c>
      <c r="K84" s="176"/>
      <c r="L84" s="176"/>
      <c r="M84" s="176"/>
      <c r="N84" s="17"/>
      <c r="O84" s="17"/>
      <c r="P84" s="17"/>
      <c r="Q84" s="17"/>
      <c r="R84" s="17"/>
      <c r="S84" s="17"/>
    </row>
    <row r="85" spans="2:19" ht="18" x14ac:dyDescent="0.55000000000000004">
      <c r="B85" s="286" t="str">
        <f>Referentieberekening!B14</f>
        <v>Aanbrengen tussenlaag AC16 bind, dik 50 mm</v>
      </c>
      <c r="C85" s="67" t="str">
        <f>Referentieberekening!F14</f>
        <v>AC bin/base 50% PR - PCR 2.0</v>
      </c>
      <c r="D85" s="117">
        <f>Referentieberekening!L14</f>
        <v>801</v>
      </c>
      <c r="E85" s="76">
        <f>_xlfn.IFNA(VLOOKUP(Referentie_Materiaal_Totaal[[#This Row],[Product]]&amp;", "&amp;"Totaal",Database_Productkaarten[#All],63,FALSE),0)</f>
        <v>0.5</v>
      </c>
      <c r="F85" s="118">
        <f>Referentie_Materiaal_Totaal[[#This Row],[Hoeveelheid '[ton']]]*(1-Referentie_Materiaal_Totaal[[#This Row],[% Secundair]])</f>
        <v>400.5</v>
      </c>
      <c r="G85" s="118">
        <f>Referentie_Materiaal_Totaal[[#This Row],[Hoeveelheid '[ton']]]*Referentie_Materiaal_Totaal[[#This Row],[% Secundair]]</f>
        <v>400.5</v>
      </c>
      <c r="H85" s="176">
        <f>Referentieberekening!L14*Referentieberekening!N14</f>
        <v>0</v>
      </c>
      <c r="I85" s="176">
        <f>Referentie_Materiaal_Totaal[[#This Row],[Hoeveelheid Vervaningen '[ton']]]*(1-Referentie_Materiaal_Totaal[[#This Row],[% Secundair]])</f>
        <v>0</v>
      </c>
      <c r="J85" s="176">
        <f>Referentie_Materiaal_Totaal[[#This Row],[Hoeveelheid Vervaningen '[ton']]]*Referentie_Materiaal_Totaal[[#This Row],[% Secundair]]</f>
        <v>0</v>
      </c>
      <c r="K85" s="176"/>
      <c r="L85" s="176"/>
      <c r="M85" s="176"/>
      <c r="N85" s="17"/>
      <c r="O85" s="17"/>
      <c r="P85" s="17"/>
      <c r="Q85" s="17"/>
      <c r="R85" s="17"/>
      <c r="S85" s="17"/>
    </row>
    <row r="86" spans="2:19" ht="18" x14ac:dyDescent="0.55000000000000004">
      <c r="B86" s="286" t="str">
        <f>Referentieberekening!B15</f>
        <v>Aanbrengen deklaag van SMA-NL 8, dik 30 mm.</v>
      </c>
      <c r="C86" s="67" t="str">
        <f>Referentieberekening!F15</f>
        <v>SMA 8-11 - PCR 2.0</v>
      </c>
      <c r="D86" s="117">
        <f>Referentieberekening!L15</f>
        <v>481</v>
      </c>
      <c r="E86" s="76">
        <f>_xlfn.IFNA(VLOOKUP(Referentie_Materiaal_Totaal[[#This Row],[Product]]&amp;", "&amp;"Totaal",Database_Productkaarten[#All],63,FALSE),0)</f>
        <v>0</v>
      </c>
      <c r="F86" s="118">
        <f>Referentie_Materiaal_Totaal[[#This Row],[Hoeveelheid '[ton']]]*(1-Referentie_Materiaal_Totaal[[#This Row],[% Secundair]])</f>
        <v>481</v>
      </c>
      <c r="G86" s="118">
        <f>Referentie_Materiaal_Totaal[[#This Row],[Hoeveelheid '[ton']]]*Referentie_Materiaal_Totaal[[#This Row],[% Secundair]]</f>
        <v>0</v>
      </c>
      <c r="H86" s="176">
        <f>Referentieberekening!L15*Referentieberekening!N15</f>
        <v>0</v>
      </c>
      <c r="I86" s="176">
        <f>Referentie_Materiaal_Totaal[[#This Row],[Hoeveelheid Vervaningen '[ton']]]*(1-Referentie_Materiaal_Totaal[[#This Row],[% Secundair]])</f>
        <v>0</v>
      </c>
      <c r="J86" s="176">
        <f>Referentie_Materiaal_Totaal[[#This Row],[Hoeveelheid Vervaningen '[ton']]]*Referentie_Materiaal_Totaal[[#This Row],[% Secundair]]</f>
        <v>0</v>
      </c>
      <c r="K86" s="176"/>
      <c r="L86" s="176"/>
      <c r="M86" s="176"/>
      <c r="N86" s="17"/>
      <c r="O86" s="17"/>
      <c r="P86" s="17"/>
      <c r="Q86" s="17"/>
      <c r="R86" s="17"/>
      <c r="S86" s="17"/>
    </row>
    <row r="87" spans="2:19" ht="18" x14ac:dyDescent="0.55000000000000004">
      <c r="B87" s="286" t="str">
        <f>Referentieberekening!B16</f>
        <v>Aanbrengen menggranulaat, dik 200 mm - fietspad.</v>
      </c>
      <c r="C87" s="67" t="str">
        <f>Referentieberekening!F16</f>
        <v>Menggranulaat 0/31,5</v>
      </c>
      <c r="D87" s="117">
        <f>Referentieberekening!L16*1.8</f>
        <v>311.04000000000002</v>
      </c>
      <c r="E87" s="76">
        <f>_xlfn.IFNA(VLOOKUP(Referentie_Materiaal_Totaal[[#This Row],[Product]]&amp;", "&amp;"Totaal",Database_Productkaarten[#All],63,FALSE),0)</f>
        <v>1</v>
      </c>
      <c r="F87" s="118">
        <f>Referentie_Materiaal_Totaal[[#This Row],[Hoeveelheid '[ton']]]*(1-Referentie_Materiaal_Totaal[[#This Row],[% Secundair]])</f>
        <v>0</v>
      </c>
      <c r="G87" s="118">
        <f>Referentie_Materiaal_Totaal[[#This Row],[Hoeveelheid '[ton']]]*Referentie_Materiaal_Totaal[[#This Row],[% Secundair]]</f>
        <v>311.04000000000002</v>
      </c>
      <c r="H87" s="176">
        <f>Referentieberekening!L16*Referentieberekening!N16</f>
        <v>0</v>
      </c>
      <c r="I87" s="176">
        <f>Referentie_Materiaal_Totaal[[#This Row],[Hoeveelheid Vervaningen '[ton']]]*(1-Referentie_Materiaal_Totaal[[#This Row],[% Secundair]])</f>
        <v>0</v>
      </c>
      <c r="J87" s="176">
        <f>Referentie_Materiaal_Totaal[[#This Row],[Hoeveelheid Vervaningen '[ton']]]*Referentie_Materiaal_Totaal[[#This Row],[% Secundair]]</f>
        <v>0</v>
      </c>
      <c r="K87" s="176"/>
      <c r="L87" s="176"/>
      <c r="M87" s="176"/>
      <c r="N87" s="17"/>
      <c r="O87" s="17"/>
      <c r="P87" s="17"/>
      <c r="Q87" s="17"/>
      <c r="R87" s="17"/>
      <c r="S87" s="17"/>
    </row>
    <row r="88" spans="2:19" ht="18" x14ac:dyDescent="0.55000000000000004">
      <c r="B88" s="286" t="str">
        <f>Referentieberekening!B17</f>
        <v>Aanbrengen onderlaag AC 16 base, dik 50 mm 275 m2.</v>
      </c>
      <c r="C88" s="67" t="str">
        <f>Referentieberekening!F17</f>
        <v>AC bin/base 50% PR - PCR 2.0</v>
      </c>
      <c r="D88" s="117">
        <f>Referentieberekening!L17</f>
        <v>35</v>
      </c>
      <c r="E88" s="76">
        <f>_xlfn.IFNA(VLOOKUP(Referentie_Materiaal_Totaal[[#This Row],[Product]]&amp;", "&amp;"Totaal",Database_Productkaarten[#All],63,FALSE),0)</f>
        <v>0.5</v>
      </c>
      <c r="F88" s="118">
        <f>Referentie_Materiaal_Totaal[[#This Row],[Hoeveelheid '[ton']]]*(1-Referentie_Materiaal_Totaal[[#This Row],[% Secundair]])</f>
        <v>17.5</v>
      </c>
      <c r="G88" s="118">
        <f>Referentie_Materiaal_Totaal[[#This Row],[Hoeveelheid '[ton']]]*Referentie_Materiaal_Totaal[[#This Row],[% Secundair]]</f>
        <v>17.5</v>
      </c>
      <c r="H88" s="176">
        <f>Referentieberekening!L17*Referentieberekening!N17</f>
        <v>0</v>
      </c>
      <c r="I88" s="176">
        <f>Referentie_Materiaal_Totaal[[#This Row],[Hoeveelheid Vervaningen '[ton']]]*(1-Referentie_Materiaal_Totaal[[#This Row],[% Secundair]])</f>
        <v>0</v>
      </c>
      <c r="J88" s="176">
        <f>Referentie_Materiaal_Totaal[[#This Row],[Hoeveelheid Vervaningen '[ton']]]*Referentie_Materiaal_Totaal[[#This Row],[% Secundair]]</f>
        <v>0</v>
      </c>
      <c r="K88" s="176"/>
      <c r="L88" s="176"/>
      <c r="M88" s="176"/>
      <c r="N88" s="17"/>
      <c r="O88" s="17"/>
      <c r="P88" s="17"/>
      <c r="Q88" s="17"/>
      <c r="R88" s="17"/>
      <c r="S88" s="17"/>
    </row>
    <row r="89" spans="2:19" ht="18" x14ac:dyDescent="0.55000000000000004">
      <c r="B89" s="286" t="str">
        <f>Referentieberekening!B18</f>
        <v>Aanbrengen deklaag SMA-NL 8, dik 30 mm - 275 m2 (rood)</v>
      </c>
      <c r="C89" s="67" t="str">
        <f>Referentieberekening!F18</f>
        <v>AC surf rood, met blank bindmiddel - PCR 2.0</v>
      </c>
      <c r="D89" s="117">
        <f>Referentieberekening!L18</f>
        <v>21</v>
      </c>
      <c r="E89" s="76">
        <f>_xlfn.IFNA(VLOOKUP(Referentie_Materiaal_Totaal[[#This Row],[Product]]&amp;", "&amp;"Totaal",Database_Productkaarten[#All],63,FALSE),0)</f>
        <v>0</v>
      </c>
      <c r="F89" s="118">
        <f>Referentie_Materiaal_Totaal[[#This Row],[Hoeveelheid '[ton']]]*(1-Referentie_Materiaal_Totaal[[#This Row],[% Secundair]])</f>
        <v>21</v>
      </c>
      <c r="G89" s="118">
        <f>Referentie_Materiaal_Totaal[[#This Row],[Hoeveelheid '[ton']]]*Referentie_Materiaal_Totaal[[#This Row],[% Secundair]]</f>
        <v>0</v>
      </c>
      <c r="H89" s="176">
        <f>Referentieberekening!L18*Referentieberekening!N18</f>
        <v>0</v>
      </c>
      <c r="I89" s="176">
        <f>Referentie_Materiaal_Totaal[[#This Row],[Hoeveelheid Vervaningen '[ton']]]*(1-Referentie_Materiaal_Totaal[[#This Row],[% Secundair]])</f>
        <v>0</v>
      </c>
      <c r="J89" s="176">
        <f>Referentie_Materiaal_Totaal[[#This Row],[Hoeveelheid Vervaningen '[ton']]]*Referentie_Materiaal_Totaal[[#This Row],[% Secundair]]</f>
        <v>0</v>
      </c>
      <c r="K89" s="176"/>
      <c r="L89" s="176"/>
      <c r="M89" s="176"/>
      <c r="N89" s="17"/>
      <c r="O89" s="17"/>
      <c r="P89" s="17"/>
      <c r="Q89" s="17"/>
      <c r="R89" s="17"/>
      <c r="S89" s="17"/>
    </row>
    <row r="90" spans="2:19" ht="18" x14ac:dyDescent="0.55000000000000004">
      <c r="B90" s="286" t="str">
        <f>Referentieberekening!B19</f>
        <v>Aanbrengen deklaag SMA-NL 8, dik 30 mm - 890 m2 (rood)</v>
      </c>
      <c r="C90" s="67" t="str">
        <f>Referentieberekening!F19</f>
        <v>AC surf rood, met blank bindmiddel - PCR 2.0</v>
      </c>
      <c r="D90" s="117">
        <f>Referentieberekening!L19</f>
        <v>68</v>
      </c>
      <c r="E90" s="76">
        <f>_xlfn.IFNA(VLOOKUP(Referentie_Materiaal_Totaal[[#This Row],[Product]]&amp;", "&amp;"Totaal",Database_Productkaarten[#All],63,FALSE),0)</f>
        <v>0</v>
      </c>
      <c r="F90" s="118">
        <f>Referentie_Materiaal_Totaal[[#This Row],[Hoeveelheid '[ton']]]*(1-Referentie_Materiaal_Totaal[[#This Row],[% Secundair]])</f>
        <v>68</v>
      </c>
      <c r="G90" s="118">
        <f>Referentie_Materiaal_Totaal[[#This Row],[Hoeveelheid '[ton']]]*Referentie_Materiaal_Totaal[[#This Row],[% Secundair]]</f>
        <v>0</v>
      </c>
      <c r="H90" s="176">
        <f>Referentieberekening!L19*Referentieberekening!N19</f>
        <v>0</v>
      </c>
      <c r="I90" s="176">
        <f>Referentie_Materiaal_Totaal[[#This Row],[Hoeveelheid Vervaningen '[ton']]]*(1-Referentie_Materiaal_Totaal[[#This Row],[% Secundair]])</f>
        <v>0</v>
      </c>
      <c r="J90" s="176">
        <f>Referentie_Materiaal_Totaal[[#This Row],[Hoeveelheid Vervaningen '[ton']]]*Referentie_Materiaal_Totaal[[#This Row],[% Secundair]]</f>
        <v>0</v>
      </c>
      <c r="K90" s="176"/>
      <c r="L90" s="176"/>
      <c r="M90" s="176"/>
      <c r="N90" s="17"/>
      <c r="O90" s="17"/>
      <c r="P90" s="17"/>
      <c r="Q90" s="17"/>
      <c r="R90" s="17"/>
      <c r="S90" s="17"/>
    </row>
    <row r="91" spans="2:19" ht="18" x14ac:dyDescent="0.55000000000000004">
      <c r="B91" s="286" t="str">
        <f>Referentieberekening!B20</f>
        <v>Aanbrengen betonbuis rond profiel, ø300 mm - HWA.</v>
      </c>
      <c r="C91" s="67" t="str">
        <f>Referentieberekening!F20</f>
        <v>Betonbuis 300 mm</v>
      </c>
      <c r="D91" s="117">
        <f>Referentieberekening!L20*(0.46/2.5)</f>
        <v>18.399999999999999</v>
      </c>
      <c r="E91" s="76">
        <f>_xlfn.IFNA(VLOOKUP(Referentie_Materiaal_Totaal[[#This Row],[Product]]&amp;", "&amp;"Totaal",Database_Productkaarten[#All],63,FALSE),0)</f>
        <v>0</v>
      </c>
      <c r="F91" s="118">
        <f>Referentie_Materiaal_Totaal[[#This Row],[Hoeveelheid '[ton']]]*(1-Referentie_Materiaal_Totaal[[#This Row],[% Secundair]])</f>
        <v>18.399999999999999</v>
      </c>
      <c r="G91" s="118">
        <f>Referentie_Materiaal_Totaal[[#This Row],[Hoeveelheid '[ton']]]*Referentie_Materiaal_Totaal[[#This Row],[% Secundair]]</f>
        <v>0</v>
      </c>
      <c r="H91" s="176">
        <f>Referentieberekening!L20*Referentieberekening!N20</f>
        <v>0</v>
      </c>
      <c r="I91" s="176">
        <f>Referentie_Materiaal_Totaal[[#This Row],[Hoeveelheid Vervaningen '[ton']]]*(1-Referentie_Materiaal_Totaal[[#This Row],[% Secundair]])</f>
        <v>0</v>
      </c>
      <c r="J91" s="176">
        <f>Referentie_Materiaal_Totaal[[#This Row],[Hoeveelheid Vervaningen '[ton']]]*Referentie_Materiaal_Totaal[[#This Row],[% Secundair]]</f>
        <v>0</v>
      </c>
      <c r="K91" s="176"/>
      <c r="L91" s="176"/>
      <c r="M91" s="176"/>
      <c r="N91" s="17"/>
      <c r="O91" s="17"/>
      <c r="P91" s="17"/>
      <c r="Q91" s="17"/>
      <c r="R91" s="17"/>
      <c r="S91" s="17"/>
    </row>
    <row r="92" spans="2:19" ht="18" x14ac:dyDescent="0.55000000000000004">
      <c r="B92" s="286" t="str">
        <f>Referentieberekening!B21</f>
        <v>Aanbrengen betonbuis rond profiel, ø500 mm - HWA.</v>
      </c>
      <c r="C92" s="67" t="str">
        <f>Referentieberekening!F21</f>
        <v>Betonbuis 500 mm</v>
      </c>
      <c r="D92" s="117">
        <f>Referentieberekening!L21*(0.82/2.5)</f>
        <v>163.99999999999997</v>
      </c>
      <c r="E92" s="76">
        <f>_xlfn.IFNA(VLOOKUP(Referentie_Materiaal_Totaal[[#This Row],[Product]]&amp;", "&amp;"Totaal",Database_Productkaarten[#All],63,FALSE),0)</f>
        <v>0</v>
      </c>
      <c r="F92" s="118">
        <f>Referentie_Materiaal_Totaal[[#This Row],[Hoeveelheid '[ton']]]*(1-Referentie_Materiaal_Totaal[[#This Row],[% Secundair]])</f>
        <v>163.99999999999997</v>
      </c>
      <c r="G92" s="118">
        <f>Referentie_Materiaal_Totaal[[#This Row],[Hoeveelheid '[ton']]]*Referentie_Materiaal_Totaal[[#This Row],[% Secundair]]</f>
        <v>0</v>
      </c>
      <c r="H92" s="176">
        <f>Referentieberekening!L21*Referentieberekening!N21</f>
        <v>0</v>
      </c>
      <c r="I92" s="176">
        <f>Referentie_Materiaal_Totaal[[#This Row],[Hoeveelheid Vervaningen '[ton']]]*(1-Referentie_Materiaal_Totaal[[#This Row],[% Secundair]])</f>
        <v>0</v>
      </c>
      <c r="J92" s="176">
        <f>Referentie_Materiaal_Totaal[[#This Row],[Hoeveelheid Vervaningen '[ton']]]*Referentie_Materiaal_Totaal[[#This Row],[% Secundair]]</f>
        <v>0</v>
      </c>
      <c r="K92" s="176"/>
      <c r="L92" s="176"/>
      <c r="M92" s="176"/>
      <c r="N92" s="17"/>
      <c r="O92" s="17"/>
      <c r="P92" s="17"/>
      <c r="Q92" s="17"/>
      <c r="R92" s="17"/>
      <c r="S92" s="17"/>
    </row>
    <row r="93" spans="2:19" ht="18" x14ac:dyDescent="0.55000000000000004">
      <c r="B93" s="286" t="str">
        <f>Referentieberekening!B22</f>
        <v>Aanbrengen betonbuis rond profiel, ø700 mm - HWA.</v>
      </c>
      <c r="C93" s="67" t="str">
        <f>Referentieberekening!F22</f>
        <v>Betonbuis 800 mm</v>
      </c>
      <c r="D93" s="117">
        <f>Referentieberekening!L22*(1.66/2.5)</f>
        <v>33.199999999999996</v>
      </c>
      <c r="E93" s="76">
        <f>_xlfn.IFNA(VLOOKUP(Referentie_Materiaal_Totaal[[#This Row],[Product]]&amp;", "&amp;"Totaal",Database_Productkaarten[#All],63,FALSE),0)</f>
        <v>0</v>
      </c>
      <c r="F93" s="118">
        <f>Referentie_Materiaal_Totaal[[#This Row],[Hoeveelheid '[ton']]]*(1-Referentie_Materiaal_Totaal[[#This Row],[% Secundair]])</f>
        <v>33.199999999999996</v>
      </c>
      <c r="G93" s="118">
        <f>Referentie_Materiaal_Totaal[[#This Row],[Hoeveelheid '[ton']]]*Referentie_Materiaal_Totaal[[#This Row],[% Secundair]]</f>
        <v>0</v>
      </c>
      <c r="H93" s="176">
        <f>Referentieberekening!L22*Referentieberekening!N22</f>
        <v>0</v>
      </c>
      <c r="I93" s="176">
        <f>Referentie_Materiaal_Totaal[[#This Row],[Hoeveelheid Vervaningen '[ton']]]*(1-Referentie_Materiaal_Totaal[[#This Row],[% Secundair]])</f>
        <v>0</v>
      </c>
      <c r="J93" s="176">
        <f>Referentie_Materiaal_Totaal[[#This Row],[Hoeveelheid Vervaningen '[ton']]]*Referentie_Materiaal_Totaal[[#This Row],[% Secundair]]</f>
        <v>0</v>
      </c>
      <c r="K93" s="176"/>
      <c r="L93" s="176"/>
      <c r="M93" s="176"/>
      <c r="N93" s="17"/>
      <c r="O93" s="17"/>
      <c r="P93" s="17"/>
      <c r="Q93" s="17"/>
      <c r="R93" s="17"/>
      <c r="S93" s="17"/>
    </row>
    <row r="94" spans="2:19" ht="18" x14ac:dyDescent="0.55000000000000004">
      <c r="B94" s="286" t="str">
        <f>Referentieberekening!B23</f>
        <v>Aanbrengen betonbuis rond profiel, ø1000 mm - HWA.</v>
      </c>
      <c r="C94" s="67" t="str">
        <f>Referentieberekening!F23</f>
        <v>Betonbuis 1000 mm</v>
      </c>
      <c r="D94" s="117">
        <f>Referentieberekening!L23*(3.131/2.5)</f>
        <v>37.571999999999996</v>
      </c>
      <c r="E94" s="76">
        <f>_xlfn.IFNA(VLOOKUP(Referentie_Materiaal_Totaal[[#This Row],[Product]]&amp;", "&amp;"Totaal",Database_Productkaarten[#All],63,FALSE),0)</f>
        <v>0</v>
      </c>
      <c r="F94" s="118">
        <f>Referentie_Materiaal_Totaal[[#This Row],[Hoeveelheid '[ton']]]*(1-Referentie_Materiaal_Totaal[[#This Row],[% Secundair]])</f>
        <v>37.571999999999996</v>
      </c>
      <c r="G94" s="118">
        <f>Referentie_Materiaal_Totaal[[#This Row],[Hoeveelheid '[ton']]]*Referentie_Materiaal_Totaal[[#This Row],[% Secundair]]</f>
        <v>0</v>
      </c>
      <c r="H94" s="176">
        <f>Referentieberekening!L23*Referentieberekening!N23</f>
        <v>0</v>
      </c>
      <c r="I94" s="176">
        <f>Referentie_Materiaal_Totaal[[#This Row],[Hoeveelheid Vervaningen '[ton']]]*(1-Referentie_Materiaal_Totaal[[#This Row],[% Secundair]])</f>
        <v>0</v>
      </c>
      <c r="J94" s="176">
        <f>Referentie_Materiaal_Totaal[[#This Row],[Hoeveelheid Vervaningen '[ton']]]*Referentie_Materiaal_Totaal[[#This Row],[% Secundair]]</f>
        <v>0</v>
      </c>
      <c r="K94" s="176"/>
      <c r="L94" s="176"/>
      <c r="M94" s="176"/>
      <c r="N94" s="17"/>
      <c r="O94" s="17"/>
      <c r="P94" s="17"/>
      <c r="Q94" s="17"/>
      <c r="R94" s="17"/>
      <c r="S94" s="17"/>
    </row>
    <row r="95" spans="2:19" ht="18" x14ac:dyDescent="0.55000000000000004">
      <c r="B95" s="286" t="str">
        <f>Referentieberekening!B24</f>
        <v>Aanbrengen drainage rioolsleuf PP ø 125 mm.</v>
      </c>
      <c r="C95" s="67" t="str">
        <f>Referentieberekening!F24</f>
        <v>PP Drainbuis 125 mm</v>
      </c>
      <c r="D95" s="117">
        <f>Referentieberekening!L24*0.005</f>
        <v>3.4</v>
      </c>
      <c r="E95" s="76">
        <f>_xlfn.IFNA(VLOOKUP(Referentie_Materiaal_Totaal[[#This Row],[Product]]&amp;", "&amp;"Totaal",Database_Productkaarten[#All],63,FALSE),0)</f>
        <v>0</v>
      </c>
      <c r="F95" s="118">
        <f>Referentie_Materiaal_Totaal[[#This Row],[Hoeveelheid '[ton']]]*(1-Referentie_Materiaal_Totaal[[#This Row],[% Secundair]])</f>
        <v>3.4</v>
      </c>
      <c r="G95" s="118">
        <f>Referentie_Materiaal_Totaal[[#This Row],[Hoeveelheid '[ton']]]*Referentie_Materiaal_Totaal[[#This Row],[% Secundair]]</f>
        <v>0</v>
      </c>
      <c r="H95" s="176">
        <f>Referentieberekening!L24*Referentieberekening!N24</f>
        <v>0</v>
      </c>
      <c r="I95" s="176">
        <f>Referentie_Materiaal_Totaal[[#This Row],[Hoeveelheid Vervaningen '[ton']]]*(1-Referentie_Materiaal_Totaal[[#This Row],[% Secundair]])</f>
        <v>0</v>
      </c>
      <c r="J95" s="176">
        <f>Referentie_Materiaal_Totaal[[#This Row],[Hoeveelheid Vervaningen '[ton']]]*Referentie_Materiaal_Totaal[[#This Row],[% Secundair]]</f>
        <v>0</v>
      </c>
      <c r="K95" s="176"/>
      <c r="L95" s="176"/>
      <c r="M95" s="176"/>
      <c r="N95" s="17"/>
      <c r="O95" s="17"/>
      <c r="P95" s="17"/>
      <c r="Q95" s="17"/>
      <c r="R95" s="17"/>
      <c r="S95" s="17"/>
    </row>
    <row r="96" spans="2:19" ht="18" x14ac:dyDescent="0.55000000000000004">
      <c r="B96" s="286" t="str">
        <f>Referentieberekening!B25</f>
        <v>Aanbrengen betonbuis rond profiel, ø300 mm - DWA.</v>
      </c>
      <c r="C96" s="67" t="str">
        <f>Referentieberekening!F25</f>
        <v>Betonbuis 300 mm</v>
      </c>
      <c r="D96" s="117">
        <f>Referentieberekening!L25*(0.46/2.5)</f>
        <v>119.6</v>
      </c>
      <c r="E96" s="76">
        <f>_xlfn.IFNA(VLOOKUP(Referentie_Materiaal_Totaal[[#This Row],[Product]]&amp;", "&amp;"Totaal",Database_Productkaarten[#All],63,FALSE),0)</f>
        <v>0</v>
      </c>
      <c r="F96" s="118">
        <f>Referentie_Materiaal_Totaal[[#This Row],[Hoeveelheid '[ton']]]*(1-Referentie_Materiaal_Totaal[[#This Row],[% Secundair]])</f>
        <v>119.6</v>
      </c>
      <c r="G96" s="118">
        <f>Referentie_Materiaal_Totaal[[#This Row],[Hoeveelheid '[ton']]]*Referentie_Materiaal_Totaal[[#This Row],[% Secundair]]</f>
        <v>0</v>
      </c>
      <c r="H96" s="176">
        <f>Referentieberekening!L25*Referentieberekening!N25</f>
        <v>0</v>
      </c>
      <c r="I96" s="176">
        <f>Referentie_Materiaal_Totaal[[#This Row],[Hoeveelheid Vervaningen '[ton']]]*(1-Referentie_Materiaal_Totaal[[#This Row],[% Secundair]])</f>
        <v>0</v>
      </c>
      <c r="J96" s="176">
        <f>Referentie_Materiaal_Totaal[[#This Row],[Hoeveelheid Vervaningen '[ton']]]*Referentie_Materiaal_Totaal[[#This Row],[% Secundair]]</f>
        <v>0</v>
      </c>
      <c r="K96" s="176"/>
      <c r="L96" s="176"/>
      <c r="M96" s="176"/>
      <c r="N96" s="17"/>
      <c r="O96" s="17"/>
      <c r="P96" s="17"/>
      <c r="Q96" s="17"/>
      <c r="R96" s="17"/>
      <c r="S96" s="17"/>
    </row>
    <row r="97" spans="2:19" ht="18" x14ac:dyDescent="0.55000000000000004">
      <c r="B97" s="286" t="str">
        <f>Referentieberekening!B26</f>
        <v>Aanbrengen  PVC 160 mm, incl. grondwerk - HWA.</v>
      </c>
      <c r="C97" s="67" t="str">
        <f>Referentieberekening!F26</f>
        <v>PVC 200 mm</v>
      </c>
      <c r="D97" s="117">
        <f>Referentieberekening!L26*0.005</f>
        <v>1.25</v>
      </c>
      <c r="E97" s="76">
        <f>_xlfn.IFNA(VLOOKUP(Referentie_Materiaal_Totaal[[#This Row],[Product]]&amp;", "&amp;"Totaal",Database_Productkaarten[#All],63,FALSE),0)</f>
        <v>0</v>
      </c>
      <c r="F97" s="118">
        <f>Referentie_Materiaal_Totaal[[#This Row],[Hoeveelheid '[ton']]]*(1-Referentie_Materiaal_Totaal[[#This Row],[% Secundair]])</f>
        <v>1.25</v>
      </c>
      <c r="G97" s="118">
        <f>Referentie_Materiaal_Totaal[[#This Row],[Hoeveelheid '[ton']]]*Referentie_Materiaal_Totaal[[#This Row],[% Secundair]]</f>
        <v>0</v>
      </c>
      <c r="H97" s="176">
        <f>Referentieberekening!L26*Referentieberekening!N26</f>
        <v>0</v>
      </c>
      <c r="I97" s="176">
        <f>Referentie_Materiaal_Totaal[[#This Row],[Hoeveelheid Vervaningen '[ton']]]*(1-Referentie_Materiaal_Totaal[[#This Row],[% Secundair]])</f>
        <v>0</v>
      </c>
      <c r="J97" s="176">
        <f>Referentie_Materiaal_Totaal[[#This Row],[Hoeveelheid Vervaningen '[ton']]]*Referentie_Materiaal_Totaal[[#This Row],[% Secundair]]</f>
        <v>0</v>
      </c>
      <c r="K97" s="176"/>
      <c r="L97" s="176"/>
      <c r="M97" s="176"/>
      <c r="N97" s="17"/>
      <c r="O97" s="17"/>
      <c r="P97" s="17"/>
      <c r="Q97" s="17"/>
      <c r="R97" s="17"/>
      <c r="S97" s="17"/>
    </row>
    <row r="98" spans="2:19" ht="18" x14ac:dyDescent="0.55000000000000004">
      <c r="B98" s="286" t="str">
        <f>Referentieberekening!B27</f>
        <v>Aanbrengen  PVC 160 mm, incl. grondwerk - DWA.</v>
      </c>
      <c r="C98" s="67" t="str">
        <f>Referentieberekening!F27</f>
        <v>PVC 200 mm</v>
      </c>
      <c r="D98" s="117">
        <f>Referentieberekening!L27*0.005</f>
        <v>1.25</v>
      </c>
      <c r="E98" s="76">
        <f>_xlfn.IFNA(VLOOKUP(Referentie_Materiaal_Totaal[[#This Row],[Product]]&amp;", "&amp;"Totaal",Database_Productkaarten[#All],63,FALSE),0)</f>
        <v>0</v>
      </c>
      <c r="F98" s="118">
        <f>Referentie_Materiaal_Totaal[[#This Row],[Hoeveelheid '[ton']]]*(1-Referentie_Materiaal_Totaal[[#This Row],[% Secundair]])</f>
        <v>1.25</v>
      </c>
      <c r="G98" s="118">
        <f>Referentie_Materiaal_Totaal[[#This Row],[Hoeveelheid '[ton']]]*Referentie_Materiaal_Totaal[[#This Row],[% Secundair]]</f>
        <v>0</v>
      </c>
      <c r="H98" s="176">
        <f>Referentieberekening!L27*Referentieberekening!N27</f>
        <v>0</v>
      </c>
      <c r="I98" s="176">
        <f>Referentie_Materiaal_Totaal[[#This Row],[Hoeveelheid Vervaningen '[ton']]]*(1-Referentie_Materiaal_Totaal[[#This Row],[% Secundair]])</f>
        <v>0</v>
      </c>
      <c r="J98" s="176">
        <f>Referentie_Materiaal_Totaal[[#This Row],[Hoeveelheid Vervaningen '[ton']]]*Referentie_Materiaal_Totaal[[#This Row],[% Secundair]]</f>
        <v>0</v>
      </c>
      <c r="K98" s="176"/>
      <c r="L98" s="176"/>
      <c r="M98" s="176"/>
      <c r="N98" s="17"/>
      <c r="O98" s="17"/>
      <c r="P98" s="17"/>
      <c r="Q98" s="17"/>
      <c r="R98" s="17"/>
      <c r="S98" s="17"/>
    </row>
    <row r="99" spans="2:19" ht="18" x14ac:dyDescent="0.55000000000000004">
      <c r="B99" s="286" t="str">
        <f>Referentieberekening!B28</f>
        <v xml:space="preserve"> Grond ontgraven uit cunet, hoogte 1,0 m - rijweg/ fietspad </v>
      </c>
      <c r="C99" s="67" t="str">
        <f>Referentieberekening!F28</f>
        <v>Grond</v>
      </c>
      <c r="D99" s="117">
        <f>Referentieberekening!L28</f>
        <v>12160</v>
      </c>
      <c r="E99" s="76">
        <f>_xlfn.IFNA(VLOOKUP(Referentie_Materiaal_Totaal[[#This Row],[Product]]&amp;", "&amp;"Totaal",Database_Productkaarten[#All],63,FALSE),0)</f>
        <v>1</v>
      </c>
      <c r="F99" s="118">
        <f>Referentie_Materiaal_Totaal[[#This Row],[Hoeveelheid '[ton']]]*(1-Referentie_Materiaal_Totaal[[#This Row],[% Secundair]])</f>
        <v>0</v>
      </c>
      <c r="G99" s="118">
        <f>Referentie_Materiaal_Totaal[[#This Row],[Hoeveelheid '[ton']]]*Referentie_Materiaal_Totaal[[#This Row],[% Secundair]]</f>
        <v>12160</v>
      </c>
      <c r="H99" s="176">
        <f>Referentieberekening!L28*Referentieberekening!N28</f>
        <v>0</v>
      </c>
      <c r="I99" s="176">
        <f>Referentie_Materiaal_Totaal[[#This Row],[Hoeveelheid Vervaningen '[ton']]]*(1-Referentie_Materiaal_Totaal[[#This Row],[% Secundair]])</f>
        <v>0</v>
      </c>
      <c r="J99" s="176">
        <f>Referentie_Materiaal_Totaal[[#This Row],[Hoeveelheid Vervaningen '[ton']]]*Referentie_Materiaal_Totaal[[#This Row],[% Secundair]]</f>
        <v>0</v>
      </c>
      <c r="K99" s="176"/>
      <c r="L99" s="176"/>
      <c r="M99" s="176"/>
      <c r="N99" s="17"/>
      <c r="O99" s="17"/>
      <c r="P99" s="17"/>
      <c r="Q99" s="17"/>
      <c r="R99" s="17"/>
      <c r="S99" s="17"/>
    </row>
    <row r="100" spans="2:19" ht="18" x14ac:dyDescent="0.55000000000000004">
      <c r="B100" s="286" t="str">
        <f>Referentieberekening!B29</f>
        <v xml:space="preserve"> Grond ontgraven uit cunet, hoogte 0,90 m - voetpad. </v>
      </c>
      <c r="C100" s="67" t="str">
        <f>Referentieberekening!F29</f>
        <v>Grond</v>
      </c>
      <c r="D100" s="117">
        <f>Referentieberekening!L29</f>
        <v>1040</v>
      </c>
      <c r="E100" s="76">
        <f>_xlfn.IFNA(VLOOKUP(Referentie_Materiaal_Totaal[[#This Row],[Product]]&amp;", "&amp;"Totaal",Database_Productkaarten[#All],63,FALSE),0)</f>
        <v>1</v>
      </c>
      <c r="F100" s="118">
        <f>Referentie_Materiaal_Totaal[[#This Row],[Hoeveelheid '[ton']]]*(1-Referentie_Materiaal_Totaal[[#This Row],[% Secundair]])</f>
        <v>0</v>
      </c>
      <c r="G100" s="118">
        <f>Referentie_Materiaal_Totaal[[#This Row],[Hoeveelheid '[ton']]]*Referentie_Materiaal_Totaal[[#This Row],[% Secundair]]</f>
        <v>1040</v>
      </c>
      <c r="H100" s="176">
        <f>Referentieberekening!L29*Referentieberekening!N29</f>
        <v>0</v>
      </c>
      <c r="I100" s="176">
        <f>Referentie_Materiaal_Totaal[[#This Row],[Hoeveelheid Vervaningen '[ton']]]*(1-Referentie_Materiaal_Totaal[[#This Row],[% Secundair]])</f>
        <v>0</v>
      </c>
      <c r="J100" s="176">
        <f>Referentie_Materiaal_Totaal[[#This Row],[Hoeveelheid Vervaningen '[ton']]]*Referentie_Materiaal_Totaal[[#This Row],[% Secundair]]</f>
        <v>0</v>
      </c>
      <c r="K100" s="176"/>
      <c r="L100" s="176"/>
      <c r="M100" s="176"/>
      <c r="N100" s="17"/>
      <c r="O100" s="17"/>
      <c r="P100" s="17"/>
      <c r="Q100" s="17"/>
      <c r="R100" s="17"/>
      <c r="S100" s="17"/>
    </row>
    <row r="101" spans="2:19" ht="18" x14ac:dyDescent="0.55000000000000004">
      <c r="B101" s="286" t="str">
        <f>Referentieberekening!B30</f>
        <v xml:space="preserve"> Grond ontgraven uit cunet, hoogte 0,90 m - overige verharding. </v>
      </c>
      <c r="C101" s="67" t="str">
        <f>Referentieberekening!F30</f>
        <v>Grond</v>
      </c>
      <c r="D101" s="117">
        <f>Referentieberekening!L30</f>
        <v>1760</v>
      </c>
      <c r="E101" s="76">
        <f>_xlfn.IFNA(VLOOKUP(Referentie_Materiaal_Totaal[[#This Row],[Product]]&amp;", "&amp;"Totaal",Database_Productkaarten[#All],63,FALSE),0)</f>
        <v>1</v>
      </c>
      <c r="F101" s="118">
        <f>Referentie_Materiaal_Totaal[[#This Row],[Hoeveelheid '[ton']]]*(1-Referentie_Materiaal_Totaal[[#This Row],[% Secundair]])</f>
        <v>0</v>
      </c>
      <c r="G101" s="118">
        <f>Referentie_Materiaal_Totaal[[#This Row],[Hoeveelheid '[ton']]]*Referentie_Materiaal_Totaal[[#This Row],[% Secundair]]</f>
        <v>1760</v>
      </c>
      <c r="H101" s="176">
        <f>Referentieberekening!L30*Referentieberekening!N30</f>
        <v>0</v>
      </c>
      <c r="I101" s="176">
        <f>Referentie_Materiaal_Totaal[[#This Row],[Hoeveelheid Vervaningen '[ton']]]*(1-Referentie_Materiaal_Totaal[[#This Row],[% Secundair]])</f>
        <v>0</v>
      </c>
      <c r="J101" s="176">
        <f>Referentie_Materiaal_Totaal[[#This Row],[Hoeveelheid Vervaningen '[ton']]]*Referentie_Materiaal_Totaal[[#This Row],[% Secundair]]</f>
        <v>0</v>
      </c>
      <c r="K101" s="176"/>
      <c r="L101" s="176"/>
      <c r="M101" s="176"/>
      <c r="N101" s="17"/>
      <c r="O101" s="17"/>
      <c r="P101" s="17"/>
      <c r="Q101" s="17"/>
      <c r="R101" s="17"/>
      <c r="S101" s="17"/>
    </row>
    <row r="102" spans="2:19" ht="18" x14ac:dyDescent="0.55000000000000004">
      <c r="B102" s="286" t="str">
        <f>Referentieberekening!B31</f>
        <v>Grond ontgraven t.b.v. sleuf hoofdriool.</v>
      </c>
      <c r="C102" s="67" t="str">
        <f>Referentieberekening!F31</f>
        <v>Grond</v>
      </c>
      <c r="D102" s="117">
        <f>Referentieberekening!L31</f>
        <v>3280</v>
      </c>
      <c r="E102" s="76">
        <f>_xlfn.IFNA(VLOOKUP(Referentie_Materiaal_Totaal[[#This Row],[Product]]&amp;", "&amp;"Totaal",Database_Productkaarten[#All],63,FALSE),0)</f>
        <v>1</v>
      </c>
      <c r="F102" s="118">
        <f>Referentie_Materiaal_Totaal[[#This Row],[Hoeveelheid '[ton']]]*(1-Referentie_Materiaal_Totaal[[#This Row],[% Secundair]])</f>
        <v>0</v>
      </c>
      <c r="G102" s="118">
        <f>Referentie_Materiaal_Totaal[[#This Row],[Hoeveelheid '[ton']]]*Referentie_Materiaal_Totaal[[#This Row],[% Secundair]]</f>
        <v>3280</v>
      </c>
      <c r="H102" s="176">
        <f>Referentieberekening!L31*Referentieberekening!N31</f>
        <v>0</v>
      </c>
      <c r="I102" s="176">
        <f>Referentie_Materiaal_Totaal[[#This Row],[Hoeveelheid Vervaningen '[ton']]]*(1-Referentie_Materiaal_Totaal[[#This Row],[% Secundair]])</f>
        <v>0</v>
      </c>
      <c r="J102" s="176">
        <f>Referentie_Materiaal_Totaal[[#This Row],[Hoeveelheid Vervaningen '[ton']]]*Referentie_Materiaal_Totaal[[#This Row],[% Secundair]]</f>
        <v>0</v>
      </c>
      <c r="K102" s="176"/>
      <c r="L102" s="176"/>
      <c r="M102" s="176"/>
      <c r="N102" s="17"/>
      <c r="O102" s="17"/>
      <c r="P102" s="17"/>
      <c r="Q102" s="17"/>
      <c r="R102" s="17"/>
      <c r="S102" s="17"/>
    </row>
    <row r="103" spans="2:19" ht="18" x14ac:dyDescent="0.55000000000000004">
      <c r="B103" s="286" t="str">
        <f>Referentieberekening!B32</f>
        <v xml:space="preserve"> Zand leveren en verwerken in cunet, hoogte 0,70 m - rijweg. </v>
      </c>
      <c r="C103" s="67" t="str">
        <f>Referentieberekening!F32</f>
        <v>Ophoogzand, Cascade-leden</v>
      </c>
      <c r="D103" s="117">
        <f>Referentieberekening!L32</f>
        <v>9095</v>
      </c>
      <c r="E103" s="76">
        <f>_xlfn.IFNA(VLOOKUP(Referentie_Materiaal_Totaal[[#This Row],[Product]]&amp;", "&amp;"Totaal",Database_Productkaarten[#All],63,FALSE),0)</f>
        <v>0</v>
      </c>
      <c r="F103" s="118">
        <f>Referentie_Materiaal_Totaal[[#This Row],[Hoeveelheid '[ton']]]*(1-Referentie_Materiaal_Totaal[[#This Row],[% Secundair]])</f>
        <v>9095</v>
      </c>
      <c r="G103" s="118">
        <f>Referentie_Materiaal_Totaal[[#This Row],[Hoeveelheid '[ton']]]*Referentie_Materiaal_Totaal[[#This Row],[% Secundair]]</f>
        <v>0</v>
      </c>
      <c r="H103" s="176">
        <f>Referentieberekening!L32*Referentieberekening!N32</f>
        <v>0</v>
      </c>
      <c r="I103" s="176">
        <f>Referentie_Materiaal_Totaal[[#This Row],[Hoeveelheid Vervaningen '[ton']]]*(1-Referentie_Materiaal_Totaal[[#This Row],[% Secundair]])</f>
        <v>0</v>
      </c>
      <c r="J103" s="176">
        <f>Referentie_Materiaal_Totaal[[#This Row],[Hoeveelheid Vervaningen '[ton']]]*Referentie_Materiaal_Totaal[[#This Row],[% Secundair]]</f>
        <v>0</v>
      </c>
      <c r="K103" s="176"/>
      <c r="L103" s="176"/>
      <c r="M103" s="176"/>
      <c r="N103" s="17"/>
      <c r="O103" s="17"/>
      <c r="P103" s="17"/>
      <c r="Q103" s="17"/>
      <c r="R103" s="17"/>
      <c r="S103" s="17"/>
    </row>
    <row r="104" spans="2:19" ht="18" x14ac:dyDescent="0.55000000000000004">
      <c r="B104" s="286" t="str">
        <f>Referentieberekening!B33</f>
        <v xml:space="preserve"> Zand verwerken in cunet, hoogte 1,00 m - voetpad (vrijgekomen). </v>
      </c>
      <c r="C104" s="67" t="str">
        <f>Referentieberekening!F33</f>
        <v>Zand (hergebruik)</v>
      </c>
      <c r="D104" s="117">
        <f>Referentieberekening!L33</f>
        <v>1275</v>
      </c>
      <c r="E104" s="76">
        <f>_xlfn.IFNA(VLOOKUP(Referentie_Materiaal_Totaal[[#This Row],[Product]]&amp;", "&amp;"Totaal",Database_Productkaarten[#All],63,FALSE),0)</f>
        <v>1</v>
      </c>
      <c r="F104" s="118">
        <f>Referentie_Materiaal_Totaal[[#This Row],[Hoeveelheid '[ton']]]*(1-Referentie_Materiaal_Totaal[[#This Row],[% Secundair]])</f>
        <v>0</v>
      </c>
      <c r="G104" s="118">
        <f>Referentie_Materiaal_Totaal[[#This Row],[Hoeveelheid '[ton']]]*Referentie_Materiaal_Totaal[[#This Row],[% Secundair]]</f>
        <v>1275</v>
      </c>
      <c r="H104" s="176">
        <f>Referentieberekening!L33*Referentieberekening!N33</f>
        <v>0</v>
      </c>
      <c r="I104" s="176">
        <f>Referentie_Materiaal_Totaal[[#This Row],[Hoeveelheid Vervaningen '[ton']]]*(1-Referentie_Materiaal_Totaal[[#This Row],[% Secundair]])</f>
        <v>0</v>
      </c>
      <c r="J104" s="176">
        <f>Referentie_Materiaal_Totaal[[#This Row],[Hoeveelheid Vervaningen '[ton']]]*Referentie_Materiaal_Totaal[[#This Row],[% Secundair]]</f>
        <v>0</v>
      </c>
      <c r="K104" s="176"/>
      <c r="L104" s="176"/>
      <c r="M104" s="176"/>
      <c r="N104" s="17"/>
      <c r="O104" s="17"/>
      <c r="P104" s="17"/>
      <c r="Q104" s="17"/>
      <c r="R104" s="17"/>
      <c r="S104" s="17"/>
    </row>
    <row r="105" spans="2:19" ht="18" x14ac:dyDescent="0.55000000000000004">
      <c r="B105" s="286" t="str">
        <f>Referentieberekening!B34</f>
        <v xml:space="preserve"> Zand verwerken in cunet, hoogte 1,00 m - overige verharding (vrijgekomen). </v>
      </c>
      <c r="C105" s="67" t="str">
        <f>Referentieberekening!F34</f>
        <v>Zand (hergebruik)</v>
      </c>
      <c r="D105" s="117">
        <f>Referentieberekening!L34</f>
        <v>2125</v>
      </c>
      <c r="E105" s="76">
        <f>_xlfn.IFNA(VLOOKUP(Referentie_Materiaal_Totaal[[#This Row],[Product]]&amp;", "&amp;"Totaal",Database_Productkaarten[#All],63,FALSE),0)</f>
        <v>1</v>
      </c>
      <c r="F105" s="118">
        <f>Referentie_Materiaal_Totaal[[#This Row],[Hoeveelheid '[ton']]]*(1-Referentie_Materiaal_Totaal[[#This Row],[% Secundair]])</f>
        <v>0</v>
      </c>
      <c r="G105" s="118">
        <f>Referentie_Materiaal_Totaal[[#This Row],[Hoeveelheid '[ton']]]*Referentie_Materiaal_Totaal[[#This Row],[% Secundair]]</f>
        <v>2125</v>
      </c>
      <c r="H105" s="176">
        <f>Referentieberekening!L34*Referentieberekening!N34</f>
        <v>0</v>
      </c>
      <c r="I105" s="176">
        <f>Referentie_Materiaal_Totaal[[#This Row],[Hoeveelheid Vervaningen '[ton']]]*(1-Referentie_Materiaal_Totaal[[#This Row],[% Secundair]])</f>
        <v>0</v>
      </c>
      <c r="J105" s="176">
        <f>Referentie_Materiaal_Totaal[[#This Row],[Hoeveelheid Vervaningen '[ton']]]*Referentie_Materiaal_Totaal[[#This Row],[% Secundair]]</f>
        <v>0</v>
      </c>
      <c r="K105" s="176"/>
      <c r="L105" s="176"/>
      <c r="M105" s="176"/>
      <c r="N105" s="17"/>
      <c r="O105" s="17"/>
      <c r="P105" s="17"/>
      <c r="Q105" s="17"/>
      <c r="R105" s="17"/>
      <c r="S105" s="17"/>
    </row>
    <row r="106" spans="2:19" ht="18.5" thickBot="1" x14ac:dyDescent="0.6">
      <c r="B106" s="286" t="str">
        <f>Referentieberekening!B35</f>
        <v xml:space="preserve"> Aanvullen sleuf ten behoeve van hoofdriolering. </v>
      </c>
      <c r="C106" s="67" t="str">
        <f>Referentieberekening!F35</f>
        <v>Zand (hergebruik)</v>
      </c>
      <c r="D106" s="117">
        <f>Referentieberekening!L35</f>
        <v>3315</v>
      </c>
      <c r="E106" s="76">
        <f>_xlfn.IFNA(VLOOKUP(Referentie_Materiaal_Totaal[[#This Row],[Product]]&amp;", "&amp;"Totaal",Database_Productkaarten[#All],63,FALSE),0)</f>
        <v>1</v>
      </c>
      <c r="F106" s="118">
        <f>Referentie_Materiaal_Totaal[[#This Row],[Hoeveelheid '[ton']]]*(1-Referentie_Materiaal_Totaal[[#This Row],[% Secundair]])</f>
        <v>0</v>
      </c>
      <c r="G106" s="118">
        <f>Referentie_Materiaal_Totaal[[#This Row],[Hoeveelheid '[ton']]]*Referentie_Materiaal_Totaal[[#This Row],[% Secundair]]</f>
        <v>3315</v>
      </c>
      <c r="H106" s="176">
        <f>Referentieberekening!L35*Referentieberekening!N35</f>
        <v>0</v>
      </c>
      <c r="I106" s="176">
        <f>Referentie_Materiaal_Totaal[[#This Row],[Hoeveelheid Vervaningen '[ton']]]*(1-Referentie_Materiaal_Totaal[[#This Row],[% Secundair]])</f>
        <v>0</v>
      </c>
      <c r="J106" s="176">
        <f>Referentie_Materiaal_Totaal[[#This Row],[Hoeveelheid Vervaningen '[ton']]]*Referentie_Materiaal_Totaal[[#This Row],[% Secundair]]</f>
        <v>0</v>
      </c>
      <c r="K106" s="176"/>
      <c r="L106" s="176"/>
      <c r="M106" s="176"/>
      <c r="N106" s="17"/>
      <c r="O106" s="17"/>
      <c r="P106" s="17"/>
      <c r="Q106" s="17"/>
      <c r="R106" s="17"/>
      <c r="S106" s="17"/>
    </row>
    <row r="107" spans="2:19" ht="18.5" thickTop="1" x14ac:dyDescent="0.55000000000000004">
      <c r="B107" s="68" t="s">
        <v>16</v>
      </c>
      <c r="C107" s="69"/>
      <c r="D107" s="97">
        <f>SUBTOTAL(109,Referentie_Materiaal_Totaal[Hoeveelheid '[ton']])</f>
        <v>44884.261500000001</v>
      </c>
      <c r="E107" s="69"/>
      <c r="F107" s="97">
        <f>SUBTOTAL(109,Referentie_Materiaal_Totaal[Primair materiaalverbruik '[ton']])</f>
        <v>11649.979499999999</v>
      </c>
      <c r="G107" s="97">
        <f>SUBTOTAL(109,Referentie_Materiaal_Totaal[Secundair materiaalverbruik '[ton']])</f>
        <v>33234.281999999999</v>
      </c>
      <c r="H107" s="180">
        <f>SUBTOTAL(109,Referentie_Materiaal_Totaal[Hoeveelheid Vervaningen '[ton']])</f>
        <v>0</v>
      </c>
      <c r="I107" s="180">
        <f>SUBTOTAL(109,Referentie_Materiaal_Totaal[Primair materiaalverbruik Vervangingen '[ton']])</f>
        <v>0</v>
      </c>
      <c r="J107" s="180">
        <f>SUBTOTAL(109,Referentie_Materiaal_Totaal[Secundair materiaalverbruik Vervangingen '[ton']])</f>
        <v>0</v>
      </c>
      <c r="K107" s="180"/>
      <c r="L107" s="180"/>
      <c r="M107" s="180"/>
      <c r="N107" s="17"/>
      <c r="O107" s="17"/>
      <c r="P107" s="17"/>
      <c r="Q107" s="17"/>
      <c r="R107" s="17"/>
      <c r="S107" s="17"/>
    </row>
    <row r="108" spans="2:19" ht="18" x14ac:dyDescent="0.55000000000000004">
      <c r="B108" s="17"/>
      <c r="C108" s="17"/>
      <c r="D108" s="17"/>
      <c r="E108" s="17"/>
      <c r="F108" s="17"/>
      <c r="G108" s="17"/>
      <c r="H108" s="17"/>
      <c r="I108" s="17"/>
      <c r="J108" s="17"/>
      <c r="K108" s="17"/>
      <c r="L108" s="17"/>
      <c r="M108" s="17"/>
      <c r="N108" s="17"/>
      <c r="O108" s="17"/>
      <c r="P108" s="17"/>
    </row>
    <row r="109" spans="2:19" ht="18" x14ac:dyDescent="0.55000000000000004">
      <c r="B109" s="17"/>
      <c r="C109" s="17"/>
      <c r="D109" s="17"/>
      <c r="E109" s="17"/>
      <c r="F109" s="17"/>
      <c r="G109" s="17"/>
      <c r="H109" s="17"/>
      <c r="I109" s="17"/>
      <c r="J109" s="17"/>
      <c r="K109" s="17"/>
      <c r="L109" s="17"/>
      <c r="M109" s="17"/>
      <c r="N109" s="17"/>
      <c r="O109" s="17"/>
      <c r="P109" s="17"/>
    </row>
    <row r="110" spans="2:19" ht="20.149999999999999" customHeight="1" x14ac:dyDescent="0.65">
      <c r="B110" s="134" t="s">
        <v>367</v>
      </c>
      <c r="C110" s="134"/>
      <c r="D110" s="134"/>
      <c r="E110" s="17"/>
      <c r="F110" s="17"/>
      <c r="G110" s="17"/>
      <c r="H110" s="17"/>
      <c r="I110" s="17"/>
      <c r="J110" s="17"/>
      <c r="K110" s="17"/>
      <c r="L110" s="17"/>
      <c r="M110" s="17"/>
      <c r="N110" s="17"/>
      <c r="O110" s="17"/>
      <c r="P110" s="17"/>
    </row>
    <row r="111" spans="2:19" ht="18.5" thickBot="1" x14ac:dyDescent="0.6">
      <c r="B111" s="65" t="s">
        <v>55</v>
      </c>
      <c r="C111" s="66" t="s">
        <v>4</v>
      </c>
      <c r="D111" s="79" t="s">
        <v>19</v>
      </c>
      <c r="E111" s="80" t="s">
        <v>20</v>
      </c>
      <c r="F111" s="81" t="s">
        <v>21</v>
      </c>
      <c r="G111" s="82" t="s">
        <v>22</v>
      </c>
      <c r="H111" s="83" t="s">
        <v>23</v>
      </c>
      <c r="I111" s="84" t="s">
        <v>24</v>
      </c>
      <c r="J111" s="85" t="s">
        <v>50</v>
      </c>
      <c r="K111" s="86" t="s">
        <v>25</v>
      </c>
      <c r="L111" s="87" t="s">
        <v>26</v>
      </c>
      <c r="M111" s="88" t="s">
        <v>27</v>
      </c>
      <c r="N111" s="89" t="s">
        <v>28</v>
      </c>
      <c r="O111" s="90" t="s">
        <v>51</v>
      </c>
      <c r="P111" s="91" t="s">
        <v>52</v>
      </c>
      <c r="Q111" s="192" t="s">
        <v>16</v>
      </c>
    </row>
    <row r="112" spans="2:19" ht="18.5" thickTop="1" x14ac:dyDescent="0.55000000000000004">
      <c r="B112" s="286" t="str">
        <f>Referentieberekening!B5</f>
        <v xml:space="preserve"> Opbreken betonstraatstenen. </v>
      </c>
      <c r="C112" s="92" t="str">
        <f>Referentieberekening!F5</f>
        <v>Betonstraatsteen 210x105x80</v>
      </c>
      <c r="D112" s="93">
        <f>(IF(Referentieberekening!C5="Nieuwe Situatie",(_xlfn.IFNA(VLOOKUP(Referentie_Hernieuwbare_Energie_Totaal[[#This Row],[Product]]&amp;", "&amp;Referentie_Hernieuwbare_Energie_Totaal[[#Headers],[A1]],Database_Productkaarten[#All],47,FALSE),0)*Referentieberekening!L5),0))</f>
        <v>0</v>
      </c>
      <c r="E112" s="93">
        <f>(IF(Referentieberekening!C5="Nieuwe Situatie",(_xlfn.IFNA(VLOOKUP(Referentie_Hernieuwbare_Energie_Totaal[[#This Row],[Product]]&amp;", "&amp;Referentie_Hernieuwbare_Energie_Totaal[[#Headers],[A2]],Database_Productkaarten[#All],47,FALSE),0)*Referentieberekening!L5),0))</f>
        <v>0</v>
      </c>
      <c r="F112" s="93">
        <f>(IF(Referentieberekening!C5="Nieuwe Situatie",(_xlfn.IFNA(VLOOKUP(Referentie_Hernieuwbare_Energie_Totaal[[#This Row],[Product]]&amp;", "&amp;Referentie_Hernieuwbare_Energie_Totaal[[#Headers],[A3]],Database_Productkaarten[#All],47,FALSE),0)*Referentieberekening!L5),0))</f>
        <v>0</v>
      </c>
      <c r="G112" s="93">
        <f>IF(Referentieberekening!P5=0,(IF(Referentieberekening!C5="Nieuwe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f>
        <v>0</v>
      </c>
      <c r="H112" s="93">
        <f>(IF(Referentieberekening!C5="Nieuwe Situatie",(_xlfn.IFNA(VLOOKUP(Referentie_Hernieuwbare_Energie_Totaal[[#This Row],[Product]]&amp;", "&amp;Referentie_Hernieuwbare_Energie_Totaal[[#Headers],[A5]],Database_Productkaarten[#All],47,FALSE),0)*Referentieberekening!L5),0))</f>
        <v>0</v>
      </c>
      <c r="I112" s="93">
        <f>(IF(Referentieberekening!C5="Nieuwe Situatie",(_xlfn.IFNA(VLOOKUP(Referentie_Hernieuwbare_Energie_Totaal[[#This Row],[Product]]&amp;", "&amp;Referentie_Hernieuwbare_Energie_Totaal[[#Headers],[B1]],Database_Productkaarten[#All],47,FALSE),0)*Referentieberekening!L5),0))</f>
        <v>0</v>
      </c>
      <c r="J112" s="93">
        <f>(IF(Referentieberekening!C5="Nieuwe Situatie",(SUM(Referentie_Hernieuwbare_Energie_Totaal[[#This Row],[A1]:[B1]],Referentie_Hernieuwbare_Energie_Totaal[[#This Row],[C1]:[D2]])*Referentieberekening!N5),0))</f>
        <v>0</v>
      </c>
      <c r="K112" s="93">
        <f>(IF(Referentieberekening!C5="Bestaande Situatie",(_xlfn.IFNA(VLOOKUP(Referentie_Hernieuwbare_Energie_Totaal[[#This Row],[Product]]&amp;", "&amp;Referentie_Hernieuwbare_Energie_Totaal[[#Headers],[C1]],Database_Productkaarten[#All],47,FALSE),0)*Referentieberekening!L5),0))</f>
        <v>0</v>
      </c>
      <c r="L112" s="93">
        <f>(IF(Referentieberekening!C5="Bestaande Situatie",(_xlfn.IFNA(VLOOKUP(Referentie_Hernieuwbare_Energie_Totaal[[#This Row],[Product]]&amp;", "&amp;Referentie_Hernieuwbare_Energie_Totaal[[#Headers],[C2]],Database_Productkaarten[#All],47,FALSE),0)*Referentieberekening!L5),0))</f>
        <v>0</v>
      </c>
      <c r="M112" s="93">
        <f>(IF(Referentieberekening!C5="Bestaande Situatie",(_xlfn.IFNA(VLOOKUP(Referentie_Hernieuwbare_Energie_Totaal[[#This Row],[Product]]&amp;", "&amp;Referentie_Hernieuwbare_Energie_Totaal[[#Headers],[C3]],Database_Productkaarten[#All],47,FALSE),0)*Referentieberekening!L5),0))</f>
        <v>0</v>
      </c>
      <c r="N112" s="93">
        <f>(IF(Referentieberekening!C5="Bestaande Situatie",(_xlfn.IFNA(VLOOKUP(Referentie_Hernieuwbare_Energie_Totaal[[#This Row],[Product]]&amp;", "&amp;Referentie_Hernieuwbare_Energie_Totaal[[#Headers],[C4]],Database_Productkaarten[#All],47,FALSE),0)*Referentieberekening!L5),0))</f>
        <v>0</v>
      </c>
      <c r="O112" s="93">
        <f>(IF(Referentieberekening!C5="Bestaande Situatie",(_xlfn.IFNA(VLOOKUP(Referentie_Hernieuwbare_Energie_Totaal[[#This Row],[Product]]&amp;", "&amp;Referentie_Hernieuwbare_Energie_Totaal[[#Headers],[D1]],Database_Productkaarten[#All],47,FALSE),0)*Referentieberekening!L5),0))</f>
        <v>0</v>
      </c>
      <c r="P112" s="94">
        <f>(IF(Referentieberekening!C5="Bestaande Situatie",_xlfn.IFNA(VLOOKUP(Referentie_Hernieuwbare_Energie_Totaal[[#This Row],[Product]]&amp;", "&amp;Referentie_Hernieuwbare_Energie_Totaal[[#Headers],[D2]],Database_Productkaarten[#All],47,FALSE),0)*Referentieberekening!L5,0))</f>
        <v>0</v>
      </c>
      <c r="Q112" s="72">
        <f>SUM(Referentie_Hernieuwbare_Energie_Totaal[[#This Row],[A1]:[D2]])</f>
        <v>0</v>
      </c>
    </row>
    <row r="113" spans="2:17" ht="18" x14ac:dyDescent="0.55000000000000004">
      <c r="B113" s="286" t="str">
        <f>Referentieberekening!B6</f>
        <v>Aanbrengen band 280x300x260 mm, betonrug.</v>
      </c>
      <c r="C113" s="92" t="str">
        <f>Referentieberekening!F6</f>
        <v>Trottoirband 280x300</v>
      </c>
      <c r="D113" s="93">
        <f>(IF(Referentieberekening!C6="Nieuwe Situatie",(_xlfn.IFNA(VLOOKUP(Referentie_Hernieuwbare_Energie_Totaal[[#This Row],[Product]]&amp;", "&amp;Referentie_Hernieuwbare_Energie_Totaal[[#Headers],[A1]],Database_Productkaarten[#All],47,FALSE),0)*Referentieberekening!L6),0))</f>
        <v>0</v>
      </c>
      <c r="E113" s="93">
        <f>(IF(Referentieberekening!C6="Nieuwe Situatie",(_xlfn.IFNA(VLOOKUP(Referentie_Hernieuwbare_Energie_Totaal[[#This Row],[Product]]&amp;", "&amp;Referentie_Hernieuwbare_Energie_Totaal[[#Headers],[A2]],Database_Productkaarten[#All],47,FALSE),0)*Referentieberekening!L6),0))</f>
        <v>0</v>
      </c>
      <c r="F113" s="93">
        <f>(IF(Referentieberekening!C6="Nieuwe Situatie",(_xlfn.IFNA(VLOOKUP(Referentie_Hernieuwbare_Energie_Totaal[[#This Row],[Product]]&amp;", "&amp;Referentie_Hernieuwbare_Energie_Totaal[[#Headers],[A3]],Database_Productkaarten[#All],47,FALSE),0)*Referentieberekening!L6),0))</f>
        <v>0</v>
      </c>
      <c r="G113" s="93">
        <f>IF(Referentieberekening!P6=0,(IF(Referentieberekening!C6="Nieuwe Situatie",(_xlfn.IFNA(VLOOKUP(Referentie_Hernieuwbare_Energie_Totaal[[#This Row],[Product]]&amp;", "&amp;Referentie_Hernieuwbare_Energie_Totaal[[#Headers],[A4]],Database_Productkaarten[#All],47,FALSE),0)*Referentieberekening!L6),0)),(IF(Inschrijfberekening!C6="Nieuwe Situatie",_xlfn.IFNA(VLOOKUP(Inschrijfberekening!K38,Database_Transport[#All],45,FALSE)*(Inschrijfberekening!K6*Inschrijfberekening!N6),0),0)))</f>
        <v>0</v>
      </c>
      <c r="H113" s="93">
        <f>(IF(Referentieberekening!C6="Nieuwe Situatie",(_xlfn.IFNA(VLOOKUP(Referentie_Hernieuwbare_Energie_Totaal[[#This Row],[Product]]&amp;", "&amp;Referentie_Hernieuwbare_Energie_Totaal[[#Headers],[A5]],Database_Productkaarten[#All],47,FALSE),0)*Referentieberekening!L6),0))</f>
        <v>0</v>
      </c>
      <c r="I113" s="93">
        <f>(IF(Referentieberekening!C6="Nieuwe Situatie",(_xlfn.IFNA(VLOOKUP(Referentie_Hernieuwbare_Energie_Totaal[[#This Row],[Product]]&amp;", "&amp;Referentie_Hernieuwbare_Energie_Totaal[[#Headers],[B1]],Database_Productkaarten[#All],47,FALSE),0)*Referentieberekening!L6),0))</f>
        <v>0</v>
      </c>
      <c r="J113" s="93">
        <f>(IF(Referentieberekening!C6="Nieuwe Situatie",(SUM(Referentie_Hernieuwbare_Energie_Totaal[[#This Row],[A1]:[B1]],Referentie_Hernieuwbare_Energie_Totaal[[#This Row],[C1]:[D2]])*Referentieberekening!N6),0))</f>
        <v>0</v>
      </c>
      <c r="K113" s="93">
        <f>(IF(Referentieberekening!C6="Bestaande Situatie",(_xlfn.IFNA(VLOOKUP(Referentie_Hernieuwbare_Energie_Totaal[[#This Row],[Product]]&amp;", "&amp;Referentie_Hernieuwbare_Energie_Totaal[[#Headers],[C1]],Database_Productkaarten[#All],47,FALSE),0)*Referentieberekening!L6),0))</f>
        <v>0</v>
      </c>
      <c r="L113" s="93">
        <f>(IF(Referentieberekening!C6="Bestaande Situatie",(_xlfn.IFNA(VLOOKUP(Referentie_Hernieuwbare_Energie_Totaal[[#This Row],[Product]]&amp;", "&amp;Referentie_Hernieuwbare_Energie_Totaal[[#Headers],[C2]],Database_Productkaarten[#All],47,FALSE),0)*Referentieberekening!L6),0))</f>
        <v>0</v>
      </c>
      <c r="M113" s="93">
        <f>(IF(Referentieberekening!C6="Bestaande Situatie",(_xlfn.IFNA(VLOOKUP(Referentie_Hernieuwbare_Energie_Totaal[[#This Row],[Product]]&amp;", "&amp;Referentie_Hernieuwbare_Energie_Totaal[[#Headers],[C3]],Database_Productkaarten[#All],47,FALSE),0)*Referentieberekening!L6),0))</f>
        <v>0</v>
      </c>
      <c r="N113" s="93">
        <f>(IF(Referentieberekening!C6="Bestaande Situatie",(_xlfn.IFNA(VLOOKUP(Referentie_Hernieuwbare_Energie_Totaal[[#This Row],[Product]]&amp;", "&amp;Referentie_Hernieuwbare_Energie_Totaal[[#Headers],[C4]],Database_Productkaarten[#All],47,FALSE),0)*Referentieberekening!L6),0))</f>
        <v>0</v>
      </c>
      <c r="O113" s="93">
        <f>(IF(Referentieberekening!C6="Bestaande Situatie",(_xlfn.IFNA(VLOOKUP(Referentie_Hernieuwbare_Energie_Totaal[[#This Row],[Product]]&amp;", "&amp;Referentie_Hernieuwbare_Energie_Totaal[[#Headers],[D1]],Database_Productkaarten[#All],47,FALSE),0)*Referentieberekening!L6),0))</f>
        <v>0</v>
      </c>
      <c r="P113" s="94">
        <f>(IF(Referentieberekening!C6="Bestaande Situatie",_xlfn.IFNA(VLOOKUP(Referentie_Hernieuwbare_Energie_Totaal[[#This Row],[Product]]&amp;", "&amp;Referentie_Hernieuwbare_Energie_Totaal[[#Headers],[D2]],Database_Productkaarten[#All],47,FALSE),0)*Referentieberekening!L6,0))</f>
        <v>0</v>
      </c>
      <c r="Q113" s="72">
        <f>SUM(Referentie_Hernieuwbare_Energie_Totaal[[#This Row],[A1]:[D2]])</f>
        <v>0</v>
      </c>
    </row>
    <row r="114" spans="2:17" ht="18" x14ac:dyDescent="0.55000000000000004">
      <c r="B114" s="286" t="str">
        <f>Referentieberekening!B7</f>
        <v>Aanbrengen opsluitband 100x200mm.</v>
      </c>
      <c r="C114" s="92" t="str">
        <f>Referentieberekening!F7</f>
        <v>Opsluitband 100x200</v>
      </c>
      <c r="D114" s="93">
        <f>(IF(Referentieberekening!C7="Nieuwe Situatie",(_xlfn.IFNA(VLOOKUP(Referentie_Hernieuwbare_Energie_Totaal[[#This Row],[Product]]&amp;", "&amp;Referentie_Hernieuwbare_Energie_Totaal[[#Headers],[A1]],Database_Productkaarten[#All],47,FALSE),0)*Referentieberekening!L7),0))</f>
        <v>0</v>
      </c>
      <c r="E114" s="93">
        <f>(IF(Referentieberekening!C7="Nieuwe Situatie",(_xlfn.IFNA(VLOOKUP(Referentie_Hernieuwbare_Energie_Totaal[[#This Row],[Product]]&amp;", "&amp;Referentie_Hernieuwbare_Energie_Totaal[[#Headers],[A2]],Database_Productkaarten[#All],47,FALSE),0)*Referentieberekening!L7),0))</f>
        <v>0</v>
      </c>
      <c r="F114" s="93">
        <f>(IF(Referentieberekening!C7="Nieuwe Situatie",(_xlfn.IFNA(VLOOKUP(Referentie_Hernieuwbare_Energie_Totaal[[#This Row],[Product]]&amp;", "&amp;Referentie_Hernieuwbare_Energie_Totaal[[#Headers],[A3]],Database_Productkaarten[#All],47,FALSE),0)*Referentieberekening!L7),0))</f>
        <v>0</v>
      </c>
      <c r="G114" s="93">
        <f>IF(Referentieberekening!P7=0,(IF(Referentieberekening!C7="Nieuwe Situatie",(_xlfn.IFNA(VLOOKUP(Referentie_Hernieuwbare_Energie_Totaal[[#This Row],[Product]]&amp;", "&amp;Referentie_Hernieuwbare_Energie_Totaal[[#Headers],[A4]],Database_Productkaarten[#All],47,FALSE),0)*Referentieberekening!L7),0)),(IF(Inschrijfberekening!C7="Nieuwe Situatie",_xlfn.IFNA(VLOOKUP(Inschrijfberekening!K39,Database_Transport[#All],45,FALSE)*(Inschrijfberekening!K7*Inschrijfberekening!N7),0),0)))</f>
        <v>0</v>
      </c>
      <c r="H114" s="93">
        <f>(IF(Referentieberekening!C7="Nieuwe Situatie",(_xlfn.IFNA(VLOOKUP(Referentie_Hernieuwbare_Energie_Totaal[[#This Row],[Product]]&amp;", "&amp;Referentie_Hernieuwbare_Energie_Totaal[[#Headers],[A5]],Database_Productkaarten[#All],47,FALSE),0)*Referentieberekening!L7),0))</f>
        <v>0</v>
      </c>
      <c r="I114" s="93">
        <f>(IF(Referentieberekening!C7="Nieuwe Situatie",(_xlfn.IFNA(VLOOKUP(Referentie_Hernieuwbare_Energie_Totaal[[#This Row],[Product]]&amp;", "&amp;Referentie_Hernieuwbare_Energie_Totaal[[#Headers],[B1]],Database_Productkaarten[#All],47,FALSE),0)*Referentieberekening!L7),0))</f>
        <v>0</v>
      </c>
      <c r="J114" s="93">
        <f>(IF(Referentieberekening!C7="Nieuwe Situatie",(SUM(Referentie_Hernieuwbare_Energie_Totaal[[#This Row],[A1]:[B1]],Referentie_Hernieuwbare_Energie_Totaal[[#This Row],[C1]:[D2]])*Referentieberekening!N7),0))</f>
        <v>0</v>
      </c>
      <c r="K114" s="93">
        <f>(IF(Referentieberekening!C7="Bestaande Situatie",(_xlfn.IFNA(VLOOKUP(Referentie_Hernieuwbare_Energie_Totaal[[#This Row],[Product]]&amp;", "&amp;Referentie_Hernieuwbare_Energie_Totaal[[#Headers],[C1]],Database_Productkaarten[#All],47,FALSE),0)*Referentieberekening!L7),0))</f>
        <v>0</v>
      </c>
      <c r="L114" s="93">
        <f>(IF(Referentieberekening!C7="Bestaande Situatie",(_xlfn.IFNA(VLOOKUP(Referentie_Hernieuwbare_Energie_Totaal[[#This Row],[Product]]&amp;", "&amp;Referentie_Hernieuwbare_Energie_Totaal[[#Headers],[C2]],Database_Productkaarten[#All],47,FALSE),0)*Referentieberekening!L7),0))</f>
        <v>0</v>
      </c>
      <c r="M114" s="93">
        <f>(IF(Referentieberekening!C7="Bestaande Situatie",(_xlfn.IFNA(VLOOKUP(Referentie_Hernieuwbare_Energie_Totaal[[#This Row],[Product]]&amp;", "&amp;Referentie_Hernieuwbare_Energie_Totaal[[#Headers],[C3]],Database_Productkaarten[#All],47,FALSE),0)*Referentieberekening!L7),0))</f>
        <v>0</v>
      </c>
      <c r="N114" s="93">
        <f>(IF(Referentieberekening!C7="Bestaande Situatie",(_xlfn.IFNA(VLOOKUP(Referentie_Hernieuwbare_Energie_Totaal[[#This Row],[Product]]&amp;", "&amp;Referentie_Hernieuwbare_Energie_Totaal[[#Headers],[C4]],Database_Productkaarten[#All],47,FALSE),0)*Referentieberekening!L7),0))</f>
        <v>0</v>
      </c>
      <c r="O114" s="93">
        <f>(IF(Referentieberekening!C7="Bestaande Situatie",(_xlfn.IFNA(VLOOKUP(Referentie_Hernieuwbare_Energie_Totaal[[#This Row],[Product]]&amp;", "&amp;Referentie_Hernieuwbare_Energie_Totaal[[#Headers],[D1]],Database_Productkaarten[#All],47,FALSE),0)*Referentieberekening!L7),0))</f>
        <v>0</v>
      </c>
      <c r="P114" s="94">
        <f>(IF(Referentieberekening!C7="Bestaande Situatie",_xlfn.IFNA(VLOOKUP(Referentie_Hernieuwbare_Energie_Totaal[[#This Row],[Product]]&amp;", "&amp;Referentie_Hernieuwbare_Energie_Totaal[[#Headers],[D2]],Database_Productkaarten[#All],47,FALSE),0)*Referentieberekening!L7,0))</f>
        <v>0</v>
      </c>
      <c r="Q114" s="72">
        <f>SUM(Referentie_Hernieuwbare_Energie_Totaal[[#This Row],[A1]:[D2]])</f>
        <v>0</v>
      </c>
    </row>
    <row r="115" spans="2:17" ht="18" x14ac:dyDescent="0.55000000000000004">
      <c r="B115" s="286" t="str">
        <f>Referentieberekening!B8</f>
        <v>Aanbrengen straatlaag van straatzand dik 50 mm.</v>
      </c>
      <c r="C115" s="92" t="str">
        <f>Referentieberekening!F8</f>
        <v>Straatzand</v>
      </c>
      <c r="D115" s="93">
        <f>(IF(Referentieberekening!C8="Nieuwe Situatie",(_xlfn.IFNA(VLOOKUP(Referentie_Hernieuwbare_Energie_Totaal[[#This Row],[Product]]&amp;", "&amp;Referentie_Hernieuwbare_Energie_Totaal[[#Headers],[A1]],Database_Productkaarten[#All],47,FALSE),0)*Referentieberekening!L8),0))</f>
        <v>0</v>
      </c>
      <c r="E115" s="93">
        <f>(IF(Referentieberekening!C8="Nieuwe Situatie",(_xlfn.IFNA(VLOOKUP(Referentie_Hernieuwbare_Energie_Totaal[[#This Row],[Product]]&amp;", "&amp;Referentie_Hernieuwbare_Energie_Totaal[[#Headers],[A2]],Database_Productkaarten[#All],47,FALSE),0)*Referentieberekening!L8),0))</f>
        <v>0</v>
      </c>
      <c r="F115" s="93">
        <f>(IF(Referentieberekening!C8="Nieuwe Situatie",(_xlfn.IFNA(VLOOKUP(Referentie_Hernieuwbare_Energie_Totaal[[#This Row],[Product]]&amp;", "&amp;Referentie_Hernieuwbare_Energie_Totaal[[#Headers],[A3]],Database_Productkaarten[#All],47,FALSE),0)*Referentieberekening!L8),0))</f>
        <v>0</v>
      </c>
      <c r="G115" s="93">
        <f>IF(Referentieberekening!P8=0,(IF(Referentieberekening!C8="Nieuwe Situatie",(_xlfn.IFNA(VLOOKUP(Referentie_Hernieuwbare_Energie_Totaal[[#This Row],[Product]]&amp;", "&amp;Referentie_Hernieuwbare_Energie_Totaal[[#Headers],[A4]],Database_Productkaarten[#All],47,FALSE),0)*Referentieberekening!L8),0)),(IF(Inschrijfberekening!C8="Nieuwe Situatie",_xlfn.IFNA(VLOOKUP(Inschrijfberekening!K40,Database_Transport[#All],45,FALSE)*(Inschrijfberekening!K8*Inschrijfberekening!N8),0),0)))</f>
        <v>65.792105280000001</v>
      </c>
      <c r="H115" s="93">
        <f>(IF(Referentieberekening!C8="Nieuwe Situatie",(_xlfn.IFNA(VLOOKUP(Referentie_Hernieuwbare_Energie_Totaal[[#This Row],[Product]]&amp;", "&amp;Referentie_Hernieuwbare_Energie_Totaal[[#Headers],[A5]],Database_Productkaarten[#All],47,FALSE),0)*Referentieberekening!L8),0))</f>
        <v>1.8119149537241997E-6</v>
      </c>
      <c r="I115" s="93">
        <f>(IF(Referentieberekening!C8="Nieuwe Situatie",(_xlfn.IFNA(VLOOKUP(Referentie_Hernieuwbare_Energie_Totaal[[#This Row],[Product]]&amp;", "&amp;Referentie_Hernieuwbare_Energie_Totaal[[#Headers],[B1]],Database_Productkaarten[#All],47,FALSE),0)*Referentieberekening!L8),0))</f>
        <v>0</v>
      </c>
      <c r="J115" s="93">
        <f>(IF(Referentieberekening!C8="Nieuwe Situatie",(SUM(Referentie_Hernieuwbare_Energie_Totaal[[#This Row],[A1]:[B1]],Referentie_Hernieuwbare_Energie_Totaal[[#This Row],[C1]:[D2]])*Referentieberekening!N8),0))</f>
        <v>0</v>
      </c>
      <c r="K115" s="93">
        <f>(IF(Referentieberekening!C8="Bestaande Situatie",(_xlfn.IFNA(VLOOKUP(Referentie_Hernieuwbare_Energie_Totaal[[#This Row],[Product]]&amp;", "&amp;Referentie_Hernieuwbare_Energie_Totaal[[#Headers],[C1]],Database_Productkaarten[#All],47,FALSE),0)*Referentieberekening!L8),0))</f>
        <v>0</v>
      </c>
      <c r="L115" s="93">
        <f>(IF(Referentieberekening!C8="Bestaande Situatie",(_xlfn.IFNA(VLOOKUP(Referentie_Hernieuwbare_Energie_Totaal[[#This Row],[Product]]&amp;", "&amp;Referentie_Hernieuwbare_Energie_Totaal[[#Headers],[C2]],Database_Productkaarten[#All],47,FALSE),0)*Referentieberekening!L8),0))</f>
        <v>0</v>
      </c>
      <c r="M115" s="93">
        <f>(IF(Referentieberekening!C8="Bestaande Situatie",(_xlfn.IFNA(VLOOKUP(Referentie_Hernieuwbare_Energie_Totaal[[#This Row],[Product]]&amp;", "&amp;Referentie_Hernieuwbare_Energie_Totaal[[#Headers],[C3]],Database_Productkaarten[#All],47,FALSE),0)*Referentieberekening!L8),0))</f>
        <v>0</v>
      </c>
      <c r="N115" s="93">
        <f>(IF(Referentieberekening!C8="Bestaande Situatie",(_xlfn.IFNA(VLOOKUP(Referentie_Hernieuwbare_Energie_Totaal[[#This Row],[Product]]&amp;", "&amp;Referentie_Hernieuwbare_Energie_Totaal[[#Headers],[C4]],Database_Productkaarten[#All],47,FALSE),0)*Referentieberekening!L8),0))</f>
        <v>0</v>
      </c>
      <c r="O115" s="93">
        <f>(IF(Referentieberekening!C8="Bestaande Situatie",(_xlfn.IFNA(VLOOKUP(Referentie_Hernieuwbare_Energie_Totaal[[#This Row],[Product]]&amp;", "&amp;Referentie_Hernieuwbare_Energie_Totaal[[#Headers],[D1]],Database_Productkaarten[#All],47,FALSE),0)*Referentieberekening!L8),0))</f>
        <v>0</v>
      </c>
      <c r="P115" s="94">
        <f>(IF(Referentieberekening!C8="Bestaande Situatie",_xlfn.IFNA(VLOOKUP(Referentie_Hernieuwbare_Energie_Totaal[[#This Row],[Product]]&amp;", "&amp;Referentie_Hernieuwbare_Energie_Totaal[[#Headers],[D2]],Database_Productkaarten[#All],47,FALSE),0)*Referentieberekening!L8,0))</f>
        <v>0</v>
      </c>
      <c r="Q115" s="72">
        <f>SUM(Referentie_Hernieuwbare_Energie_Totaal[[#This Row],[A1]:[D2]])</f>
        <v>65.792107091914957</v>
      </c>
    </row>
    <row r="116" spans="2:17" ht="18" x14ac:dyDescent="0.55000000000000004">
      <c r="B116" s="286" t="str">
        <f>Referentieberekening!B9</f>
        <v>Aanbrengen betontegels 300x300x45 mm.</v>
      </c>
      <c r="C116" s="92" t="str">
        <f>Referentieberekening!F9</f>
        <v>Betontegel 300x300x45</v>
      </c>
      <c r="D116" s="93">
        <f>(IF(Referentieberekening!C9="Nieuwe Situatie",(_xlfn.IFNA(VLOOKUP(Referentie_Hernieuwbare_Energie_Totaal[[#This Row],[Product]]&amp;", "&amp;Referentie_Hernieuwbare_Energie_Totaal[[#Headers],[A1]],Database_Productkaarten[#All],47,FALSE),0)*Referentieberekening!L9),0))</f>
        <v>0</v>
      </c>
      <c r="E116" s="93">
        <f>(IF(Referentieberekening!C9="Nieuwe Situatie",(_xlfn.IFNA(VLOOKUP(Referentie_Hernieuwbare_Energie_Totaal[[#This Row],[Product]]&amp;", "&amp;Referentie_Hernieuwbare_Energie_Totaal[[#Headers],[A2]],Database_Productkaarten[#All],47,FALSE),0)*Referentieberekening!L9),0))</f>
        <v>0</v>
      </c>
      <c r="F116" s="93">
        <f>(IF(Referentieberekening!C9="Nieuwe Situatie",(_xlfn.IFNA(VLOOKUP(Referentie_Hernieuwbare_Energie_Totaal[[#This Row],[Product]]&amp;", "&amp;Referentie_Hernieuwbare_Energie_Totaal[[#Headers],[A3]],Database_Productkaarten[#All],47,FALSE),0)*Referentieberekening!L9),0))</f>
        <v>0</v>
      </c>
      <c r="G116" s="93">
        <f>IF(Referentieberekening!P9=0,(IF(Referentieberekening!C9="Nieuwe Situatie",(_xlfn.IFNA(VLOOKUP(Referentie_Hernieuwbare_Energie_Totaal[[#This Row],[Product]]&amp;", "&amp;Referentie_Hernieuwbare_Energie_Totaal[[#Headers],[A4]],Database_Productkaarten[#All],47,FALSE),0)*Referentieberekening!L9),0)),(IF(Inschrijfberekening!C9="Nieuwe Situatie",_xlfn.IFNA(VLOOKUP(Inschrijfberekening!K41,Database_Transport[#All],45,FALSE)*(Inschrijfberekening!K9*Inschrijfberekening!N9),0),0)))</f>
        <v>0</v>
      </c>
      <c r="H116" s="93">
        <f>(IF(Referentieberekening!C9="Nieuwe Situatie",(_xlfn.IFNA(VLOOKUP(Referentie_Hernieuwbare_Energie_Totaal[[#This Row],[Product]]&amp;", "&amp;Referentie_Hernieuwbare_Energie_Totaal[[#Headers],[A5]],Database_Productkaarten[#All],47,FALSE),0)*Referentieberekening!L9),0))</f>
        <v>0</v>
      </c>
      <c r="I116" s="93">
        <f>(IF(Referentieberekening!C9="Nieuwe Situatie",(_xlfn.IFNA(VLOOKUP(Referentie_Hernieuwbare_Energie_Totaal[[#This Row],[Product]]&amp;", "&amp;Referentie_Hernieuwbare_Energie_Totaal[[#Headers],[B1]],Database_Productkaarten[#All],47,FALSE),0)*Referentieberekening!L9),0))</f>
        <v>0</v>
      </c>
      <c r="J116" s="93">
        <f>(IF(Referentieberekening!C9="Nieuwe Situatie",(SUM(Referentie_Hernieuwbare_Energie_Totaal[[#This Row],[A1]:[B1]],Referentie_Hernieuwbare_Energie_Totaal[[#This Row],[C1]:[D2]])*Referentieberekening!N9),0))</f>
        <v>0</v>
      </c>
      <c r="K116" s="93">
        <f>(IF(Referentieberekening!C9="Bestaande Situatie",(_xlfn.IFNA(VLOOKUP(Referentie_Hernieuwbare_Energie_Totaal[[#This Row],[Product]]&amp;", "&amp;Referentie_Hernieuwbare_Energie_Totaal[[#Headers],[C1]],Database_Productkaarten[#All],47,FALSE),0)*Referentieberekening!L9),0))</f>
        <v>0</v>
      </c>
      <c r="L116" s="93">
        <f>(IF(Referentieberekening!C9="Bestaande Situatie",(_xlfn.IFNA(VLOOKUP(Referentie_Hernieuwbare_Energie_Totaal[[#This Row],[Product]]&amp;", "&amp;Referentie_Hernieuwbare_Energie_Totaal[[#Headers],[C2]],Database_Productkaarten[#All],47,FALSE),0)*Referentieberekening!L9),0))</f>
        <v>0</v>
      </c>
      <c r="M116" s="93">
        <f>(IF(Referentieberekening!C9="Bestaande Situatie",(_xlfn.IFNA(VLOOKUP(Referentie_Hernieuwbare_Energie_Totaal[[#This Row],[Product]]&amp;", "&amp;Referentie_Hernieuwbare_Energie_Totaal[[#Headers],[C3]],Database_Productkaarten[#All],47,FALSE),0)*Referentieberekening!L9),0))</f>
        <v>0</v>
      </c>
      <c r="N116" s="93">
        <f>(IF(Referentieberekening!C9="Bestaande Situatie",(_xlfn.IFNA(VLOOKUP(Referentie_Hernieuwbare_Energie_Totaal[[#This Row],[Product]]&amp;", "&amp;Referentie_Hernieuwbare_Energie_Totaal[[#Headers],[C4]],Database_Productkaarten[#All],47,FALSE),0)*Referentieberekening!L9),0))</f>
        <v>0</v>
      </c>
      <c r="O116" s="93">
        <f>(IF(Referentieberekening!C9="Bestaande Situatie",(_xlfn.IFNA(VLOOKUP(Referentie_Hernieuwbare_Energie_Totaal[[#This Row],[Product]]&amp;", "&amp;Referentie_Hernieuwbare_Energie_Totaal[[#Headers],[D1]],Database_Productkaarten[#All],47,FALSE),0)*Referentieberekening!L9),0))</f>
        <v>0</v>
      </c>
      <c r="P116" s="94">
        <f>(IF(Referentieberekening!C9="Bestaande Situatie",_xlfn.IFNA(VLOOKUP(Referentie_Hernieuwbare_Energie_Totaal[[#This Row],[Product]]&amp;", "&amp;Referentie_Hernieuwbare_Energie_Totaal[[#Headers],[D2]],Database_Productkaarten[#All],47,FALSE),0)*Referentieberekening!L9,0))</f>
        <v>0</v>
      </c>
      <c r="Q116" s="72">
        <f>SUM(Referentie_Hernieuwbare_Energie_Totaal[[#This Row],[A1]:[D2]])</f>
        <v>0</v>
      </c>
    </row>
    <row r="117" spans="2:17" ht="18" x14ac:dyDescent="0.55000000000000004">
      <c r="B117" s="286" t="str">
        <f>Referentieberekening!B10</f>
        <v xml:space="preserve"> Opbreken asfaltverharding, dik 120 mm. </v>
      </c>
      <c r="C117" s="92" t="str">
        <f>Referentieberekening!F10</f>
        <v>AC bin/base 50% PR - PCR 1.0</v>
      </c>
      <c r="D117" s="93">
        <f>(IF(Referentieberekening!C10="Nieuwe Situatie",(_xlfn.IFNA(VLOOKUP(Referentie_Hernieuwbare_Energie_Totaal[[#This Row],[Product]]&amp;", "&amp;Referentie_Hernieuwbare_Energie_Totaal[[#Headers],[A1]],Database_Productkaarten[#All],47,FALSE),0)*Referentieberekening!L10),0))</f>
        <v>0</v>
      </c>
      <c r="E117" s="93">
        <f>(IF(Referentieberekening!C10="Nieuwe Situatie",(_xlfn.IFNA(VLOOKUP(Referentie_Hernieuwbare_Energie_Totaal[[#This Row],[Product]]&amp;", "&amp;Referentie_Hernieuwbare_Energie_Totaal[[#Headers],[A2]],Database_Productkaarten[#All],47,FALSE),0)*Referentieberekening!L10),0))</f>
        <v>0</v>
      </c>
      <c r="F117" s="93">
        <f>(IF(Referentieberekening!C10="Nieuwe Situatie",(_xlfn.IFNA(VLOOKUP(Referentie_Hernieuwbare_Energie_Totaal[[#This Row],[Product]]&amp;", "&amp;Referentie_Hernieuwbare_Energie_Totaal[[#Headers],[A3]],Database_Productkaarten[#All],47,FALSE),0)*Referentieberekening!L10),0))</f>
        <v>0</v>
      </c>
      <c r="G117" s="93">
        <f>IF(Referentieberekening!P10=0,(IF(Referentieberekening!C10="Nieuwe Situatie",(_xlfn.IFNA(VLOOKUP(Referentie_Hernieuwbare_Energie_Totaal[[#This Row],[Product]]&amp;", "&amp;Referentie_Hernieuwbare_Energie_Totaal[[#Headers],[A4]],Database_Productkaarten[#All],47,FALSE),0)*Referentieberekening!L10),0)),(IF(Inschrijfberekening!C10="Nieuwe Situatie",_xlfn.IFNA(VLOOKUP(Inschrijfberekening!K42,Database_Transport[#All],45,FALSE)*(Inschrijfberekening!K10*Inschrijfberekening!N10),0),0)))</f>
        <v>0</v>
      </c>
      <c r="H117" s="93">
        <f>(IF(Referentieberekening!C10="Nieuwe Situatie",(_xlfn.IFNA(VLOOKUP(Referentie_Hernieuwbare_Energie_Totaal[[#This Row],[Product]]&amp;", "&amp;Referentie_Hernieuwbare_Energie_Totaal[[#Headers],[A5]],Database_Productkaarten[#All],47,FALSE),0)*Referentieberekening!L10),0))</f>
        <v>0</v>
      </c>
      <c r="I117" s="93">
        <f>(IF(Referentieberekening!C10="Nieuwe Situatie",(_xlfn.IFNA(VLOOKUP(Referentie_Hernieuwbare_Energie_Totaal[[#This Row],[Product]]&amp;", "&amp;Referentie_Hernieuwbare_Energie_Totaal[[#Headers],[B1]],Database_Productkaarten[#All],47,FALSE),0)*Referentieberekening!L10),0))</f>
        <v>0</v>
      </c>
      <c r="J117" s="93">
        <f>(IF(Referentieberekening!C10="Nieuwe Situatie",(SUM(Referentie_Hernieuwbare_Energie_Totaal[[#This Row],[A1]:[B1]],Referentie_Hernieuwbare_Energie_Totaal[[#This Row],[C1]:[D2]])*Referentieberekening!N10),0))</f>
        <v>0</v>
      </c>
      <c r="K117" s="93">
        <f>(IF(Referentieberekening!C10="Bestaande Situatie",(_xlfn.IFNA(VLOOKUP(Referentie_Hernieuwbare_Energie_Totaal[[#This Row],[Product]]&amp;", "&amp;Referentie_Hernieuwbare_Energie_Totaal[[#Headers],[C1]],Database_Productkaarten[#All],47,FALSE),0)*Referentieberekening!L10),0))</f>
        <v>6.7159052135999993</v>
      </c>
      <c r="L117" s="93">
        <f>(IF(Referentieberekening!C10="Bestaande Situatie",(_xlfn.IFNA(VLOOKUP(Referentie_Hernieuwbare_Energie_Totaal[[#This Row],[Product]]&amp;", "&amp;Referentie_Hernieuwbare_Energie_Totaal[[#Headers],[C2]],Database_Productkaarten[#All],47,FALSE),0)*Referentieberekening!L10),0))</f>
        <v>0</v>
      </c>
      <c r="M117" s="93">
        <f>(IF(Referentieberekening!C10="Bestaande Situatie",(_xlfn.IFNA(VLOOKUP(Referentie_Hernieuwbare_Energie_Totaal[[#This Row],[Product]]&amp;", "&amp;Referentie_Hernieuwbare_Energie_Totaal[[#Headers],[C3]],Database_Productkaarten[#All],47,FALSE),0)*Referentieberekening!L10),0))</f>
        <v>3.2432588931600002</v>
      </c>
      <c r="N117" s="93">
        <f>(IF(Referentieberekening!C10="Bestaande Situatie",(_xlfn.IFNA(VLOOKUP(Referentie_Hernieuwbare_Energie_Totaal[[#This Row],[Product]]&amp;", "&amp;Referentie_Hernieuwbare_Energie_Totaal[[#Headers],[C4]],Database_Productkaarten[#All],47,FALSE),0)*Referentieberekening!L10),0))</f>
        <v>0</v>
      </c>
      <c r="O117" s="93">
        <f>(IF(Referentieberekening!C10="Bestaande Situatie",(_xlfn.IFNA(VLOOKUP(Referentie_Hernieuwbare_Energie_Totaal[[#This Row],[Product]]&amp;", "&amp;Referentie_Hernieuwbare_Energie_Totaal[[#Headers],[D1]],Database_Productkaarten[#All],47,FALSE),0)*Referentieberekening!L10),0))</f>
        <v>-155.25513445126882</v>
      </c>
      <c r="P117" s="94">
        <f>(IF(Referentieberekening!C10="Bestaande Situatie",_xlfn.IFNA(VLOOKUP(Referentie_Hernieuwbare_Energie_Totaal[[#This Row],[Product]]&amp;", "&amp;Referentie_Hernieuwbare_Energie_Totaal[[#Headers],[D2]],Database_Productkaarten[#All],47,FALSE),0)*Referentieberekening!L10,0))</f>
        <v>-49.508144744111775</v>
      </c>
      <c r="Q117" s="72">
        <f>SUM(Referentie_Hernieuwbare_Energie_Totaal[[#This Row],[A1]:[D2]])</f>
        <v>-194.80411508862059</v>
      </c>
    </row>
    <row r="118" spans="2:17" ht="18" x14ac:dyDescent="0.55000000000000004">
      <c r="B118" s="286" t="str">
        <f>Referentieberekening!B11</f>
        <v xml:space="preserve"> Frezen asfalt dik 30 mm - fietspad. </v>
      </c>
      <c r="C118" s="92" t="str">
        <f>Referentieberekening!F11</f>
        <v>SMA 8-11 - PCR 1.0</v>
      </c>
      <c r="D118" s="93">
        <f>(IF(Referentieberekening!C11="Nieuwe Situatie",(_xlfn.IFNA(VLOOKUP(Referentie_Hernieuwbare_Energie_Totaal[[#This Row],[Product]]&amp;", "&amp;Referentie_Hernieuwbare_Energie_Totaal[[#Headers],[A1]],Database_Productkaarten[#All],47,FALSE),0)*Referentieberekening!L11),0))</f>
        <v>0</v>
      </c>
      <c r="E118" s="93">
        <f>(IF(Referentieberekening!C11="Nieuwe Situatie",(_xlfn.IFNA(VLOOKUP(Referentie_Hernieuwbare_Energie_Totaal[[#This Row],[Product]]&amp;", "&amp;Referentie_Hernieuwbare_Energie_Totaal[[#Headers],[A2]],Database_Productkaarten[#All],47,FALSE),0)*Referentieberekening!L11),0))</f>
        <v>0</v>
      </c>
      <c r="F118" s="93">
        <f>(IF(Referentieberekening!C11="Nieuwe Situatie",(_xlfn.IFNA(VLOOKUP(Referentie_Hernieuwbare_Energie_Totaal[[#This Row],[Product]]&amp;", "&amp;Referentie_Hernieuwbare_Energie_Totaal[[#Headers],[A3]],Database_Productkaarten[#All],47,FALSE),0)*Referentieberekening!L11),0))</f>
        <v>0</v>
      </c>
      <c r="G118" s="93">
        <f>IF(Referentieberekening!P11=0,(IF(Referentieberekening!C11="Nieuwe Situatie",(_xlfn.IFNA(VLOOKUP(Referentie_Hernieuwbare_Energie_Totaal[[#This Row],[Product]]&amp;", "&amp;Referentie_Hernieuwbare_Energie_Totaal[[#Headers],[A4]],Database_Productkaarten[#All],47,FALSE),0)*Referentieberekening!L11),0)),(IF(Inschrijfberekening!C11="Nieuwe Situatie",_xlfn.IFNA(VLOOKUP(Inschrijfberekening!K43,Database_Transport[#All],45,FALSE)*(Inschrijfberekening!K11*Inschrijfberekening!N11),0),0)))</f>
        <v>0</v>
      </c>
      <c r="H118" s="93">
        <f>(IF(Referentieberekening!C11="Nieuwe Situatie",(_xlfn.IFNA(VLOOKUP(Referentie_Hernieuwbare_Energie_Totaal[[#This Row],[Product]]&amp;", "&amp;Referentie_Hernieuwbare_Energie_Totaal[[#Headers],[A5]],Database_Productkaarten[#All],47,FALSE),0)*Referentieberekening!L11),0))</f>
        <v>0</v>
      </c>
      <c r="I118" s="93">
        <f>(IF(Referentieberekening!C11="Nieuwe Situatie",(_xlfn.IFNA(VLOOKUP(Referentie_Hernieuwbare_Energie_Totaal[[#This Row],[Product]]&amp;", "&amp;Referentie_Hernieuwbare_Energie_Totaal[[#Headers],[B1]],Database_Productkaarten[#All],47,FALSE),0)*Referentieberekening!L11),0))</f>
        <v>0</v>
      </c>
      <c r="J118" s="93">
        <f>(IF(Referentieberekening!C11="Nieuwe Situatie",(SUM(Referentie_Hernieuwbare_Energie_Totaal[[#This Row],[A1]:[B1]],Referentie_Hernieuwbare_Energie_Totaal[[#This Row],[C1]:[D2]])*Referentieberekening!N11),0))</f>
        <v>0</v>
      </c>
      <c r="K118" s="93">
        <f>(IF(Referentieberekening!C11="Bestaande Situatie",(_xlfn.IFNA(VLOOKUP(Referentie_Hernieuwbare_Energie_Totaal[[#This Row],[Product]]&amp;", "&amp;Referentie_Hernieuwbare_Energie_Totaal[[#Headers],[C1]],Database_Productkaarten[#All],47,FALSE),0)*Referentieberekening!L11),0))</f>
        <v>1.7837225286375</v>
      </c>
      <c r="L118" s="93">
        <f>(IF(Referentieberekening!C11="Bestaande Situatie",(_xlfn.IFNA(VLOOKUP(Referentie_Hernieuwbare_Energie_Totaal[[#This Row],[Product]]&amp;", "&amp;Referentie_Hernieuwbare_Energie_Totaal[[#Headers],[C2]],Database_Productkaarten[#All],47,FALSE),0)*Referentieberekening!L11),0))</f>
        <v>0</v>
      </c>
      <c r="M118" s="93">
        <f>(IF(Referentieberekening!C11="Bestaande Situatie",(_xlfn.IFNA(VLOOKUP(Referentie_Hernieuwbare_Energie_Totaal[[#This Row],[Product]]&amp;", "&amp;Referentie_Hernieuwbare_Energie_Totaal[[#Headers],[C3]],Database_Productkaarten[#All],47,FALSE),0)*Referentieberekening!L11),0))</f>
        <v>2.009931012375</v>
      </c>
      <c r="N118" s="93">
        <f>(IF(Referentieberekening!C11="Bestaande Situatie",(_xlfn.IFNA(VLOOKUP(Referentie_Hernieuwbare_Energie_Totaal[[#This Row],[Product]]&amp;", "&amp;Referentie_Hernieuwbare_Energie_Totaal[[#Headers],[C4]],Database_Productkaarten[#All],47,FALSE),0)*Referentieberekening!L11),0))</f>
        <v>0</v>
      </c>
      <c r="O118" s="93">
        <f>(IF(Referentieberekening!C11="Bestaande Situatie",(_xlfn.IFNA(VLOOKUP(Referentie_Hernieuwbare_Energie_Totaal[[#This Row],[Product]]&amp;", "&amp;Referentie_Hernieuwbare_Energie_Totaal[[#Headers],[D1]],Database_Productkaarten[#All],47,FALSE),0)*Referentieberekening!L11),0))</f>
        <v>-229.51345549212644</v>
      </c>
      <c r="P118" s="94">
        <f>(IF(Referentieberekening!C11="Bestaande Situatie",_xlfn.IFNA(VLOOKUP(Referentie_Hernieuwbare_Energie_Totaal[[#This Row],[Product]]&amp;", "&amp;Referentie_Hernieuwbare_Energie_Totaal[[#Headers],[D2]],Database_Productkaarten[#All],47,FALSE),0)*Referentieberekening!L11,0))</f>
        <v>-48.761255102761183</v>
      </c>
      <c r="Q118" s="72">
        <f>SUM(Referentie_Hernieuwbare_Energie_Totaal[[#This Row],[A1]:[D2]])</f>
        <v>-274.48105705387513</v>
      </c>
    </row>
    <row r="119" spans="2:17" ht="18" x14ac:dyDescent="0.55000000000000004">
      <c r="B119" s="286" t="str">
        <f>Referentieberekening!B12</f>
        <v>Aanbrengen menggranulaat, dik 300 mm - rijweg.</v>
      </c>
      <c r="C119" s="92" t="str">
        <f>Referentieberekening!F12</f>
        <v>Menggranulaat 0/31,5</v>
      </c>
      <c r="D119" s="93">
        <f>(IF(Referentieberekening!C12="Nieuwe Situatie",(_xlfn.IFNA(VLOOKUP(Referentie_Hernieuwbare_Energie_Totaal[[#This Row],[Product]]&amp;", "&amp;Referentie_Hernieuwbare_Energie_Totaal[[#Headers],[A1]],Database_Productkaarten[#All],47,FALSE),0)*Referentieberekening!L12),0))</f>
        <v>0</v>
      </c>
      <c r="E119" s="93">
        <f>(IF(Referentieberekening!C12="Nieuwe Situatie",(_xlfn.IFNA(VLOOKUP(Referentie_Hernieuwbare_Energie_Totaal[[#This Row],[Product]]&amp;", "&amp;Referentie_Hernieuwbare_Energie_Totaal[[#Headers],[A2]],Database_Productkaarten[#All],47,FALSE),0)*Referentieberekening!L12),0))</f>
        <v>0</v>
      </c>
      <c r="F119" s="93">
        <f>(IF(Referentieberekening!C12="Nieuwe Situatie",(_xlfn.IFNA(VLOOKUP(Referentie_Hernieuwbare_Energie_Totaal[[#This Row],[Product]]&amp;", "&amp;Referentie_Hernieuwbare_Energie_Totaal[[#Headers],[A3]],Database_Productkaarten[#All],47,FALSE),0)*Referentieberekening!L12),0))</f>
        <v>0</v>
      </c>
      <c r="G119" s="93">
        <f>IF(Referentieberekening!P12=0,(IF(Referentieberekening!C12="Nieuwe Situatie",(_xlfn.IFNA(VLOOKUP(Referentie_Hernieuwbare_Energie_Totaal[[#This Row],[Product]]&amp;", "&amp;Referentie_Hernieuwbare_Energie_Totaal[[#Headers],[A4]],Database_Productkaarten[#All],47,FALSE),0)*Referentieberekening!L12),0)),(IF(Inschrijfberekening!C12="Nieuwe Situatie",_xlfn.IFNA(VLOOKUP(Inschrijfberekening!K44,Database_Transport[#All],45,FALSE)*(Inschrijfberekening!K12*Inschrijfberekening!N12),0),0)))</f>
        <v>4425.5470817249998</v>
      </c>
      <c r="H119" s="93">
        <f>(IF(Referentieberekening!C12="Nieuwe Situatie",(_xlfn.IFNA(VLOOKUP(Referentie_Hernieuwbare_Energie_Totaal[[#This Row],[Product]]&amp;", "&amp;Referentie_Hernieuwbare_Energie_Totaal[[#Headers],[A5]],Database_Productkaarten[#All],47,FALSE),0)*Referentieberekening!L12),0))</f>
        <v>1.0833741494142612E-4</v>
      </c>
      <c r="I119" s="93">
        <f>(IF(Referentieberekening!C12="Nieuwe Situatie",(_xlfn.IFNA(VLOOKUP(Referentie_Hernieuwbare_Energie_Totaal[[#This Row],[Product]]&amp;", "&amp;Referentie_Hernieuwbare_Energie_Totaal[[#Headers],[B1]],Database_Productkaarten[#All],47,FALSE),0)*Referentieberekening!L12),0))</f>
        <v>0</v>
      </c>
      <c r="J119" s="93">
        <f>(IF(Referentieberekening!C12="Nieuwe Situatie",(SUM(Referentie_Hernieuwbare_Energie_Totaal[[#This Row],[A1]:[B1]],Referentie_Hernieuwbare_Energie_Totaal[[#This Row],[C1]:[D2]])*Referentieberekening!N12),0))</f>
        <v>0</v>
      </c>
      <c r="K119" s="93">
        <f>(IF(Referentieberekening!C12="Bestaande Situatie",(_xlfn.IFNA(VLOOKUP(Referentie_Hernieuwbare_Energie_Totaal[[#This Row],[Product]]&amp;", "&amp;Referentie_Hernieuwbare_Energie_Totaal[[#Headers],[C1]],Database_Productkaarten[#All],47,FALSE),0)*Referentieberekening!L12),0))</f>
        <v>0</v>
      </c>
      <c r="L119" s="93">
        <f>(IF(Referentieberekening!C12="Bestaande Situatie",(_xlfn.IFNA(VLOOKUP(Referentie_Hernieuwbare_Energie_Totaal[[#This Row],[Product]]&amp;", "&amp;Referentie_Hernieuwbare_Energie_Totaal[[#Headers],[C2]],Database_Productkaarten[#All],47,FALSE),0)*Referentieberekening!L12),0))</f>
        <v>0</v>
      </c>
      <c r="M119" s="93">
        <f>(IF(Referentieberekening!C12="Bestaande Situatie",(_xlfn.IFNA(VLOOKUP(Referentie_Hernieuwbare_Energie_Totaal[[#This Row],[Product]]&amp;", "&amp;Referentie_Hernieuwbare_Energie_Totaal[[#Headers],[C3]],Database_Productkaarten[#All],47,FALSE),0)*Referentieberekening!L12),0))</f>
        <v>0</v>
      </c>
      <c r="N119" s="93">
        <f>(IF(Referentieberekening!C12="Bestaande Situatie",(_xlfn.IFNA(VLOOKUP(Referentie_Hernieuwbare_Energie_Totaal[[#This Row],[Product]]&amp;", "&amp;Referentie_Hernieuwbare_Energie_Totaal[[#Headers],[C4]],Database_Productkaarten[#All],47,FALSE),0)*Referentieberekening!L12),0))</f>
        <v>0</v>
      </c>
      <c r="O119" s="93">
        <f>(IF(Referentieberekening!C12="Bestaande Situatie",(_xlfn.IFNA(VLOOKUP(Referentie_Hernieuwbare_Energie_Totaal[[#This Row],[Product]]&amp;", "&amp;Referentie_Hernieuwbare_Energie_Totaal[[#Headers],[D1]],Database_Productkaarten[#All],47,FALSE),0)*Referentieberekening!L12),0))</f>
        <v>0</v>
      </c>
      <c r="P119" s="94">
        <f>(IF(Referentieberekening!C12="Bestaande Situatie",_xlfn.IFNA(VLOOKUP(Referentie_Hernieuwbare_Energie_Totaal[[#This Row],[Product]]&amp;", "&amp;Referentie_Hernieuwbare_Energie_Totaal[[#Headers],[D2]],Database_Productkaarten[#All],47,FALSE),0)*Referentieberekening!L12,0))</f>
        <v>0</v>
      </c>
      <c r="Q119" s="72">
        <f>SUM(Referentie_Hernieuwbare_Energie_Totaal[[#This Row],[A1]:[D2]])</f>
        <v>4425.5471900624143</v>
      </c>
    </row>
    <row r="120" spans="2:17" ht="18" x14ac:dyDescent="0.55000000000000004">
      <c r="B120" s="286" t="str">
        <f>Referentieberekening!B13</f>
        <v>Aanbrengen onderlaag AC 22 base, dik 70 mm.</v>
      </c>
      <c r="C120" s="92" t="str">
        <f>Referentieberekening!F13</f>
        <v>AC bin/base 50% PR - PCR 2.0</v>
      </c>
      <c r="D120" s="93">
        <f>(IF(Referentieberekening!C13="Nieuwe Situatie",(_xlfn.IFNA(VLOOKUP(Referentie_Hernieuwbare_Energie_Totaal[[#This Row],[Product]]&amp;", "&amp;Referentie_Hernieuwbare_Energie_Totaal[[#Headers],[A1]],Database_Productkaarten[#All],47,FALSE),0)*Referentieberekening!L13),0))</f>
        <v>9777.6565470818023</v>
      </c>
      <c r="E120" s="93">
        <f>(IF(Referentieberekening!C13="Nieuwe Situatie",(_xlfn.IFNA(VLOOKUP(Referentie_Hernieuwbare_Energie_Totaal[[#This Row],[Product]]&amp;", "&amp;Referentie_Hernieuwbare_Energie_Totaal[[#Headers],[A2]],Database_Productkaarten[#All],47,FALSE),0)*Referentieberekening!L13),0))</f>
        <v>3832.0837254183216</v>
      </c>
      <c r="F120" s="93">
        <f>(IF(Referentieberekening!C13="Nieuwe Situatie",(_xlfn.IFNA(VLOOKUP(Referentie_Hernieuwbare_Energie_Totaal[[#This Row],[Product]]&amp;", "&amp;Referentie_Hernieuwbare_Energie_Totaal[[#Headers],[A3]],Database_Productkaarten[#All],47,FALSE),0)*Referentieberekening!L13),0))</f>
        <v>5702.4231417239425</v>
      </c>
      <c r="G120" s="93">
        <f>IF(Referentieberekening!P13=0,(IF(Referentieberekening!C13="Nieuwe Situatie",(_xlfn.IFNA(VLOOKUP(Referentie_Hernieuwbare_Energie_Totaal[[#This Row],[Product]]&amp;", "&amp;Referentie_Hernieuwbare_Energie_Totaal[[#Headers],[A4]],Database_Productkaarten[#All],47,FALSE),0)*Referentieberekening!L13),0)),(IF(Inschrijfberekening!C13="Nieuwe Situatie",_xlfn.IFNA(VLOOKUP(Inschrijfberekening!K45,Database_Transport[#All],45,FALSE)*(Inschrijfberekening!K13*Inschrijfberekening!N13),0),0)))</f>
        <v>711.55382069099994</v>
      </c>
      <c r="H120" s="93">
        <f>(IF(Referentieberekening!C13="Nieuwe Situatie",(_xlfn.IFNA(VLOOKUP(Referentie_Hernieuwbare_Energie_Totaal[[#This Row],[Product]]&amp;", "&amp;Referentie_Hernieuwbare_Energie_Totaal[[#Headers],[A5]],Database_Productkaarten[#All],47,FALSE),0)*Referentieberekening!L13),0))</f>
        <v>89.213268147912146</v>
      </c>
      <c r="I120" s="93">
        <f>(IF(Referentieberekening!C13="Nieuwe Situatie",(_xlfn.IFNA(VLOOKUP(Referentie_Hernieuwbare_Energie_Totaal[[#This Row],[Product]]&amp;", "&amp;Referentie_Hernieuwbare_Energie_Totaal[[#Headers],[B1]],Database_Productkaarten[#All],47,FALSE),0)*Referentieberekening!L13),0))</f>
        <v>0</v>
      </c>
      <c r="J120" s="93">
        <f>(IF(Referentieberekening!C13="Nieuwe Situatie",(SUM(Referentie_Hernieuwbare_Energie_Totaal[[#This Row],[A1]:[B1]],Referentie_Hernieuwbare_Energie_Totaal[[#This Row],[C1]:[D2]])*Referentieberekening!N13),0))</f>
        <v>0</v>
      </c>
      <c r="K120" s="93">
        <f>(IF(Referentieberekening!C13="Bestaande Situatie",(_xlfn.IFNA(VLOOKUP(Referentie_Hernieuwbare_Energie_Totaal[[#This Row],[Product]]&amp;", "&amp;Referentie_Hernieuwbare_Energie_Totaal[[#Headers],[C1]],Database_Productkaarten[#All],47,FALSE),0)*Referentieberekening!L13),0))</f>
        <v>0</v>
      </c>
      <c r="L120" s="93">
        <f>(IF(Referentieberekening!C13="Bestaande Situatie",(_xlfn.IFNA(VLOOKUP(Referentie_Hernieuwbare_Energie_Totaal[[#This Row],[Product]]&amp;", "&amp;Referentie_Hernieuwbare_Energie_Totaal[[#Headers],[C2]],Database_Productkaarten[#All],47,FALSE),0)*Referentieberekening!L13),0))</f>
        <v>0</v>
      </c>
      <c r="M120" s="93">
        <f>(IF(Referentieberekening!C13="Bestaande Situatie",(_xlfn.IFNA(VLOOKUP(Referentie_Hernieuwbare_Energie_Totaal[[#This Row],[Product]]&amp;", "&amp;Referentie_Hernieuwbare_Energie_Totaal[[#Headers],[C3]],Database_Productkaarten[#All],47,FALSE),0)*Referentieberekening!L13),0))</f>
        <v>0</v>
      </c>
      <c r="N120" s="93">
        <f>(IF(Referentieberekening!C13="Bestaande Situatie",(_xlfn.IFNA(VLOOKUP(Referentie_Hernieuwbare_Energie_Totaal[[#This Row],[Product]]&amp;", "&amp;Referentie_Hernieuwbare_Energie_Totaal[[#Headers],[C4]],Database_Productkaarten[#All],47,FALSE),0)*Referentieberekening!L13),0))</f>
        <v>0</v>
      </c>
      <c r="O120" s="93">
        <f>(IF(Referentieberekening!C13="Bestaande Situatie",(_xlfn.IFNA(VLOOKUP(Referentie_Hernieuwbare_Energie_Totaal[[#This Row],[Product]]&amp;", "&amp;Referentie_Hernieuwbare_Energie_Totaal[[#Headers],[D1]],Database_Productkaarten[#All],47,FALSE),0)*Referentieberekening!L13),0))</f>
        <v>0</v>
      </c>
      <c r="P120" s="94">
        <f>(IF(Referentieberekening!C13="Bestaande Situatie",_xlfn.IFNA(VLOOKUP(Referentie_Hernieuwbare_Energie_Totaal[[#This Row],[Product]]&amp;", "&amp;Referentie_Hernieuwbare_Energie_Totaal[[#Headers],[D2]],Database_Productkaarten[#All],47,FALSE),0)*Referentieberekening!L13,0))</f>
        <v>0</v>
      </c>
      <c r="Q120" s="72">
        <f>SUM(Referentie_Hernieuwbare_Energie_Totaal[[#This Row],[A1]:[D2]])</f>
        <v>20112.930503062977</v>
      </c>
    </row>
    <row r="121" spans="2:17" ht="18" x14ac:dyDescent="0.55000000000000004">
      <c r="B121" s="286" t="str">
        <f>Referentieberekening!B14</f>
        <v>Aanbrengen tussenlaag AC16 bind, dik 50 mm</v>
      </c>
      <c r="C121" s="92" t="str">
        <f>Referentieberekening!F14</f>
        <v>AC bin/base 50% PR - PCR 2.0</v>
      </c>
      <c r="D121" s="93">
        <f>(IF(Referentieberekening!C14="Nieuwe Situatie",(_xlfn.IFNA(VLOOKUP(Referentie_Hernieuwbare_Energie_Totaal[[#This Row],[Product]]&amp;", "&amp;Referentie_Hernieuwbare_Energie_Totaal[[#Headers],[A1]],Database_Productkaarten[#All],47,FALSE),0)*Referentieberekening!L14),0))</f>
        <v>6986.5324658452482</v>
      </c>
      <c r="E121" s="93">
        <f>(IF(Referentieberekening!C14="Nieuwe Situatie",(_xlfn.IFNA(VLOOKUP(Referentie_Hernieuwbare_Energie_Totaal[[#This Row],[Product]]&amp;", "&amp;Referentie_Hernieuwbare_Energie_Totaal[[#Headers],[A2]],Database_Productkaarten[#All],47,FALSE),0)*Referentieberekening!L14),0))</f>
        <v>2738.1793613381583</v>
      </c>
      <c r="F121" s="93">
        <f>(IF(Referentieberekening!C14="Nieuwe Situatie",(_xlfn.IFNA(VLOOKUP(Referentie_Hernieuwbare_Energie_Totaal[[#This Row],[Product]]&amp;", "&amp;Referentie_Hernieuwbare_Energie_Totaal[[#Headers],[A3]],Database_Productkaarten[#All],47,FALSE),0)*Referentieberekening!L14),0))</f>
        <v>4074.6127890462781</v>
      </c>
      <c r="G121" s="93">
        <f>IF(Referentieberekening!P14=0,(IF(Referentieberekening!C14="Nieuwe Situatie",(_xlfn.IFNA(VLOOKUP(Referentie_Hernieuwbare_Energie_Totaal[[#This Row],[Product]]&amp;", "&amp;Referentie_Hernieuwbare_Energie_Totaal[[#Headers],[A4]],Database_Productkaarten[#All],47,FALSE),0)*Referentieberekening!L14),0)),(IF(Inschrijfberekening!C14="Nieuwe Situatie",_xlfn.IFNA(VLOOKUP(Inschrijfberekening!K46,Database_Transport[#All],45,FALSE)*(Inschrijfberekening!K14*Inschrijfberekening!N14),0),0)))</f>
        <v>508.43408597099994</v>
      </c>
      <c r="H121" s="93">
        <f>(IF(Referentieberekening!C14="Nieuwe Situatie",(_xlfn.IFNA(VLOOKUP(Referentie_Hernieuwbare_Energie_Totaal[[#This Row],[Product]]&amp;", "&amp;Referentie_Hernieuwbare_Energie_Totaal[[#Headers],[A5]],Database_Productkaarten[#All],47,FALSE),0)*Referentieberekening!L14),0))</f>
        <v>63.746501147616087</v>
      </c>
      <c r="I121" s="93">
        <f>(IF(Referentieberekening!C14="Nieuwe Situatie",(_xlfn.IFNA(VLOOKUP(Referentie_Hernieuwbare_Energie_Totaal[[#This Row],[Product]]&amp;", "&amp;Referentie_Hernieuwbare_Energie_Totaal[[#Headers],[B1]],Database_Productkaarten[#All],47,FALSE),0)*Referentieberekening!L14),0))</f>
        <v>0</v>
      </c>
      <c r="J121" s="93">
        <f>(IF(Referentieberekening!C14="Nieuwe Situatie",(SUM(Referentie_Hernieuwbare_Energie_Totaal[[#This Row],[A1]:[B1]],Referentie_Hernieuwbare_Energie_Totaal[[#This Row],[C1]:[D2]])*Referentieberekening!N14),0))</f>
        <v>0</v>
      </c>
      <c r="K121" s="93">
        <f>(IF(Referentieberekening!C14="Bestaande Situatie",(_xlfn.IFNA(VLOOKUP(Referentie_Hernieuwbare_Energie_Totaal[[#This Row],[Product]]&amp;", "&amp;Referentie_Hernieuwbare_Energie_Totaal[[#Headers],[C1]],Database_Productkaarten[#All],47,FALSE),0)*Referentieberekening!L14),0))</f>
        <v>0</v>
      </c>
      <c r="L121" s="93">
        <f>(IF(Referentieberekening!C14="Bestaande Situatie",(_xlfn.IFNA(VLOOKUP(Referentie_Hernieuwbare_Energie_Totaal[[#This Row],[Product]]&amp;", "&amp;Referentie_Hernieuwbare_Energie_Totaal[[#Headers],[C2]],Database_Productkaarten[#All],47,FALSE),0)*Referentieberekening!L14),0))</f>
        <v>0</v>
      </c>
      <c r="M121" s="93">
        <f>(IF(Referentieberekening!C14="Bestaande Situatie",(_xlfn.IFNA(VLOOKUP(Referentie_Hernieuwbare_Energie_Totaal[[#This Row],[Product]]&amp;", "&amp;Referentie_Hernieuwbare_Energie_Totaal[[#Headers],[C3]],Database_Productkaarten[#All],47,FALSE),0)*Referentieberekening!L14),0))</f>
        <v>0</v>
      </c>
      <c r="N121" s="93">
        <f>(IF(Referentieberekening!C14="Bestaande Situatie",(_xlfn.IFNA(VLOOKUP(Referentie_Hernieuwbare_Energie_Totaal[[#This Row],[Product]]&amp;", "&amp;Referentie_Hernieuwbare_Energie_Totaal[[#Headers],[C4]],Database_Productkaarten[#All],47,FALSE),0)*Referentieberekening!L14),0))</f>
        <v>0</v>
      </c>
      <c r="O121" s="93">
        <f>(IF(Referentieberekening!C14="Bestaande Situatie",(_xlfn.IFNA(VLOOKUP(Referentie_Hernieuwbare_Energie_Totaal[[#This Row],[Product]]&amp;", "&amp;Referentie_Hernieuwbare_Energie_Totaal[[#Headers],[D1]],Database_Productkaarten[#All],47,FALSE),0)*Referentieberekening!L14),0))</f>
        <v>0</v>
      </c>
      <c r="P121" s="94">
        <f>(IF(Referentieberekening!C14="Bestaande Situatie",_xlfn.IFNA(VLOOKUP(Referentie_Hernieuwbare_Energie_Totaal[[#This Row],[Product]]&amp;", "&amp;Referentie_Hernieuwbare_Energie_Totaal[[#Headers],[D2]],Database_Productkaarten[#All],47,FALSE),0)*Referentieberekening!L14,0))</f>
        <v>0</v>
      </c>
      <c r="Q121" s="72">
        <f>SUM(Referentie_Hernieuwbare_Energie_Totaal[[#This Row],[A1]:[D2]])</f>
        <v>14371.505203348299</v>
      </c>
    </row>
    <row r="122" spans="2:17" ht="18" x14ac:dyDescent="0.55000000000000004">
      <c r="B122" s="286" t="str">
        <f>Referentieberekening!B15</f>
        <v>Aanbrengen deklaag van SMA-NL 8, dik 30 mm.</v>
      </c>
      <c r="C122" s="92" t="str">
        <f>Referentieberekening!F15</f>
        <v>SMA 8-11 - PCR 2.0</v>
      </c>
      <c r="D122" s="93">
        <f>(IF(Referentieberekening!C15="Nieuwe Situatie",(_xlfn.IFNA(VLOOKUP(Referentie_Hernieuwbare_Energie_Totaal[[#This Row],[Product]]&amp;", "&amp;Referentie_Hernieuwbare_Energie_Totaal[[#Headers],[A1]],Database_Productkaarten[#All],47,FALSE),0)*Referentieberekening!L15),0))</f>
        <v>15757.958220009668</v>
      </c>
      <c r="E122" s="93">
        <f>(IF(Referentieberekening!C15="Nieuwe Situatie",(_xlfn.IFNA(VLOOKUP(Referentie_Hernieuwbare_Energie_Totaal[[#This Row],[Product]]&amp;", "&amp;Referentie_Hernieuwbare_Energie_Totaal[[#Headers],[A2]],Database_Productkaarten[#All],47,FALSE),0)*Referentieberekening!L15),0))</f>
        <v>4084.7792820362915</v>
      </c>
      <c r="F122" s="93">
        <f>(IF(Referentieberekening!C15="Nieuwe Situatie",(_xlfn.IFNA(VLOOKUP(Referentie_Hernieuwbare_Energie_Totaal[[#This Row],[Product]]&amp;", "&amp;Referentie_Hernieuwbare_Energie_Totaal[[#Headers],[A3]],Database_Productkaarten[#All],47,FALSE),0)*Referentieberekening!L15),0))</f>
        <v>3595.1034227862865</v>
      </c>
      <c r="G122" s="93">
        <f>IF(Referentieberekening!P15=0,(IF(Referentieberekening!C15="Nieuwe Situatie",(_xlfn.IFNA(VLOOKUP(Referentie_Hernieuwbare_Energie_Totaal[[#This Row],[Product]]&amp;", "&amp;Referentie_Hernieuwbare_Energie_Totaal[[#Headers],[A4]],Database_Productkaarten[#All],47,FALSE),0)*Referentieberekening!L15),0)),(IF(Inschrijfberekening!C15="Nieuwe Situatie",_xlfn.IFNA(VLOOKUP(Inschrijfberekening!K47,Database_Transport[#All],45,FALSE)*(Inschrijfberekening!K15*Inschrijfberekening!N15),0),0)))</f>
        <v>305.31435125099995</v>
      </c>
      <c r="H122" s="93">
        <f>(IF(Referentieberekening!C15="Nieuwe Situatie",(_xlfn.IFNA(VLOOKUP(Referentie_Hernieuwbare_Energie_Totaal[[#This Row],[Product]]&amp;", "&amp;Referentie_Hernieuwbare_Energie_Totaal[[#Headers],[A5]],Database_Productkaarten[#All],47,FALSE),0)*Referentieberekening!L15),0))</f>
        <v>69.382018360365834</v>
      </c>
      <c r="I122" s="93">
        <f>(IF(Referentieberekening!C15="Nieuwe Situatie",(_xlfn.IFNA(VLOOKUP(Referentie_Hernieuwbare_Energie_Totaal[[#This Row],[Product]]&amp;", "&amp;Referentie_Hernieuwbare_Energie_Totaal[[#Headers],[B1]],Database_Productkaarten[#All],47,FALSE),0)*Referentieberekening!L15),0))</f>
        <v>0</v>
      </c>
      <c r="J122" s="93">
        <f>(IF(Referentieberekening!C15="Nieuwe Situatie",(SUM(Referentie_Hernieuwbare_Energie_Totaal[[#This Row],[A1]:[B1]],Referentie_Hernieuwbare_Energie_Totaal[[#This Row],[C1]:[D2]])*Referentieberekening!N15),0))</f>
        <v>0</v>
      </c>
      <c r="K122" s="93">
        <f>(IF(Referentieberekening!C15="Bestaande Situatie",(_xlfn.IFNA(VLOOKUP(Referentie_Hernieuwbare_Energie_Totaal[[#This Row],[Product]]&amp;", "&amp;Referentie_Hernieuwbare_Energie_Totaal[[#Headers],[C1]],Database_Productkaarten[#All],47,FALSE),0)*Referentieberekening!L15),0))</f>
        <v>0</v>
      </c>
      <c r="L122" s="93">
        <f>(IF(Referentieberekening!C15="Bestaande Situatie",(_xlfn.IFNA(VLOOKUP(Referentie_Hernieuwbare_Energie_Totaal[[#This Row],[Product]]&amp;", "&amp;Referentie_Hernieuwbare_Energie_Totaal[[#Headers],[C2]],Database_Productkaarten[#All],47,FALSE),0)*Referentieberekening!L15),0))</f>
        <v>0</v>
      </c>
      <c r="M122" s="93">
        <f>(IF(Referentieberekening!C15="Bestaande Situatie",(_xlfn.IFNA(VLOOKUP(Referentie_Hernieuwbare_Energie_Totaal[[#This Row],[Product]]&amp;", "&amp;Referentie_Hernieuwbare_Energie_Totaal[[#Headers],[C3]],Database_Productkaarten[#All],47,FALSE),0)*Referentieberekening!L15),0))</f>
        <v>0</v>
      </c>
      <c r="N122" s="93">
        <f>(IF(Referentieberekening!C15="Bestaande Situatie",(_xlfn.IFNA(VLOOKUP(Referentie_Hernieuwbare_Energie_Totaal[[#This Row],[Product]]&amp;", "&amp;Referentie_Hernieuwbare_Energie_Totaal[[#Headers],[C4]],Database_Productkaarten[#All],47,FALSE),0)*Referentieberekening!L15),0))</f>
        <v>0</v>
      </c>
      <c r="O122" s="93">
        <f>(IF(Referentieberekening!C15="Bestaande Situatie",(_xlfn.IFNA(VLOOKUP(Referentie_Hernieuwbare_Energie_Totaal[[#This Row],[Product]]&amp;", "&amp;Referentie_Hernieuwbare_Energie_Totaal[[#Headers],[D1]],Database_Productkaarten[#All],47,FALSE),0)*Referentieberekening!L15),0))</f>
        <v>0</v>
      </c>
      <c r="P122" s="94">
        <f>(IF(Referentieberekening!C15="Bestaande Situatie",_xlfn.IFNA(VLOOKUP(Referentie_Hernieuwbare_Energie_Totaal[[#This Row],[Product]]&amp;", "&amp;Referentie_Hernieuwbare_Energie_Totaal[[#Headers],[D2]],Database_Productkaarten[#All],47,FALSE),0)*Referentieberekening!L15,0))</f>
        <v>0</v>
      </c>
      <c r="Q122" s="72">
        <f>SUM(Referentie_Hernieuwbare_Energie_Totaal[[#This Row],[A1]:[D2]])</f>
        <v>23812.537294443613</v>
      </c>
    </row>
    <row r="123" spans="2:17" ht="18" x14ac:dyDescent="0.55000000000000004">
      <c r="B123" s="286" t="str">
        <f>Referentieberekening!B16</f>
        <v>Aanbrengen menggranulaat, dik 200 mm - fietspad.</v>
      </c>
      <c r="C123" s="92" t="str">
        <f>Referentieberekening!F16</f>
        <v>Menggranulaat 0/31,5</v>
      </c>
      <c r="D123" s="93">
        <f>(IF(Referentieberekening!C16="Nieuwe Situatie",(_xlfn.IFNA(VLOOKUP(Referentie_Hernieuwbare_Energie_Totaal[[#This Row],[Product]]&amp;", "&amp;Referentie_Hernieuwbare_Energie_Totaal[[#Headers],[A1]],Database_Productkaarten[#All],47,FALSE),0)*Referentieberekening!L16),0))</f>
        <v>0</v>
      </c>
      <c r="E123" s="93">
        <f>(IF(Referentieberekening!C16="Nieuwe Situatie",(_xlfn.IFNA(VLOOKUP(Referentie_Hernieuwbare_Energie_Totaal[[#This Row],[Product]]&amp;", "&amp;Referentie_Hernieuwbare_Energie_Totaal[[#Headers],[A2]],Database_Productkaarten[#All],47,FALSE),0)*Referentieberekening!L16),0))</f>
        <v>0</v>
      </c>
      <c r="F123" s="93">
        <f>(IF(Referentieberekening!C16="Nieuwe Situatie",(_xlfn.IFNA(VLOOKUP(Referentie_Hernieuwbare_Energie_Totaal[[#This Row],[Product]]&amp;", "&amp;Referentie_Hernieuwbare_Energie_Totaal[[#Headers],[A3]],Database_Productkaarten[#All],47,FALSE),0)*Referentieberekening!L16),0))</f>
        <v>0</v>
      </c>
      <c r="G123" s="93">
        <f>IF(Referentieberekening!P16=0,(IF(Referentieberekening!C16="Nieuwe Situatie",(_xlfn.IFNA(VLOOKUP(Referentie_Hernieuwbare_Energie_Totaal[[#This Row],[Product]]&amp;", "&amp;Referentie_Hernieuwbare_Energie_Totaal[[#Headers],[A4]],Database_Productkaarten[#All],47,FALSE),0)*Referentieberekening!L16),0)),(IF(Inschrijfberekening!C16="Nieuwe Situatie",_xlfn.IFNA(VLOOKUP(Inschrijfberekening!K48,Database_Transport[#All],45,FALSE)*(Inschrijfberekening!K16*Inschrijfberekening!N16),0),0)))</f>
        <v>197.37631584000002</v>
      </c>
      <c r="H123" s="93">
        <f>(IF(Referentieberekening!C16="Nieuwe Situatie",(_xlfn.IFNA(VLOOKUP(Referentie_Hernieuwbare_Energie_Totaal[[#This Row],[Product]]&amp;", "&amp;Referentie_Hernieuwbare_Energie_Totaal[[#Headers],[A5]],Database_Productkaarten[#All],47,FALSE),0)*Referentieberekening!L16),0))</f>
        <v>4.8317732099311998E-6</v>
      </c>
      <c r="I123" s="93">
        <f>(IF(Referentieberekening!C16="Nieuwe Situatie",(_xlfn.IFNA(VLOOKUP(Referentie_Hernieuwbare_Energie_Totaal[[#This Row],[Product]]&amp;", "&amp;Referentie_Hernieuwbare_Energie_Totaal[[#Headers],[B1]],Database_Productkaarten[#All],47,FALSE),0)*Referentieberekening!L16),0))</f>
        <v>0</v>
      </c>
      <c r="J123" s="93">
        <f>(IF(Referentieberekening!C16="Nieuwe Situatie",(SUM(Referentie_Hernieuwbare_Energie_Totaal[[#This Row],[A1]:[B1]],Referentie_Hernieuwbare_Energie_Totaal[[#This Row],[C1]:[D2]])*Referentieberekening!N16),0))</f>
        <v>0</v>
      </c>
      <c r="K123" s="93">
        <f>(IF(Referentieberekening!C16="Bestaande Situatie",(_xlfn.IFNA(VLOOKUP(Referentie_Hernieuwbare_Energie_Totaal[[#This Row],[Product]]&amp;", "&amp;Referentie_Hernieuwbare_Energie_Totaal[[#Headers],[C1]],Database_Productkaarten[#All],47,FALSE),0)*Referentieberekening!L16),0))</f>
        <v>0</v>
      </c>
      <c r="L123" s="93">
        <f>(IF(Referentieberekening!C16="Bestaande Situatie",(_xlfn.IFNA(VLOOKUP(Referentie_Hernieuwbare_Energie_Totaal[[#This Row],[Product]]&amp;", "&amp;Referentie_Hernieuwbare_Energie_Totaal[[#Headers],[C2]],Database_Productkaarten[#All],47,FALSE),0)*Referentieberekening!L16),0))</f>
        <v>0</v>
      </c>
      <c r="M123" s="93">
        <f>(IF(Referentieberekening!C16="Bestaande Situatie",(_xlfn.IFNA(VLOOKUP(Referentie_Hernieuwbare_Energie_Totaal[[#This Row],[Product]]&amp;", "&amp;Referentie_Hernieuwbare_Energie_Totaal[[#Headers],[C3]],Database_Productkaarten[#All],47,FALSE),0)*Referentieberekening!L16),0))</f>
        <v>0</v>
      </c>
      <c r="N123" s="93">
        <f>(IF(Referentieberekening!C16="Bestaande Situatie",(_xlfn.IFNA(VLOOKUP(Referentie_Hernieuwbare_Energie_Totaal[[#This Row],[Product]]&amp;", "&amp;Referentie_Hernieuwbare_Energie_Totaal[[#Headers],[C4]],Database_Productkaarten[#All],47,FALSE),0)*Referentieberekening!L16),0))</f>
        <v>0</v>
      </c>
      <c r="O123" s="93">
        <f>(IF(Referentieberekening!C16="Bestaande Situatie",(_xlfn.IFNA(VLOOKUP(Referentie_Hernieuwbare_Energie_Totaal[[#This Row],[Product]]&amp;", "&amp;Referentie_Hernieuwbare_Energie_Totaal[[#Headers],[D1]],Database_Productkaarten[#All],47,FALSE),0)*Referentieberekening!L16),0))</f>
        <v>0</v>
      </c>
      <c r="P123" s="94">
        <f>(IF(Referentieberekening!C16="Bestaande Situatie",_xlfn.IFNA(VLOOKUP(Referentie_Hernieuwbare_Energie_Totaal[[#This Row],[Product]]&amp;", "&amp;Referentie_Hernieuwbare_Energie_Totaal[[#Headers],[D2]],Database_Productkaarten[#All],47,FALSE),0)*Referentieberekening!L16,0))</f>
        <v>0</v>
      </c>
      <c r="Q123" s="72">
        <f>SUM(Referentie_Hernieuwbare_Energie_Totaal[[#This Row],[A1]:[D2]])</f>
        <v>197.37632067177321</v>
      </c>
    </row>
    <row r="124" spans="2:17" ht="18" x14ac:dyDescent="0.55000000000000004">
      <c r="B124" s="286" t="str">
        <f>Referentieberekening!B17</f>
        <v>Aanbrengen onderlaag AC 16 base, dik 50 mm 275 m2.</v>
      </c>
      <c r="C124" s="92" t="str">
        <f>Referentieberekening!F17</f>
        <v>AC bin/base 50% PR - PCR 2.0</v>
      </c>
      <c r="D124" s="93">
        <f>(IF(Referentieberekening!C17="Nieuwe Situatie",(_xlfn.IFNA(VLOOKUP(Referentie_Hernieuwbare_Energie_Totaal[[#This Row],[Product]]&amp;", "&amp;Referentie_Hernieuwbare_Energie_Totaal[[#Headers],[A1]],Database_Productkaarten[#All],47,FALSE),0)*Referentieberekening!L17),0))</f>
        <v>305.27919638524804</v>
      </c>
      <c r="E124" s="93">
        <f>(IF(Referentieberekening!C17="Nieuwe Situatie",(_xlfn.IFNA(VLOOKUP(Referentie_Hernieuwbare_Energie_Totaal[[#This Row],[Product]]&amp;", "&amp;Referentie_Hernieuwbare_Energie_Totaal[[#Headers],[A2]],Database_Productkaarten[#All],47,FALSE),0)*Referentieberekening!L17),0))</f>
        <v>119.64578982126784</v>
      </c>
      <c r="F124" s="93">
        <f>(IF(Referentieberekening!C17="Nieuwe Situatie",(_xlfn.IFNA(VLOOKUP(Referentie_Hernieuwbare_Energie_Totaal[[#This Row],[Product]]&amp;", "&amp;Referentie_Hernieuwbare_Energie_Totaal[[#Headers],[A3]],Database_Productkaarten[#All],47,FALSE),0)*Referentieberekening!L17),0))</f>
        <v>178.04175732411952</v>
      </c>
      <c r="G124" s="93">
        <f>IF(Referentieberekening!P17=0,(IF(Referentieberekening!C17="Nieuwe Situatie",(_xlfn.IFNA(VLOOKUP(Referentie_Hernieuwbare_Energie_Totaal[[#This Row],[Product]]&amp;", "&amp;Referentie_Hernieuwbare_Energie_Totaal[[#Headers],[A4]],Database_Productkaarten[#All],47,FALSE),0)*Referentieberekening!L17),0)),(IF(Inschrijfberekening!C17="Nieuwe Situatie",_xlfn.IFNA(VLOOKUP(Inschrijfberekening!K49,Database_Transport[#All],45,FALSE)*(Inschrijfberekening!K17*Inschrijfberekening!N17),0),0)))</f>
        <v>22.216220985</v>
      </c>
      <c r="H124" s="93">
        <f>(IF(Referentieberekening!C17="Nieuwe Situatie",(_xlfn.IFNA(VLOOKUP(Referentie_Hernieuwbare_Energie_Totaal[[#This Row],[Product]]&amp;", "&amp;Referentie_Hernieuwbare_Energie_Totaal[[#Headers],[A5]],Database_Productkaarten[#All],47,FALSE),0)*Referentieberekening!L17),0))</f>
        <v>2.7854276406573821</v>
      </c>
      <c r="I124" s="93">
        <f>(IF(Referentieberekening!C17="Nieuwe Situatie",(_xlfn.IFNA(VLOOKUP(Referentie_Hernieuwbare_Energie_Totaal[[#This Row],[Product]]&amp;", "&amp;Referentie_Hernieuwbare_Energie_Totaal[[#Headers],[B1]],Database_Productkaarten[#All],47,FALSE),0)*Referentieberekening!L17),0))</f>
        <v>0</v>
      </c>
      <c r="J124" s="93">
        <f>(IF(Referentieberekening!C17="Nieuwe Situatie",(SUM(Referentie_Hernieuwbare_Energie_Totaal[[#This Row],[A1]:[B1]],Referentie_Hernieuwbare_Energie_Totaal[[#This Row],[C1]:[D2]])*Referentieberekening!N17),0))</f>
        <v>0</v>
      </c>
      <c r="K124" s="93">
        <f>(IF(Referentieberekening!C17="Bestaande Situatie",(_xlfn.IFNA(VLOOKUP(Referentie_Hernieuwbare_Energie_Totaal[[#This Row],[Product]]&amp;", "&amp;Referentie_Hernieuwbare_Energie_Totaal[[#Headers],[C1]],Database_Productkaarten[#All],47,FALSE),0)*Referentieberekening!L17),0))</f>
        <v>0</v>
      </c>
      <c r="L124" s="93">
        <f>(IF(Referentieberekening!C17="Bestaande Situatie",(_xlfn.IFNA(VLOOKUP(Referentie_Hernieuwbare_Energie_Totaal[[#This Row],[Product]]&amp;", "&amp;Referentie_Hernieuwbare_Energie_Totaal[[#Headers],[C2]],Database_Productkaarten[#All],47,FALSE),0)*Referentieberekening!L17),0))</f>
        <v>0</v>
      </c>
      <c r="M124" s="93">
        <f>(IF(Referentieberekening!C17="Bestaande Situatie",(_xlfn.IFNA(VLOOKUP(Referentie_Hernieuwbare_Energie_Totaal[[#This Row],[Product]]&amp;", "&amp;Referentie_Hernieuwbare_Energie_Totaal[[#Headers],[C3]],Database_Productkaarten[#All],47,FALSE),0)*Referentieberekening!L17),0))</f>
        <v>0</v>
      </c>
      <c r="N124" s="93">
        <f>(IF(Referentieberekening!C17="Bestaande Situatie",(_xlfn.IFNA(VLOOKUP(Referentie_Hernieuwbare_Energie_Totaal[[#This Row],[Product]]&amp;", "&amp;Referentie_Hernieuwbare_Energie_Totaal[[#Headers],[C4]],Database_Productkaarten[#All],47,FALSE),0)*Referentieberekening!L17),0))</f>
        <v>0</v>
      </c>
      <c r="O124" s="93">
        <f>(IF(Referentieberekening!C17="Bestaande Situatie",(_xlfn.IFNA(VLOOKUP(Referentie_Hernieuwbare_Energie_Totaal[[#This Row],[Product]]&amp;", "&amp;Referentie_Hernieuwbare_Energie_Totaal[[#Headers],[D1]],Database_Productkaarten[#All],47,FALSE),0)*Referentieberekening!L17),0))</f>
        <v>0</v>
      </c>
      <c r="P124" s="94">
        <f>(IF(Referentieberekening!C17="Bestaande Situatie",_xlfn.IFNA(VLOOKUP(Referentie_Hernieuwbare_Energie_Totaal[[#This Row],[Product]]&amp;", "&amp;Referentie_Hernieuwbare_Energie_Totaal[[#Headers],[D2]],Database_Productkaarten[#All],47,FALSE),0)*Referentieberekening!L17,0))</f>
        <v>0</v>
      </c>
      <c r="Q124" s="72">
        <f>SUM(Referentie_Hernieuwbare_Energie_Totaal[[#This Row],[A1]:[D2]])</f>
        <v>627.96839215629279</v>
      </c>
    </row>
    <row r="125" spans="2:17" ht="18" x14ac:dyDescent="0.55000000000000004">
      <c r="B125" s="286" t="str">
        <f>Referentieberekening!B18</f>
        <v>Aanbrengen deklaag SMA-NL 8, dik 30 mm - 275 m2 (rood)</v>
      </c>
      <c r="C125" s="92" t="str">
        <f>Referentieberekening!F18</f>
        <v>AC surf rood, met blank bindmiddel - PCR 2.0</v>
      </c>
      <c r="D125" s="93">
        <f>(IF(Referentieberekening!C18="Nieuwe Situatie",(_xlfn.IFNA(VLOOKUP(Referentie_Hernieuwbare_Energie_Totaal[[#This Row],[Product]]&amp;", "&amp;Referentie_Hernieuwbare_Energie_Totaal[[#Headers],[A1]],Database_Productkaarten[#All],47,FALSE),0)*Referentieberekening!L18),0))</f>
        <v>3596.2108109109631</v>
      </c>
      <c r="E125" s="93">
        <f>(IF(Referentieberekening!C18="Nieuwe Situatie",(_xlfn.IFNA(VLOOKUP(Referentie_Hernieuwbare_Energie_Totaal[[#This Row],[Product]]&amp;", "&amp;Referentie_Hernieuwbare_Energie_Totaal[[#Headers],[A2]],Database_Productkaarten[#All],47,FALSE),0)*Referentieberekening!L18),0))</f>
        <v>122.05209069089716</v>
      </c>
      <c r="F125" s="93">
        <f>(IF(Referentieberekening!C18="Nieuwe Situatie",(_xlfn.IFNA(VLOOKUP(Referentie_Hernieuwbare_Energie_Totaal[[#This Row],[Product]]&amp;", "&amp;Referentie_Hernieuwbare_Energie_Totaal[[#Headers],[A3]],Database_Productkaarten[#All],47,FALSE),0)*Referentieberekening!L18),0))</f>
        <v>150.63836181679508</v>
      </c>
      <c r="G125" s="93">
        <f>IF(Referentieberekening!P18=0,(IF(Referentieberekening!C18="Nieuwe Situatie",(_xlfn.IFNA(VLOOKUP(Referentie_Hernieuwbare_Energie_Totaal[[#This Row],[Product]]&amp;", "&amp;Referentie_Hernieuwbare_Energie_Totaal[[#Headers],[A4]],Database_Productkaarten[#All],47,FALSE),0)*Referentieberekening!L18),0)),(IF(Inschrijfberekening!C18="Nieuwe Situatie",_xlfn.IFNA(VLOOKUP(Inschrijfberekening!K50,Database_Transport[#All],45,FALSE)*(Inschrijfberekening!K18*Inschrijfberekening!N18),0),0)))</f>
        <v>13.329732590999999</v>
      </c>
      <c r="H125" s="93">
        <f>(IF(Referentieberekening!C18="Nieuwe Situatie",(_xlfn.IFNA(VLOOKUP(Referentie_Hernieuwbare_Energie_Totaal[[#This Row],[Product]]&amp;", "&amp;Referentie_Hernieuwbare_Energie_Totaal[[#Headers],[A5]],Database_Productkaarten[#All],47,FALSE),0)*Referentieberekening!L18),0))</f>
        <v>3.0291525699596282</v>
      </c>
      <c r="I125" s="93">
        <f>(IF(Referentieberekening!C18="Nieuwe Situatie",(_xlfn.IFNA(VLOOKUP(Referentie_Hernieuwbare_Energie_Totaal[[#This Row],[Product]]&amp;", "&amp;Referentie_Hernieuwbare_Energie_Totaal[[#Headers],[B1]],Database_Productkaarten[#All],47,FALSE),0)*Referentieberekening!L18),0))</f>
        <v>0</v>
      </c>
      <c r="J125" s="93">
        <f>(IF(Referentieberekening!C18="Nieuwe Situatie",(SUM(Referentie_Hernieuwbare_Energie_Totaal[[#This Row],[A1]:[B1]],Referentie_Hernieuwbare_Energie_Totaal[[#This Row],[C1]:[D2]])*Referentieberekening!N18),0))</f>
        <v>0</v>
      </c>
      <c r="K125" s="93">
        <f>(IF(Referentieberekening!C18="Bestaande Situatie",(_xlfn.IFNA(VLOOKUP(Referentie_Hernieuwbare_Energie_Totaal[[#This Row],[Product]]&amp;", "&amp;Referentie_Hernieuwbare_Energie_Totaal[[#Headers],[C1]],Database_Productkaarten[#All],47,FALSE),0)*Referentieberekening!L18),0))</f>
        <v>0</v>
      </c>
      <c r="L125" s="93">
        <f>(IF(Referentieberekening!C18="Bestaande Situatie",(_xlfn.IFNA(VLOOKUP(Referentie_Hernieuwbare_Energie_Totaal[[#This Row],[Product]]&amp;", "&amp;Referentie_Hernieuwbare_Energie_Totaal[[#Headers],[C2]],Database_Productkaarten[#All],47,FALSE),0)*Referentieberekening!L18),0))</f>
        <v>0</v>
      </c>
      <c r="M125" s="93">
        <f>(IF(Referentieberekening!C18="Bestaande Situatie",(_xlfn.IFNA(VLOOKUP(Referentie_Hernieuwbare_Energie_Totaal[[#This Row],[Product]]&amp;", "&amp;Referentie_Hernieuwbare_Energie_Totaal[[#Headers],[C3]],Database_Productkaarten[#All],47,FALSE),0)*Referentieberekening!L18),0))</f>
        <v>0</v>
      </c>
      <c r="N125" s="93">
        <f>(IF(Referentieberekening!C18="Bestaande Situatie",(_xlfn.IFNA(VLOOKUP(Referentie_Hernieuwbare_Energie_Totaal[[#This Row],[Product]]&amp;", "&amp;Referentie_Hernieuwbare_Energie_Totaal[[#Headers],[C4]],Database_Productkaarten[#All],47,FALSE),0)*Referentieberekening!L18),0))</f>
        <v>0</v>
      </c>
      <c r="O125" s="93">
        <f>(IF(Referentieberekening!C18="Bestaande Situatie",(_xlfn.IFNA(VLOOKUP(Referentie_Hernieuwbare_Energie_Totaal[[#This Row],[Product]]&amp;", "&amp;Referentie_Hernieuwbare_Energie_Totaal[[#Headers],[D1]],Database_Productkaarten[#All],47,FALSE),0)*Referentieberekening!L18),0))</f>
        <v>0</v>
      </c>
      <c r="P125" s="94">
        <f>(IF(Referentieberekening!C18="Bestaande Situatie",_xlfn.IFNA(VLOOKUP(Referentie_Hernieuwbare_Energie_Totaal[[#This Row],[Product]]&amp;", "&amp;Referentie_Hernieuwbare_Energie_Totaal[[#Headers],[D2]],Database_Productkaarten[#All],47,FALSE),0)*Referentieberekening!L18,0))</f>
        <v>0</v>
      </c>
      <c r="Q125" s="72">
        <f>SUM(Referentie_Hernieuwbare_Energie_Totaal[[#This Row],[A1]:[D2]])</f>
        <v>3885.2601485796149</v>
      </c>
    </row>
    <row r="126" spans="2:17" ht="18" x14ac:dyDescent="0.55000000000000004">
      <c r="B126" s="286" t="str">
        <f>Referentieberekening!B19</f>
        <v>Aanbrengen deklaag SMA-NL 8, dik 30 mm - 890 m2 (rood)</v>
      </c>
      <c r="C126" s="92" t="str">
        <f>Referentieberekening!F19</f>
        <v>AC surf rood, met blank bindmiddel - PCR 2.0</v>
      </c>
      <c r="D126" s="93">
        <f>(IF(Referentieberekening!C19="Nieuwe Situatie",(_xlfn.IFNA(VLOOKUP(Referentie_Hernieuwbare_Energie_Totaal[[#This Row],[Product]]&amp;", "&amp;Referentie_Hernieuwbare_Energie_Totaal[[#Headers],[A1]],Database_Productkaarten[#All],47,FALSE),0)*Referentieberekening!L19),0))</f>
        <v>11644.873101997404</v>
      </c>
      <c r="E126" s="93">
        <f>(IF(Referentieberekening!C19="Nieuwe Situatie",(_xlfn.IFNA(VLOOKUP(Referentie_Hernieuwbare_Energie_Totaal[[#This Row],[Product]]&amp;", "&amp;Referentie_Hernieuwbare_Energie_Totaal[[#Headers],[A2]],Database_Productkaarten[#All],47,FALSE),0)*Referentieberekening!L19),0))</f>
        <v>395.21629366576224</v>
      </c>
      <c r="F126" s="93">
        <f>(IF(Referentieberekening!C19="Nieuwe Situatie",(_xlfn.IFNA(VLOOKUP(Referentie_Hernieuwbare_Energie_Totaal[[#This Row],[Product]]&amp;", "&amp;Referentie_Hernieuwbare_Energie_Totaal[[#Headers],[A3]],Database_Productkaarten[#All],47,FALSE),0)*Referentieberekening!L19),0))</f>
        <v>487.78136207343169</v>
      </c>
      <c r="G126" s="93">
        <f>IF(Referentieberekening!P19=0,(IF(Referentieberekening!C19="Nieuwe Situatie",(_xlfn.IFNA(VLOOKUP(Referentie_Hernieuwbare_Energie_Totaal[[#This Row],[Product]]&amp;", "&amp;Referentie_Hernieuwbare_Energie_Totaal[[#Headers],[A4]],Database_Productkaarten[#All],47,FALSE),0)*Referentieberekening!L19),0)),(IF(Inschrijfberekening!C19="Nieuwe Situatie",_xlfn.IFNA(VLOOKUP(Inschrijfberekening!K51,Database_Transport[#All],45,FALSE)*(Inschrijfberekening!K19*Inschrijfberekening!N19),0),0)))</f>
        <v>43.162943627999994</v>
      </c>
      <c r="H126" s="93">
        <f>(IF(Referentieberekening!C19="Nieuwe Situatie",(_xlfn.IFNA(VLOOKUP(Referentie_Hernieuwbare_Energie_Totaal[[#This Row],[Product]]&amp;", "&amp;Referentie_Hernieuwbare_Energie_Totaal[[#Headers],[A5]],Database_Productkaarten[#All],47,FALSE),0)*Referentieberekening!L19),0))</f>
        <v>9.808684512250224</v>
      </c>
      <c r="I126" s="93">
        <f>(IF(Referentieberekening!C19="Nieuwe Situatie",(_xlfn.IFNA(VLOOKUP(Referentie_Hernieuwbare_Energie_Totaal[[#This Row],[Product]]&amp;", "&amp;Referentie_Hernieuwbare_Energie_Totaal[[#Headers],[B1]],Database_Productkaarten[#All],47,FALSE),0)*Referentieberekening!L19),0))</f>
        <v>0</v>
      </c>
      <c r="J126" s="93">
        <f>(IF(Referentieberekening!C19="Nieuwe Situatie",(SUM(Referentie_Hernieuwbare_Energie_Totaal[[#This Row],[A1]:[B1]],Referentie_Hernieuwbare_Energie_Totaal[[#This Row],[C1]:[D2]])*Referentieberekening!N19),0))</f>
        <v>0</v>
      </c>
      <c r="K126" s="93">
        <f>(IF(Referentieberekening!C19="Bestaande Situatie",(_xlfn.IFNA(VLOOKUP(Referentie_Hernieuwbare_Energie_Totaal[[#This Row],[Product]]&amp;", "&amp;Referentie_Hernieuwbare_Energie_Totaal[[#Headers],[C1]],Database_Productkaarten[#All],47,FALSE),0)*Referentieberekening!L19),0))</f>
        <v>0</v>
      </c>
      <c r="L126" s="93">
        <f>(IF(Referentieberekening!C19="Bestaande Situatie",(_xlfn.IFNA(VLOOKUP(Referentie_Hernieuwbare_Energie_Totaal[[#This Row],[Product]]&amp;", "&amp;Referentie_Hernieuwbare_Energie_Totaal[[#Headers],[C2]],Database_Productkaarten[#All],47,FALSE),0)*Referentieberekening!L19),0))</f>
        <v>0</v>
      </c>
      <c r="M126" s="93">
        <f>(IF(Referentieberekening!C19="Bestaande Situatie",(_xlfn.IFNA(VLOOKUP(Referentie_Hernieuwbare_Energie_Totaal[[#This Row],[Product]]&amp;", "&amp;Referentie_Hernieuwbare_Energie_Totaal[[#Headers],[C3]],Database_Productkaarten[#All],47,FALSE),0)*Referentieberekening!L19),0))</f>
        <v>0</v>
      </c>
      <c r="N126" s="93">
        <f>(IF(Referentieberekening!C19="Bestaande Situatie",(_xlfn.IFNA(VLOOKUP(Referentie_Hernieuwbare_Energie_Totaal[[#This Row],[Product]]&amp;", "&amp;Referentie_Hernieuwbare_Energie_Totaal[[#Headers],[C4]],Database_Productkaarten[#All],47,FALSE),0)*Referentieberekening!L19),0))</f>
        <v>0</v>
      </c>
      <c r="O126" s="93">
        <f>(IF(Referentieberekening!C19="Bestaande Situatie",(_xlfn.IFNA(VLOOKUP(Referentie_Hernieuwbare_Energie_Totaal[[#This Row],[Product]]&amp;", "&amp;Referentie_Hernieuwbare_Energie_Totaal[[#Headers],[D1]],Database_Productkaarten[#All],47,FALSE),0)*Referentieberekening!L19),0))</f>
        <v>0</v>
      </c>
      <c r="P126" s="94">
        <f>(IF(Referentieberekening!C19="Bestaande Situatie",_xlfn.IFNA(VLOOKUP(Referentie_Hernieuwbare_Energie_Totaal[[#This Row],[Product]]&amp;", "&amp;Referentie_Hernieuwbare_Energie_Totaal[[#Headers],[D2]],Database_Productkaarten[#All],47,FALSE),0)*Referentieberekening!L19,0))</f>
        <v>0</v>
      </c>
      <c r="Q126" s="72">
        <f>SUM(Referentie_Hernieuwbare_Energie_Totaal[[#This Row],[A1]:[D2]])</f>
        <v>12580.842385876849</v>
      </c>
    </row>
    <row r="127" spans="2:17" ht="18" x14ac:dyDescent="0.55000000000000004">
      <c r="B127" s="286" t="str">
        <f>Referentieberekening!B20</f>
        <v>Aanbrengen betonbuis rond profiel, ø300 mm - HWA.</v>
      </c>
      <c r="C127" s="92" t="str">
        <f>Referentieberekening!F20</f>
        <v>Betonbuis 300 mm</v>
      </c>
      <c r="D127" s="93">
        <f>(IF(Referentieberekening!C20="Nieuwe Situatie",(_xlfn.IFNA(VLOOKUP(Referentie_Hernieuwbare_Energie_Totaal[[#This Row],[Product]]&amp;", "&amp;Referentie_Hernieuwbare_Energie_Totaal[[#Headers],[A1]],Database_Productkaarten[#All],47,FALSE),0)*Referentieberekening!L20),0))</f>
        <v>0</v>
      </c>
      <c r="E127" s="93">
        <f>(IF(Referentieberekening!C20="Nieuwe Situatie",(_xlfn.IFNA(VLOOKUP(Referentie_Hernieuwbare_Energie_Totaal[[#This Row],[Product]]&amp;", "&amp;Referentie_Hernieuwbare_Energie_Totaal[[#Headers],[A2]],Database_Productkaarten[#All],47,FALSE),0)*Referentieberekening!L20),0))</f>
        <v>0</v>
      </c>
      <c r="F127" s="93">
        <f>(IF(Referentieberekening!C20="Nieuwe Situatie",(_xlfn.IFNA(VLOOKUP(Referentie_Hernieuwbare_Energie_Totaal[[#This Row],[Product]]&amp;", "&amp;Referentie_Hernieuwbare_Energie_Totaal[[#Headers],[A3]],Database_Productkaarten[#All],47,FALSE),0)*Referentieberekening!L20),0))</f>
        <v>0</v>
      </c>
      <c r="G127" s="93">
        <f>IF(Referentieberekening!P20=0,(IF(Referentieberekening!C20="Nieuwe Situatie",(_xlfn.IFNA(VLOOKUP(Referentie_Hernieuwbare_Energie_Totaal[[#This Row],[Product]]&amp;", "&amp;Referentie_Hernieuwbare_Energie_Totaal[[#Headers],[A4]],Database_Productkaarten[#All],47,FALSE),0)*Referentieberekening!L20),0)),(IF(Inschrijfberekening!C20="Nieuwe Situatie",_xlfn.IFNA(VLOOKUP(Inschrijfberekening!K52,Database_Transport[#All],45,FALSE)*(Inschrijfberekening!K20*Inschrijfberekening!N20),0),0)))</f>
        <v>0</v>
      </c>
      <c r="H127" s="93">
        <f>(IF(Referentieberekening!C20="Nieuwe Situatie",(_xlfn.IFNA(VLOOKUP(Referentie_Hernieuwbare_Energie_Totaal[[#This Row],[Product]]&amp;", "&amp;Referentie_Hernieuwbare_Energie_Totaal[[#Headers],[A5]],Database_Productkaarten[#All],47,FALSE),0)*Referentieberekening!L20),0))</f>
        <v>0</v>
      </c>
      <c r="I127" s="93">
        <f>(IF(Referentieberekening!C20="Nieuwe Situatie",(_xlfn.IFNA(VLOOKUP(Referentie_Hernieuwbare_Energie_Totaal[[#This Row],[Product]]&amp;", "&amp;Referentie_Hernieuwbare_Energie_Totaal[[#Headers],[B1]],Database_Productkaarten[#All],47,FALSE),0)*Referentieberekening!L20),0))</f>
        <v>0</v>
      </c>
      <c r="J127" s="93">
        <f>(IF(Referentieberekening!C20="Nieuwe Situatie",(SUM(Referentie_Hernieuwbare_Energie_Totaal[[#This Row],[A1]:[B1]],Referentie_Hernieuwbare_Energie_Totaal[[#This Row],[C1]:[D2]])*Referentieberekening!N20),0))</f>
        <v>0</v>
      </c>
      <c r="K127" s="93">
        <f>(IF(Referentieberekening!C20="Bestaande Situatie",(_xlfn.IFNA(VLOOKUP(Referentie_Hernieuwbare_Energie_Totaal[[#This Row],[Product]]&amp;", "&amp;Referentie_Hernieuwbare_Energie_Totaal[[#Headers],[C1]],Database_Productkaarten[#All],47,FALSE),0)*Referentieberekening!L20),0))</f>
        <v>0</v>
      </c>
      <c r="L127" s="93">
        <f>(IF(Referentieberekening!C20="Bestaande Situatie",(_xlfn.IFNA(VLOOKUP(Referentie_Hernieuwbare_Energie_Totaal[[#This Row],[Product]]&amp;", "&amp;Referentie_Hernieuwbare_Energie_Totaal[[#Headers],[C2]],Database_Productkaarten[#All],47,FALSE),0)*Referentieberekening!L20),0))</f>
        <v>0</v>
      </c>
      <c r="M127" s="93">
        <f>(IF(Referentieberekening!C20="Bestaande Situatie",(_xlfn.IFNA(VLOOKUP(Referentie_Hernieuwbare_Energie_Totaal[[#This Row],[Product]]&amp;", "&amp;Referentie_Hernieuwbare_Energie_Totaal[[#Headers],[C3]],Database_Productkaarten[#All],47,FALSE),0)*Referentieberekening!L20),0))</f>
        <v>0</v>
      </c>
      <c r="N127" s="93">
        <f>(IF(Referentieberekening!C20="Bestaande Situatie",(_xlfn.IFNA(VLOOKUP(Referentie_Hernieuwbare_Energie_Totaal[[#This Row],[Product]]&amp;", "&amp;Referentie_Hernieuwbare_Energie_Totaal[[#Headers],[C4]],Database_Productkaarten[#All],47,FALSE),0)*Referentieberekening!L20),0))</f>
        <v>0</v>
      </c>
      <c r="O127" s="93">
        <f>(IF(Referentieberekening!C20="Bestaande Situatie",(_xlfn.IFNA(VLOOKUP(Referentie_Hernieuwbare_Energie_Totaal[[#This Row],[Product]]&amp;", "&amp;Referentie_Hernieuwbare_Energie_Totaal[[#Headers],[D1]],Database_Productkaarten[#All],47,FALSE),0)*Referentieberekening!L20),0))</f>
        <v>0</v>
      </c>
      <c r="P127" s="94">
        <f>(IF(Referentieberekening!C20="Bestaande Situatie",_xlfn.IFNA(VLOOKUP(Referentie_Hernieuwbare_Energie_Totaal[[#This Row],[Product]]&amp;", "&amp;Referentie_Hernieuwbare_Energie_Totaal[[#Headers],[D2]],Database_Productkaarten[#All],47,FALSE),0)*Referentieberekening!L20,0))</f>
        <v>0</v>
      </c>
      <c r="Q127" s="72">
        <f>SUM(Referentie_Hernieuwbare_Energie_Totaal[[#This Row],[A1]:[D2]])</f>
        <v>0</v>
      </c>
    </row>
    <row r="128" spans="2:17" ht="18" x14ac:dyDescent="0.55000000000000004">
      <c r="B128" s="286" t="str">
        <f>Referentieberekening!B21</f>
        <v>Aanbrengen betonbuis rond profiel, ø500 mm - HWA.</v>
      </c>
      <c r="C128" s="92" t="str">
        <f>Referentieberekening!F21</f>
        <v>Betonbuis 500 mm</v>
      </c>
      <c r="D128" s="93">
        <f>(IF(Referentieberekening!C21="Nieuwe Situatie",(_xlfn.IFNA(VLOOKUP(Referentie_Hernieuwbare_Energie_Totaal[[#This Row],[Product]]&amp;", "&amp;Referentie_Hernieuwbare_Energie_Totaal[[#Headers],[A1]],Database_Productkaarten[#All],47,FALSE),0)*Referentieberekening!L21),0))</f>
        <v>0</v>
      </c>
      <c r="E128" s="93">
        <f>(IF(Referentieberekening!C21="Nieuwe Situatie",(_xlfn.IFNA(VLOOKUP(Referentie_Hernieuwbare_Energie_Totaal[[#This Row],[Product]]&amp;", "&amp;Referentie_Hernieuwbare_Energie_Totaal[[#Headers],[A2]],Database_Productkaarten[#All],47,FALSE),0)*Referentieberekening!L21),0))</f>
        <v>0</v>
      </c>
      <c r="F128" s="93">
        <f>(IF(Referentieberekening!C21="Nieuwe Situatie",(_xlfn.IFNA(VLOOKUP(Referentie_Hernieuwbare_Energie_Totaal[[#This Row],[Product]]&amp;", "&amp;Referentie_Hernieuwbare_Energie_Totaal[[#Headers],[A3]],Database_Productkaarten[#All],47,FALSE),0)*Referentieberekening!L21),0))</f>
        <v>0</v>
      </c>
      <c r="G128" s="93">
        <f>IF(Referentieberekening!P21=0,(IF(Referentieberekening!C21="Nieuwe Situatie",(_xlfn.IFNA(VLOOKUP(Referentie_Hernieuwbare_Energie_Totaal[[#This Row],[Product]]&amp;", "&amp;Referentie_Hernieuwbare_Energie_Totaal[[#Headers],[A4]],Database_Productkaarten[#All],47,FALSE),0)*Referentieberekening!L21),0)),(IF(Inschrijfberekening!C21="Nieuwe Situatie",_xlfn.IFNA(VLOOKUP(Inschrijfberekening!K53,Database_Transport[#All],45,FALSE)*(Inschrijfberekening!K21*Inschrijfberekening!N21),0),0)))</f>
        <v>0</v>
      </c>
      <c r="H128" s="93">
        <f>(IF(Referentieberekening!C21="Nieuwe Situatie",(_xlfn.IFNA(VLOOKUP(Referentie_Hernieuwbare_Energie_Totaal[[#This Row],[Product]]&amp;", "&amp;Referentie_Hernieuwbare_Energie_Totaal[[#Headers],[A5]],Database_Productkaarten[#All],47,FALSE),0)*Referentieberekening!L21),0))</f>
        <v>0</v>
      </c>
      <c r="I128" s="93">
        <f>(IF(Referentieberekening!C21="Nieuwe Situatie",(_xlfn.IFNA(VLOOKUP(Referentie_Hernieuwbare_Energie_Totaal[[#This Row],[Product]]&amp;", "&amp;Referentie_Hernieuwbare_Energie_Totaal[[#Headers],[B1]],Database_Productkaarten[#All],47,FALSE),0)*Referentieberekening!L21),0))</f>
        <v>0</v>
      </c>
      <c r="J128" s="93">
        <f>(IF(Referentieberekening!C21="Nieuwe Situatie",(SUM(Referentie_Hernieuwbare_Energie_Totaal[[#This Row],[A1]:[B1]],Referentie_Hernieuwbare_Energie_Totaal[[#This Row],[C1]:[D2]])*Referentieberekening!N21),0))</f>
        <v>0</v>
      </c>
      <c r="K128" s="93">
        <f>(IF(Referentieberekening!C21="Bestaande Situatie",(_xlfn.IFNA(VLOOKUP(Referentie_Hernieuwbare_Energie_Totaal[[#This Row],[Product]]&amp;", "&amp;Referentie_Hernieuwbare_Energie_Totaal[[#Headers],[C1]],Database_Productkaarten[#All],47,FALSE),0)*Referentieberekening!L21),0))</f>
        <v>0</v>
      </c>
      <c r="L128" s="93">
        <f>(IF(Referentieberekening!C21="Bestaande Situatie",(_xlfn.IFNA(VLOOKUP(Referentie_Hernieuwbare_Energie_Totaal[[#This Row],[Product]]&amp;", "&amp;Referentie_Hernieuwbare_Energie_Totaal[[#Headers],[C2]],Database_Productkaarten[#All],47,FALSE),0)*Referentieberekening!L21),0))</f>
        <v>0</v>
      </c>
      <c r="M128" s="93">
        <f>(IF(Referentieberekening!C21="Bestaande Situatie",(_xlfn.IFNA(VLOOKUP(Referentie_Hernieuwbare_Energie_Totaal[[#This Row],[Product]]&amp;", "&amp;Referentie_Hernieuwbare_Energie_Totaal[[#Headers],[C3]],Database_Productkaarten[#All],47,FALSE),0)*Referentieberekening!L21),0))</f>
        <v>0</v>
      </c>
      <c r="N128" s="93">
        <f>(IF(Referentieberekening!C21="Bestaande Situatie",(_xlfn.IFNA(VLOOKUP(Referentie_Hernieuwbare_Energie_Totaal[[#This Row],[Product]]&amp;", "&amp;Referentie_Hernieuwbare_Energie_Totaal[[#Headers],[C4]],Database_Productkaarten[#All],47,FALSE),0)*Referentieberekening!L21),0))</f>
        <v>0</v>
      </c>
      <c r="O128" s="93">
        <f>(IF(Referentieberekening!C21="Bestaande Situatie",(_xlfn.IFNA(VLOOKUP(Referentie_Hernieuwbare_Energie_Totaal[[#This Row],[Product]]&amp;", "&amp;Referentie_Hernieuwbare_Energie_Totaal[[#Headers],[D1]],Database_Productkaarten[#All],47,FALSE),0)*Referentieberekening!L21),0))</f>
        <v>0</v>
      </c>
      <c r="P128" s="94">
        <f>(IF(Referentieberekening!C21="Bestaande Situatie",_xlfn.IFNA(VLOOKUP(Referentie_Hernieuwbare_Energie_Totaal[[#This Row],[Product]]&amp;", "&amp;Referentie_Hernieuwbare_Energie_Totaal[[#Headers],[D2]],Database_Productkaarten[#All],47,FALSE),0)*Referentieberekening!L21,0))</f>
        <v>0</v>
      </c>
      <c r="Q128" s="72">
        <f>SUM(Referentie_Hernieuwbare_Energie_Totaal[[#This Row],[A1]:[D2]])</f>
        <v>0</v>
      </c>
    </row>
    <row r="129" spans="2:17" ht="18" x14ac:dyDescent="0.55000000000000004">
      <c r="B129" s="286" t="str">
        <f>Referentieberekening!B22</f>
        <v>Aanbrengen betonbuis rond profiel, ø700 mm - HWA.</v>
      </c>
      <c r="C129" s="92" t="str">
        <f>Referentieberekening!F22</f>
        <v>Betonbuis 800 mm</v>
      </c>
      <c r="D129" s="93">
        <f>(IF(Referentieberekening!C22="Nieuwe Situatie",(_xlfn.IFNA(VLOOKUP(Referentie_Hernieuwbare_Energie_Totaal[[#This Row],[Product]]&amp;", "&amp;Referentie_Hernieuwbare_Energie_Totaal[[#Headers],[A1]],Database_Productkaarten[#All],47,FALSE),0)*Referentieberekening!L22),0))</f>
        <v>0</v>
      </c>
      <c r="E129" s="93">
        <f>(IF(Referentieberekening!C22="Nieuwe Situatie",(_xlfn.IFNA(VLOOKUP(Referentie_Hernieuwbare_Energie_Totaal[[#This Row],[Product]]&amp;", "&amp;Referentie_Hernieuwbare_Energie_Totaal[[#Headers],[A2]],Database_Productkaarten[#All],47,FALSE),0)*Referentieberekening!L22),0))</f>
        <v>0</v>
      </c>
      <c r="F129" s="93">
        <f>(IF(Referentieberekening!C22="Nieuwe Situatie",(_xlfn.IFNA(VLOOKUP(Referentie_Hernieuwbare_Energie_Totaal[[#This Row],[Product]]&amp;", "&amp;Referentie_Hernieuwbare_Energie_Totaal[[#Headers],[A3]],Database_Productkaarten[#All],47,FALSE),0)*Referentieberekening!L22),0))</f>
        <v>0</v>
      </c>
      <c r="G129" s="93">
        <f>IF(Referentieberekening!P22=0,(IF(Referentieberekening!C22="Nieuwe Situatie",(_xlfn.IFNA(VLOOKUP(Referentie_Hernieuwbare_Energie_Totaal[[#This Row],[Product]]&amp;", "&amp;Referentie_Hernieuwbare_Energie_Totaal[[#Headers],[A4]],Database_Productkaarten[#All],47,FALSE),0)*Referentieberekening!L22),0)),(IF(Inschrijfberekening!C22="Nieuwe Situatie",_xlfn.IFNA(VLOOKUP(Inschrijfberekening!K54,Database_Transport[#All],45,FALSE)*(Inschrijfberekening!K22*Inschrijfberekening!N22),0),0)))</f>
        <v>0</v>
      </c>
      <c r="H129" s="93">
        <f>(IF(Referentieberekening!C22="Nieuwe Situatie",(_xlfn.IFNA(VLOOKUP(Referentie_Hernieuwbare_Energie_Totaal[[#This Row],[Product]]&amp;", "&amp;Referentie_Hernieuwbare_Energie_Totaal[[#Headers],[A5]],Database_Productkaarten[#All],47,FALSE),0)*Referentieberekening!L22),0))</f>
        <v>0</v>
      </c>
      <c r="I129" s="93">
        <f>(IF(Referentieberekening!C22="Nieuwe Situatie",(_xlfn.IFNA(VLOOKUP(Referentie_Hernieuwbare_Energie_Totaal[[#This Row],[Product]]&amp;", "&amp;Referentie_Hernieuwbare_Energie_Totaal[[#Headers],[B1]],Database_Productkaarten[#All],47,FALSE),0)*Referentieberekening!L22),0))</f>
        <v>0</v>
      </c>
      <c r="J129" s="93">
        <f>(IF(Referentieberekening!C22="Nieuwe Situatie",(SUM(Referentie_Hernieuwbare_Energie_Totaal[[#This Row],[A1]:[B1]],Referentie_Hernieuwbare_Energie_Totaal[[#This Row],[C1]:[D2]])*Referentieberekening!N22),0))</f>
        <v>0</v>
      </c>
      <c r="K129" s="93">
        <f>(IF(Referentieberekening!C22="Bestaande Situatie",(_xlfn.IFNA(VLOOKUP(Referentie_Hernieuwbare_Energie_Totaal[[#This Row],[Product]]&amp;", "&amp;Referentie_Hernieuwbare_Energie_Totaal[[#Headers],[C1]],Database_Productkaarten[#All],47,FALSE),0)*Referentieberekening!L22),0))</f>
        <v>0</v>
      </c>
      <c r="L129" s="93">
        <f>(IF(Referentieberekening!C22="Bestaande Situatie",(_xlfn.IFNA(VLOOKUP(Referentie_Hernieuwbare_Energie_Totaal[[#This Row],[Product]]&amp;", "&amp;Referentie_Hernieuwbare_Energie_Totaal[[#Headers],[C2]],Database_Productkaarten[#All],47,FALSE),0)*Referentieberekening!L22),0))</f>
        <v>0</v>
      </c>
      <c r="M129" s="93">
        <f>(IF(Referentieberekening!C22="Bestaande Situatie",(_xlfn.IFNA(VLOOKUP(Referentie_Hernieuwbare_Energie_Totaal[[#This Row],[Product]]&amp;", "&amp;Referentie_Hernieuwbare_Energie_Totaal[[#Headers],[C3]],Database_Productkaarten[#All],47,FALSE),0)*Referentieberekening!L22),0))</f>
        <v>0</v>
      </c>
      <c r="N129" s="93">
        <f>(IF(Referentieberekening!C22="Bestaande Situatie",(_xlfn.IFNA(VLOOKUP(Referentie_Hernieuwbare_Energie_Totaal[[#This Row],[Product]]&amp;", "&amp;Referentie_Hernieuwbare_Energie_Totaal[[#Headers],[C4]],Database_Productkaarten[#All],47,FALSE),0)*Referentieberekening!L22),0))</f>
        <v>0</v>
      </c>
      <c r="O129" s="93">
        <f>(IF(Referentieberekening!C22="Bestaande Situatie",(_xlfn.IFNA(VLOOKUP(Referentie_Hernieuwbare_Energie_Totaal[[#This Row],[Product]]&amp;", "&amp;Referentie_Hernieuwbare_Energie_Totaal[[#Headers],[D1]],Database_Productkaarten[#All],47,FALSE),0)*Referentieberekening!L22),0))</f>
        <v>0</v>
      </c>
      <c r="P129" s="94">
        <f>(IF(Referentieberekening!C22="Bestaande Situatie",_xlfn.IFNA(VLOOKUP(Referentie_Hernieuwbare_Energie_Totaal[[#This Row],[Product]]&amp;", "&amp;Referentie_Hernieuwbare_Energie_Totaal[[#Headers],[D2]],Database_Productkaarten[#All],47,FALSE),0)*Referentieberekening!L22,0))</f>
        <v>0</v>
      </c>
      <c r="Q129" s="72">
        <f>SUM(Referentie_Hernieuwbare_Energie_Totaal[[#This Row],[A1]:[D2]])</f>
        <v>0</v>
      </c>
    </row>
    <row r="130" spans="2:17" ht="18" x14ac:dyDescent="0.55000000000000004">
      <c r="B130" s="286" t="str">
        <f>Referentieberekening!B23</f>
        <v>Aanbrengen betonbuis rond profiel, ø1000 mm - HWA.</v>
      </c>
      <c r="C130" s="92" t="str">
        <f>Referentieberekening!F23</f>
        <v>Betonbuis 1000 mm</v>
      </c>
      <c r="D130" s="93">
        <f>(IF(Referentieberekening!C23="Nieuwe Situatie",(_xlfn.IFNA(VLOOKUP(Referentie_Hernieuwbare_Energie_Totaal[[#This Row],[Product]]&amp;", "&amp;Referentie_Hernieuwbare_Energie_Totaal[[#Headers],[A1]],Database_Productkaarten[#All],47,FALSE),0)*Referentieberekening!L23),0))</f>
        <v>0</v>
      </c>
      <c r="E130" s="93">
        <f>(IF(Referentieberekening!C23="Nieuwe Situatie",(_xlfn.IFNA(VLOOKUP(Referentie_Hernieuwbare_Energie_Totaal[[#This Row],[Product]]&amp;", "&amp;Referentie_Hernieuwbare_Energie_Totaal[[#Headers],[A2]],Database_Productkaarten[#All],47,FALSE),0)*Referentieberekening!L23),0))</f>
        <v>0</v>
      </c>
      <c r="F130" s="93">
        <f>(IF(Referentieberekening!C23="Nieuwe Situatie",(_xlfn.IFNA(VLOOKUP(Referentie_Hernieuwbare_Energie_Totaal[[#This Row],[Product]]&amp;", "&amp;Referentie_Hernieuwbare_Energie_Totaal[[#Headers],[A3]],Database_Productkaarten[#All],47,FALSE),0)*Referentieberekening!L23),0))</f>
        <v>0</v>
      </c>
      <c r="G130" s="93">
        <f>IF(Referentieberekening!P23=0,(IF(Referentieberekening!C23="Nieuwe Situatie",(_xlfn.IFNA(VLOOKUP(Referentie_Hernieuwbare_Energie_Totaal[[#This Row],[Product]]&amp;", "&amp;Referentie_Hernieuwbare_Energie_Totaal[[#Headers],[A4]],Database_Productkaarten[#All],47,FALSE),0)*Referentieberekening!L23),0)),(IF(Inschrijfberekening!C23="Nieuwe Situatie",_xlfn.IFNA(VLOOKUP(Inschrijfberekening!K55,Database_Transport[#All],45,FALSE)*(Inschrijfberekening!K23*Inschrijfberekening!N23),0),0)))</f>
        <v>0</v>
      </c>
      <c r="H130" s="93">
        <f>(IF(Referentieberekening!C23="Nieuwe Situatie",(_xlfn.IFNA(VLOOKUP(Referentie_Hernieuwbare_Energie_Totaal[[#This Row],[Product]]&amp;", "&amp;Referentie_Hernieuwbare_Energie_Totaal[[#Headers],[A5]],Database_Productkaarten[#All],47,FALSE),0)*Referentieberekening!L23),0))</f>
        <v>0</v>
      </c>
      <c r="I130" s="93">
        <f>(IF(Referentieberekening!C23="Nieuwe Situatie",(_xlfn.IFNA(VLOOKUP(Referentie_Hernieuwbare_Energie_Totaal[[#This Row],[Product]]&amp;", "&amp;Referentie_Hernieuwbare_Energie_Totaal[[#Headers],[B1]],Database_Productkaarten[#All],47,FALSE),0)*Referentieberekening!L23),0))</f>
        <v>0</v>
      </c>
      <c r="J130" s="93">
        <f>(IF(Referentieberekening!C23="Nieuwe Situatie",(SUM(Referentie_Hernieuwbare_Energie_Totaal[[#This Row],[A1]:[B1]],Referentie_Hernieuwbare_Energie_Totaal[[#This Row],[C1]:[D2]])*Referentieberekening!N23),0))</f>
        <v>0</v>
      </c>
      <c r="K130" s="93">
        <f>(IF(Referentieberekening!C23="Bestaande Situatie",(_xlfn.IFNA(VLOOKUP(Referentie_Hernieuwbare_Energie_Totaal[[#This Row],[Product]]&amp;", "&amp;Referentie_Hernieuwbare_Energie_Totaal[[#Headers],[C1]],Database_Productkaarten[#All],47,FALSE),0)*Referentieberekening!L23),0))</f>
        <v>0</v>
      </c>
      <c r="L130" s="93">
        <f>(IF(Referentieberekening!C23="Bestaande Situatie",(_xlfn.IFNA(VLOOKUP(Referentie_Hernieuwbare_Energie_Totaal[[#This Row],[Product]]&amp;", "&amp;Referentie_Hernieuwbare_Energie_Totaal[[#Headers],[C2]],Database_Productkaarten[#All],47,FALSE),0)*Referentieberekening!L23),0))</f>
        <v>0</v>
      </c>
      <c r="M130" s="93">
        <f>(IF(Referentieberekening!C23="Bestaande Situatie",(_xlfn.IFNA(VLOOKUP(Referentie_Hernieuwbare_Energie_Totaal[[#This Row],[Product]]&amp;", "&amp;Referentie_Hernieuwbare_Energie_Totaal[[#Headers],[C3]],Database_Productkaarten[#All],47,FALSE),0)*Referentieberekening!L23),0))</f>
        <v>0</v>
      </c>
      <c r="N130" s="93">
        <f>(IF(Referentieberekening!C23="Bestaande Situatie",(_xlfn.IFNA(VLOOKUP(Referentie_Hernieuwbare_Energie_Totaal[[#This Row],[Product]]&amp;", "&amp;Referentie_Hernieuwbare_Energie_Totaal[[#Headers],[C4]],Database_Productkaarten[#All],47,FALSE),0)*Referentieberekening!L23),0))</f>
        <v>0</v>
      </c>
      <c r="O130" s="93">
        <f>(IF(Referentieberekening!C23="Bestaande Situatie",(_xlfn.IFNA(VLOOKUP(Referentie_Hernieuwbare_Energie_Totaal[[#This Row],[Product]]&amp;", "&amp;Referentie_Hernieuwbare_Energie_Totaal[[#Headers],[D1]],Database_Productkaarten[#All],47,FALSE),0)*Referentieberekening!L23),0))</f>
        <v>0</v>
      </c>
      <c r="P130" s="94">
        <f>(IF(Referentieberekening!C23="Bestaande Situatie",_xlfn.IFNA(VLOOKUP(Referentie_Hernieuwbare_Energie_Totaal[[#This Row],[Product]]&amp;", "&amp;Referentie_Hernieuwbare_Energie_Totaal[[#Headers],[D2]],Database_Productkaarten[#All],47,FALSE),0)*Referentieberekening!L23,0))</f>
        <v>0</v>
      </c>
      <c r="Q130" s="72">
        <f>SUM(Referentie_Hernieuwbare_Energie_Totaal[[#This Row],[A1]:[D2]])</f>
        <v>0</v>
      </c>
    </row>
    <row r="131" spans="2:17" ht="18" x14ac:dyDescent="0.55000000000000004">
      <c r="B131" s="286" t="str">
        <f>Referentieberekening!B24</f>
        <v>Aanbrengen drainage rioolsleuf PP ø 125 mm.</v>
      </c>
      <c r="C131" s="92" t="str">
        <f>Referentieberekening!F24</f>
        <v>PP Drainbuis 125 mm</v>
      </c>
      <c r="D131" s="93">
        <f>(IF(Referentieberekening!C24="Nieuwe Situatie",(_xlfn.IFNA(VLOOKUP(Referentie_Hernieuwbare_Energie_Totaal[[#This Row],[Product]]&amp;", "&amp;Referentie_Hernieuwbare_Energie_Totaal[[#Headers],[A1]],Database_Productkaarten[#All],47,FALSE),0)*Referentieberekening!L24),0))</f>
        <v>0</v>
      </c>
      <c r="E131" s="93">
        <f>(IF(Referentieberekening!C24="Nieuwe Situatie",(_xlfn.IFNA(VLOOKUP(Referentie_Hernieuwbare_Energie_Totaal[[#This Row],[Product]]&amp;", "&amp;Referentie_Hernieuwbare_Energie_Totaal[[#Headers],[A2]],Database_Productkaarten[#All],47,FALSE),0)*Referentieberekening!L24),0))</f>
        <v>0</v>
      </c>
      <c r="F131" s="93">
        <f>(IF(Referentieberekening!C24="Nieuwe Situatie",(_xlfn.IFNA(VLOOKUP(Referentie_Hernieuwbare_Energie_Totaal[[#This Row],[Product]]&amp;", "&amp;Referentie_Hernieuwbare_Energie_Totaal[[#Headers],[A3]],Database_Productkaarten[#All],47,FALSE),0)*Referentieberekening!L24),0))</f>
        <v>0</v>
      </c>
      <c r="G131" s="93">
        <f>IF(Referentieberekening!P24=0,(IF(Referentieberekening!C24="Nieuwe Situatie",(_xlfn.IFNA(VLOOKUP(Referentie_Hernieuwbare_Energie_Totaal[[#This Row],[Product]]&amp;", "&amp;Referentie_Hernieuwbare_Energie_Totaal[[#Headers],[A4]],Database_Productkaarten[#All],47,FALSE),0)*Referentieberekening!L24),0)),(IF(Inschrijfberekening!C24="Nieuwe Situatie",_xlfn.IFNA(VLOOKUP(Inschrijfberekening!K56,Database_Transport[#All],45,FALSE)*(Inschrijfberekening!K24*Inschrijfberekening!N24),0),0)))</f>
        <v>0</v>
      </c>
      <c r="H131" s="93">
        <f>(IF(Referentieberekening!C24="Nieuwe Situatie",(_xlfn.IFNA(VLOOKUP(Referentie_Hernieuwbare_Energie_Totaal[[#This Row],[Product]]&amp;", "&amp;Referentie_Hernieuwbare_Energie_Totaal[[#Headers],[A5]],Database_Productkaarten[#All],47,FALSE),0)*Referentieberekening!L24),0))</f>
        <v>0</v>
      </c>
      <c r="I131" s="93">
        <f>(IF(Referentieberekening!C24="Nieuwe Situatie",(_xlfn.IFNA(VLOOKUP(Referentie_Hernieuwbare_Energie_Totaal[[#This Row],[Product]]&amp;", "&amp;Referentie_Hernieuwbare_Energie_Totaal[[#Headers],[B1]],Database_Productkaarten[#All],47,FALSE),0)*Referentieberekening!L24),0))</f>
        <v>0</v>
      </c>
      <c r="J131" s="93">
        <f>(IF(Referentieberekening!C24="Nieuwe Situatie",(SUM(Referentie_Hernieuwbare_Energie_Totaal[[#This Row],[A1]:[B1]],Referentie_Hernieuwbare_Energie_Totaal[[#This Row],[C1]:[D2]])*Referentieberekening!N24),0))</f>
        <v>0</v>
      </c>
      <c r="K131" s="93">
        <f>(IF(Referentieberekening!C24="Bestaande Situatie",(_xlfn.IFNA(VLOOKUP(Referentie_Hernieuwbare_Energie_Totaal[[#This Row],[Product]]&amp;", "&amp;Referentie_Hernieuwbare_Energie_Totaal[[#Headers],[C1]],Database_Productkaarten[#All],47,FALSE),0)*Referentieberekening!L24),0))</f>
        <v>0</v>
      </c>
      <c r="L131" s="93">
        <f>(IF(Referentieberekening!C24="Bestaande Situatie",(_xlfn.IFNA(VLOOKUP(Referentie_Hernieuwbare_Energie_Totaal[[#This Row],[Product]]&amp;", "&amp;Referentie_Hernieuwbare_Energie_Totaal[[#Headers],[C2]],Database_Productkaarten[#All],47,FALSE),0)*Referentieberekening!L24),0))</f>
        <v>0</v>
      </c>
      <c r="M131" s="93">
        <f>(IF(Referentieberekening!C24="Bestaande Situatie",(_xlfn.IFNA(VLOOKUP(Referentie_Hernieuwbare_Energie_Totaal[[#This Row],[Product]]&amp;", "&amp;Referentie_Hernieuwbare_Energie_Totaal[[#Headers],[C3]],Database_Productkaarten[#All],47,FALSE),0)*Referentieberekening!L24),0))</f>
        <v>0</v>
      </c>
      <c r="N131" s="93">
        <f>(IF(Referentieberekening!C24="Bestaande Situatie",(_xlfn.IFNA(VLOOKUP(Referentie_Hernieuwbare_Energie_Totaal[[#This Row],[Product]]&amp;", "&amp;Referentie_Hernieuwbare_Energie_Totaal[[#Headers],[C4]],Database_Productkaarten[#All],47,FALSE),0)*Referentieberekening!L24),0))</f>
        <v>0</v>
      </c>
      <c r="O131" s="93">
        <f>(IF(Referentieberekening!C24="Bestaande Situatie",(_xlfn.IFNA(VLOOKUP(Referentie_Hernieuwbare_Energie_Totaal[[#This Row],[Product]]&amp;", "&amp;Referentie_Hernieuwbare_Energie_Totaal[[#Headers],[D1]],Database_Productkaarten[#All],47,FALSE),0)*Referentieberekening!L24),0))</f>
        <v>0</v>
      </c>
      <c r="P131" s="94">
        <f>(IF(Referentieberekening!C24="Bestaande Situatie",_xlfn.IFNA(VLOOKUP(Referentie_Hernieuwbare_Energie_Totaal[[#This Row],[Product]]&amp;", "&amp;Referentie_Hernieuwbare_Energie_Totaal[[#Headers],[D2]],Database_Productkaarten[#All],47,FALSE),0)*Referentieberekening!L24,0))</f>
        <v>0</v>
      </c>
      <c r="Q131" s="72">
        <f>SUM(Referentie_Hernieuwbare_Energie_Totaal[[#This Row],[A1]:[D2]])</f>
        <v>0</v>
      </c>
    </row>
    <row r="132" spans="2:17" ht="18" x14ac:dyDescent="0.55000000000000004">
      <c r="B132" s="286" t="str">
        <f>Referentieberekening!B25</f>
        <v>Aanbrengen betonbuis rond profiel, ø300 mm - DWA.</v>
      </c>
      <c r="C132" s="92" t="str">
        <f>Referentieberekening!F25</f>
        <v>Betonbuis 300 mm</v>
      </c>
      <c r="D132" s="93">
        <f>(IF(Referentieberekening!C25="Nieuwe Situatie",(_xlfn.IFNA(VLOOKUP(Referentie_Hernieuwbare_Energie_Totaal[[#This Row],[Product]]&amp;", "&amp;Referentie_Hernieuwbare_Energie_Totaal[[#Headers],[A1]],Database_Productkaarten[#All],47,FALSE),0)*Referentieberekening!L25),0))</f>
        <v>0</v>
      </c>
      <c r="E132" s="93">
        <f>(IF(Referentieberekening!C25="Nieuwe Situatie",(_xlfn.IFNA(VLOOKUP(Referentie_Hernieuwbare_Energie_Totaal[[#This Row],[Product]]&amp;", "&amp;Referentie_Hernieuwbare_Energie_Totaal[[#Headers],[A2]],Database_Productkaarten[#All],47,FALSE),0)*Referentieberekening!L25),0))</f>
        <v>0</v>
      </c>
      <c r="F132" s="93">
        <f>(IF(Referentieberekening!C25="Nieuwe Situatie",(_xlfn.IFNA(VLOOKUP(Referentie_Hernieuwbare_Energie_Totaal[[#This Row],[Product]]&amp;", "&amp;Referentie_Hernieuwbare_Energie_Totaal[[#Headers],[A3]],Database_Productkaarten[#All],47,FALSE),0)*Referentieberekening!L25),0))</f>
        <v>0</v>
      </c>
      <c r="G132" s="93">
        <f>IF(Referentieberekening!P25=0,(IF(Referentieberekening!C25="Nieuwe Situatie",(_xlfn.IFNA(VLOOKUP(Referentie_Hernieuwbare_Energie_Totaal[[#This Row],[Product]]&amp;", "&amp;Referentie_Hernieuwbare_Energie_Totaal[[#Headers],[A4]],Database_Productkaarten[#All],47,FALSE),0)*Referentieberekening!L25),0)),(IF(Inschrijfberekening!C25="Nieuwe Situatie",_xlfn.IFNA(VLOOKUP(Inschrijfberekening!K57,Database_Transport[#All],45,FALSE)*(Inschrijfberekening!K25*Inschrijfberekening!N25),0),0)))</f>
        <v>0</v>
      </c>
      <c r="H132" s="93">
        <f>(IF(Referentieberekening!C25="Nieuwe Situatie",(_xlfn.IFNA(VLOOKUP(Referentie_Hernieuwbare_Energie_Totaal[[#This Row],[Product]]&amp;", "&amp;Referentie_Hernieuwbare_Energie_Totaal[[#Headers],[A5]],Database_Productkaarten[#All],47,FALSE),0)*Referentieberekening!L25),0))</f>
        <v>0</v>
      </c>
      <c r="I132" s="93">
        <f>(IF(Referentieberekening!C25="Nieuwe Situatie",(_xlfn.IFNA(VLOOKUP(Referentie_Hernieuwbare_Energie_Totaal[[#This Row],[Product]]&amp;", "&amp;Referentie_Hernieuwbare_Energie_Totaal[[#Headers],[B1]],Database_Productkaarten[#All],47,FALSE),0)*Referentieberekening!L25),0))</f>
        <v>0</v>
      </c>
      <c r="J132" s="93">
        <f>(IF(Referentieberekening!C25="Nieuwe Situatie",(SUM(Referentie_Hernieuwbare_Energie_Totaal[[#This Row],[A1]:[B1]],Referentie_Hernieuwbare_Energie_Totaal[[#This Row],[C1]:[D2]])*Referentieberekening!N25),0))</f>
        <v>0</v>
      </c>
      <c r="K132" s="93">
        <f>(IF(Referentieberekening!C25="Bestaande Situatie",(_xlfn.IFNA(VLOOKUP(Referentie_Hernieuwbare_Energie_Totaal[[#This Row],[Product]]&amp;", "&amp;Referentie_Hernieuwbare_Energie_Totaal[[#Headers],[C1]],Database_Productkaarten[#All],47,FALSE),0)*Referentieberekening!L25),0))</f>
        <v>0</v>
      </c>
      <c r="L132" s="93">
        <f>(IF(Referentieberekening!C25="Bestaande Situatie",(_xlfn.IFNA(VLOOKUP(Referentie_Hernieuwbare_Energie_Totaal[[#This Row],[Product]]&amp;", "&amp;Referentie_Hernieuwbare_Energie_Totaal[[#Headers],[C2]],Database_Productkaarten[#All],47,FALSE),0)*Referentieberekening!L25),0))</f>
        <v>0</v>
      </c>
      <c r="M132" s="93">
        <f>(IF(Referentieberekening!C25="Bestaande Situatie",(_xlfn.IFNA(VLOOKUP(Referentie_Hernieuwbare_Energie_Totaal[[#This Row],[Product]]&amp;", "&amp;Referentie_Hernieuwbare_Energie_Totaal[[#Headers],[C3]],Database_Productkaarten[#All],47,FALSE),0)*Referentieberekening!L25),0))</f>
        <v>0</v>
      </c>
      <c r="N132" s="93">
        <f>(IF(Referentieberekening!C25="Bestaande Situatie",(_xlfn.IFNA(VLOOKUP(Referentie_Hernieuwbare_Energie_Totaal[[#This Row],[Product]]&amp;", "&amp;Referentie_Hernieuwbare_Energie_Totaal[[#Headers],[C4]],Database_Productkaarten[#All],47,FALSE),0)*Referentieberekening!L25),0))</f>
        <v>0</v>
      </c>
      <c r="O132" s="93">
        <f>(IF(Referentieberekening!C25="Bestaande Situatie",(_xlfn.IFNA(VLOOKUP(Referentie_Hernieuwbare_Energie_Totaal[[#This Row],[Product]]&amp;", "&amp;Referentie_Hernieuwbare_Energie_Totaal[[#Headers],[D1]],Database_Productkaarten[#All],47,FALSE),0)*Referentieberekening!L25),0))</f>
        <v>0</v>
      </c>
      <c r="P132" s="94">
        <f>(IF(Referentieberekening!C25="Bestaande Situatie",_xlfn.IFNA(VLOOKUP(Referentie_Hernieuwbare_Energie_Totaal[[#This Row],[Product]]&amp;", "&amp;Referentie_Hernieuwbare_Energie_Totaal[[#Headers],[D2]],Database_Productkaarten[#All],47,FALSE),0)*Referentieberekening!L25,0))</f>
        <v>0</v>
      </c>
      <c r="Q132" s="72">
        <f>SUM(Referentie_Hernieuwbare_Energie_Totaal[[#This Row],[A1]:[D2]])</f>
        <v>0</v>
      </c>
    </row>
    <row r="133" spans="2:17" ht="18" x14ac:dyDescent="0.55000000000000004">
      <c r="B133" s="286" t="str">
        <f>Referentieberekening!B26</f>
        <v>Aanbrengen  PVC 160 mm, incl. grondwerk - HWA.</v>
      </c>
      <c r="C133" s="92" t="str">
        <f>Referentieberekening!F26</f>
        <v>PVC 200 mm</v>
      </c>
      <c r="D133" s="93">
        <f>(IF(Referentieberekening!C26="Nieuwe Situatie",(_xlfn.IFNA(VLOOKUP(Referentie_Hernieuwbare_Energie_Totaal[[#This Row],[Product]]&amp;", "&amp;Referentie_Hernieuwbare_Energie_Totaal[[#Headers],[A1]],Database_Productkaarten[#All],47,FALSE),0)*Referentieberekening!L26),0))</f>
        <v>0</v>
      </c>
      <c r="E133" s="93">
        <f>(IF(Referentieberekening!C26="Nieuwe Situatie",(_xlfn.IFNA(VLOOKUP(Referentie_Hernieuwbare_Energie_Totaal[[#This Row],[Product]]&amp;", "&amp;Referentie_Hernieuwbare_Energie_Totaal[[#Headers],[A2]],Database_Productkaarten[#All],47,FALSE),0)*Referentieberekening!L26),0))</f>
        <v>0</v>
      </c>
      <c r="F133" s="93">
        <f>(IF(Referentieberekening!C26="Nieuwe Situatie",(_xlfn.IFNA(VLOOKUP(Referentie_Hernieuwbare_Energie_Totaal[[#This Row],[Product]]&amp;", "&amp;Referentie_Hernieuwbare_Energie_Totaal[[#Headers],[A3]],Database_Productkaarten[#All],47,FALSE),0)*Referentieberekening!L26),0))</f>
        <v>0</v>
      </c>
      <c r="G133" s="93">
        <f>IF(Referentieberekening!P26=0,(IF(Referentieberekening!C26="Nieuwe Situatie",(_xlfn.IFNA(VLOOKUP(Referentie_Hernieuwbare_Energie_Totaal[[#This Row],[Product]]&amp;", "&amp;Referentie_Hernieuwbare_Energie_Totaal[[#Headers],[A4]],Database_Productkaarten[#All],47,FALSE),0)*Referentieberekening!L26),0)),(IF(Inschrijfberekening!C26="Nieuwe Situatie",_xlfn.IFNA(VLOOKUP(Inschrijfberekening!K58,Database_Transport[#All],45,FALSE)*(Inschrijfberekening!K26*Inschrijfberekening!N26),0),0)))</f>
        <v>0</v>
      </c>
      <c r="H133" s="93">
        <f>(IF(Referentieberekening!C26="Nieuwe Situatie",(_xlfn.IFNA(VLOOKUP(Referentie_Hernieuwbare_Energie_Totaal[[#This Row],[Product]]&amp;", "&amp;Referentie_Hernieuwbare_Energie_Totaal[[#Headers],[A5]],Database_Productkaarten[#All],47,FALSE),0)*Referentieberekening!L26),0))</f>
        <v>0</v>
      </c>
      <c r="I133" s="93">
        <f>(IF(Referentieberekening!C26="Nieuwe Situatie",(_xlfn.IFNA(VLOOKUP(Referentie_Hernieuwbare_Energie_Totaal[[#This Row],[Product]]&amp;", "&amp;Referentie_Hernieuwbare_Energie_Totaal[[#Headers],[B1]],Database_Productkaarten[#All],47,FALSE),0)*Referentieberekening!L26),0))</f>
        <v>0</v>
      </c>
      <c r="J133" s="93">
        <f>(IF(Referentieberekening!C26="Nieuwe Situatie",(SUM(Referentie_Hernieuwbare_Energie_Totaal[[#This Row],[A1]:[B1]],Referentie_Hernieuwbare_Energie_Totaal[[#This Row],[C1]:[D2]])*Referentieberekening!N26),0))</f>
        <v>0</v>
      </c>
      <c r="K133" s="93">
        <f>(IF(Referentieberekening!C26="Bestaande Situatie",(_xlfn.IFNA(VLOOKUP(Referentie_Hernieuwbare_Energie_Totaal[[#This Row],[Product]]&amp;", "&amp;Referentie_Hernieuwbare_Energie_Totaal[[#Headers],[C1]],Database_Productkaarten[#All],47,FALSE),0)*Referentieberekening!L26),0))</f>
        <v>0</v>
      </c>
      <c r="L133" s="93">
        <f>(IF(Referentieberekening!C26="Bestaande Situatie",(_xlfn.IFNA(VLOOKUP(Referentie_Hernieuwbare_Energie_Totaal[[#This Row],[Product]]&amp;", "&amp;Referentie_Hernieuwbare_Energie_Totaal[[#Headers],[C2]],Database_Productkaarten[#All],47,FALSE),0)*Referentieberekening!L26),0))</f>
        <v>0</v>
      </c>
      <c r="M133" s="93">
        <f>(IF(Referentieberekening!C26="Bestaande Situatie",(_xlfn.IFNA(VLOOKUP(Referentie_Hernieuwbare_Energie_Totaal[[#This Row],[Product]]&amp;", "&amp;Referentie_Hernieuwbare_Energie_Totaal[[#Headers],[C3]],Database_Productkaarten[#All],47,FALSE),0)*Referentieberekening!L26),0))</f>
        <v>0</v>
      </c>
      <c r="N133" s="93">
        <f>(IF(Referentieberekening!C26="Bestaande Situatie",(_xlfn.IFNA(VLOOKUP(Referentie_Hernieuwbare_Energie_Totaal[[#This Row],[Product]]&amp;", "&amp;Referentie_Hernieuwbare_Energie_Totaal[[#Headers],[C4]],Database_Productkaarten[#All],47,FALSE),0)*Referentieberekening!L26),0))</f>
        <v>0</v>
      </c>
      <c r="O133" s="93">
        <f>(IF(Referentieberekening!C26="Bestaande Situatie",(_xlfn.IFNA(VLOOKUP(Referentie_Hernieuwbare_Energie_Totaal[[#This Row],[Product]]&amp;", "&amp;Referentie_Hernieuwbare_Energie_Totaal[[#Headers],[D1]],Database_Productkaarten[#All],47,FALSE),0)*Referentieberekening!L26),0))</f>
        <v>0</v>
      </c>
      <c r="P133" s="94">
        <f>(IF(Referentieberekening!C26="Bestaande Situatie",_xlfn.IFNA(VLOOKUP(Referentie_Hernieuwbare_Energie_Totaal[[#This Row],[Product]]&amp;", "&amp;Referentie_Hernieuwbare_Energie_Totaal[[#Headers],[D2]],Database_Productkaarten[#All],47,FALSE),0)*Referentieberekening!L26,0))</f>
        <v>0</v>
      </c>
      <c r="Q133" s="72">
        <f>SUM(Referentie_Hernieuwbare_Energie_Totaal[[#This Row],[A1]:[D2]])</f>
        <v>0</v>
      </c>
    </row>
    <row r="134" spans="2:17" ht="18" x14ac:dyDescent="0.55000000000000004">
      <c r="B134" s="286" t="str">
        <f>Referentieberekening!B27</f>
        <v>Aanbrengen  PVC 160 mm, incl. grondwerk - DWA.</v>
      </c>
      <c r="C134" s="92" t="str">
        <f>Referentieberekening!F27</f>
        <v>PVC 200 mm</v>
      </c>
      <c r="D134" s="93">
        <f>(IF(Referentieberekening!C27="Nieuwe Situatie",(_xlfn.IFNA(VLOOKUP(Referentie_Hernieuwbare_Energie_Totaal[[#This Row],[Product]]&amp;", "&amp;Referentie_Hernieuwbare_Energie_Totaal[[#Headers],[A1]],Database_Productkaarten[#All],47,FALSE),0)*Referentieberekening!L27),0))</f>
        <v>0</v>
      </c>
      <c r="E134" s="93">
        <f>(IF(Referentieberekening!C27="Nieuwe Situatie",(_xlfn.IFNA(VLOOKUP(Referentie_Hernieuwbare_Energie_Totaal[[#This Row],[Product]]&amp;", "&amp;Referentie_Hernieuwbare_Energie_Totaal[[#Headers],[A2]],Database_Productkaarten[#All],47,FALSE),0)*Referentieberekening!L27),0))</f>
        <v>0</v>
      </c>
      <c r="F134" s="93">
        <f>(IF(Referentieberekening!C27="Nieuwe Situatie",(_xlfn.IFNA(VLOOKUP(Referentie_Hernieuwbare_Energie_Totaal[[#This Row],[Product]]&amp;", "&amp;Referentie_Hernieuwbare_Energie_Totaal[[#Headers],[A3]],Database_Productkaarten[#All],47,FALSE),0)*Referentieberekening!L27),0))</f>
        <v>0</v>
      </c>
      <c r="G134" s="93">
        <f>IF(Referentieberekening!P27=0,(IF(Referentieberekening!C27="Nieuwe Situatie",(_xlfn.IFNA(VLOOKUP(Referentie_Hernieuwbare_Energie_Totaal[[#This Row],[Product]]&amp;", "&amp;Referentie_Hernieuwbare_Energie_Totaal[[#Headers],[A4]],Database_Productkaarten[#All],47,FALSE),0)*Referentieberekening!L27),0)),(IF(Inschrijfberekening!C27="Nieuwe Situatie",_xlfn.IFNA(VLOOKUP(Inschrijfberekening!K59,Database_Transport[#All],45,FALSE)*(Inschrijfberekening!K27*Inschrijfberekening!N27),0),0)))</f>
        <v>0</v>
      </c>
      <c r="H134" s="93">
        <f>(IF(Referentieberekening!C27="Nieuwe Situatie",(_xlfn.IFNA(VLOOKUP(Referentie_Hernieuwbare_Energie_Totaal[[#This Row],[Product]]&amp;", "&amp;Referentie_Hernieuwbare_Energie_Totaal[[#Headers],[A5]],Database_Productkaarten[#All],47,FALSE),0)*Referentieberekening!L27),0))</f>
        <v>0</v>
      </c>
      <c r="I134" s="93">
        <f>(IF(Referentieberekening!C27="Nieuwe Situatie",(_xlfn.IFNA(VLOOKUP(Referentie_Hernieuwbare_Energie_Totaal[[#This Row],[Product]]&amp;", "&amp;Referentie_Hernieuwbare_Energie_Totaal[[#Headers],[B1]],Database_Productkaarten[#All],47,FALSE),0)*Referentieberekening!L27),0))</f>
        <v>0</v>
      </c>
      <c r="J134" s="93">
        <f>(IF(Referentieberekening!C27="Nieuwe Situatie",(SUM(Referentie_Hernieuwbare_Energie_Totaal[[#This Row],[A1]:[B1]],Referentie_Hernieuwbare_Energie_Totaal[[#This Row],[C1]:[D2]])*Referentieberekening!N27),0))</f>
        <v>0</v>
      </c>
      <c r="K134" s="93">
        <f>(IF(Referentieberekening!C27="Bestaande Situatie",(_xlfn.IFNA(VLOOKUP(Referentie_Hernieuwbare_Energie_Totaal[[#This Row],[Product]]&amp;", "&amp;Referentie_Hernieuwbare_Energie_Totaal[[#Headers],[C1]],Database_Productkaarten[#All],47,FALSE),0)*Referentieberekening!L27),0))</f>
        <v>0</v>
      </c>
      <c r="L134" s="93">
        <f>(IF(Referentieberekening!C27="Bestaande Situatie",(_xlfn.IFNA(VLOOKUP(Referentie_Hernieuwbare_Energie_Totaal[[#This Row],[Product]]&amp;", "&amp;Referentie_Hernieuwbare_Energie_Totaal[[#Headers],[C2]],Database_Productkaarten[#All],47,FALSE),0)*Referentieberekening!L27),0))</f>
        <v>0</v>
      </c>
      <c r="M134" s="93">
        <f>(IF(Referentieberekening!C27="Bestaande Situatie",(_xlfn.IFNA(VLOOKUP(Referentie_Hernieuwbare_Energie_Totaal[[#This Row],[Product]]&amp;", "&amp;Referentie_Hernieuwbare_Energie_Totaal[[#Headers],[C3]],Database_Productkaarten[#All],47,FALSE),0)*Referentieberekening!L27),0))</f>
        <v>0</v>
      </c>
      <c r="N134" s="93">
        <f>(IF(Referentieberekening!C27="Bestaande Situatie",(_xlfn.IFNA(VLOOKUP(Referentie_Hernieuwbare_Energie_Totaal[[#This Row],[Product]]&amp;", "&amp;Referentie_Hernieuwbare_Energie_Totaal[[#Headers],[C4]],Database_Productkaarten[#All],47,FALSE),0)*Referentieberekening!L27),0))</f>
        <v>0</v>
      </c>
      <c r="O134" s="93">
        <f>(IF(Referentieberekening!C27="Bestaande Situatie",(_xlfn.IFNA(VLOOKUP(Referentie_Hernieuwbare_Energie_Totaal[[#This Row],[Product]]&amp;", "&amp;Referentie_Hernieuwbare_Energie_Totaal[[#Headers],[D1]],Database_Productkaarten[#All],47,FALSE),0)*Referentieberekening!L27),0))</f>
        <v>0</v>
      </c>
      <c r="P134" s="94">
        <f>(IF(Referentieberekening!C27="Bestaande Situatie",_xlfn.IFNA(VLOOKUP(Referentie_Hernieuwbare_Energie_Totaal[[#This Row],[Product]]&amp;", "&amp;Referentie_Hernieuwbare_Energie_Totaal[[#Headers],[D2]],Database_Productkaarten[#All],47,FALSE),0)*Referentieberekening!L27,0))</f>
        <v>0</v>
      </c>
      <c r="Q134" s="72">
        <f>SUM(Referentie_Hernieuwbare_Energie_Totaal[[#This Row],[A1]:[D2]])</f>
        <v>0</v>
      </c>
    </row>
    <row r="135" spans="2:17" ht="18" x14ac:dyDescent="0.55000000000000004">
      <c r="B135" s="286" t="str">
        <f>Referentieberekening!B28</f>
        <v xml:space="preserve"> Grond ontgraven uit cunet, hoogte 1,0 m - rijweg/ fietspad </v>
      </c>
      <c r="C135" s="92" t="str">
        <f>Referentieberekening!F28</f>
        <v>Grond</v>
      </c>
      <c r="D135" s="93">
        <f>(IF(Referentieberekening!C28="Nieuwe Situatie",(_xlfn.IFNA(VLOOKUP(Referentie_Hernieuwbare_Energie_Totaal[[#This Row],[Product]]&amp;", "&amp;Referentie_Hernieuwbare_Energie_Totaal[[#Headers],[A1]],Database_Productkaarten[#All],47,FALSE),0)*Referentieberekening!L28),0))</f>
        <v>0</v>
      </c>
      <c r="E135" s="93">
        <f>(IF(Referentieberekening!C28="Nieuwe Situatie",(_xlfn.IFNA(VLOOKUP(Referentie_Hernieuwbare_Energie_Totaal[[#This Row],[Product]]&amp;", "&amp;Referentie_Hernieuwbare_Energie_Totaal[[#Headers],[A2]],Database_Productkaarten[#All],47,FALSE),0)*Referentieberekening!L28),0))</f>
        <v>0</v>
      </c>
      <c r="F135" s="93">
        <f>(IF(Referentieberekening!C28="Nieuwe Situatie",(_xlfn.IFNA(VLOOKUP(Referentie_Hernieuwbare_Energie_Totaal[[#This Row],[Product]]&amp;", "&amp;Referentie_Hernieuwbare_Energie_Totaal[[#Headers],[A3]],Database_Productkaarten[#All],47,FALSE),0)*Referentieberekening!L28),0))</f>
        <v>0</v>
      </c>
      <c r="G135" s="93">
        <f>IF(Referentieberekening!P28=0,(IF(Referentieberekening!C28="Nieuwe Situatie",(_xlfn.IFNA(VLOOKUP(Referentie_Hernieuwbare_Energie_Totaal[[#This Row],[Product]]&amp;", "&amp;Referentie_Hernieuwbare_Energie_Totaal[[#Headers],[A4]],Database_Productkaarten[#All],47,FALSE),0)*Referentieberekening!L28),0)),(IF(Inschrijfberekening!C28="Nieuwe Situatie",_xlfn.IFNA(VLOOKUP(Inschrijfberekening!K60,Database_Transport[#All],45,FALSE)*(Inschrijfberekening!K28*Inschrijfberekening!N28),0),0)))</f>
        <v>0</v>
      </c>
      <c r="H135" s="93">
        <f>(IF(Referentieberekening!C28="Nieuwe Situatie",(_xlfn.IFNA(VLOOKUP(Referentie_Hernieuwbare_Energie_Totaal[[#This Row],[Product]]&amp;", "&amp;Referentie_Hernieuwbare_Energie_Totaal[[#Headers],[A5]],Database_Productkaarten[#All],47,FALSE),0)*Referentieberekening!L28),0))</f>
        <v>0</v>
      </c>
      <c r="I135" s="93">
        <f>(IF(Referentieberekening!C28="Nieuwe Situatie",(_xlfn.IFNA(VLOOKUP(Referentie_Hernieuwbare_Energie_Totaal[[#This Row],[Product]]&amp;", "&amp;Referentie_Hernieuwbare_Energie_Totaal[[#Headers],[B1]],Database_Productkaarten[#All],47,FALSE),0)*Referentieberekening!L28),0))</f>
        <v>0</v>
      </c>
      <c r="J135" s="93">
        <f>(IF(Referentieberekening!C28="Nieuwe Situatie",(SUM(Referentie_Hernieuwbare_Energie_Totaal[[#This Row],[A1]:[B1]],Referentie_Hernieuwbare_Energie_Totaal[[#This Row],[C1]:[D2]])*Referentieberekening!N28),0))</f>
        <v>0</v>
      </c>
      <c r="K135" s="93">
        <f>(IF(Referentieberekening!C28="Bestaande Situatie",(_xlfn.IFNA(VLOOKUP(Referentie_Hernieuwbare_Energie_Totaal[[#This Row],[Product]]&amp;", "&amp;Referentie_Hernieuwbare_Energie_Totaal[[#Headers],[C1]],Database_Productkaarten[#All],47,FALSE),0)*Referentieberekening!L28),0))</f>
        <v>3.8251537911955329E-4</v>
      </c>
      <c r="L135" s="93">
        <f>(IF(Referentieberekening!C28="Bestaande Situatie",(_xlfn.IFNA(VLOOKUP(Referentie_Hernieuwbare_Energie_Totaal[[#This Row],[Product]]&amp;", "&amp;Referentie_Hernieuwbare_Energie_Totaal[[#Headers],[C2]],Database_Productkaarten[#All],47,FALSE),0)*Referentieberekening!L28),0))</f>
        <v>13889.444448</v>
      </c>
      <c r="M135" s="93">
        <f>(IF(Referentieberekening!C28="Bestaande Situatie",(_xlfn.IFNA(VLOOKUP(Referentie_Hernieuwbare_Energie_Totaal[[#This Row],[Product]]&amp;", "&amp;Referentie_Hernieuwbare_Energie_Totaal[[#Headers],[C3]],Database_Productkaarten[#All],47,FALSE),0)*Referentieberekening!L28),0))</f>
        <v>0</v>
      </c>
      <c r="N135" s="93">
        <f>(IF(Referentieberekening!C28="Bestaande Situatie",(_xlfn.IFNA(VLOOKUP(Referentie_Hernieuwbare_Energie_Totaal[[#This Row],[Product]]&amp;", "&amp;Referentie_Hernieuwbare_Energie_Totaal[[#Headers],[C4]],Database_Productkaarten[#All],47,FALSE),0)*Referentieberekening!L28),0))</f>
        <v>0</v>
      </c>
      <c r="O135" s="93">
        <f>(IF(Referentieberekening!C28="Bestaande Situatie",(_xlfn.IFNA(VLOOKUP(Referentie_Hernieuwbare_Energie_Totaal[[#This Row],[Product]]&amp;", "&amp;Referentie_Hernieuwbare_Energie_Totaal[[#Headers],[D1]],Database_Productkaarten[#All],47,FALSE),0)*Referentieberekening!L28),0))</f>
        <v>0</v>
      </c>
      <c r="P135" s="94">
        <f>(IF(Referentieberekening!C28="Bestaande Situatie",_xlfn.IFNA(VLOOKUP(Referentie_Hernieuwbare_Energie_Totaal[[#This Row],[Product]]&amp;", "&amp;Referentie_Hernieuwbare_Energie_Totaal[[#Headers],[D2]],Database_Productkaarten[#All],47,FALSE),0)*Referentieberekening!L28,0))</f>
        <v>0</v>
      </c>
      <c r="Q135" s="72">
        <f>SUM(Referentie_Hernieuwbare_Energie_Totaal[[#This Row],[A1]:[D2]])</f>
        <v>13889.44483051538</v>
      </c>
    </row>
    <row r="136" spans="2:17" ht="18" x14ac:dyDescent="0.55000000000000004">
      <c r="B136" s="286" t="str">
        <f>Referentieberekening!B29</f>
        <v xml:space="preserve"> Grond ontgraven uit cunet, hoogte 0,90 m - voetpad. </v>
      </c>
      <c r="C136" s="92" t="str">
        <f>Referentieberekening!F29</f>
        <v>Grond</v>
      </c>
      <c r="D136" s="93">
        <f>(IF(Referentieberekening!C29="Nieuwe Situatie",(_xlfn.IFNA(VLOOKUP(Referentie_Hernieuwbare_Energie_Totaal[[#This Row],[Product]]&amp;", "&amp;Referentie_Hernieuwbare_Energie_Totaal[[#Headers],[A1]],Database_Productkaarten[#All],47,FALSE),0)*Referentieberekening!L29),0))</f>
        <v>0</v>
      </c>
      <c r="E136" s="93">
        <f>(IF(Referentieberekening!C29="Nieuwe Situatie",(_xlfn.IFNA(VLOOKUP(Referentie_Hernieuwbare_Energie_Totaal[[#This Row],[Product]]&amp;", "&amp;Referentie_Hernieuwbare_Energie_Totaal[[#Headers],[A2]],Database_Productkaarten[#All],47,FALSE),0)*Referentieberekening!L29),0))</f>
        <v>0</v>
      </c>
      <c r="F136" s="93">
        <f>(IF(Referentieberekening!C29="Nieuwe Situatie",(_xlfn.IFNA(VLOOKUP(Referentie_Hernieuwbare_Energie_Totaal[[#This Row],[Product]]&amp;", "&amp;Referentie_Hernieuwbare_Energie_Totaal[[#Headers],[A3]],Database_Productkaarten[#All],47,FALSE),0)*Referentieberekening!L29),0))</f>
        <v>0</v>
      </c>
      <c r="G136" s="93">
        <f>IF(Referentieberekening!P29=0,(IF(Referentieberekening!C29="Nieuwe Situatie",(_xlfn.IFNA(VLOOKUP(Referentie_Hernieuwbare_Energie_Totaal[[#This Row],[Product]]&amp;", "&amp;Referentie_Hernieuwbare_Energie_Totaal[[#Headers],[A4]],Database_Productkaarten[#All],47,FALSE),0)*Referentieberekening!L29),0)),(IF(Inschrijfberekening!C29="Nieuwe Situatie",_xlfn.IFNA(VLOOKUP(Inschrijfberekening!K61,Database_Transport[#All],45,FALSE)*(Inschrijfberekening!K29*Inschrijfberekening!N29),0),0)))</f>
        <v>0</v>
      </c>
      <c r="H136" s="93">
        <f>(IF(Referentieberekening!C29="Nieuwe Situatie",(_xlfn.IFNA(VLOOKUP(Referentie_Hernieuwbare_Energie_Totaal[[#This Row],[Product]]&amp;", "&amp;Referentie_Hernieuwbare_Energie_Totaal[[#Headers],[A5]],Database_Productkaarten[#All],47,FALSE),0)*Referentieberekening!L29),0))</f>
        <v>0</v>
      </c>
      <c r="I136" s="93">
        <f>(IF(Referentieberekening!C29="Nieuwe Situatie",(_xlfn.IFNA(VLOOKUP(Referentie_Hernieuwbare_Energie_Totaal[[#This Row],[Product]]&amp;", "&amp;Referentie_Hernieuwbare_Energie_Totaal[[#Headers],[B1]],Database_Productkaarten[#All],47,FALSE),0)*Referentieberekening!L29),0))</f>
        <v>0</v>
      </c>
      <c r="J136" s="93">
        <f>(IF(Referentieberekening!C29="Nieuwe Situatie",(SUM(Referentie_Hernieuwbare_Energie_Totaal[[#This Row],[A1]:[B1]],Referentie_Hernieuwbare_Energie_Totaal[[#This Row],[C1]:[D2]])*Referentieberekening!N29),0))</f>
        <v>0</v>
      </c>
      <c r="K136" s="93">
        <f>(IF(Referentieberekening!C29="Bestaande Situatie",(_xlfn.IFNA(VLOOKUP(Referentie_Hernieuwbare_Energie_Totaal[[#This Row],[Product]]&amp;", "&amp;Referentie_Hernieuwbare_Energie_Totaal[[#Headers],[C1]],Database_Productkaarten[#All],47,FALSE),0)*Referentieberekening!L29),0))</f>
        <v>3.2715131108909158E-5</v>
      </c>
      <c r="L136" s="93">
        <f>(IF(Referentieberekening!C29="Bestaande Situatie",(_xlfn.IFNA(VLOOKUP(Referentie_Hernieuwbare_Energie_Totaal[[#This Row],[Product]]&amp;", "&amp;Referentie_Hernieuwbare_Energie_Totaal[[#Headers],[C2]],Database_Productkaarten[#All],47,FALSE),0)*Referentieberekening!L29),0))</f>
        <v>1187.913012</v>
      </c>
      <c r="M136" s="93">
        <f>(IF(Referentieberekening!C29="Bestaande Situatie",(_xlfn.IFNA(VLOOKUP(Referentie_Hernieuwbare_Energie_Totaal[[#This Row],[Product]]&amp;", "&amp;Referentie_Hernieuwbare_Energie_Totaal[[#Headers],[C3]],Database_Productkaarten[#All],47,FALSE),0)*Referentieberekening!L29),0))</f>
        <v>0</v>
      </c>
      <c r="N136" s="93">
        <f>(IF(Referentieberekening!C29="Bestaande Situatie",(_xlfn.IFNA(VLOOKUP(Referentie_Hernieuwbare_Energie_Totaal[[#This Row],[Product]]&amp;", "&amp;Referentie_Hernieuwbare_Energie_Totaal[[#Headers],[C4]],Database_Productkaarten[#All],47,FALSE),0)*Referentieberekening!L29),0))</f>
        <v>0</v>
      </c>
      <c r="O136" s="93">
        <f>(IF(Referentieberekening!C29="Bestaande Situatie",(_xlfn.IFNA(VLOOKUP(Referentie_Hernieuwbare_Energie_Totaal[[#This Row],[Product]]&amp;", "&amp;Referentie_Hernieuwbare_Energie_Totaal[[#Headers],[D1]],Database_Productkaarten[#All],47,FALSE),0)*Referentieberekening!L29),0))</f>
        <v>0</v>
      </c>
      <c r="P136" s="94">
        <f>(IF(Referentieberekening!C29="Bestaande Situatie",_xlfn.IFNA(VLOOKUP(Referentie_Hernieuwbare_Energie_Totaal[[#This Row],[Product]]&amp;", "&amp;Referentie_Hernieuwbare_Energie_Totaal[[#Headers],[D2]],Database_Productkaarten[#All],47,FALSE),0)*Referentieberekening!L29,0))</f>
        <v>0</v>
      </c>
      <c r="Q136" s="72">
        <f>SUM(Referentie_Hernieuwbare_Energie_Totaal[[#This Row],[A1]:[D2]])</f>
        <v>1187.913044715131</v>
      </c>
    </row>
    <row r="137" spans="2:17" ht="18" x14ac:dyDescent="0.55000000000000004">
      <c r="B137" s="286" t="str">
        <f>Referentieberekening!B30</f>
        <v xml:space="preserve"> Grond ontgraven uit cunet, hoogte 0,90 m - overige verharding. </v>
      </c>
      <c r="C137" s="92" t="str">
        <f>Referentieberekening!F30</f>
        <v>Grond</v>
      </c>
      <c r="D137" s="93">
        <f>(IF(Referentieberekening!C30="Nieuwe Situatie",(_xlfn.IFNA(VLOOKUP(Referentie_Hernieuwbare_Energie_Totaal[[#This Row],[Product]]&amp;", "&amp;Referentie_Hernieuwbare_Energie_Totaal[[#Headers],[A1]],Database_Productkaarten[#All],47,FALSE),0)*Referentieberekening!L30),0))</f>
        <v>0</v>
      </c>
      <c r="E137" s="93">
        <f>(IF(Referentieberekening!C30="Nieuwe Situatie",(_xlfn.IFNA(VLOOKUP(Referentie_Hernieuwbare_Energie_Totaal[[#This Row],[Product]]&amp;", "&amp;Referentie_Hernieuwbare_Energie_Totaal[[#Headers],[A2]],Database_Productkaarten[#All],47,FALSE),0)*Referentieberekening!L30),0))</f>
        <v>0</v>
      </c>
      <c r="F137" s="93">
        <f>(IF(Referentieberekening!C30="Nieuwe Situatie",(_xlfn.IFNA(VLOOKUP(Referentie_Hernieuwbare_Energie_Totaal[[#This Row],[Product]]&amp;", "&amp;Referentie_Hernieuwbare_Energie_Totaal[[#Headers],[A3]],Database_Productkaarten[#All],47,FALSE),0)*Referentieberekening!L30),0))</f>
        <v>0</v>
      </c>
      <c r="G137" s="93">
        <f>IF(Referentieberekening!P30=0,(IF(Referentieberekening!C30="Nieuwe Situatie",(_xlfn.IFNA(VLOOKUP(Referentie_Hernieuwbare_Energie_Totaal[[#This Row],[Product]]&amp;", "&amp;Referentie_Hernieuwbare_Energie_Totaal[[#Headers],[A4]],Database_Productkaarten[#All],47,FALSE),0)*Referentieberekening!L30),0)),(IF(Inschrijfberekening!C30="Nieuwe Situatie",_xlfn.IFNA(VLOOKUP(Inschrijfberekening!K62,Database_Transport[#All],45,FALSE)*(Inschrijfberekening!K30*Inschrijfberekening!N30),0),0)))</f>
        <v>0</v>
      </c>
      <c r="H137" s="93">
        <f>(IF(Referentieberekening!C30="Nieuwe Situatie",(_xlfn.IFNA(VLOOKUP(Referentie_Hernieuwbare_Energie_Totaal[[#This Row],[Product]]&amp;", "&amp;Referentie_Hernieuwbare_Energie_Totaal[[#Headers],[A5]],Database_Productkaarten[#All],47,FALSE),0)*Referentieberekening!L30),0))</f>
        <v>0</v>
      </c>
      <c r="I137" s="93">
        <f>(IF(Referentieberekening!C30="Nieuwe Situatie",(_xlfn.IFNA(VLOOKUP(Referentie_Hernieuwbare_Energie_Totaal[[#This Row],[Product]]&amp;", "&amp;Referentie_Hernieuwbare_Energie_Totaal[[#Headers],[B1]],Database_Productkaarten[#All],47,FALSE),0)*Referentieberekening!L30),0))</f>
        <v>0</v>
      </c>
      <c r="J137" s="93">
        <f>(IF(Referentieberekening!C30="Nieuwe Situatie",(SUM(Referentie_Hernieuwbare_Energie_Totaal[[#This Row],[A1]:[B1]],Referentie_Hernieuwbare_Energie_Totaal[[#This Row],[C1]:[D2]])*Referentieberekening!N30),0))</f>
        <v>0</v>
      </c>
      <c r="K137" s="93">
        <f>(IF(Referentieberekening!C30="Bestaande Situatie",(_xlfn.IFNA(VLOOKUP(Referentie_Hernieuwbare_Energie_Totaal[[#This Row],[Product]]&amp;", "&amp;Referentie_Hernieuwbare_Energie_Totaal[[#Headers],[C1]],Database_Productkaarten[#All],47,FALSE),0)*Referentieberekening!L30),0))</f>
        <v>5.5364068030461656E-5</v>
      </c>
      <c r="L137" s="93">
        <f>(IF(Referentieberekening!C30="Bestaande Situatie",(_xlfn.IFNA(VLOOKUP(Referentie_Hernieuwbare_Energie_Totaal[[#This Row],[Product]]&amp;", "&amp;Referentie_Hernieuwbare_Energie_Totaal[[#Headers],[C2]],Database_Productkaarten[#All],47,FALSE),0)*Referentieberekening!L30),0))</f>
        <v>2010.3143280000002</v>
      </c>
      <c r="M137" s="93">
        <f>(IF(Referentieberekening!C30="Bestaande Situatie",(_xlfn.IFNA(VLOOKUP(Referentie_Hernieuwbare_Energie_Totaal[[#This Row],[Product]]&amp;", "&amp;Referentie_Hernieuwbare_Energie_Totaal[[#Headers],[C3]],Database_Productkaarten[#All],47,FALSE),0)*Referentieberekening!L30),0))</f>
        <v>0</v>
      </c>
      <c r="N137" s="93">
        <f>(IF(Referentieberekening!C30="Bestaande Situatie",(_xlfn.IFNA(VLOOKUP(Referentie_Hernieuwbare_Energie_Totaal[[#This Row],[Product]]&amp;", "&amp;Referentie_Hernieuwbare_Energie_Totaal[[#Headers],[C4]],Database_Productkaarten[#All],47,FALSE),0)*Referentieberekening!L30),0))</f>
        <v>0</v>
      </c>
      <c r="O137" s="93">
        <f>(IF(Referentieberekening!C30="Bestaande Situatie",(_xlfn.IFNA(VLOOKUP(Referentie_Hernieuwbare_Energie_Totaal[[#This Row],[Product]]&amp;", "&amp;Referentie_Hernieuwbare_Energie_Totaal[[#Headers],[D1]],Database_Productkaarten[#All],47,FALSE),0)*Referentieberekening!L30),0))</f>
        <v>0</v>
      </c>
      <c r="P137" s="94">
        <f>(IF(Referentieberekening!C30="Bestaande Situatie",_xlfn.IFNA(VLOOKUP(Referentie_Hernieuwbare_Energie_Totaal[[#This Row],[Product]]&amp;", "&amp;Referentie_Hernieuwbare_Energie_Totaal[[#Headers],[D2]],Database_Productkaarten[#All],47,FALSE),0)*Referentieberekening!L30,0))</f>
        <v>0</v>
      </c>
      <c r="Q137" s="72">
        <f>SUM(Referentie_Hernieuwbare_Energie_Totaal[[#This Row],[A1]:[D2]])</f>
        <v>2010.3143833640681</v>
      </c>
    </row>
    <row r="138" spans="2:17" ht="18" x14ac:dyDescent="0.55000000000000004">
      <c r="B138" s="286" t="str">
        <f>Referentieberekening!B31</f>
        <v>Grond ontgraven t.b.v. sleuf hoofdriool.</v>
      </c>
      <c r="C138" s="92" t="str">
        <f>Referentieberekening!F31</f>
        <v>Grond</v>
      </c>
      <c r="D138" s="93">
        <f>(IF(Referentieberekening!C31="Nieuwe Situatie",(_xlfn.IFNA(VLOOKUP(Referentie_Hernieuwbare_Energie_Totaal[[#This Row],[Product]]&amp;", "&amp;Referentie_Hernieuwbare_Energie_Totaal[[#Headers],[A1]],Database_Productkaarten[#All],47,FALSE),0)*Referentieberekening!L31),0))</f>
        <v>0</v>
      </c>
      <c r="E138" s="93">
        <f>(IF(Referentieberekening!C31="Nieuwe Situatie",(_xlfn.IFNA(VLOOKUP(Referentie_Hernieuwbare_Energie_Totaal[[#This Row],[Product]]&amp;", "&amp;Referentie_Hernieuwbare_Energie_Totaal[[#Headers],[A2]],Database_Productkaarten[#All],47,FALSE),0)*Referentieberekening!L31),0))</f>
        <v>0</v>
      </c>
      <c r="F138" s="93">
        <f>(IF(Referentieberekening!C31="Nieuwe Situatie",(_xlfn.IFNA(VLOOKUP(Referentie_Hernieuwbare_Energie_Totaal[[#This Row],[Product]]&amp;", "&amp;Referentie_Hernieuwbare_Energie_Totaal[[#Headers],[A3]],Database_Productkaarten[#All],47,FALSE),0)*Referentieberekening!L31),0))</f>
        <v>0</v>
      </c>
      <c r="G138" s="93">
        <f>IF(Referentieberekening!P31=0,(IF(Referentieberekening!C31="Nieuwe Situatie",(_xlfn.IFNA(VLOOKUP(Referentie_Hernieuwbare_Energie_Totaal[[#This Row],[Product]]&amp;", "&amp;Referentie_Hernieuwbare_Energie_Totaal[[#Headers],[A4]],Database_Productkaarten[#All],47,FALSE),0)*Referentieberekening!L31),0)),(IF(Inschrijfberekening!C31="Nieuwe Situatie",_xlfn.IFNA(VLOOKUP(Inschrijfberekening!K63,Database_Transport[#All],45,FALSE)*(Inschrijfberekening!K31*Inschrijfberekening!N31),0),0)))</f>
        <v>0</v>
      </c>
      <c r="H138" s="93">
        <f>(IF(Referentieberekening!C31="Nieuwe Situatie",(_xlfn.IFNA(VLOOKUP(Referentie_Hernieuwbare_Energie_Totaal[[#This Row],[Product]]&amp;", "&amp;Referentie_Hernieuwbare_Energie_Totaal[[#Headers],[A5]],Database_Productkaarten[#All],47,FALSE),0)*Referentieberekening!L31),0))</f>
        <v>0</v>
      </c>
      <c r="I138" s="93">
        <f>(IF(Referentieberekening!C31="Nieuwe Situatie",(_xlfn.IFNA(VLOOKUP(Referentie_Hernieuwbare_Energie_Totaal[[#This Row],[Product]]&amp;", "&amp;Referentie_Hernieuwbare_Energie_Totaal[[#Headers],[B1]],Database_Productkaarten[#All],47,FALSE),0)*Referentieberekening!L31),0))</f>
        <v>0</v>
      </c>
      <c r="J138" s="93">
        <f>(IF(Referentieberekening!C31="Nieuwe Situatie",(SUM(Referentie_Hernieuwbare_Energie_Totaal[[#This Row],[A1]:[B1]],Referentie_Hernieuwbare_Energie_Totaal[[#This Row],[C1]:[D2]])*Referentieberekening!N31),0))</f>
        <v>0</v>
      </c>
      <c r="K138" s="93">
        <f>(IF(Referentieberekening!C31="Bestaande Situatie",(_xlfn.IFNA(VLOOKUP(Referentie_Hernieuwbare_Energie_Totaal[[#This Row],[Product]]&amp;", "&amp;Referentie_Hernieuwbare_Energie_Totaal[[#Headers],[C1]],Database_Productkaarten[#All],47,FALSE),0)*Referentieberekening!L31),0))</f>
        <v>1.0317849042040582E-4</v>
      </c>
      <c r="L138" s="93">
        <f>(IF(Referentieberekening!C31="Bestaande Situatie",(_xlfn.IFNA(VLOOKUP(Referentie_Hernieuwbare_Energie_Totaal[[#This Row],[Product]]&amp;", "&amp;Referentie_Hernieuwbare_Energie_Totaal[[#Headers],[C2]],Database_Productkaarten[#All],47,FALSE),0)*Referentieberekening!L31),0))</f>
        <v>3746.4948840000002</v>
      </c>
      <c r="M138" s="93">
        <f>(IF(Referentieberekening!C31="Bestaande Situatie",(_xlfn.IFNA(VLOOKUP(Referentie_Hernieuwbare_Energie_Totaal[[#This Row],[Product]]&amp;", "&amp;Referentie_Hernieuwbare_Energie_Totaal[[#Headers],[C3]],Database_Productkaarten[#All],47,FALSE),0)*Referentieberekening!L31),0))</f>
        <v>0</v>
      </c>
      <c r="N138" s="93">
        <f>(IF(Referentieberekening!C31="Bestaande Situatie",(_xlfn.IFNA(VLOOKUP(Referentie_Hernieuwbare_Energie_Totaal[[#This Row],[Product]]&amp;", "&amp;Referentie_Hernieuwbare_Energie_Totaal[[#Headers],[C4]],Database_Productkaarten[#All],47,FALSE),0)*Referentieberekening!L31),0))</f>
        <v>0</v>
      </c>
      <c r="O138" s="93">
        <f>(IF(Referentieberekening!C31="Bestaande Situatie",(_xlfn.IFNA(VLOOKUP(Referentie_Hernieuwbare_Energie_Totaal[[#This Row],[Product]]&amp;", "&amp;Referentie_Hernieuwbare_Energie_Totaal[[#Headers],[D1]],Database_Productkaarten[#All],47,FALSE),0)*Referentieberekening!L31),0))</f>
        <v>0</v>
      </c>
      <c r="P138" s="94">
        <f>(IF(Referentieberekening!C31="Bestaande Situatie",_xlfn.IFNA(VLOOKUP(Referentie_Hernieuwbare_Energie_Totaal[[#This Row],[Product]]&amp;", "&amp;Referentie_Hernieuwbare_Energie_Totaal[[#Headers],[D2]],Database_Productkaarten[#All],47,FALSE),0)*Referentieberekening!L31,0))</f>
        <v>0</v>
      </c>
      <c r="Q138" s="72">
        <f>SUM(Referentie_Hernieuwbare_Energie_Totaal[[#This Row],[A1]:[D2]])</f>
        <v>3746.4949871784906</v>
      </c>
    </row>
    <row r="139" spans="2:17" ht="18" x14ac:dyDescent="0.55000000000000004">
      <c r="B139" s="286" t="str">
        <f>Referentieberekening!B32</f>
        <v xml:space="preserve"> Zand leveren en verwerken in cunet, hoogte 0,70 m - rijweg. </v>
      </c>
      <c r="C139" s="92" t="str">
        <f>Referentieberekening!F32</f>
        <v>Ophoogzand, Cascade-leden</v>
      </c>
      <c r="D139" s="93">
        <f>(IF(Referentieberekening!C32="Nieuwe Situatie",(_xlfn.IFNA(VLOOKUP(Referentie_Hernieuwbare_Energie_Totaal[[#This Row],[Product]]&amp;", "&amp;Referentie_Hernieuwbare_Energie_Totaal[[#Headers],[A1]],Database_Productkaarten[#All],47,FALSE),0)*Referentieberekening!L32),0))</f>
        <v>0</v>
      </c>
      <c r="E139" s="93">
        <f>(IF(Referentieberekening!C32="Nieuwe Situatie",(_xlfn.IFNA(VLOOKUP(Referentie_Hernieuwbare_Energie_Totaal[[#This Row],[Product]]&amp;", "&amp;Referentie_Hernieuwbare_Energie_Totaal[[#Headers],[A2]],Database_Productkaarten[#All],47,FALSE),0)*Referentieberekening!L32),0))</f>
        <v>0</v>
      </c>
      <c r="F139" s="93">
        <f>(IF(Referentieberekening!C32="Nieuwe Situatie",(_xlfn.IFNA(VLOOKUP(Referentie_Hernieuwbare_Energie_Totaal[[#This Row],[Product]]&amp;", "&amp;Referentie_Hernieuwbare_Energie_Totaal[[#Headers],[A3]],Database_Productkaarten[#All],47,FALSE),0)*Referentieberekening!L32),0))</f>
        <v>0</v>
      </c>
      <c r="G139" s="93">
        <f>IF(Referentieberekening!P32=0,(IF(Referentieberekening!C32="Nieuwe Situatie",(_xlfn.IFNA(VLOOKUP(Referentie_Hernieuwbare_Energie_Totaal[[#This Row],[Product]]&amp;", "&amp;Referentie_Hernieuwbare_Energie_Totaal[[#Headers],[A4]],Database_Productkaarten[#All],47,FALSE),0)*Referentieberekening!L32),0)),(IF(Inschrijfberekening!C32="Nieuwe Situatie",_xlfn.IFNA(VLOOKUP(Inschrijfberekening!K64,Database_Transport[#All],45,FALSE)*(Inschrijfberekening!K32*Inschrijfberekening!N32),0),0)))</f>
        <v>10388.52773475</v>
      </c>
      <c r="H139" s="93">
        <f>(IF(Referentieberekening!C32="Nieuwe Situatie",(_xlfn.IFNA(VLOOKUP(Referentie_Hernieuwbare_Energie_Totaal[[#This Row],[Product]]&amp;", "&amp;Referentie_Hernieuwbare_Energie_Totaal[[#Headers],[A5]],Database_Productkaarten[#All],47,FALSE),0)*Referentieberekening!L32),0))</f>
        <v>2.861001129187777E-4</v>
      </c>
      <c r="I139" s="93">
        <f>(IF(Referentieberekening!C32="Nieuwe Situatie",(_xlfn.IFNA(VLOOKUP(Referentie_Hernieuwbare_Energie_Totaal[[#This Row],[Product]]&amp;", "&amp;Referentie_Hernieuwbare_Energie_Totaal[[#Headers],[B1]],Database_Productkaarten[#All],47,FALSE),0)*Referentieberekening!L32),0))</f>
        <v>0</v>
      </c>
      <c r="J139" s="93">
        <f>(IF(Referentieberekening!C32="Nieuwe Situatie",(SUM(Referentie_Hernieuwbare_Energie_Totaal[[#This Row],[A1]:[B1]],Referentie_Hernieuwbare_Energie_Totaal[[#This Row],[C1]:[D2]])*Referentieberekening!N32),0))</f>
        <v>0</v>
      </c>
      <c r="K139" s="93">
        <f>(IF(Referentieberekening!C32="Bestaande Situatie",(_xlfn.IFNA(VLOOKUP(Referentie_Hernieuwbare_Energie_Totaal[[#This Row],[Product]]&amp;", "&amp;Referentie_Hernieuwbare_Energie_Totaal[[#Headers],[C1]],Database_Productkaarten[#All],47,FALSE),0)*Referentieberekening!L32),0))</f>
        <v>0</v>
      </c>
      <c r="L139" s="93">
        <f>(IF(Referentieberekening!C32="Bestaande Situatie",(_xlfn.IFNA(VLOOKUP(Referentie_Hernieuwbare_Energie_Totaal[[#This Row],[Product]]&amp;", "&amp;Referentie_Hernieuwbare_Energie_Totaal[[#Headers],[C2]],Database_Productkaarten[#All],47,FALSE),0)*Referentieberekening!L32),0))</f>
        <v>0</v>
      </c>
      <c r="M139" s="93">
        <f>(IF(Referentieberekening!C32="Bestaande Situatie",(_xlfn.IFNA(VLOOKUP(Referentie_Hernieuwbare_Energie_Totaal[[#This Row],[Product]]&amp;", "&amp;Referentie_Hernieuwbare_Energie_Totaal[[#Headers],[C3]],Database_Productkaarten[#All],47,FALSE),0)*Referentieberekening!L32),0))</f>
        <v>0</v>
      </c>
      <c r="N139" s="93">
        <f>(IF(Referentieberekening!C32="Bestaande Situatie",(_xlfn.IFNA(VLOOKUP(Referentie_Hernieuwbare_Energie_Totaal[[#This Row],[Product]]&amp;", "&amp;Referentie_Hernieuwbare_Energie_Totaal[[#Headers],[C4]],Database_Productkaarten[#All],47,FALSE),0)*Referentieberekening!L32),0))</f>
        <v>0</v>
      </c>
      <c r="O139" s="93">
        <f>(IF(Referentieberekening!C32="Bestaande Situatie",(_xlfn.IFNA(VLOOKUP(Referentie_Hernieuwbare_Energie_Totaal[[#This Row],[Product]]&amp;", "&amp;Referentie_Hernieuwbare_Energie_Totaal[[#Headers],[D1]],Database_Productkaarten[#All],47,FALSE),0)*Referentieberekening!L32),0))</f>
        <v>0</v>
      </c>
      <c r="P139" s="94">
        <f>(IF(Referentieberekening!C32="Bestaande Situatie",_xlfn.IFNA(VLOOKUP(Referentie_Hernieuwbare_Energie_Totaal[[#This Row],[Product]]&amp;", "&amp;Referentie_Hernieuwbare_Energie_Totaal[[#Headers],[D2]],Database_Productkaarten[#All],47,FALSE),0)*Referentieberekening!L32,0))</f>
        <v>0</v>
      </c>
      <c r="Q139" s="72">
        <f>SUM(Referentie_Hernieuwbare_Energie_Totaal[[#This Row],[A1]:[D2]])</f>
        <v>10388.528020850112</v>
      </c>
    </row>
    <row r="140" spans="2:17" ht="18" x14ac:dyDescent="0.55000000000000004">
      <c r="B140" s="286" t="str">
        <f>Referentieberekening!B33</f>
        <v xml:space="preserve"> Zand verwerken in cunet, hoogte 1,00 m - voetpad (vrijgekomen). </v>
      </c>
      <c r="C140" s="92" t="str">
        <f>Referentieberekening!F33</f>
        <v>Zand (hergebruik)</v>
      </c>
      <c r="D140" s="93">
        <f>(IF(Referentieberekening!C33="Nieuwe Situatie",(_xlfn.IFNA(VLOOKUP(Referentie_Hernieuwbare_Energie_Totaal[[#This Row],[Product]]&amp;", "&amp;Referentie_Hernieuwbare_Energie_Totaal[[#Headers],[A1]],Database_Productkaarten[#All],47,FALSE),0)*Referentieberekening!L33),0))</f>
        <v>0</v>
      </c>
      <c r="E140" s="93">
        <f>(IF(Referentieberekening!C33="Nieuwe Situatie",(_xlfn.IFNA(VLOOKUP(Referentie_Hernieuwbare_Energie_Totaal[[#This Row],[Product]]&amp;", "&amp;Referentie_Hernieuwbare_Energie_Totaal[[#Headers],[A2]],Database_Productkaarten[#All],47,FALSE),0)*Referentieberekening!L33),0))</f>
        <v>0</v>
      </c>
      <c r="F140" s="93">
        <f>(IF(Referentieberekening!C33="Nieuwe Situatie",(_xlfn.IFNA(VLOOKUP(Referentie_Hernieuwbare_Energie_Totaal[[#This Row],[Product]]&amp;", "&amp;Referentie_Hernieuwbare_Energie_Totaal[[#Headers],[A3]],Database_Productkaarten[#All],47,FALSE),0)*Referentieberekening!L33),0))</f>
        <v>0</v>
      </c>
      <c r="G140" s="93">
        <f>IF(Referentieberekening!P33=0,(IF(Referentieberekening!C33="Nieuwe Situatie",(_xlfn.IFNA(VLOOKUP(Referentie_Hernieuwbare_Energie_Totaal[[#This Row],[Product]]&amp;", "&amp;Referentie_Hernieuwbare_Energie_Totaal[[#Headers],[A4]],Database_Productkaarten[#All],47,FALSE),0)*Referentieberekening!L33),0)),(IF(Inschrijfberekening!C33="Nieuwe Situatie",_xlfn.IFNA(VLOOKUP(Inschrijfberekening!K65,Database_Transport[#All],45,FALSE)*(Inschrijfberekening!K33*Inschrijfberekening!N33),0),0)))</f>
        <v>0</v>
      </c>
      <c r="H140" s="93">
        <f>(IF(Referentieberekening!C33="Nieuwe Situatie",(_xlfn.IFNA(VLOOKUP(Referentie_Hernieuwbare_Energie_Totaal[[#This Row],[Product]]&amp;", "&amp;Referentie_Hernieuwbare_Energie_Totaal[[#Headers],[A5]],Database_Productkaarten[#All],47,FALSE),0)*Referentieberekening!L33),0))</f>
        <v>4.0107492465249211E-5</v>
      </c>
      <c r="I140" s="93">
        <f>(IF(Referentieberekening!C33="Nieuwe Situatie",(_xlfn.IFNA(VLOOKUP(Referentie_Hernieuwbare_Energie_Totaal[[#This Row],[Product]]&amp;", "&amp;Referentie_Hernieuwbare_Energie_Totaal[[#Headers],[B1]],Database_Productkaarten[#All],47,FALSE),0)*Referentieberekening!L33),0))</f>
        <v>0</v>
      </c>
      <c r="J140" s="93">
        <f>(IF(Referentieberekening!C33="Nieuwe Situatie",(SUM(Referentie_Hernieuwbare_Energie_Totaal[[#This Row],[A1]:[B1]],Referentie_Hernieuwbare_Energie_Totaal[[#This Row],[C1]:[D2]])*Referentieberekening!N33),0))</f>
        <v>0</v>
      </c>
      <c r="K140" s="93">
        <f>(IF(Referentieberekening!C33="Bestaande Situatie",(_xlfn.IFNA(VLOOKUP(Referentie_Hernieuwbare_Energie_Totaal[[#This Row],[Product]]&amp;", "&amp;Referentie_Hernieuwbare_Energie_Totaal[[#Headers],[C1]],Database_Productkaarten[#All],47,FALSE),0)*Referentieberekening!L33),0))</f>
        <v>0</v>
      </c>
      <c r="L140" s="93">
        <f>(IF(Referentieberekening!C33="Bestaande Situatie",(_xlfn.IFNA(VLOOKUP(Referentie_Hernieuwbare_Energie_Totaal[[#This Row],[Product]]&amp;", "&amp;Referentie_Hernieuwbare_Energie_Totaal[[#Headers],[C2]],Database_Productkaarten[#All],47,FALSE),0)*Referentieberekening!L33),0))</f>
        <v>0</v>
      </c>
      <c r="M140" s="93">
        <f>(IF(Referentieberekening!C33="Bestaande Situatie",(_xlfn.IFNA(VLOOKUP(Referentie_Hernieuwbare_Energie_Totaal[[#This Row],[Product]]&amp;", "&amp;Referentie_Hernieuwbare_Energie_Totaal[[#Headers],[C3]],Database_Productkaarten[#All],47,FALSE),0)*Referentieberekening!L33),0))</f>
        <v>0</v>
      </c>
      <c r="N140" s="93">
        <f>(IF(Referentieberekening!C33="Bestaande Situatie",(_xlfn.IFNA(VLOOKUP(Referentie_Hernieuwbare_Energie_Totaal[[#This Row],[Product]]&amp;", "&amp;Referentie_Hernieuwbare_Energie_Totaal[[#Headers],[C4]],Database_Productkaarten[#All],47,FALSE),0)*Referentieberekening!L33),0))</f>
        <v>0</v>
      </c>
      <c r="O140" s="93">
        <f>(IF(Referentieberekening!C33="Bestaande Situatie",(_xlfn.IFNA(VLOOKUP(Referentie_Hernieuwbare_Energie_Totaal[[#This Row],[Product]]&amp;", "&amp;Referentie_Hernieuwbare_Energie_Totaal[[#Headers],[D1]],Database_Productkaarten[#All],47,FALSE),0)*Referentieberekening!L33),0))</f>
        <v>0</v>
      </c>
      <c r="P140" s="94">
        <f>(IF(Referentieberekening!C33="Bestaande Situatie",_xlfn.IFNA(VLOOKUP(Referentie_Hernieuwbare_Energie_Totaal[[#This Row],[Product]]&amp;", "&amp;Referentie_Hernieuwbare_Energie_Totaal[[#Headers],[D2]],Database_Productkaarten[#All],47,FALSE),0)*Referentieberekening!L33,0))</f>
        <v>0</v>
      </c>
      <c r="Q140" s="72">
        <f>SUM(Referentie_Hernieuwbare_Energie_Totaal[[#This Row],[A1]:[D2]])</f>
        <v>4.0107492465249211E-5</v>
      </c>
    </row>
    <row r="141" spans="2:17" ht="18" x14ac:dyDescent="0.55000000000000004">
      <c r="B141" s="286" t="str">
        <f>Referentieberekening!B34</f>
        <v xml:space="preserve"> Zand verwerken in cunet, hoogte 1,00 m - overige verharding (vrijgekomen). </v>
      </c>
      <c r="C141" s="92" t="str">
        <f>Referentieberekening!F34</f>
        <v>Zand (hergebruik)</v>
      </c>
      <c r="D141" s="93">
        <f>(IF(Referentieberekening!C34="Nieuwe Situatie",(_xlfn.IFNA(VLOOKUP(Referentie_Hernieuwbare_Energie_Totaal[[#This Row],[Product]]&amp;", "&amp;Referentie_Hernieuwbare_Energie_Totaal[[#Headers],[A1]],Database_Productkaarten[#All],47,FALSE),0)*Referentieberekening!L34),0))</f>
        <v>0</v>
      </c>
      <c r="E141" s="93">
        <f>(IF(Referentieberekening!C34="Nieuwe Situatie",(_xlfn.IFNA(VLOOKUP(Referentie_Hernieuwbare_Energie_Totaal[[#This Row],[Product]]&amp;", "&amp;Referentie_Hernieuwbare_Energie_Totaal[[#Headers],[A2]],Database_Productkaarten[#All],47,FALSE),0)*Referentieberekening!L34),0))</f>
        <v>0</v>
      </c>
      <c r="F141" s="93">
        <f>(IF(Referentieberekening!C34="Nieuwe Situatie",(_xlfn.IFNA(VLOOKUP(Referentie_Hernieuwbare_Energie_Totaal[[#This Row],[Product]]&amp;", "&amp;Referentie_Hernieuwbare_Energie_Totaal[[#Headers],[A3]],Database_Productkaarten[#All],47,FALSE),0)*Referentieberekening!L34),0))</f>
        <v>0</v>
      </c>
      <c r="G141" s="93">
        <f>IF(Referentieberekening!P34=0,(IF(Referentieberekening!C34="Nieuwe Situatie",(_xlfn.IFNA(VLOOKUP(Referentie_Hernieuwbare_Energie_Totaal[[#This Row],[Product]]&amp;", "&amp;Referentie_Hernieuwbare_Energie_Totaal[[#Headers],[A4]],Database_Productkaarten[#All],47,FALSE),0)*Referentieberekening!L34),0)),(IF(Inschrijfberekening!C34="Nieuwe Situatie",_xlfn.IFNA(VLOOKUP(Inschrijfberekening!K66,Database_Transport[#All],45,FALSE)*(Inschrijfberekening!K34*Inschrijfberekening!N34),0),0)))</f>
        <v>0</v>
      </c>
      <c r="H141" s="93">
        <f>(IF(Referentieberekening!C34="Nieuwe Situatie",(_xlfn.IFNA(VLOOKUP(Referentie_Hernieuwbare_Energie_Totaal[[#This Row],[Product]]&amp;", "&amp;Referentie_Hernieuwbare_Energie_Totaal[[#Headers],[A5]],Database_Productkaarten[#All],47,FALSE),0)*Referentieberekening!L34),0))</f>
        <v>6.6845820775415354E-5</v>
      </c>
      <c r="I141" s="93">
        <f>(IF(Referentieberekening!C34="Nieuwe Situatie",(_xlfn.IFNA(VLOOKUP(Referentie_Hernieuwbare_Energie_Totaal[[#This Row],[Product]]&amp;", "&amp;Referentie_Hernieuwbare_Energie_Totaal[[#Headers],[B1]],Database_Productkaarten[#All],47,FALSE),0)*Referentieberekening!L34),0))</f>
        <v>0</v>
      </c>
      <c r="J141" s="93">
        <f>(IF(Referentieberekening!C34="Nieuwe Situatie",(SUM(Referentie_Hernieuwbare_Energie_Totaal[[#This Row],[A1]:[B1]],Referentie_Hernieuwbare_Energie_Totaal[[#This Row],[C1]:[D2]])*Referentieberekening!N34),0))</f>
        <v>0</v>
      </c>
      <c r="K141" s="93">
        <f>(IF(Referentieberekening!C34="Bestaande Situatie",(_xlfn.IFNA(VLOOKUP(Referentie_Hernieuwbare_Energie_Totaal[[#This Row],[Product]]&amp;", "&amp;Referentie_Hernieuwbare_Energie_Totaal[[#Headers],[C1]],Database_Productkaarten[#All],47,FALSE),0)*Referentieberekening!L34),0))</f>
        <v>0</v>
      </c>
      <c r="L141" s="93">
        <f>(IF(Referentieberekening!C34="Bestaande Situatie",(_xlfn.IFNA(VLOOKUP(Referentie_Hernieuwbare_Energie_Totaal[[#This Row],[Product]]&amp;", "&amp;Referentie_Hernieuwbare_Energie_Totaal[[#Headers],[C2]],Database_Productkaarten[#All],47,FALSE),0)*Referentieberekening!L34),0))</f>
        <v>0</v>
      </c>
      <c r="M141" s="93">
        <f>(IF(Referentieberekening!C34="Bestaande Situatie",(_xlfn.IFNA(VLOOKUP(Referentie_Hernieuwbare_Energie_Totaal[[#This Row],[Product]]&amp;", "&amp;Referentie_Hernieuwbare_Energie_Totaal[[#Headers],[C3]],Database_Productkaarten[#All],47,FALSE),0)*Referentieberekening!L34),0))</f>
        <v>0</v>
      </c>
      <c r="N141" s="93">
        <f>(IF(Referentieberekening!C34="Bestaande Situatie",(_xlfn.IFNA(VLOOKUP(Referentie_Hernieuwbare_Energie_Totaal[[#This Row],[Product]]&amp;", "&amp;Referentie_Hernieuwbare_Energie_Totaal[[#Headers],[C4]],Database_Productkaarten[#All],47,FALSE),0)*Referentieberekening!L34),0))</f>
        <v>0</v>
      </c>
      <c r="O141" s="93">
        <f>(IF(Referentieberekening!C34="Bestaande Situatie",(_xlfn.IFNA(VLOOKUP(Referentie_Hernieuwbare_Energie_Totaal[[#This Row],[Product]]&amp;", "&amp;Referentie_Hernieuwbare_Energie_Totaal[[#Headers],[D1]],Database_Productkaarten[#All],47,FALSE),0)*Referentieberekening!L34),0))</f>
        <v>0</v>
      </c>
      <c r="P141" s="94">
        <f>(IF(Referentieberekening!C34="Bestaande Situatie",_xlfn.IFNA(VLOOKUP(Referentie_Hernieuwbare_Energie_Totaal[[#This Row],[Product]]&amp;", "&amp;Referentie_Hernieuwbare_Energie_Totaal[[#Headers],[D2]],Database_Productkaarten[#All],47,FALSE),0)*Referentieberekening!L34,0))</f>
        <v>0</v>
      </c>
      <c r="Q141" s="72">
        <f>SUM(Referentie_Hernieuwbare_Energie_Totaal[[#This Row],[A1]:[D2]])</f>
        <v>6.6845820775415354E-5</v>
      </c>
    </row>
    <row r="142" spans="2:17" ht="18.5" thickBot="1" x14ac:dyDescent="0.6">
      <c r="B142" s="286" t="str">
        <f>Referentieberekening!B35</f>
        <v xml:space="preserve"> Aanvullen sleuf ten behoeve van hoofdriolering. </v>
      </c>
      <c r="C142" s="92" t="str">
        <f>Referentieberekening!F35</f>
        <v>Zand (hergebruik)</v>
      </c>
      <c r="D142" s="93">
        <f>(IF(Referentieberekening!C35="Nieuwe Situatie",(_xlfn.IFNA(VLOOKUP(Referentie_Hernieuwbare_Energie_Totaal[[#This Row],[Product]]&amp;", "&amp;Referentie_Hernieuwbare_Energie_Totaal[[#Headers],[A1]],Database_Productkaarten[#All],47,FALSE),0)*Referentieberekening!L35),0))</f>
        <v>0</v>
      </c>
      <c r="E142" s="93">
        <f>(IF(Referentieberekening!C35="Nieuwe Situatie",(_xlfn.IFNA(VLOOKUP(Referentie_Hernieuwbare_Energie_Totaal[[#This Row],[Product]]&amp;", "&amp;Referentie_Hernieuwbare_Energie_Totaal[[#Headers],[A2]],Database_Productkaarten[#All],47,FALSE),0)*Referentieberekening!L35),0))</f>
        <v>0</v>
      </c>
      <c r="F142" s="93">
        <f>(IF(Referentieberekening!C35="Nieuwe Situatie",(_xlfn.IFNA(VLOOKUP(Referentie_Hernieuwbare_Energie_Totaal[[#This Row],[Product]]&amp;", "&amp;Referentie_Hernieuwbare_Energie_Totaal[[#Headers],[A3]],Database_Productkaarten[#All],47,FALSE),0)*Referentieberekening!L35),0))</f>
        <v>0</v>
      </c>
      <c r="G142" s="93">
        <f>IF(Referentieberekening!P35=0,(IF(Referentieberekening!C35="Nieuwe Situatie",(_xlfn.IFNA(VLOOKUP(Referentie_Hernieuwbare_Energie_Totaal[[#This Row],[Product]]&amp;", "&amp;Referentie_Hernieuwbare_Energie_Totaal[[#Headers],[A4]],Database_Productkaarten[#All],47,FALSE),0)*Referentieberekening!L35),0)),(IF(Inschrijfberekening!C35="Nieuwe Situatie",_xlfn.IFNA(VLOOKUP(Inschrijfberekening!K67,Database_Transport[#All],45,FALSE)*(Inschrijfberekening!K35*Inschrijfberekening!N35),0),0)))</f>
        <v>0</v>
      </c>
      <c r="H142" s="93">
        <f>(IF(Referentieberekening!C35="Nieuwe Situatie",(_xlfn.IFNA(VLOOKUP(Referentie_Hernieuwbare_Energie_Totaal[[#This Row],[Product]]&amp;", "&amp;Referentie_Hernieuwbare_Energie_Totaal[[#Headers],[A5]],Database_Productkaarten[#All],47,FALSE),0)*Referentieberekening!L35),0))</f>
        <v>1.0427948040964794E-4</v>
      </c>
      <c r="I142" s="93">
        <f>(IF(Referentieberekening!C35="Nieuwe Situatie",(_xlfn.IFNA(VLOOKUP(Referentie_Hernieuwbare_Energie_Totaal[[#This Row],[Product]]&amp;", "&amp;Referentie_Hernieuwbare_Energie_Totaal[[#Headers],[B1]],Database_Productkaarten[#All],47,FALSE),0)*Referentieberekening!L35),0))</f>
        <v>0</v>
      </c>
      <c r="J142" s="93">
        <f>(IF(Referentieberekening!C35="Nieuwe Situatie",(SUM(Referentie_Hernieuwbare_Energie_Totaal[[#This Row],[A1]:[B1]],Referentie_Hernieuwbare_Energie_Totaal[[#This Row],[C1]:[D2]])*Referentieberekening!N35),0))</f>
        <v>0</v>
      </c>
      <c r="K142" s="93">
        <f>(IF(Referentieberekening!C35="Bestaande Situatie",(_xlfn.IFNA(VLOOKUP(Referentie_Hernieuwbare_Energie_Totaal[[#This Row],[Product]]&amp;", "&amp;Referentie_Hernieuwbare_Energie_Totaal[[#Headers],[C1]],Database_Productkaarten[#All],47,FALSE),0)*Referentieberekening!L35),0))</f>
        <v>0</v>
      </c>
      <c r="L142" s="93">
        <f>(IF(Referentieberekening!C35="Bestaande Situatie",(_xlfn.IFNA(VLOOKUP(Referentie_Hernieuwbare_Energie_Totaal[[#This Row],[Product]]&amp;", "&amp;Referentie_Hernieuwbare_Energie_Totaal[[#Headers],[C2]],Database_Productkaarten[#All],47,FALSE),0)*Referentieberekening!L35),0))</f>
        <v>0</v>
      </c>
      <c r="M142" s="93">
        <f>(IF(Referentieberekening!C35="Bestaande Situatie",(_xlfn.IFNA(VLOOKUP(Referentie_Hernieuwbare_Energie_Totaal[[#This Row],[Product]]&amp;", "&amp;Referentie_Hernieuwbare_Energie_Totaal[[#Headers],[C3]],Database_Productkaarten[#All],47,FALSE),0)*Referentieberekening!L35),0))</f>
        <v>0</v>
      </c>
      <c r="N142" s="93">
        <f>(IF(Referentieberekening!C35="Bestaande Situatie",(_xlfn.IFNA(VLOOKUP(Referentie_Hernieuwbare_Energie_Totaal[[#This Row],[Product]]&amp;", "&amp;Referentie_Hernieuwbare_Energie_Totaal[[#Headers],[C4]],Database_Productkaarten[#All],47,FALSE),0)*Referentieberekening!L35),0))</f>
        <v>0</v>
      </c>
      <c r="O142" s="93">
        <f>(IF(Referentieberekening!C35="Bestaande Situatie",(_xlfn.IFNA(VLOOKUP(Referentie_Hernieuwbare_Energie_Totaal[[#This Row],[Product]]&amp;", "&amp;Referentie_Hernieuwbare_Energie_Totaal[[#Headers],[D1]],Database_Productkaarten[#All],47,FALSE),0)*Referentieberekening!L35),0))</f>
        <v>0</v>
      </c>
      <c r="P142" s="94">
        <f>(IF(Referentieberekening!C35="Bestaande Situatie",_xlfn.IFNA(VLOOKUP(Referentie_Hernieuwbare_Energie_Totaal[[#This Row],[Product]]&amp;", "&amp;Referentie_Hernieuwbare_Energie_Totaal[[#Headers],[D2]],Database_Productkaarten[#All],47,FALSE),0)*Referentieberekening!L35,0))</f>
        <v>0</v>
      </c>
      <c r="Q142" s="72">
        <f>SUM(Referentie_Hernieuwbare_Energie_Totaal[[#This Row],[A1]:[D2]])</f>
        <v>1.0427948040964794E-4</v>
      </c>
    </row>
    <row r="143" spans="2:17" ht="18.5" thickTop="1" x14ac:dyDescent="0.55000000000000004">
      <c r="B143" s="68" t="s">
        <v>16</v>
      </c>
      <c r="C143" s="69"/>
      <c r="D143" s="213">
        <f>SUBTOTAL(109,Referentie_Hernieuwbare_Energie_Totaal[A1])</f>
        <v>48068.510342230336</v>
      </c>
      <c r="E143" s="213">
        <f>SUBTOTAL(109,Referentie_Hernieuwbare_Energie_Totaal[A2])</f>
        <v>11291.9565429707</v>
      </c>
      <c r="F143" s="213">
        <f>SUBTOTAL(109,Referentie_Hernieuwbare_Energie_Totaal[A3])</f>
        <v>14188.600834770854</v>
      </c>
      <c r="G143" s="213">
        <f>SUBTOTAL(109,Referentie_Hernieuwbare_Energie_Totaal[A4])</f>
        <v>16681.254392711999</v>
      </c>
      <c r="H143" s="213">
        <f>SUBTOTAL(109,Referentie_Hernieuwbare_Energie_Totaal[A5])</f>
        <v>237.96566469277096</v>
      </c>
      <c r="I143" s="213">
        <f>SUBTOTAL(109,Referentie_Hernieuwbare_Energie_Totaal[B1])</f>
        <v>0</v>
      </c>
      <c r="J143" s="213">
        <f>SUBTOTAL(109,Referentie_Hernieuwbare_Energie_Totaal[B4])</f>
        <v>0</v>
      </c>
      <c r="K143" s="213">
        <f>SUBTOTAL(109,Referentie_Hernieuwbare_Energie_Totaal[C1])</f>
        <v>8.5002015153061787</v>
      </c>
      <c r="L143" s="213">
        <f>SUBTOTAL(109,Referentie_Hernieuwbare_Energie_Totaal[C2])</f>
        <v>20834.166671999999</v>
      </c>
      <c r="M143" s="213">
        <f>SUBTOTAL(109,Referentie_Hernieuwbare_Energie_Totaal[C3])</f>
        <v>5.2531899055350006</v>
      </c>
      <c r="N143" s="213">
        <f>SUBTOTAL(109,Referentie_Hernieuwbare_Energie_Totaal[C4])</f>
        <v>0</v>
      </c>
      <c r="O143" s="213">
        <f>SUBTOTAL(109,Referentie_Hernieuwbare_Energie_Totaal[D1])</f>
        <v>-384.76858994339523</v>
      </c>
      <c r="P143" s="214">
        <f>SUBTOTAL(109,Referentie_Hernieuwbare_Energie_Totaal[D2])</f>
        <v>-98.269399846872957</v>
      </c>
      <c r="Q143" s="215">
        <f>SUBTOTAL(109,Referentie_Hernieuwbare_Energie_Totaal[Totaal])</f>
        <v>110833.1698510072</v>
      </c>
    </row>
    <row r="144" spans="2:17" ht="18" x14ac:dyDescent="0.55000000000000004">
      <c r="B144" s="17"/>
      <c r="C144" s="17"/>
      <c r="D144" s="17"/>
      <c r="E144" s="17"/>
      <c r="F144" s="17"/>
      <c r="G144" s="17"/>
      <c r="H144" s="17"/>
      <c r="I144" s="17"/>
      <c r="J144" s="17"/>
      <c r="K144" s="17"/>
      <c r="L144" s="17"/>
      <c r="M144" s="17"/>
      <c r="N144" s="17"/>
      <c r="O144" s="17"/>
      <c r="P144" s="17"/>
    </row>
    <row r="145" spans="2:17" ht="18" x14ac:dyDescent="0.55000000000000004">
      <c r="B145" s="17"/>
      <c r="C145" s="17"/>
      <c r="D145" s="17"/>
      <c r="E145" s="17"/>
      <c r="F145" s="17"/>
      <c r="G145" s="17"/>
      <c r="H145" s="17"/>
      <c r="I145" s="17"/>
      <c r="J145" s="17"/>
      <c r="K145" s="17"/>
      <c r="L145" s="17"/>
      <c r="M145" s="17"/>
      <c r="N145" s="17"/>
      <c r="O145" s="17"/>
      <c r="P145" s="17"/>
    </row>
    <row r="146" spans="2:17" ht="22" x14ac:dyDescent="0.65">
      <c r="B146" s="134" t="s">
        <v>366</v>
      </c>
      <c r="C146" s="134"/>
      <c r="D146" s="134"/>
      <c r="E146" s="17"/>
      <c r="F146" s="17"/>
      <c r="G146" s="17"/>
      <c r="H146" s="17"/>
      <c r="I146" s="17"/>
      <c r="J146" s="17"/>
      <c r="K146" s="17"/>
      <c r="L146" s="17"/>
      <c r="M146" s="17"/>
      <c r="N146" s="17"/>
      <c r="O146" s="17"/>
      <c r="P146" s="17"/>
    </row>
    <row r="147" spans="2:17" ht="18.5" thickBot="1" x14ac:dyDescent="0.6">
      <c r="B147" s="65" t="s">
        <v>55</v>
      </c>
      <c r="C147" s="66" t="s">
        <v>4</v>
      </c>
      <c r="D147" s="79" t="s">
        <v>19</v>
      </c>
      <c r="E147" s="80" t="s">
        <v>20</v>
      </c>
      <c r="F147" s="81" t="s">
        <v>21</v>
      </c>
      <c r="G147" s="82" t="s">
        <v>22</v>
      </c>
      <c r="H147" s="83" t="s">
        <v>23</v>
      </c>
      <c r="I147" s="84" t="s">
        <v>24</v>
      </c>
      <c r="J147" s="85" t="s">
        <v>50</v>
      </c>
      <c r="K147" s="86" t="s">
        <v>25</v>
      </c>
      <c r="L147" s="87" t="s">
        <v>26</v>
      </c>
      <c r="M147" s="88" t="s">
        <v>27</v>
      </c>
      <c r="N147" s="89" t="s">
        <v>28</v>
      </c>
      <c r="O147" s="90" t="s">
        <v>51</v>
      </c>
      <c r="P147" s="91" t="s">
        <v>52</v>
      </c>
      <c r="Q147" s="192" t="s">
        <v>16</v>
      </c>
    </row>
    <row r="148" spans="2:17" ht="18.5" thickTop="1" x14ac:dyDescent="0.55000000000000004">
      <c r="B148" s="286" t="str">
        <f>Referentieberekening!B5</f>
        <v xml:space="preserve"> Opbreken betonstraatstenen. </v>
      </c>
      <c r="C148" s="92" t="str">
        <f>Referentieberekening!F5</f>
        <v>Betonstraatsteen 210x105x80</v>
      </c>
      <c r="D148" s="93">
        <f>(IF(Referentieberekening!C5="Nieuwe Situatie",(_xlfn.IFNA(VLOOKUP(Referentie_Fossiele_Energie_Totaal[[#This Row],[Product]]&amp;", "&amp;Referentie_Fossiele_Energie_Totaal[[#Headers],[A1]],Database_Productkaarten[#All],50,FALSE),0)*Referentieberekening!L5),0))</f>
        <v>0</v>
      </c>
      <c r="E148" s="93">
        <f>(IF(Referentieberekening!C5="Nieuwe Situatie",(_xlfn.IFNA(VLOOKUP(Referentie_Fossiele_Energie_Totaal[[#This Row],[Product]]&amp;", "&amp;Referentie_Fossiele_Energie_Totaal[[#Headers],[A2]],Database_Productkaarten[#All],50,FALSE),0)*Referentieberekening!L5),0))</f>
        <v>0</v>
      </c>
      <c r="F148" s="93">
        <f>(IF(Referentieberekening!C5="Nieuwe Situatie",(_xlfn.IFNA(VLOOKUP(Referentie_Fossiele_Energie_Totaal[[#This Row],[Product]]&amp;", "&amp;Referentie_Fossiele_Energie_Totaal[[#Headers],[A3]],Database_Productkaarten[#All],50,FALSE),0)*Referentieberekening!L5),0))</f>
        <v>0</v>
      </c>
      <c r="G148" s="93">
        <f>IF(Referentieberekening!P5=0,(IF(Referentieberekening!C5="Nieuwe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f>
        <v>0</v>
      </c>
      <c r="H148" s="93">
        <f>(IF(Referentieberekening!C5="Nieuwe Situatie",(_xlfn.IFNA(VLOOKUP(Referentie_Fossiele_Energie_Totaal[[#This Row],[Product]]&amp;", "&amp;Referentie_Fossiele_Energie_Totaal[[#Headers],[A5]],Database_Productkaarten[#All],50,FALSE),0)*Referentieberekening!L5),0))</f>
        <v>0</v>
      </c>
      <c r="I148" s="93">
        <f>(IF(Referentieberekening!C5="Nieuwe Situatie",(_xlfn.IFNA(VLOOKUP(Referentie_Fossiele_Energie_Totaal[[#This Row],[Product]]&amp;", "&amp;Referentie_Fossiele_Energie_Totaal[[#Headers],[B1]],Database_Productkaarten[#All],50,FALSE),0)*Referentieberekening!L5),0))</f>
        <v>0</v>
      </c>
      <c r="J148" s="93">
        <f>(IF(Referentieberekening!C5="Nieuwe Situatie",(SUM(Referentie_Fossiele_Energie_Totaal[[#This Row],[A1]:[B1]],Referentie_Fossiele_Energie_Totaal[[#This Row],[C1]:[D2]])*Referentieberekening!N5),0))</f>
        <v>0</v>
      </c>
      <c r="K148" s="93">
        <f>(IF(Referentieberekening!C5="Bestaande Situatie",(_xlfn.IFNA(VLOOKUP(Referentie_Fossiele_Energie_Totaal[[#This Row],[Product]]&amp;", "&amp;Referentie_Fossiele_Energie_Totaal[[#Headers],[C1]],Database_Productkaarten[#All],50,FALSE),0)*Referentieberekening!L5),0))</f>
        <v>0</v>
      </c>
      <c r="L148" s="93">
        <f>(IF(Referentieberekening!C5="Bestaande Situatie",(_xlfn.IFNA(VLOOKUP(Referentie_Fossiele_Energie_Totaal[[#This Row],[Product]]&amp;", "&amp;Referentie_Fossiele_Energie_Totaal[[#Headers],[C2]],Database_Productkaarten[#All],50,FALSE),0)*Referentieberekening!L5),0))</f>
        <v>0</v>
      </c>
      <c r="M148" s="93">
        <f>(IF(Referentieberekening!C5="Bestaande Situatie",(_xlfn.IFNA(VLOOKUP(Referentie_Fossiele_Energie_Totaal[[#This Row],[Product]]&amp;", "&amp;Referentie_Fossiele_Energie_Totaal[[#Headers],[C3]],Database_Productkaarten[#All],50,FALSE),0)*Referentieberekening!L5),0))</f>
        <v>0</v>
      </c>
      <c r="N148" s="93">
        <f>(IF(Referentieberekening!C5="Bestaande Situatie",(_xlfn.IFNA(VLOOKUP(Referentie_Fossiele_Energie_Totaal[[#This Row],[Product]]&amp;", "&amp;Referentie_Fossiele_Energie_Totaal[[#Headers],[C4]],Database_Productkaarten[#All],50,FALSE),0)*Referentieberekening!L5),0))</f>
        <v>0</v>
      </c>
      <c r="O148" s="93">
        <f>(IF(Referentieberekening!C5="Bestaande Situatie",(_xlfn.IFNA(VLOOKUP(Referentie_Fossiele_Energie_Totaal[[#This Row],[Product]]&amp;", "&amp;Referentie_Fossiele_Energie_Totaal[[#Headers],[D1]],Database_Productkaarten[#All],50,FALSE),0)*Referentieberekening!L5),0))</f>
        <v>0</v>
      </c>
      <c r="P148" s="94">
        <f>(IF(Referentieberekening!C5="Bestaande Situatie",_xlfn.IFNA(VLOOKUP(Referentie_Fossiele_Energie_Totaal[[#This Row],[Product]]&amp;", "&amp;Referentie_Fossiele_Energie_Totaal[[#Headers],[D2]],Database_Productkaarten[#All],50,FALSE),0)*Referentieberekening!L5,0))</f>
        <v>0</v>
      </c>
      <c r="Q148" s="72">
        <f>SUM(Referentie_Fossiele_Energie_Totaal[[#This Row],[A1]:[D2]])</f>
        <v>0</v>
      </c>
    </row>
    <row r="149" spans="2:17" ht="18" x14ac:dyDescent="0.55000000000000004">
      <c r="B149" s="286" t="str">
        <f>Referentieberekening!B6</f>
        <v>Aanbrengen band 280x300x260 mm, betonrug.</v>
      </c>
      <c r="C149" s="92" t="str">
        <f>Referentieberekening!F6</f>
        <v>Trottoirband 280x300</v>
      </c>
      <c r="D149" s="93">
        <f>(IF(Referentieberekening!C6="Nieuwe Situatie",(_xlfn.IFNA(VLOOKUP(Referentie_Fossiele_Energie_Totaal[[#This Row],[Product]]&amp;", "&amp;Referentie_Fossiele_Energie_Totaal[[#Headers],[A1]],Database_Productkaarten[#All],50,FALSE),0)*Referentieberekening!L6),0))</f>
        <v>0</v>
      </c>
      <c r="E149" s="93">
        <f>(IF(Referentieberekening!C6="Nieuwe Situatie",(_xlfn.IFNA(VLOOKUP(Referentie_Fossiele_Energie_Totaal[[#This Row],[Product]]&amp;", "&amp;Referentie_Fossiele_Energie_Totaal[[#Headers],[A2]],Database_Productkaarten[#All],50,FALSE),0)*Referentieberekening!L6),0))</f>
        <v>0</v>
      </c>
      <c r="F149" s="93">
        <f>(IF(Referentieberekening!C6="Nieuwe Situatie",(_xlfn.IFNA(VLOOKUP(Referentie_Fossiele_Energie_Totaal[[#This Row],[Product]]&amp;", "&amp;Referentie_Fossiele_Energie_Totaal[[#Headers],[A3]],Database_Productkaarten[#All],50,FALSE),0)*Referentieberekening!L6),0))</f>
        <v>0</v>
      </c>
      <c r="G149" s="93">
        <f>IF(Referentieberekening!P6=0,(IF(Referentieberekening!C6="Nieuwe Situatie",(_xlfn.IFNA(VLOOKUP(Referentie_Fossiele_Energie_Totaal[[#This Row],[Product]]&amp;", "&amp;Referentie_Fossiele_Energie_Totaal[[#Headers],[A4]],Database_Productkaarten[#All],50,FALSE),0)*Referentieberekening!L6),0)),(IF(Inschrijfberekening!C7="Nieuwe Situatie",_xlfn.IFNA(VLOOKUP(Inschrijfberekening!K39,Database_Transport[#All],45,FALSE)*(Inschrijfberekening!K7*Inschrijfberekening!N7),0),0)))</f>
        <v>0</v>
      </c>
      <c r="H149" s="93">
        <f>(IF(Referentieberekening!C6="Nieuwe Situatie",(_xlfn.IFNA(VLOOKUP(Referentie_Fossiele_Energie_Totaal[[#This Row],[Product]]&amp;", "&amp;Referentie_Fossiele_Energie_Totaal[[#Headers],[A5]],Database_Productkaarten[#All],50,FALSE),0)*Referentieberekening!L6),0))</f>
        <v>0</v>
      </c>
      <c r="I149" s="93">
        <f>(IF(Referentieberekening!C6="Nieuwe Situatie",(_xlfn.IFNA(VLOOKUP(Referentie_Fossiele_Energie_Totaal[[#This Row],[Product]]&amp;", "&amp;Referentie_Fossiele_Energie_Totaal[[#Headers],[B1]],Database_Productkaarten[#All],50,FALSE),0)*Referentieberekening!L6),0))</f>
        <v>0</v>
      </c>
      <c r="J149" s="93">
        <f>(IF(Referentieberekening!C6="Nieuwe Situatie",(SUM(Referentie_Fossiele_Energie_Totaal[[#This Row],[A1]:[B1]],Referentie_Fossiele_Energie_Totaal[[#This Row],[C1]:[D2]])*Referentieberekening!N6),0))</f>
        <v>0</v>
      </c>
      <c r="K149" s="93">
        <f>(IF(Referentieberekening!C6="Bestaande Situatie",(_xlfn.IFNA(VLOOKUP(Referentie_Fossiele_Energie_Totaal[[#This Row],[Product]]&amp;", "&amp;Referentie_Fossiele_Energie_Totaal[[#Headers],[C1]],Database_Productkaarten[#All],50,FALSE),0)*Referentieberekening!L6),0))</f>
        <v>0</v>
      </c>
      <c r="L149" s="93">
        <f>(IF(Referentieberekening!C6="Bestaande Situatie",(_xlfn.IFNA(VLOOKUP(Referentie_Fossiele_Energie_Totaal[[#This Row],[Product]]&amp;", "&amp;Referentie_Fossiele_Energie_Totaal[[#Headers],[C2]],Database_Productkaarten[#All],50,FALSE),0)*Referentieberekening!L6),0))</f>
        <v>0</v>
      </c>
      <c r="M149" s="93">
        <f>(IF(Referentieberekening!C6="Bestaande Situatie",(_xlfn.IFNA(VLOOKUP(Referentie_Fossiele_Energie_Totaal[[#This Row],[Product]]&amp;", "&amp;Referentie_Fossiele_Energie_Totaal[[#Headers],[C3]],Database_Productkaarten[#All],50,FALSE),0)*Referentieberekening!L6),0))</f>
        <v>0</v>
      </c>
      <c r="N149" s="93">
        <f>(IF(Referentieberekening!C6="Bestaande Situatie",(_xlfn.IFNA(VLOOKUP(Referentie_Fossiele_Energie_Totaal[[#This Row],[Product]]&amp;", "&amp;Referentie_Fossiele_Energie_Totaal[[#Headers],[C4]],Database_Productkaarten[#All],50,FALSE),0)*Referentieberekening!L6),0))</f>
        <v>0</v>
      </c>
      <c r="O149" s="93">
        <f>(IF(Referentieberekening!C6="Bestaande Situatie",(_xlfn.IFNA(VLOOKUP(Referentie_Fossiele_Energie_Totaal[[#This Row],[Product]]&amp;", "&amp;Referentie_Fossiele_Energie_Totaal[[#Headers],[D1]],Database_Productkaarten[#All],50,FALSE),0)*Referentieberekening!L6),0))</f>
        <v>0</v>
      </c>
      <c r="P149" s="94">
        <f>(IF(Referentieberekening!C6="Bestaande Situatie",_xlfn.IFNA(VLOOKUP(Referentie_Fossiele_Energie_Totaal[[#This Row],[Product]]&amp;", "&amp;Referentie_Fossiele_Energie_Totaal[[#Headers],[D2]],Database_Productkaarten[#All],50,FALSE),0)*Referentieberekening!L6,0))</f>
        <v>0</v>
      </c>
      <c r="Q149" s="72">
        <f>SUM(Referentie_Fossiele_Energie_Totaal[[#This Row],[A1]:[D2]])</f>
        <v>0</v>
      </c>
    </row>
    <row r="150" spans="2:17" ht="18" x14ac:dyDescent="0.55000000000000004">
      <c r="B150" s="286" t="str">
        <f>Referentieberekening!B7</f>
        <v>Aanbrengen opsluitband 100x200mm.</v>
      </c>
      <c r="C150" s="92" t="str">
        <f>Referentieberekening!F7</f>
        <v>Opsluitband 100x200</v>
      </c>
      <c r="D150" s="93">
        <f>(IF(Referentieberekening!C7="Nieuwe Situatie",(_xlfn.IFNA(VLOOKUP(Referentie_Fossiele_Energie_Totaal[[#This Row],[Product]]&amp;", "&amp;Referentie_Fossiele_Energie_Totaal[[#Headers],[A1]],Database_Productkaarten[#All],50,FALSE),0)*Referentieberekening!L7),0))</f>
        <v>0</v>
      </c>
      <c r="E150" s="93">
        <f>(IF(Referentieberekening!C7="Nieuwe Situatie",(_xlfn.IFNA(VLOOKUP(Referentie_Fossiele_Energie_Totaal[[#This Row],[Product]]&amp;", "&amp;Referentie_Fossiele_Energie_Totaal[[#Headers],[A2]],Database_Productkaarten[#All],50,FALSE),0)*Referentieberekening!L7),0))</f>
        <v>0</v>
      </c>
      <c r="F150" s="93">
        <f>(IF(Referentieberekening!C7="Nieuwe Situatie",(_xlfn.IFNA(VLOOKUP(Referentie_Fossiele_Energie_Totaal[[#This Row],[Product]]&amp;", "&amp;Referentie_Fossiele_Energie_Totaal[[#Headers],[A3]],Database_Productkaarten[#All],50,FALSE),0)*Referentieberekening!L7),0))</f>
        <v>0</v>
      </c>
      <c r="G150" s="93">
        <f>IF(Referentieberekening!P7=0,(IF(Referentieberekening!C7="Nieuwe Situatie",(_xlfn.IFNA(VLOOKUP(Referentie_Fossiele_Energie_Totaal[[#This Row],[Product]]&amp;", "&amp;Referentie_Fossiele_Energie_Totaal[[#Headers],[A4]],Database_Productkaarten[#All],50,FALSE),0)*Referentieberekening!L7),0)),(IF(Inschrijfberekening!C8="Nieuwe Situatie",_xlfn.IFNA(VLOOKUP(Inschrijfberekening!K40,Database_Transport[#All],45,FALSE)*(Inschrijfberekening!K8*Inschrijfberekening!N8),0),0)))</f>
        <v>0</v>
      </c>
      <c r="H150" s="93">
        <f>(IF(Referentieberekening!C7="Nieuwe Situatie",(_xlfn.IFNA(VLOOKUP(Referentie_Fossiele_Energie_Totaal[[#This Row],[Product]]&amp;", "&amp;Referentie_Fossiele_Energie_Totaal[[#Headers],[A5]],Database_Productkaarten[#All],50,FALSE),0)*Referentieberekening!L7),0))</f>
        <v>0</v>
      </c>
      <c r="I150" s="93">
        <f>(IF(Referentieberekening!C7="Nieuwe Situatie",(_xlfn.IFNA(VLOOKUP(Referentie_Fossiele_Energie_Totaal[[#This Row],[Product]]&amp;", "&amp;Referentie_Fossiele_Energie_Totaal[[#Headers],[B1]],Database_Productkaarten[#All],50,FALSE),0)*Referentieberekening!L7),0))</f>
        <v>0</v>
      </c>
      <c r="J150" s="93">
        <f>(IF(Referentieberekening!C7="Nieuwe Situatie",(SUM(Referentie_Fossiele_Energie_Totaal[[#This Row],[A1]:[B1]],Referentie_Fossiele_Energie_Totaal[[#This Row],[C1]:[D2]])*Referentieberekening!N7),0))</f>
        <v>0</v>
      </c>
      <c r="K150" s="93">
        <f>(IF(Referentieberekening!C7="Bestaande Situatie",(_xlfn.IFNA(VLOOKUP(Referentie_Fossiele_Energie_Totaal[[#This Row],[Product]]&amp;", "&amp;Referentie_Fossiele_Energie_Totaal[[#Headers],[C1]],Database_Productkaarten[#All],50,FALSE),0)*Referentieberekening!L7),0))</f>
        <v>0</v>
      </c>
      <c r="L150" s="93">
        <f>(IF(Referentieberekening!C7="Bestaande Situatie",(_xlfn.IFNA(VLOOKUP(Referentie_Fossiele_Energie_Totaal[[#This Row],[Product]]&amp;", "&amp;Referentie_Fossiele_Energie_Totaal[[#Headers],[C2]],Database_Productkaarten[#All],50,FALSE),0)*Referentieberekening!L7),0))</f>
        <v>0</v>
      </c>
      <c r="M150" s="93">
        <f>(IF(Referentieberekening!C7="Bestaande Situatie",(_xlfn.IFNA(VLOOKUP(Referentie_Fossiele_Energie_Totaal[[#This Row],[Product]]&amp;", "&amp;Referentie_Fossiele_Energie_Totaal[[#Headers],[C3]],Database_Productkaarten[#All],50,FALSE),0)*Referentieberekening!L7),0))</f>
        <v>0</v>
      </c>
      <c r="N150" s="93">
        <f>(IF(Referentieberekening!C7="Bestaande Situatie",(_xlfn.IFNA(VLOOKUP(Referentie_Fossiele_Energie_Totaal[[#This Row],[Product]]&amp;", "&amp;Referentie_Fossiele_Energie_Totaal[[#Headers],[C4]],Database_Productkaarten[#All],50,FALSE),0)*Referentieberekening!L7),0))</f>
        <v>0</v>
      </c>
      <c r="O150" s="93">
        <f>(IF(Referentieberekening!C7="Bestaande Situatie",(_xlfn.IFNA(VLOOKUP(Referentie_Fossiele_Energie_Totaal[[#This Row],[Product]]&amp;", "&amp;Referentie_Fossiele_Energie_Totaal[[#Headers],[D1]],Database_Productkaarten[#All],50,FALSE),0)*Referentieberekening!L7),0))</f>
        <v>0</v>
      </c>
      <c r="P150" s="94">
        <f>(IF(Referentieberekening!C7="Bestaande Situatie",_xlfn.IFNA(VLOOKUP(Referentie_Fossiele_Energie_Totaal[[#This Row],[Product]]&amp;", "&amp;Referentie_Fossiele_Energie_Totaal[[#Headers],[D2]],Database_Productkaarten[#All],50,FALSE),0)*Referentieberekening!L7,0))</f>
        <v>0</v>
      </c>
      <c r="Q150" s="72">
        <f>SUM(Referentie_Fossiele_Energie_Totaal[[#This Row],[A1]:[D2]])</f>
        <v>0</v>
      </c>
    </row>
    <row r="151" spans="2:17" ht="18" x14ac:dyDescent="0.55000000000000004">
      <c r="B151" s="286" t="str">
        <f>Referentieberekening!B8</f>
        <v>Aanbrengen straatlaag van straatzand dik 50 mm.</v>
      </c>
      <c r="C151" s="92" t="str">
        <f>Referentieberekening!F8</f>
        <v>Straatzand</v>
      </c>
      <c r="D151" s="93">
        <f>(IF(Referentieberekening!C8="Nieuwe Situatie",(_xlfn.IFNA(VLOOKUP(Referentie_Fossiele_Energie_Totaal[[#This Row],[Product]]&amp;", "&amp;Referentie_Fossiele_Energie_Totaal[[#Headers],[A1]],Database_Productkaarten[#All],50,FALSE),0)*Referentieberekening!L8),0))</f>
        <v>0</v>
      </c>
      <c r="E151" s="93">
        <f>(IF(Referentieberekening!C8="Nieuwe Situatie",(_xlfn.IFNA(VLOOKUP(Referentie_Fossiele_Energie_Totaal[[#This Row],[Product]]&amp;", "&amp;Referentie_Fossiele_Energie_Totaal[[#Headers],[A2]],Database_Productkaarten[#All],50,FALSE),0)*Referentieberekening!L8),0))</f>
        <v>0</v>
      </c>
      <c r="F151" s="93">
        <f>(IF(Referentieberekening!C8="Nieuwe Situatie",(_xlfn.IFNA(VLOOKUP(Referentie_Fossiele_Energie_Totaal[[#This Row],[Product]]&amp;", "&amp;Referentie_Fossiele_Energie_Totaal[[#Headers],[A3]],Database_Productkaarten[#All],50,FALSE),0)*Referentieberekening!L8),0))</f>
        <v>0</v>
      </c>
      <c r="G151" s="93">
        <f>IF(Referentieberekening!P8=0,(IF(Referentieberekening!C8="Nieuwe Situatie",(_xlfn.IFNA(VLOOKUP(Referentie_Fossiele_Energie_Totaal[[#This Row],[Product]]&amp;", "&amp;Referentie_Fossiele_Energie_Totaal[[#Headers],[A4]],Database_Productkaarten[#All],50,FALSE),0)*Referentieberekening!L8),0)),(IF(Inschrijfberekening!C9="Nieuwe Situatie",_xlfn.IFNA(VLOOKUP(Inschrijfberekening!K41,Database_Transport[#All],45,FALSE)*(Inschrijfberekening!K9*Inschrijfberekening!N9),0),0)))</f>
        <v>4206.7376640000002</v>
      </c>
      <c r="H151" s="93">
        <f>(IF(Referentieberekening!C8="Nieuwe Situatie",(_xlfn.IFNA(VLOOKUP(Referentie_Fossiele_Energie_Totaal[[#This Row],[Product]]&amp;", "&amp;Referentie_Fossiele_Energie_Totaal[[#Headers],[A5]],Database_Productkaarten[#All],50,FALSE),0)*Referentieberekening!L8),0))</f>
        <v>0.46972267203660528</v>
      </c>
      <c r="I151" s="93">
        <f>(IF(Referentieberekening!C8="Nieuwe Situatie",(_xlfn.IFNA(VLOOKUP(Referentie_Fossiele_Energie_Totaal[[#This Row],[Product]]&amp;", "&amp;Referentie_Fossiele_Energie_Totaal[[#Headers],[B1]],Database_Productkaarten[#All],50,FALSE),0)*Referentieberekening!L8),0))</f>
        <v>0</v>
      </c>
      <c r="J151" s="93">
        <f>(IF(Referentieberekening!C8="Nieuwe Situatie",(SUM(Referentie_Fossiele_Energie_Totaal[[#This Row],[A1]:[B1]],Referentie_Fossiele_Energie_Totaal[[#This Row],[C1]:[D2]])*Referentieberekening!N8),0))</f>
        <v>0</v>
      </c>
      <c r="K151" s="93">
        <f>(IF(Referentieberekening!C8="Bestaande Situatie",(_xlfn.IFNA(VLOOKUP(Referentie_Fossiele_Energie_Totaal[[#This Row],[Product]]&amp;", "&amp;Referentie_Fossiele_Energie_Totaal[[#Headers],[C1]],Database_Productkaarten[#All],50,FALSE),0)*Referentieberekening!L8),0))</f>
        <v>0</v>
      </c>
      <c r="L151" s="93">
        <f>(IF(Referentieberekening!C8="Bestaande Situatie",(_xlfn.IFNA(VLOOKUP(Referentie_Fossiele_Energie_Totaal[[#This Row],[Product]]&amp;", "&amp;Referentie_Fossiele_Energie_Totaal[[#Headers],[C2]],Database_Productkaarten[#All],50,FALSE),0)*Referentieberekening!L8),0))</f>
        <v>0</v>
      </c>
      <c r="M151" s="93">
        <f>(IF(Referentieberekening!C8="Bestaande Situatie",(_xlfn.IFNA(VLOOKUP(Referentie_Fossiele_Energie_Totaal[[#This Row],[Product]]&amp;", "&amp;Referentie_Fossiele_Energie_Totaal[[#Headers],[C3]],Database_Productkaarten[#All],50,FALSE),0)*Referentieberekening!L8),0))</f>
        <v>0</v>
      </c>
      <c r="N151" s="93">
        <f>(IF(Referentieberekening!C8="Bestaande Situatie",(_xlfn.IFNA(VLOOKUP(Referentie_Fossiele_Energie_Totaal[[#This Row],[Product]]&amp;", "&amp;Referentie_Fossiele_Energie_Totaal[[#Headers],[C4]],Database_Productkaarten[#All],50,FALSE),0)*Referentieberekening!L8),0))</f>
        <v>0</v>
      </c>
      <c r="O151" s="93">
        <f>(IF(Referentieberekening!C8="Bestaande Situatie",(_xlfn.IFNA(VLOOKUP(Referentie_Fossiele_Energie_Totaal[[#This Row],[Product]]&amp;", "&amp;Referentie_Fossiele_Energie_Totaal[[#Headers],[D1]],Database_Productkaarten[#All],50,FALSE),0)*Referentieberekening!L8),0))</f>
        <v>0</v>
      </c>
      <c r="P151" s="94">
        <f>(IF(Referentieberekening!C8="Bestaande Situatie",_xlfn.IFNA(VLOOKUP(Referentie_Fossiele_Energie_Totaal[[#This Row],[Product]]&amp;", "&amp;Referentie_Fossiele_Energie_Totaal[[#Headers],[D2]],Database_Productkaarten[#All],50,FALSE),0)*Referentieberekening!L8,0))</f>
        <v>0</v>
      </c>
      <c r="Q151" s="72">
        <f>SUM(Referentie_Fossiele_Energie_Totaal[[#This Row],[A1]:[D2]])</f>
        <v>4207.2073866720366</v>
      </c>
    </row>
    <row r="152" spans="2:17" ht="18" x14ac:dyDescent="0.55000000000000004">
      <c r="B152" s="286" t="str">
        <f>Referentieberekening!B9</f>
        <v>Aanbrengen betontegels 300x300x45 mm.</v>
      </c>
      <c r="C152" s="92" t="str">
        <f>Referentieberekening!F9</f>
        <v>Betontegel 300x300x45</v>
      </c>
      <c r="D152" s="93">
        <f>(IF(Referentieberekening!C9="Nieuwe Situatie",(_xlfn.IFNA(VLOOKUP(Referentie_Fossiele_Energie_Totaal[[#This Row],[Product]]&amp;", "&amp;Referentie_Fossiele_Energie_Totaal[[#Headers],[A1]],Database_Productkaarten[#All],50,FALSE),0)*Referentieberekening!L9),0))</f>
        <v>0</v>
      </c>
      <c r="E152" s="93">
        <f>(IF(Referentieberekening!C9="Nieuwe Situatie",(_xlfn.IFNA(VLOOKUP(Referentie_Fossiele_Energie_Totaal[[#This Row],[Product]]&amp;", "&amp;Referentie_Fossiele_Energie_Totaal[[#Headers],[A2]],Database_Productkaarten[#All],50,FALSE),0)*Referentieberekening!L9),0))</f>
        <v>0</v>
      </c>
      <c r="F152" s="93">
        <f>(IF(Referentieberekening!C9="Nieuwe Situatie",(_xlfn.IFNA(VLOOKUP(Referentie_Fossiele_Energie_Totaal[[#This Row],[Product]]&amp;", "&amp;Referentie_Fossiele_Energie_Totaal[[#Headers],[A3]],Database_Productkaarten[#All],50,FALSE),0)*Referentieberekening!L9),0))</f>
        <v>0</v>
      </c>
      <c r="G152" s="93">
        <f>IF(Referentieberekening!P9=0,(IF(Referentieberekening!C9="Nieuwe Situatie",(_xlfn.IFNA(VLOOKUP(Referentie_Fossiele_Energie_Totaal[[#This Row],[Product]]&amp;", "&amp;Referentie_Fossiele_Energie_Totaal[[#Headers],[A4]],Database_Productkaarten[#All],50,FALSE),0)*Referentieberekening!L9),0)),(IF(Inschrijfberekening!C10="Nieuwe Situatie",_xlfn.IFNA(VLOOKUP(Inschrijfberekening!K42,Database_Transport[#All],45,FALSE)*(Inschrijfberekening!K10*Inschrijfberekening!N10),0),0)))</f>
        <v>0</v>
      </c>
      <c r="H152" s="93">
        <f>(IF(Referentieberekening!C9="Nieuwe Situatie",(_xlfn.IFNA(VLOOKUP(Referentie_Fossiele_Energie_Totaal[[#This Row],[Product]]&amp;", "&amp;Referentie_Fossiele_Energie_Totaal[[#Headers],[A5]],Database_Productkaarten[#All],50,FALSE),0)*Referentieberekening!L9),0))</f>
        <v>0</v>
      </c>
      <c r="I152" s="93">
        <f>(IF(Referentieberekening!C9="Nieuwe Situatie",(_xlfn.IFNA(VLOOKUP(Referentie_Fossiele_Energie_Totaal[[#This Row],[Product]]&amp;", "&amp;Referentie_Fossiele_Energie_Totaal[[#Headers],[B1]],Database_Productkaarten[#All],50,FALSE),0)*Referentieberekening!L9),0))</f>
        <v>0</v>
      </c>
      <c r="J152" s="93">
        <f>(IF(Referentieberekening!C9="Nieuwe Situatie",(SUM(Referentie_Fossiele_Energie_Totaal[[#This Row],[A1]:[B1]],Referentie_Fossiele_Energie_Totaal[[#This Row],[C1]:[D2]])*Referentieberekening!N9),0))</f>
        <v>0</v>
      </c>
      <c r="K152" s="93">
        <f>(IF(Referentieberekening!C9="Bestaande Situatie",(_xlfn.IFNA(VLOOKUP(Referentie_Fossiele_Energie_Totaal[[#This Row],[Product]]&amp;", "&amp;Referentie_Fossiele_Energie_Totaal[[#Headers],[C1]],Database_Productkaarten[#All],50,FALSE),0)*Referentieberekening!L9),0))</f>
        <v>0</v>
      </c>
      <c r="L152" s="93">
        <f>(IF(Referentieberekening!C9="Bestaande Situatie",(_xlfn.IFNA(VLOOKUP(Referentie_Fossiele_Energie_Totaal[[#This Row],[Product]]&amp;", "&amp;Referentie_Fossiele_Energie_Totaal[[#Headers],[C2]],Database_Productkaarten[#All],50,FALSE),0)*Referentieberekening!L9),0))</f>
        <v>0</v>
      </c>
      <c r="M152" s="93">
        <f>(IF(Referentieberekening!C9="Bestaande Situatie",(_xlfn.IFNA(VLOOKUP(Referentie_Fossiele_Energie_Totaal[[#This Row],[Product]]&amp;", "&amp;Referentie_Fossiele_Energie_Totaal[[#Headers],[C3]],Database_Productkaarten[#All],50,FALSE),0)*Referentieberekening!L9),0))</f>
        <v>0</v>
      </c>
      <c r="N152" s="93">
        <f>(IF(Referentieberekening!C9="Bestaande Situatie",(_xlfn.IFNA(VLOOKUP(Referentie_Fossiele_Energie_Totaal[[#This Row],[Product]]&amp;", "&amp;Referentie_Fossiele_Energie_Totaal[[#Headers],[C4]],Database_Productkaarten[#All],50,FALSE),0)*Referentieberekening!L9),0))</f>
        <v>0</v>
      </c>
      <c r="O152" s="93">
        <f>(IF(Referentieberekening!C9="Bestaande Situatie",(_xlfn.IFNA(VLOOKUP(Referentie_Fossiele_Energie_Totaal[[#This Row],[Product]]&amp;", "&amp;Referentie_Fossiele_Energie_Totaal[[#Headers],[D1]],Database_Productkaarten[#All],50,FALSE),0)*Referentieberekening!L9),0))</f>
        <v>0</v>
      </c>
      <c r="P152" s="94">
        <f>(IF(Referentieberekening!C9="Bestaande Situatie",_xlfn.IFNA(VLOOKUP(Referentie_Fossiele_Energie_Totaal[[#This Row],[Product]]&amp;", "&amp;Referentie_Fossiele_Energie_Totaal[[#Headers],[D2]],Database_Productkaarten[#All],50,FALSE),0)*Referentieberekening!L9,0))</f>
        <v>0</v>
      </c>
      <c r="Q152" s="72">
        <f>SUM(Referentie_Fossiele_Energie_Totaal[[#This Row],[A1]:[D2]])</f>
        <v>0</v>
      </c>
    </row>
    <row r="153" spans="2:17" ht="18" x14ac:dyDescent="0.55000000000000004">
      <c r="B153" s="286" t="str">
        <f>Referentieberekening!B10</f>
        <v xml:space="preserve"> Opbreken asfaltverharding, dik 120 mm. </v>
      </c>
      <c r="C153" s="92" t="str">
        <f>Referentieberekening!F10</f>
        <v>AC bin/base 50% PR - PCR 1.0</v>
      </c>
      <c r="D153" s="93">
        <f>(IF(Referentieberekening!C10="Nieuwe Situatie",(_xlfn.IFNA(VLOOKUP(Referentie_Fossiele_Energie_Totaal[[#This Row],[Product]]&amp;", "&amp;Referentie_Fossiele_Energie_Totaal[[#Headers],[A1]],Database_Productkaarten[#All],50,FALSE),0)*Referentieberekening!L10),0))</f>
        <v>0</v>
      </c>
      <c r="E153" s="93">
        <f>(IF(Referentieberekening!C10="Nieuwe Situatie",(_xlfn.IFNA(VLOOKUP(Referentie_Fossiele_Energie_Totaal[[#This Row],[Product]]&amp;", "&amp;Referentie_Fossiele_Energie_Totaal[[#Headers],[A2]],Database_Productkaarten[#All],50,FALSE),0)*Referentieberekening!L10),0))</f>
        <v>0</v>
      </c>
      <c r="F153" s="93">
        <f>(IF(Referentieberekening!C10="Nieuwe Situatie",(_xlfn.IFNA(VLOOKUP(Referentie_Fossiele_Energie_Totaal[[#This Row],[Product]]&amp;", "&amp;Referentie_Fossiele_Energie_Totaal[[#Headers],[A3]],Database_Productkaarten[#All],50,FALSE),0)*Referentieberekening!L10),0))</f>
        <v>0</v>
      </c>
      <c r="G153" s="93">
        <f>IF(Referentieberekening!P10=0,(IF(Referentieberekening!C10="Nieuwe Situatie",(_xlfn.IFNA(VLOOKUP(Referentie_Fossiele_Energie_Totaal[[#This Row],[Product]]&amp;", "&amp;Referentie_Fossiele_Energie_Totaal[[#Headers],[A4]],Database_Productkaarten[#All],50,FALSE),0)*Referentieberekening!L10),0)),(IF(Inschrijfberekening!C11="Nieuwe Situatie",_xlfn.IFNA(VLOOKUP(Inschrijfberekening!K43,Database_Transport[#All],45,FALSE)*(Inschrijfberekening!K11*Inschrijfberekening!N11),0),0)))</f>
        <v>0</v>
      </c>
      <c r="H153" s="93">
        <f>(IF(Referentieberekening!C10="Nieuwe Situatie",(_xlfn.IFNA(VLOOKUP(Referentie_Fossiele_Energie_Totaal[[#This Row],[Product]]&amp;", "&amp;Referentie_Fossiele_Energie_Totaal[[#Headers],[A5]],Database_Productkaarten[#All],50,FALSE),0)*Referentieberekening!L10),0))</f>
        <v>0</v>
      </c>
      <c r="I153" s="93">
        <f>(IF(Referentieberekening!C10="Nieuwe Situatie",(_xlfn.IFNA(VLOOKUP(Referentie_Fossiele_Energie_Totaal[[#This Row],[Product]]&amp;", "&amp;Referentie_Fossiele_Energie_Totaal[[#Headers],[B1]],Database_Productkaarten[#All],50,FALSE),0)*Referentieberekening!L10),0))</f>
        <v>0</v>
      </c>
      <c r="J153" s="93">
        <f>(IF(Referentieberekening!C10="Nieuwe Situatie",(SUM(Referentie_Fossiele_Energie_Totaal[[#This Row],[A1]:[B1]],Referentie_Fossiele_Energie_Totaal[[#This Row],[C1]:[D2]])*Referentieberekening!N10),0))</f>
        <v>0</v>
      </c>
      <c r="K153" s="93">
        <f>(IF(Referentieberekening!C10="Bestaande Situatie",(_xlfn.IFNA(VLOOKUP(Referentie_Fossiele_Energie_Totaal[[#This Row],[Product]]&amp;", "&amp;Referentie_Fossiele_Energie_Totaal[[#Headers],[C1]],Database_Productkaarten[#All],50,FALSE),0)*Referentieberekening!L10),0))</f>
        <v>1231.0493009759998</v>
      </c>
      <c r="L153" s="93">
        <f>(IF(Referentieberekening!C10="Bestaande Situatie",(_xlfn.IFNA(VLOOKUP(Referentie_Fossiele_Energie_Totaal[[#This Row],[Product]]&amp;", "&amp;Referentie_Fossiele_Energie_Totaal[[#Headers],[C2]],Database_Productkaarten[#All],50,FALSE),0)*Referentieberekening!L10),0))</f>
        <v>0</v>
      </c>
      <c r="M153" s="93">
        <f>(IF(Referentieberekening!C10="Bestaande Situatie",(_xlfn.IFNA(VLOOKUP(Referentie_Fossiele_Energie_Totaal[[#This Row],[Product]]&amp;", "&amp;Referentie_Fossiele_Energie_Totaal[[#Headers],[C3]],Database_Productkaarten[#All],50,FALSE),0)*Referentieberekening!L10),0))</f>
        <v>594.50089525199996</v>
      </c>
      <c r="N153" s="93">
        <f>(IF(Referentieberekening!C10="Bestaande Situatie",(_xlfn.IFNA(VLOOKUP(Referentie_Fossiele_Energie_Totaal[[#This Row],[Product]]&amp;", "&amp;Referentie_Fossiele_Energie_Totaal[[#Headers],[C4]],Database_Productkaarten[#All],50,FALSE),0)*Referentieberekening!L10),0))</f>
        <v>0</v>
      </c>
      <c r="O153" s="93">
        <f>(IF(Referentieberekening!C10="Bestaande Situatie",(_xlfn.IFNA(VLOOKUP(Referentie_Fossiele_Energie_Totaal[[#This Row],[Product]]&amp;", "&amp;Referentie_Fossiele_Energie_Totaal[[#Headers],[D1]],Database_Productkaarten[#All],50,FALSE),0)*Referentieberekening!L10),0))</f>
        <v>-22342.623213280236</v>
      </c>
      <c r="P153" s="94">
        <f>(IF(Referentieberekening!C10="Bestaande Situatie",_xlfn.IFNA(VLOOKUP(Referentie_Fossiele_Energie_Totaal[[#This Row],[Product]]&amp;", "&amp;Referentie_Fossiele_Energie_Totaal[[#Headers],[D2]],Database_Productkaarten[#All],50,FALSE),0)*Referentieberekening!L10,0))</f>
        <v>-2706.3808515135347</v>
      </c>
      <c r="Q153" s="72">
        <f>SUM(Referentie_Fossiele_Energie_Totaal[[#This Row],[A1]:[D2]])</f>
        <v>-23223.453868565772</v>
      </c>
    </row>
    <row r="154" spans="2:17" ht="18" x14ac:dyDescent="0.55000000000000004">
      <c r="B154" s="286" t="str">
        <f>Referentieberekening!B11</f>
        <v xml:space="preserve"> Frezen asfalt dik 30 mm - fietspad. </v>
      </c>
      <c r="C154" s="92" t="str">
        <f>Referentieberekening!F11</f>
        <v>SMA 8-11 - PCR 1.0</v>
      </c>
      <c r="D154" s="93">
        <f>(IF(Referentieberekening!C11="Nieuwe Situatie",(_xlfn.IFNA(VLOOKUP(Referentie_Fossiele_Energie_Totaal[[#This Row],[Product]]&amp;", "&amp;Referentie_Fossiele_Energie_Totaal[[#Headers],[A1]],Database_Productkaarten[#All],50,FALSE),0)*Referentieberekening!L11),0))</f>
        <v>0</v>
      </c>
      <c r="E154" s="93">
        <f>(IF(Referentieberekening!C11="Nieuwe Situatie",(_xlfn.IFNA(VLOOKUP(Referentie_Fossiele_Energie_Totaal[[#This Row],[Product]]&amp;", "&amp;Referentie_Fossiele_Energie_Totaal[[#Headers],[A2]],Database_Productkaarten[#All],50,FALSE),0)*Referentieberekening!L11),0))</f>
        <v>0</v>
      </c>
      <c r="F154" s="93">
        <f>(IF(Referentieberekening!C11="Nieuwe Situatie",(_xlfn.IFNA(VLOOKUP(Referentie_Fossiele_Energie_Totaal[[#This Row],[Product]]&amp;", "&amp;Referentie_Fossiele_Energie_Totaal[[#Headers],[A3]],Database_Productkaarten[#All],50,FALSE),0)*Referentieberekening!L11),0))</f>
        <v>0</v>
      </c>
      <c r="G154" s="93">
        <f>IF(Referentieberekening!P11=0,(IF(Referentieberekening!C11="Nieuwe Situatie",(_xlfn.IFNA(VLOOKUP(Referentie_Fossiele_Energie_Totaal[[#This Row],[Product]]&amp;", "&amp;Referentie_Fossiele_Energie_Totaal[[#Headers],[A4]],Database_Productkaarten[#All],50,FALSE),0)*Referentieberekening!L11),0)),(IF(Inschrijfberekening!C12="Nieuwe Situatie",_xlfn.IFNA(VLOOKUP(Inschrijfberekening!K44,Database_Transport[#All],45,FALSE)*(Inschrijfberekening!K12*Inschrijfberekening!N12),0),0)))</f>
        <v>0</v>
      </c>
      <c r="H154" s="93">
        <f>(IF(Referentieberekening!C11="Nieuwe Situatie",(_xlfn.IFNA(VLOOKUP(Referentie_Fossiele_Energie_Totaal[[#This Row],[Product]]&amp;", "&amp;Referentie_Fossiele_Energie_Totaal[[#Headers],[A5]],Database_Productkaarten[#All],50,FALSE),0)*Referentieberekening!L11),0))</f>
        <v>0</v>
      </c>
      <c r="I154" s="93">
        <f>(IF(Referentieberekening!C11="Nieuwe Situatie",(_xlfn.IFNA(VLOOKUP(Referentie_Fossiele_Energie_Totaal[[#This Row],[Product]]&amp;", "&amp;Referentie_Fossiele_Energie_Totaal[[#Headers],[B1]],Database_Productkaarten[#All],50,FALSE),0)*Referentieberekening!L11),0))</f>
        <v>0</v>
      </c>
      <c r="J154" s="93">
        <f>(IF(Referentieberekening!C11="Nieuwe Situatie",(SUM(Referentie_Fossiele_Energie_Totaal[[#This Row],[A1]:[B1]],Referentie_Fossiele_Energie_Totaal[[#This Row],[C1]:[D2]])*Referentieberekening!N11),0))</f>
        <v>0</v>
      </c>
      <c r="K154" s="93">
        <f>(IF(Referentieberekening!C11="Bestaande Situatie",(_xlfn.IFNA(VLOOKUP(Referentie_Fossiele_Energie_Totaal[[#This Row],[Product]]&amp;", "&amp;Referentie_Fossiele_Energie_Totaal[[#Headers],[C1]],Database_Productkaarten[#All],50,FALSE),0)*Referentieberekening!L11),0))</f>
        <v>326.96268453749997</v>
      </c>
      <c r="L154" s="93">
        <f>(IF(Referentieberekening!C11="Bestaande Situatie",(_xlfn.IFNA(VLOOKUP(Referentie_Fossiele_Energie_Totaal[[#This Row],[Product]]&amp;", "&amp;Referentie_Fossiele_Energie_Totaal[[#Headers],[C2]],Database_Productkaarten[#All],50,FALSE),0)*Referentieberekening!L11),0))</f>
        <v>0</v>
      </c>
      <c r="M154" s="93">
        <f>(IF(Referentieberekening!C11="Bestaande Situatie",(_xlfn.IFNA(VLOOKUP(Referentie_Fossiele_Energie_Totaal[[#This Row],[Product]]&amp;", "&amp;Referentie_Fossiele_Energie_Totaal[[#Headers],[C3]],Database_Productkaarten[#All],50,FALSE),0)*Referentieberekening!L11),0))</f>
        <v>368.42750628750002</v>
      </c>
      <c r="N154" s="93">
        <f>(IF(Referentieberekening!C11="Bestaande Situatie",(_xlfn.IFNA(VLOOKUP(Referentie_Fossiele_Energie_Totaal[[#This Row],[Product]]&amp;", "&amp;Referentie_Fossiele_Energie_Totaal[[#Headers],[C4]],Database_Productkaarten[#All],50,FALSE),0)*Referentieberekening!L11),0))</f>
        <v>0</v>
      </c>
      <c r="O154" s="93">
        <f>(IF(Referentieberekening!C11="Bestaande Situatie",(_xlfn.IFNA(VLOOKUP(Referentie_Fossiele_Energie_Totaal[[#This Row],[Product]]&amp;", "&amp;Referentie_Fossiele_Energie_Totaal[[#Headers],[D1]],Database_Productkaarten[#All],50,FALSE),0)*Referentieberekening!L11),0))</f>
        <v>-35356.059957473175</v>
      </c>
      <c r="P154" s="94">
        <f>(IF(Referentieberekening!C11="Bestaande Situatie",_xlfn.IFNA(VLOOKUP(Referentie_Fossiele_Energie_Totaal[[#This Row],[Product]]&amp;", "&amp;Referentie_Fossiele_Energie_Totaal[[#Headers],[D2]],Database_Productkaarten[#All],50,FALSE),0)*Referentieberekening!L11,0))</f>
        <v>-2673.1458224213493</v>
      </c>
      <c r="Q154" s="72">
        <f>SUM(Referentie_Fossiele_Energie_Totaal[[#This Row],[A1]:[D2]])</f>
        <v>-37333.815589069527</v>
      </c>
    </row>
    <row r="155" spans="2:17" ht="18" x14ac:dyDescent="0.55000000000000004">
      <c r="B155" s="286" t="str">
        <f>Referentieberekening!B12</f>
        <v>Aanbrengen menggranulaat, dik 300 mm - rijweg.</v>
      </c>
      <c r="C155" s="92" t="str">
        <f>Referentieberekening!F12</f>
        <v>Menggranulaat 0/31,5</v>
      </c>
      <c r="D155" s="93">
        <f>(IF(Referentieberekening!C12="Nieuwe Situatie",(_xlfn.IFNA(VLOOKUP(Referentie_Fossiele_Energie_Totaal[[#This Row],[Product]]&amp;", "&amp;Referentie_Fossiele_Energie_Totaal[[#Headers],[A1]],Database_Productkaarten[#All],50,FALSE),0)*Referentieberekening!L12),0))</f>
        <v>0</v>
      </c>
      <c r="E155" s="93">
        <f>(IF(Referentieberekening!C12="Nieuwe Situatie",(_xlfn.IFNA(VLOOKUP(Referentie_Fossiele_Energie_Totaal[[#This Row],[Product]]&amp;", "&amp;Referentie_Fossiele_Energie_Totaal[[#Headers],[A2]],Database_Productkaarten[#All],50,FALSE),0)*Referentieberekening!L12),0))</f>
        <v>0</v>
      </c>
      <c r="F155" s="93">
        <f>(IF(Referentieberekening!C12="Nieuwe Situatie",(_xlfn.IFNA(VLOOKUP(Referentie_Fossiele_Energie_Totaal[[#This Row],[Product]]&amp;", "&amp;Referentie_Fossiele_Energie_Totaal[[#Headers],[A3]],Database_Productkaarten[#All],50,FALSE),0)*Referentieberekening!L12),0))</f>
        <v>0</v>
      </c>
      <c r="G155" s="93">
        <f>IF(Referentieberekening!P12=0,(IF(Referentieberekening!C12="Nieuwe Situatie",(_xlfn.IFNA(VLOOKUP(Referentie_Fossiele_Energie_Totaal[[#This Row],[Product]]&amp;", "&amp;Referentie_Fossiele_Energie_Totaal[[#Headers],[A4]],Database_Productkaarten[#All],50,FALSE),0)*Referentieberekening!L12),0)),(IF(Inschrijfberekening!C13="Nieuwe Situatie",_xlfn.IFNA(VLOOKUP(Inschrijfberekening!K45,Database_Transport[#All],45,FALSE)*(Inschrijfberekening!K13*Inschrijfberekening!N13),0),0)))</f>
        <v>282968.83818000002</v>
      </c>
      <c r="H155" s="93">
        <f>(IF(Referentieberekening!C12="Nieuwe Situatie",(_xlfn.IFNA(VLOOKUP(Referentie_Fossiele_Energie_Totaal[[#This Row],[Product]]&amp;", "&amp;Referentie_Fossiele_Energie_Totaal[[#Headers],[A5]],Database_Productkaarten[#All],50,FALSE),0)*Referentieberekening!L12),0))</f>
        <v>28.0855014321887</v>
      </c>
      <c r="I155" s="93">
        <f>(IF(Referentieberekening!C12="Nieuwe Situatie",(_xlfn.IFNA(VLOOKUP(Referentie_Fossiele_Energie_Totaal[[#This Row],[Product]]&amp;", "&amp;Referentie_Fossiele_Energie_Totaal[[#Headers],[B1]],Database_Productkaarten[#All],50,FALSE),0)*Referentieberekening!L12),0))</f>
        <v>0</v>
      </c>
      <c r="J155" s="93">
        <f>(IF(Referentieberekening!C12="Nieuwe Situatie",(SUM(Referentie_Fossiele_Energie_Totaal[[#This Row],[A1]:[B1]],Referentie_Fossiele_Energie_Totaal[[#This Row],[C1]:[D2]])*Referentieberekening!N12),0))</f>
        <v>0</v>
      </c>
      <c r="K155" s="93">
        <f>(IF(Referentieberekening!C12="Bestaande Situatie",(_xlfn.IFNA(VLOOKUP(Referentie_Fossiele_Energie_Totaal[[#This Row],[Product]]&amp;", "&amp;Referentie_Fossiele_Energie_Totaal[[#Headers],[C1]],Database_Productkaarten[#All],50,FALSE),0)*Referentieberekening!L12),0))</f>
        <v>0</v>
      </c>
      <c r="L155" s="93">
        <f>(IF(Referentieberekening!C12="Bestaande Situatie",(_xlfn.IFNA(VLOOKUP(Referentie_Fossiele_Energie_Totaal[[#This Row],[Product]]&amp;", "&amp;Referentie_Fossiele_Energie_Totaal[[#Headers],[C2]],Database_Productkaarten[#All],50,FALSE),0)*Referentieberekening!L12),0))</f>
        <v>0</v>
      </c>
      <c r="M155" s="93">
        <f>(IF(Referentieberekening!C12="Bestaande Situatie",(_xlfn.IFNA(VLOOKUP(Referentie_Fossiele_Energie_Totaal[[#This Row],[Product]]&amp;", "&amp;Referentie_Fossiele_Energie_Totaal[[#Headers],[C3]],Database_Productkaarten[#All],50,FALSE),0)*Referentieberekening!L12),0))</f>
        <v>0</v>
      </c>
      <c r="N155" s="93">
        <f>(IF(Referentieberekening!C12="Bestaande Situatie",(_xlfn.IFNA(VLOOKUP(Referentie_Fossiele_Energie_Totaal[[#This Row],[Product]]&amp;", "&amp;Referentie_Fossiele_Energie_Totaal[[#Headers],[C4]],Database_Productkaarten[#All],50,FALSE),0)*Referentieberekening!L12),0))</f>
        <v>0</v>
      </c>
      <c r="O155" s="93">
        <f>(IF(Referentieberekening!C12="Bestaande Situatie",(_xlfn.IFNA(VLOOKUP(Referentie_Fossiele_Energie_Totaal[[#This Row],[Product]]&amp;", "&amp;Referentie_Fossiele_Energie_Totaal[[#Headers],[D1]],Database_Productkaarten[#All],50,FALSE),0)*Referentieberekening!L12),0))</f>
        <v>0</v>
      </c>
      <c r="P155" s="94">
        <f>(IF(Referentieberekening!C12="Bestaande Situatie",_xlfn.IFNA(VLOOKUP(Referentie_Fossiele_Energie_Totaal[[#This Row],[Product]]&amp;", "&amp;Referentie_Fossiele_Energie_Totaal[[#Headers],[D2]],Database_Productkaarten[#All],50,FALSE),0)*Referentieberekening!L12,0))</f>
        <v>0</v>
      </c>
      <c r="Q155" s="72">
        <f>SUM(Referentie_Fossiele_Energie_Totaal[[#This Row],[A1]:[D2]])</f>
        <v>282996.92368143221</v>
      </c>
    </row>
    <row r="156" spans="2:17" ht="18" x14ac:dyDescent="0.55000000000000004">
      <c r="B156" s="286" t="str">
        <f>Referentieberekening!B13</f>
        <v>Aanbrengen onderlaag AC 22 base, dik 70 mm.</v>
      </c>
      <c r="C156" s="92" t="str">
        <f>Referentieberekening!F13</f>
        <v>AC bin/base 50% PR - PCR 2.0</v>
      </c>
      <c r="D156" s="93">
        <f>(IF(Referentieberekening!C13="Nieuwe Situatie",(_xlfn.IFNA(VLOOKUP(Referentie_Fossiele_Energie_Totaal[[#This Row],[Product]]&amp;", "&amp;Referentie_Fossiele_Energie_Totaal[[#Headers],[A1]],Database_Productkaarten[#All],50,FALSE),0)*Referentieberekening!L13),0))</f>
        <v>1235920.1343823948</v>
      </c>
      <c r="E156" s="93">
        <f>(IF(Referentieberekening!C13="Nieuwe Situatie",(_xlfn.IFNA(VLOOKUP(Referentie_Fossiele_Energie_Totaal[[#This Row],[Product]]&amp;", "&amp;Referentie_Fossiele_Energie_Totaal[[#Headers],[A2]],Database_Productkaarten[#All],50,FALSE),0)*Referentieberekening!L13),0))</f>
        <v>193173.11536383737</v>
      </c>
      <c r="F156" s="93">
        <f>(IF(Referentieberekening!C13="Nieuwe Situatie",(_xlfn.IFNA(VLOOKUP(Referentie_Fossiele_Energie_Totaal[[#This Row],[Product]]&amp;", "&amp;Referentie_Fossiele_Energie_Totaal[[#Headers],[A3]],Database_Productkaarten[#All],50,FALSE),0)*Referentieberekening!L13),0))</f>
        <v>463501.44201165758</v>
      </c>
      <c r="G156" s="93">
        <f>IF(Referentieberekening!P13=0,(IF(Referentieberekening!C13="Nieuwe Situatie",(_xlfn.IFNA(VLOOKUP(Referentie_Fossiele_Energie_Totaal[[#This Row],[Product]]&amp;", "&amp;Referentie_Fossiele_Energie_Totaal[[#Headers],[A4]],Database_Productkaarten[#All],50,FALSE),0)*Referentieberekening!L13),0)),(IF(Inschrijfberekening!C14="Nieuwe Situatie",_xlfn.IFNA(VLOOKUP(Inschrijfberekening!K46,Database_Transport[#All],45,FALSE)*(Inschrijfberekening!K14*Inschrijfberekening!N14),0),0)))</f>
        <v>74283.18669576</v>
      </c>
      <c r="H156" s="93">
        <f>(IF(Referentieberekening!C13="Nieuwe Situatie",(_xlfn.IFNA(VLOOKUP(Referentie_Fossiele_Energie_Totaal[[#This Row],[Product]]&amp;", "&amp;Referentie_Fossiele_Energie_Totaal[[#Headers],[A5]],Database_Productkaarten[#All],50,FALSE),0)*Referentieberekening!L13),0))</f>
        <v>17236.736936146059</v>
      </c>
      <c r="I156" s="93">
        <f>(IF(Referentieberekening!C13="Nieuwe Situatie",(_xlfn.IFNA(VLOOKUP(Referentie_Fossiele_Energie_Totaal[[#This Row],[Product]]&amp;", "&amp;Referentie_Fossiele_Energie_Totaal[[#Headers],[B1]],Database_Productkaarten[#All],50,FALSE),0)*Referentieberekening!L13),0))</f>
        <v>0</v>
      </c>
      <c r="J156" s="93">
        <f>(IF(Referentieberekening!C13="Nieuwe Situatie",(SUM(Referentie_Fossiele_Energie_Totaal[[#This Row],[A1]:[B1]],Referentie_Fossiele_Energie_Totaal[[#This Row],[C1]:[D2]])*Referentieberekening!N13),0))</f>
        <v>0</v>
      </c>
      <c r="K156" s="93">
        <f>(IF(Referentieberekening!C13="Bestaande Situatie",(_xlfn.IFNA(VLOOKUP(Referentie_Fossiele_Energie_Totaal[[#This Row],[Product]]&amp;", "&amp;Referentie_Fossiele_Energie_Totaal[[#Headers],[C1]],Database_Productkaarten[#All],50,FALSE),0)*Referentieberekening!L13),0))</f>
        <v>0</v>
      </c>
      <c r="L156" s="93">
        <f>(IF(Referentieberekening!C13="Bestaande Situatie",(_xlfn.IFNA(VLOOKUP(Referentie_Fossiele_Energie_Totaal[[#This Row],[Product]]&amp;", "&amp;Referentie_Fossiele_Energie_Totaal[[#Headers],[C2]],Database_Productkaarten[#All],50,FALSE),0)*Referentieberekening!L13),0))</f>
        <v>0</v>
      </c>
      <c r="M156" s="93">
        <f>(IF(Referentieberekening!C13="Bestaande Situatie",(_xlfn.IFNA(VLOOKUP(Referentie_Fossiele_Energie_Totaal[[#This Row],[Product]]&amp;", "&amp;Referentie_Fossiele_Energie_Totaal[[#Headers],[C3]],Database_Productkaarten[#All],50,FALSE),0)*Referentieberekening!L13),0))</f>
        <v>0</v>
      </c>
      <c r="N156" s="93">
        <f>(IF(Referentieberekening!C13="Bestaande Situatie",(_xlfn.IFNA(VLOOKUP(Referentie_Fossiele_Energie_Totaal[[#This Row],[Product]]&amp;", "&amp;Referentie_Fossiele_Energie_Totaal[[#Headers],[C4]],Database_Productkaarten[#All],50,FALSE),0)*Referentieberekening!L13),0))</f>
        <v>0</v>
      </c>
      <c r="O156" s="93">
        <f>(IF(Referentieberekening!C13="Bestaande Situatie",(_xlfn.IFNA(VLOOKUP(Referentie_Fossiele_Energie_Totaal[[#This Row],[Product]]&amp;", "&amp;Referentie_Fossiele_Energie_Totaal[[#Headers],[D1]],Database_Productkaarten[#All],50,FALSE),0)*Referentieberekening!L13),0))</f>
        <v>0</v>
      </c>
      <c r="P156" s="94">
        <f>(IF(Referentieberekening!C13="Bestaande Situatie",_xlfn.IFNA(VLOOKUP(Referentie_Fossiele_Energie_Totaal[[#This Row],[Product]]&amp;", "&amp;Referentie_Fossiele_Energie_Totaal[[#Headers],[D2]],Database_Productkaarten[#All],50,FALSE),0)*Referentieberekening!L13,0))</f>
        <v>0</v>
      </c>
      <c r="Q156" s="72">
        <f>SUM(Referentie_Fossiele_Energie_Totaal[[#This Row],[A1]:[D2]])</f>
        <v>1984114.6153897962</v>
      </c>
    </row>
    <row r="157" spans="2:17" ht="18" x14ac:dyDescent="0.55000000000000004">
      <c r="B157" s="286" t="str">
        <f>Referentieberekening!B14</f>
        <v>Aanbrengen tussenlaag AC16 bind, dik 50 mm</v>
      </c>
      <c r="C157" s="92" t="str">
        <f>Referentieberekening!F14</f>
        <v>AC bin/base 50% PR - PCR 2.0</v>
      </c>
      <c r="D157" s="93">
        <f>(IF(Referentieberekening!C14="Nieuwe Situatie",(_xlfn.IFNA(VLOOKUP(Referentie_Fossiele_Energie_Totaal[[#This Row],[Product]]&amp;", "&amp;Referentie_Fossiele_Energie_Totaal[[#Headers],[A1]],Database_Productkaarten[#All],50,FALSE),0)*Referentieberekening!L14),0))</f>
        <v>883115.10048197885</v>
      </c>
      <c r="E157" s="93">
        <f>(IF(Referentieberekening!C14="Nieuwe Situatie",(_xlfn.IFNA(VLOOKUP(Referentie_Fossiele_Energie_Totaal[[#This Row],[Product]]&amp;", "&amp;Referentie_Fossiele_Energie_Totaal[[#Headers],[A2]],Database_Productkaarten[#All],50,FALSE),0)*Referentieberekening!L14),0))</f>
        <v>138030.03158468666</v>
      </c>
      <c r="F157" s="93">
        <f>(IF(Referentieberekening!C14="Nieuwe Situatie",(_xlfn.IFNA(VLOOKUP(Referentie_Fossiele_Energie_Totaal[[#This Row],[Product]]&amp;", "&amp;Referentie_Fossiele_Energie_Totaal[[#Headers],[A3]],Database_Productkaarten[#All],50,FALSE),0)*Referentieberekening!L14),0))</f>
        <v>331190.59326613537</v>
      </c>
      <c r="G157" s="93">
        <f>IF(Referentieberekening!P14=0,(IF(Referentieberekening!C14="Nieuwe Situatie",(_xlfn.IFNA(VLOOKUP(Referentie_Fossiele_Energie_Totaal[[#This Row],[Product]]&amp;", "&amp;Referentie_Fossiele_Energie_Totaal[[#Headers],[A4]],Database_Productkaarten[#All],50,FALSE),0)*Referentieberekening!L14),0)),(IF(Inschrijfberekening!C15="Nieuwe Situatie",_xlfn.IFNA(VLOOKUP(Inschrijfberekening!K47,Database_Transport[#All],45,FALSE)*(Inschrijfberekening!K15*Inschrijfberekening!N15),0),0)))</f>
        <v>53078.35195656</v>
      </c>
      <c r="H157" s="93">
        <f>(IF(Referentieberekening!C14="Nieuwe Situatie",(_xlfn.IFNA(VLOOKUP(Referentie_Fossiele_Energie_Totaal[[#This Row],[Product]]&amp;", "&amp;Referentie_Fossiele_Energie_Totaal[[#Headers],[A5]],Database_Productkaarten[#All],50,FALSE),0)*Referentieberekening!L14),0))</f>
        <v>12316.348158655657</v>
      </c>
      <c r="I157" s="93">
        <f>(IF(Referentieberekening!C14="Nieuwe Situatie",(_xlfn.IFNA(VLOOKUP(Referentie_Fossiele_Energie_Totaal[[#This Row],[Product]]&amp;", "&amp;Referentie_Fossiele_Energie_Totaal[[#Headers],[B1]],Database_Productkaarten[#All],50,FALSE),0)*Referentieberekening!L14),0))</f>
        <v>0</v>
      </c>
      <c r="J157" s="93">
        <f>(IF(Referentieberekening!C14="Nieuwe Situatie",(SUM(Referentie_Fossiele_Energie_Totaal[[#This Row],[A1]:[B1]],Referentie_Fossiele_Energie_Totaal[[#This Row],[C1]:[D2]])*Referentieberekening!N14),0))</f>
        <v>0</v>
      </c>
      <c r="K157" s="93">
        <f>(IF(Referentieberekening!C14="Bestaande Situatie",(_xlfn.IFNA(VLOOKUP(Referentie_Fossiele_Energie_Totaal[[#This Row],[Product]]&amp;", "&amp;Referentie_Fossiele_Energie_Totaal[[#Headers],[C1]],Database_Productkaarten[#All],50,FALSE),0)*Referentieberekening!L14),0))</f>
        <v>0</v>
      </c>
      <c r="L157" s="93">
        <f>(IF(Referentieberekening!C14="Bestaande Situatie",(_xlfn.IFNA(VLOOKUP(Referentie_Fossiele_Energie_Totaal[[#This Row],[Product]]&amp;", "&amp;Referentie_Fossiele_Energie_Totaal[[#Headers],[C2]],Database_Productkaarten[#All],50,FALSE),0)*Referentieberekening!L14),0))</f>
        <v>0</v>
      </c>
      <c r="M157" s="93">
        <f>(IF(Referentieberekening!C14="Bestaande Situatie",(_xlfn.IFNA(VLOOKUP(Referentie_Fossiele_Energie_Totaal[[#This Row],[Product]]&amp;", "&amp;Referentie_Fossiele_Energie_Totaal[[#Headers],[C3]],Database_Productkaarten[#All],50,FALSE),0)*Referentieberekening!L14),0))</f>
        <v>0</v>
      </c>
      <c r="N157" s="93">
        <f>(IF(Referentieberekening!C14="Bestaande Situatie",(_xlfn.IFNA(VLOOKUP(Referentie_Fossiele_Energie_Totaal[[#This Row],[Product]]&amp;", "&amp;Referentie_Fossiele_Energie_Totaal[[#Headers],[C4]],Database_Productkaarten[#All],50,FALSE),0)*Referentieberekening!L14),0))</f>
        <v>0</v>
      </c>
      <c r="O157" s="93">
        <f>(IF(Referentieberekening!C14="Bestaande Situatie",(_xlfn.IFNA(VLOOKUP(Referentie_Fossiele_Energie_Totaal[[#This Row],[Product]]&amp;", "&amp;Referentie_Fossiele_Energie_Totaal[[#Headers],[D1]],Database_Productkaarten[#All],50,FALSE),0)*Referentieberekening!L14),0))</f>
        <v>0</v>
      </c>
      <c r="P157" s="94">
        <f>(IF(Referentieberekening!C14="Bestaande Situatie",_xlfn.IFNA(VLOOKUP(Referentie_Fossiele_Energie_Totaal[[#This Row],[Product]]&amp;", "&amp;Referentie_Fossiele_Energie_Totaal[[#Headers],[D2]],Database_Productkaarten[#All],50,FALSE),0)*Referentieberekening!L14,0))</f>
        <v>0</v>
      </c>
      <c r="Q157" s="72">
        <f>SUM(Referentie_Fossiele_Energie_Totaal[[#This Row],[A1]:[D2]])</f>
        <v>1417730.4254480165</v>
      </c>
    </row>
    <row r="158" spans="2:17" ht="18" x14ac:dyDescent="0.55000000000000004">
      <c r="B158" s="286" t="str">
        <f>Referentieberekening!B15</f>
        <v>Aanbrengen deklaag van SMA-NL 8, dik 30 mm.</v>
      </c>
      <c r="C158" s="92" t="str">
        <f>Referentieberekening!F15</f>
        <v>SMA 8-11 - PCR 2.0</v>
      </c>
      <c r="D158" s="93">
        <f>(IF(Referentieberekening!C15="Nieuwe Situatie",(_xlfn.IFNA(VLOOKUP(Referentie_Fossiele_Energie_Totaal[[#This Row],[Product]]&amp;", "&amp;Referentie_Fossiele_Energie_Totaal[[#Headers],[A1]],Database_Productkaarten[#All],50,FALSE),0)*Referentieberekening!L15),0))</f>
        <v>1747259.3989594453</v>
      </c>
      <c r="E158" s="93">
        <f>(IF(Referentieberekening!C15="Nieuwe Situatie",(_xlfn.IFNA(VLOOKUP(Referentie_Fossiele_Energie_Totaal[[#This Row],[Product]]&amp;", "&amp;Referentie_Fossiele_Energie_Totaal[[#Headers],[A2]],Database_Productkaarten[#All],50,FALSE),0)*Referentieberekening!L15),0))</f>
        <v>204635.812866514</v>
      </c>
      <c r="F158" s="93">
        <f>(IF(Referentieberekening!C15="Nieuwe Situatie",(_xlfn.IFNA(VLOOKUP(Referentie_Fossiele_Energie_Totaal[[#This Row],[Product]]&amp;", "&amp;Referentie_Fossiele_Energie_Totaal[[#Headers],[A3]],Database_Productkaarten[#All],50,FALSE),0)*Referentieberekening!L15),0))</f>
        <v>187098.12403696688</v>
      </c>
      <c r="G158" s="93">
        <f>IF(Referentieberekening!P15=0,(IF(Referentieberekening!C15="Nieuwe Situatie",(_xlfn.IFNA(VLOOKUP(Referentie_Fossiele_Energie_Totaal[[#This Row],[Product]]&amp;", "&amp;Referentie_Fossiele_Energie_Totaal[[#Headers],[A4]],Database_Productkaarten[#All],50,FALSE),0)*Referentieberekening!L15),0)),(IF(Inschrijfberekening!C16="Nieuwe Situatie",_xlfn.IFNA(VLOOKUP(Inschrijfberekening!K48,Database_Transport[#All],45,FALSE)*(Inschrijfberekening!K16*Inschrijfberekening!N16),0),0)))</f>
        <v>31873.51721736</v>
      </c>
      <c r="H158" s="93">
        <f>(IF(Referentieberekening!C15="Nieuwe Situatie",(_xlfn.IFNA(VLOOKUP(Referentie_Fossiele_Energie_Totaal[[#This Row],[Product]]&amp;", "&amp;Referentie_Fossiele_Energie_Totaal[[#Headers],[A5]],Database_Productkaarten[#All],50,FALSE),0)*Referentieberekening!L15),0))</f>
        <v>13405.176381382267</v>
      </c>
      <c r="I158" s="93">
        <f>(IF(Referentieberekening!C15="Nieuwe Situatie",(_xlfn.IFNA(VLOOKUP(Referentie_Fossiele_Energie_Totaal[[#This Row],[Product]]&amp;", "&amp;Referentie_Fossiele_Energie_Totaal[[#Headers],[B1]],Database_Productkaarten[#All],50,FALSE),0)*Referentieberekening!L15),0))</f>
        <v>0</v>
      </c>
      <c r="J158" s="93">
        <f>(IF(Referentieberekening!C15="Nieuwe Situatie",(SUM(Referentie_Fossiele_Energie_Totaal[[#This Row],[A1]:[B1]],Referentie_Fossiele_Energie_Totaal[[#This Row],[C1]:[D2]])*Referentieberekening!N15),0))</f>
        <v>0</v>
      </c>
      <c r="K158" s="93">
        <f>(IF(Referentieberekening!C15="Bestaande Situatie",(_xlfn.IFNA(VLOOKUP(Referentie_Fossiele_Energie_Totaal[[#This Row],[Product]]&amp;", "&amp;Referentie_Fossiele_Energie_Totaal[[#Headers],[C1]],Database_Productkaarten[#All],50,FALSE),0)*Referentieberekening!L15),0))</f>
        <v>0</v>
      </c>
      <c r="L158" s="93">
        <f>(IF(Referentieberekening!C15="Bestaande Situatie",(_xlfn.IFNA(VLOOKUP(Referentie_Fossiele_Energie_Totaal[[#This Row],[Product]]&amp;", "&amp;Referentie_Fossiele_Energie_Totaal[[#Headers],[C2]],Database_Productkaarten[#All],50,FALSE),0)*Referentieberekening!L15),0))</f>
        <v>0</v>
      </c>
      <c r="M158" s="93">
        <f>(IF(Referentieberekening!C15="Bestaande Situatie",(_xlfn.IFNA(VLOOKUP(Referentie_Fossiele_Energie_Totaal[[#This Row],[Product]]&amp;", "&amp;Referentie_Fossiele_Energie_Totaal[[#Headers],[C3]],Database_Productkaarten[#All],50,FALSE),0)*Referentieberekening!L15),0))</f>
        <v>0</v>
      </c>
      <c r="N158" s="93">
        <f>(IF(Referentieberekening!C15="Bestaande Situatie",(_xlfn.IFNA(VLOOKUP(Referentie_Fossiele_Energie_Totaal[[#This Row],[Product]]&amp;", "&amp;Referentie_Fossiele_Energie_Totaal[[#Headers],[C4]],Database_Productkaarten[#All],50,FALSE),0)*Referentieberekening!L15),0))</f>
        <v>0</v>
      </c>
      <c r="O158" s="93">
        <f>(IF(Referentieberekening!C15="Bestaande Situatie",(_xlfn.IFNA(VLOOKUP(Referentie_Fossiele_Energie_Totaal[[#This Row],[Product]]&amp;", "&amp;Referentie_Fossiele_Energie_Totaal[[#Headers],[D1]],Database_Productkaarten[#All],50,FALSE),0)*Referentieberekening!L15),0))</f>
        <v>0</v>
      </c>
      <c r="P158" s="94">
        <f>(IF(Referentieberekening!C15="Bestaande Situatie",_xlfn.IFNA(VLOOKUP(Referentie_Fossiele_Energie_Totaal[[#This Row],[Product]]&amp;", "&amp;Referentie_Fossiele_Energie_Totaal[[#Headers],[D2]],Database_Productkaarten[#All],50,FALSE),0)*Referentieberekening!L15,0))</f>
        <v>0</v>
      </c>
      <c r="Q158" s="72">
        <f>SUM(Referentie_Fossiele_Energie_Totaal[[#This Row],[A1]:[D2]])</f>
        <v>2184272.0294616683</v>
      </c>
    </row>
    <row r="159" spans="2:17" ht="18" x14ac:dyDescent="0.55000000000000004">
      <c r="B159" s="286" t="str">
        <f>Referentieberekening!B16</f>
        <v>Aanbrengen menggranulaat, dik 200 mm - fietspad.</v>
      </c>
      <c r="C159" s="92" t="str">
        <f>Referentieberekening!F16</f>
        <v>Menggranulaat 0/31,5</v>
      </c>
      <c r="D159" s="93">
        <f>(IF(Referentieberekening!C16="Nieuwe Situatie",(_xlfn.IFNA(VLOOKUP(Referentie_Fossiele_Energie_Totaal[[#This Row],[Product]]&amp;", "&amp;Referentie_Fossiele_Energie_Totaal[[#Headers],[A1]],Database_Productkaarten[#All],50,FALSE),0)*Referentieberekening!L16),0))</f>
        <v>0</v>
      </c>
      <c r="E159" s="93">
        <f>(IF(Referentieberekening!C16="Nieuwe Situatie",(_xlfn.IFNA(VLOOKUP(Referentie_Fossiele_Energie_Totaal[[#This Row],[Product]]&amp;", "&amp;Referentie_Fossiele_Energie_Totaal[[#Headers],[A2]],Database_Productkaarten[#All],50,FALSE),0)*Referentieberekening!L16),0))</f>
        <v>0</v>
      </c>
      <c r="F159" s="93">
        <f>(IF(Referentieberekening!C16="Nieuwe Situatie",(_xlfn.IFNA(VLOOKUP(Referentie_Fossiele_Energie_Totaal[[#This Row],[Product]]&amp;", "&amp;Referentie_Fossiele_Energie_Totaal[[#Headers],[A3]],Database_Productkaarten[#All],50,FALSE),0)*Referentieberekening!L16),0))</f>
        <v>0</v>
      </c>
      <c r="G159" s="93">
        <f>IF(Referentieberekening!P16=0,(IF(Referentieberekening!C16="Nieuwe Situatie",(_xlfn.IFNA(VLOOKUP(Referentie_Fossiele_Energie_Totaal[[#This Row],[Product]]&amp;", "&amp;Referentie_Fossiele_Energie_Totaal[[#Headers],[A4]],Database_Productkaarten[#All],50,FALSE),0)*Referentieberekening!L16),0)),(IF(Inschrijfberekening!C17="Nieuwe Situatie",_xlfn.IFNA(VLOOKUP(Inschrijfberekening!K49,Database_Transport[#All],45,FALSE)*(Inschrijfberekening!K17*Inschrijfberekening!N17),0),0)))</f>
        <v>12620.212992000002</v>
      </c>
      <c r="H159" s="93">
        <f>(IF(Referentieberekening!C16="Nieuwe Situatie",(_xlfn.IFNA(VLOOKUP(Referentie_Fossiele_Energie_Totaal[[#This Row],[Product]]&amp;", "&amp;Referentie_Fossiele_Energie_Totaal[[#Headers],[A5]],Database_Productkaarten[#All],50,FALSE),0)*Referentieberekening!L16),0))</f>
        <v>1.2525937920976145</v>
      </c>
      <c r="I159" s="93">
        <f>(IF(Referentieberekening!C16="Nieuwe Situatie",(_xlfn.IFNA(VLOOKUP(Referentie_Fossiele_Energie_Totaal[[#This Row],[Product]]&amp;", "&amp;Referentie_Fossiele_Energie_Totaal[[#Headers],[B1]],Database_Productkaarten[#All],50,FALSE),0)*Referentieberekening!L16),0))</f>
        <v>0</v>
      </c>
      <c r="J159" s="93">
        <f>(IF(Referentieberekening!C16="Nieuwe Situatie",(SUM(Referentie_Fossiele_Energie_Totaal[[#This Row],[A1]:[B1]],Referentie_Fossiele_Energie_Totaal[[#This Row],[C1]:[D2]])*Referentieberekening!N16),0))</f>
        <v>0</v>
      </c>
      <c r="K159" s="93">
        <f>(IF(Referentieberekening!C16="Bestaande Situatie",(_xlfn.IFNA(VLOOKUP(Referentie_Fossiele_Energie_Totaal[[#This Row],[Product]]&amp;", "&amp;Referentie_Fossiele_Energie_Totaal[[#Headers],[C1]],Database_Productkaarten[#All],50,FALSE),0)*Referentieberekening!L16),0))</f>
        <v>0</v>
      </c>
      <c r="L159" s="93">
        <f>(IF(Referentieberekening!C16="Bestaande Situatie",(_xlfn.IFNA(VLOOKUP(Referentie_Fossiele_Energie_Totaal[[#This Row],[Product]]&amp;", "&amp;Referentie_Fossiele_Energie_Totaal[[#Headers],[C2]],Database_Productkaarten[#All],50,FALSE),0)*Referentieberekening!L16),0))</f>
        <v>0</v>
      </c>
      <c r="M159" s="93">
        <f>(IF(Referentieberekening!C16="Bestaande Situatie",(_xlfn.IFNA(VLOOKUP(Referentie_Fossiele_Energie_Totaal[[#This Row],[Product]]&amp;", "&amp;Referentie_Fossiele_Energie_Totaal[[#Headers],[C3]],Database_Productkaarten[#All],50,FALSE),0)*Referentieberekening!L16),0))</f>
        <v>0</v>
      </c>
      <c r="N159" s="93">
        <f>(IF(Referentieberekening!C16="Bestaande Situatie",(_xlfn.IFNA(VLOOKUP(Referentie_Fossiele_Energie_Totaal[[#This Row],[Product]]&amp;", "&amp;Referentie_Fossiele_Energie_Totaal[[#Headers],[C4]],Database_Productkaarten[#All],50,FALSE),0)*Referentieberekening!L16),0))</f>
        <v>0</v>
      </c>
      <c r="O159" s="93">
        <f>(IF(Referentieberekening!C16="Bestaande Situatie",(_xlfn.IFNA(VLOOKUP(Referentie_Fossiele_Energie_Totaal[[#This Row],[Product]]&amp;", "&amp;Referentie_Fossiele_Energie_Totaal[[#Headers],[D1]],Database_Productkaarten[#All],50,FALSE),0)*Referentieberekening!L16),0))</f>
        <v>0</v>
      </c>
      <c r="P159" s="94">
        <f>(IF(Referentieberekening!C16="Bestaande Situatie",_xlfn.IFNA(VLOOKUP(Referentie_Fossiele_Energie_Totaal[[#This Row],[Product]]&amp;", "&amp;Referentie_Fossiele_Energie_Totaal[[#Headers],[D2]],Database_Productkaarten[#All],50,FALSE),0)*Referentieberekening!L16,0))</f>
        <v>0</v>
      </c>
      <c r="Q159" s="72">
        <f>SUM(Referentie_Fossiele_Energie_Totaal[[#This Row],[A1]:[D2]])</f>
        <v>12621.465585792101</v>
      </c>
    </row>
    <row r="160" spans="2:17" ht="18" x14ac:dyDescent="0.55000000000000004">
      <c r="B160" s="286" t="str">
        <f>Referentieberekening!B17</f>
        <v>Aanbrengen onderlaag AC 16 base, dik 50 mm 275 m2.</v>
      </c>
      <c r="C160" s="92" t="str">
        <f>Referentieberekening!F17</f>
        <v>AC bin/base 50% PR - PCR 2.0</v>
      </c>
      <c r="D160" s="93">
        <f>(IF(Referentieberekening!C17="Nieuwe Situatie",(_xlfn.IFNA(VLOOKUP(Referentie_Fossiele_Energie_Totaal[[#This Row],[Product]]&amp;", "&amp;Referentie_Fossiele_Energie_Totaal[[#Headers],[A1]],Database_Productkaarten[#All],50,FALSE),0)*Referentieberekening!L17),0))</f>
        <v>38588.050582857999</v>
      </c>
      <c r="E160" s="93">
        <f>(IF(Referentieberekening!C17="Nieuwe Situatie",(_xlfn.IFNA(VLOOKUP(Referentie_Fossiele_Energie_Totaal[[#This Row],[Product]]&amp;", "&amp;Referentie_Fossiele_Energie_Totaal[[#Headers],[A2]],Database_Productkaarten[#All],50,FALSE),0)*Referentieberekening!L17),0))</f>
        <v>6031.27478834461</v>
      </c>
      <c r="F160" s="93">
        <f>(IF(Referentieberekening!C17="Nieuwe Situatie",(_xlfn.IFNA(VLOOKUP(Referentie_Fossiele_Energie_Totaal[[#This Row],[Product]]&amp;", "&amp;Referentie_Fossiele_Energie_Totaal[[#Headers],[A3]],Database_Productkaarten[#All],50,FALSE),0)*Referentieberekening!L17),0))</f>
        <v>14471.499081541495</v>
      </c>
      <c r="G160" s="93">
        <f>IF(Referentieberekening!P17=0,(IF(Referentieberekening!C17="Nieuwe Situatie",(_xlfn.IFNA(VLOOKUP(Referentie_Fossiele_Energie_Totaal[[#This Row],[Product]]&amp;", "&amp;Referentie_Fossiele_Energie_Totaal[[#Headers],[A4]],Database_Productkaarten[#All],50,FALSE),0)*Referentieberekening!L17),0)),(IF(Inschrijfberekening!C18="Nieuwe Situatie",_xlfn.IFNA(VLOOKUP(Inschrijfberekening!K50,Database_Transport[#All],45,FALSE)*(Inschrijfberekening!K18*Inschrijfberekening!N18),0),0)))</f>
        <v>2319.2787996000002</v>
      </c>
      <c r="H160" s="93">
        <f>(IF(Referentieberekening!C17="Nieuwe Situatie",(_xlfn.IFNA(VLOOKUP(Referentie_Fossiele_Energie_Totaal[[#This Row],[Product]]&amp;", "&amp;Referentie_Fossiele_Energie_Totaal[[#Headers],[A5]],Database_Productkaarten[#All],50,FALSE),0)*Referentieberekening!L17),0))</f>
        <v>538.16752253801246</v>
      </c>
      <c r="I160" s="93">
        <f>(IF(Referentieberekening!C17="Nieuwe Situatie",(_xlfn.IFNA(VLOOKUP(Referentie_Fossiele_Energie_Totaal[[#This Row],[Product]]&amp;", "&amp;Referentie_Fossiele_Energie_Totaal[[#Headers],[B1]],Database_Productkaarten[#All],50,FALSE),0)*Referentieberekening!L17),0))</f>
        <v>0</v>
      </c>
      <c r="J160" s="93">
        <f>(IF(Referentieberekening!C17="Nieuwe Situatie",(SUM(Referentie_Fossiele_Energie_Totaal[[#This Row],[A1]:[B1]],Referentie_Fossiele_Energie_Totaal[[#This Row],[C1]:[D2]])*Referentieberekening!N17),0))</f>
        <v>0</v>
      </c>
      <c r="K160" s="93">
        <f>(IF(Referentieberekening!C17="Bestaande Situatie",(_xlfn.IFNA(VLOOKUP(Referentie_Fossiele_Energie_Totaal[[#This Row],[Product]]&amp;", "&amp;Referentie_Fossiele_Energie_Totaal[[#Headers],[C1]],Database_Productkaarten[#All],50,FALSE),0)*Referentieberekening!L17),0))</f>
        <v>0</v>
      </c>
      <c r="L160" s="93">
        <f>(IF(Referentieberekening!C17="Bestaande Situatie",(_xlfn.IFNA(VLOOKUP(Referentie_Fossiele_Energie_Totaal[[#This Row],[Product]]&amp;", "&amp;Referentie_Fossiele_Energie_Totaal[[#Headers],[C2]],Database_Productkaarten[#All],50,FALSE),0)*Referentieberekening!L17),0))</f>
        <v>0</v>
      </c>
      <c r="M160" s="93">
        <f>(IF(Referentieberekening!C17="Bestaande Situatie",(_xlfn.IFNA(VLOOKUP(Referentie_Fossiele_Energie_Totaal[[#This Row],[Product]]&amp;", "&amp;Referentie_Fossiele_Energie_Totaal[[#Headers],[C3]],Database_Productkaarten[#All],50,FALSE),0)*Referentieberekening!L17),0))</f>
        <v>0</v>
      </c>
      <c r="N160" s="93">
        <f>(IF(Referentieberekening!C17="Bestaande Situatie",(_xlfn.IFNA(VLOOKUP(Referentie_Fossiele_Energie_Totaal[[#This Row],[Product]]&amp;", "&amp;Referentie_Fossiele_Energie_Totaal[[#Headers],[C4]],Database_Productkaarten[#All],50,FALSE),0)*Referentieberekening!L17),0))</f>
        <v>0</v>
      </c>
      <c r="O160" s="93">
        <f>(IF(Referentieberekening!C17="Bestaande Situatie",(_xlfn.IFNA(VLOOKUP(Referentie_Fossiele_Energie_Totaal[[#This Row],[Product]]&amp;", "&amp;Referentie_Fossiele_Energie_Totaal[[#Headers],[D1]],Database_Productkaarten[#All],50,FALSE),0)*Referentieberekening!L17),0))</f>
        <v>0</v>
      </c>
      <c r="P160" s="94">
        <f>(IF(Referentieberekening!C17="Bestaande Situatie",_xlfn.IFNA(VLOOKUP(Referentie_Fossiele_Energie_Totaal[[#This Row],[Product]]&amp;", "&amp;Referentie_Fossiele_Energie_Totaal[[#Headers],[D2]],Database_Productkaarten[#All],50,FALSE),0)*Referentieberekening!L17,0))</f>
        <v>0</v>
      </c>
      <c r="Q160" s="72">
        <f>SUM(Referentie_Fossiele_Energie_Totaal[[#This Row],[A1]:[D2]])</f>
        <v>61948.270774882105</v>
      </c>
    </row>
    <row r="161" spans="2:17" ht="18" x14ac:dyDescent="0.55000000000000004">
      <c r="B161" s="286" t="str">
        <f>Referentieberekening!B18</f>
        <v>Aanbrengen deklaag SMA-NL 8, dik 30 mm - 275 m2 (rood)</v>
      </c>
      <c r="C161" s="92" t="str">
        <f>Referentieberekening!F18</f>
        <v>AC surf rood, met blank bindmiddel - PCR 2.0</v>
      </c>
      <c r="D161" s="93">
        <f>(IF(Referentieberekening!C18="Nieuwe Situatie",(_xlfn.IFNA(VLOOKUP(Referentie_Fossiele_Energie_Totaal[[#This Row],[Product]]&amp;", "&amp;Referentie_Fossiele_Energie_Totaal[[#Headers],[A1]],Database_Productkaarten[#All],50,FALSE),0)*Referentieberekening!L18),0))</f>
        <v>113200.06727974791</v>
      </c>
      <c r="E161" s="93">
        <f>(IF(Referentieberekening!C18="Nieuwe Situatie",(_xlfn.IFNA(VLOOKUP(Referentie_Fossiele_Energie_Totaal[[#This Row],[Product]]&amp;", "&amp;Referentie_Fossiele_Energie_Totaal[[#Headers],[A2]],Database_Productkaarten[#All],50,FALSE),0)*Referentieberekening!L18),0))</f>
        <v>7476.90548524521</v>
      </c>
      <c r="F161" s="93">
        <f>(IF(Referentieberekening!C18="Nieuwe Situatie",(_xlfn.IFNA(VLOOKUP(Referentie_Fossiele_Energie_Totaal[[#This Row],[Product]]&amp;", "&amp;Referentie_Fossiele_Energie_Totaal[[#Headers],[A3]],Database_Productkaarten[#All],50,FALSE),0)*Referentieberekening!L18),0))</f>
        <v>8591.657460163513</v>
      </c>
      <c r="G161" s="93">
        <f>IF(Referentieberekening!P18=0,(IF(Referentieberekening!C18="Nieuwe Situatie",(_xlfn.IFNA(VLOOKUP(Referentie_Fossiele_Energie_Totaal[[#This Row],[Product]]&amp;", "&amp;Referentie_Fossiele_Energie_Totaal[[#Headers],[A4]],Database_Productkaarten[#All],50,FALSE),0)*Referentieberekening!L18),0)),(IF(Inschrijfberekening!C19="Nieuwe Situatie",_xlfn.IFNA(VLOOKUP(Inschrijfberekening!K51,Database_Transport[#All],45,FALSE)*(Inschrijfberekening!K19*Inschrijfberekening!N19),0),0)))</f>
        <v>1391.56727976</v>
      </c>
      <c r="H161" s="93">
        <f>(IF(Referentieberekening!C18="Nieuwe Situatie",(_xlfn.IFNA(VLOOKUP(Referentie_Fossiele_Energie_Totaal[[#This Row],[Product]]&amp;", "&amp;Referentie_Fossiele_Energie_Totaal[[#Headers],[A5]],Database_Productkaarten[#All],50,FALSE),0)*Referentieberekening!L18),0))</f>
        <v>585.25718163628585</v>
      </c>
      <c r="I161" s="93">
        <f>(IF(Referentieberekening!C18="Nieuwe Situatie",(_xlfn.IFNA(VLOOKUP(Referentie_Fossiele_Energie_Totaal[[#This Row],[Product]]&amp;", "&amp;Referentie_Fossiele_Energie_Totaal[[#Headers],[B1]],Database_Productkaarten[#All],50,FALSE),0)*Referentieberekening!L18),0))</f>
        <v>0</v>
      </c>
      <c r="J161" s="93">
        <f>(IF(Referentieberekening!C18="Nieuwe Situatie",(SUM(Referentie_Fossiele_Energie_Totaal[[#This Row],[A1]:[B1]],Referentie_Fossiele_Energie_Totaal[[#This Row],[C1]:[D2]])*Referentieberekening!N18),0))</f>
        <v>0</v>
      </c>
      <c r="K161" s="93">
        <f>(IF(Referentieberekening!C18="Bestaande Situatie",(_xlfn.IFNA(VLOOKUP(Referentie_Fossiele_Energie_Totaal[[#This Row],[Product]]&amp;", "&amp;Referentie_Fossiele_Energie_Totaal[[#Headers],[C1]],Database_Productkaarten[#All],50,FALSE),0)*Referentieberekening!L18),0))</f>
        <v>0</v>
      </c>
      <c r="L161" s="93">
        <f>(IF(Referentieberekening!C18="Bestaande Situatie",(_xlfn.IFNA(VLOOKUP(Referentie_Fossiele_Energie_Totaal[[#This Row],[Product]]&amp;", "&amp;Referentie_Fossiele_Energie_Totaal[[#Headers],[C2]],Database_Productkaarten[#All],50,FALSE),0)*Referentieberekening!L18),0))</f>
        <v>0</v>
      </c>
      <c r="M161" s="93">
        <f>(IF(Referentieberekening!C18="Bestaande Situatie",(_xlfn.IFNA(VLOOKUP(Referentie_Fossiele_Energie_Totaal[[#This Row],[Product]]&amp;", "&amp;Referentie_Fossiele_Energie_Totaal[[#Headers],[C3]],Database_Productkaarten[#All],50,FALSE),0)*Referentieberekening!L18),0))</f>
        <v>0</v>
      </c>
      <c r="N161" s="93">
        <f>(IF(Referentieberekening!C18="Bestaande Situatie",(_xlfn.IFNA(VLOOKUP(Referentie_Fossiele_Energie_Totaal[[#This Row],[Product]]&amp;", "&amp;Referentie_Fossiele_Energie_Totaal[[#Headers],[C4]],Database_Productkaarten[#All],50,FALSE),0)*Referentieberekening!L18),0))</f>
        <v>0</v>
      </c>
      <c r="O161" s="93">
        <f>(IF(Referentieberekening!C18="Bestaande Situatie",(_xlfn.IFNA(VLOOKUP(Referentie_Fossiele_Energie_Totaal[[#This Row],[Product]]&amp;", "&amp;Referentie_Fossiele_Energie_Totaal[[#Headers],[D1]],Database_Productkaarten[#All],50,FALSE),0)*Referentieberekening!L18),0))</f>
        <v>0</v>
      </c>
      <c r="P161" s="94">
        <f>(IF(Referentieberekening!C18="Bestaande Situatie",_xlfn.IFNA(VLOOKUP(Referentie_Fossiele_Energie_Totaal[[#This Row],[Product]]&amp;", "&amp;Referentie_Fossiele_Energie_Totaal[[#Headers],[D2]],Database_Productkaarten[#All],50,FALSE),0)*Referentieberekening!L18,0))</f>
        <v>0</v>
      </c>
      <c r="Q161" s="72">
        <f>SUM(Referentie_Fossiele_Energie_Totaal[[#This Row],[A1]:[D2]])</f>
        <v>131245.4546865529</v>
      </c>
    </row>
    <row r="162" spans="2:17" ht="18" x14ac:dyDescent="0.55000000000000004">
      <c r="B162" s="286" t="str">
        <f>Referentieberekening!B19</f>
        <v>Aanbrengen deklaag SMA-NL 8, dik 30 mm - 890 m2 (rood)</v>
      </c>
      <c r="C162" s="92" t="str">
        <f>Referentieberekening!F19</f>
        <v>AC surf rood, met blank bindmiddel - PCR 2.0</v>
      </c>
      <c r="D162" s="93">
        <f>(IF(Referentieberekening!C19="Nieuwe Situatie",(_xlfn.IFNA(VLOOKUP(Referentie_Fossiele_Energie_Totaal[[#This Row],[Product]]&amp;", "&amp;Referentie_Fossiele_Energie_Totaal[[#Headers],[A1]],Database_Productkaarten[#All],50,FALSE),0)*Referentieberekening!L19),0))</f>
        <v>366552.59881061228</v>
      </c>
      <c r="E162" s="93">
        <f>(IF(Referentieberekening!C19="Nieuwe Situatie",(_xlfn.IFNA(VLOOKUP(Referentie_Fossiele_Energie_Totaal[[#This Row],[Product]]&amp;", "&amp;Referentie_Fossiele_Energie_Totaal[[#Headers],[A2]],Database_Productkaarten[#All],50,FALSE),0)*Referentieberekening!L19),0))</f>
        <v>24210.932047460679</v>
      </c>
      <c r="F162" s="93">
        <f>(IF(Referentieberekening!C19="Nieuwe Situatie",(_xlfn.IFNA(VLOOKUP(Referentie_Fossiele_Energie_Totaal[[#This Row],[Product]]&amp;", "&amp;Referentie_Fossiele_Energie_Totaal[[#Headers],[A3]],Database_Productkaarten[#All],50,FALSE),0)*Referentieberekening!L19),0))</f>
        <v>27820.605109100899</v>
      </c>
      <c r="G162" s="93">
        <f>IF(Referentieberekening!P19=0,(IF(Referentieberekening!C19="Nieuwe Situatie",(_xlfn.IFNA(VLOOKUP(Referentie_Fossiele_Energie_Totaal[[#This Row],[Product]]&amp;", "&amp;Referentie_Fossiele_Energie_Totaal[[#Headers],[A4]],Database_Productkaarten[#All],50,FALSE),0)*Referentieberekening!L19),0)),(IF(Inschrijfberekening!C20="Nieuwe Situatie",_xlfn.IFNA(VLOOKUP(Inschrijfberekening!K52,Database_Transport[#All],45,FALSE)*(Inschrijfberekening!K20*Inschrijfberekening!N20),0),0)))</f>
        <v>4506.0273820800003</v>
      </c>
      <c r="H162" s="93">
        <f>(IF(Referentieberekening!C19="Nieuwe Situatie",(_xlfn.IFNA(VLOOKUP(Referentie_Fossiele_Energie_Totaal[[#This Row],[Product]]&amp;", "&amp;Referentie_Fossiele_Energie_Totaal[[#Headers],[A5]],Database_Productkaarten[#All],50,FALSE),0)*Referentieberekening!L19),0))</f>
        <v>1895.1184929174972</v>
      </c>
      <c r="I162" s="93">
        <f>(IF(Referentieberekening!C19="Nieuwe Situatie",(_xlfn.IFNA(VLOOKUP(Referentie_Fossiele_Energie_Totaal[[#This Row],[Product]]&amp;", "&amp;Referentie_Fossiele_Energie_Totaal[[#Headers],[B1]],Database_Productkaarten[#All],50,FALSE),0)*Referentieberekening!L19),0))</f>
        <v>0</v>
      </c>
      <c r="J162" s="93">
        <f>(IF(Referentieberekening!C19="Nieuwe Situatie",(SUM(Referentie_Fossiele_Energie_Totaal[[#This Row],[A1]:[B1]],Referentie_Fossiele_Energie_Totaal[[#This Row],[C1]:[D2]])*Referentieberekening!N19),0))</f>
        <v>0</v>
      </c>
      <c r="K162" s="93">
        <f>(IF(Referentieberekening!C19="Bestaande Situatie",(_xlfn.IFNA(VLOOKUP(Referentie_Fossiele_Energie_Totaal[[#This Row],[Product]]&amp;", "&amp;Referentie_Fossiele_Energie_Totaal[[#Headers],[C1]],Database_Productkaarten[#All],50,FALSE),0)*Referentieberekening!L19),0))</f>
        <v>0</v>
      </c>
      <c r="L162" s="93">
        <f>(IF(Referentieberekening!C19="Bestaande Situatie",(_xlfn.IFNA(VLOOKUP(Referentie_Fossiele_Energie_Totaal[[#This Row],[Product]]&amp;", "&amp;Referentie_Fossiele_Energie_Totaal[[#Headers],[C2]],Database_Productkaarten[#All],50,FALSE),0)*Referentieberekening!L19),0))</f>
        <v>0</v>
      </c>
      <c r="M162" s="93">
        <f>(IF(Referentieberekening!C19="Bestaande Situatie",(_xlfn.IFNA(VLOOKUP(Referentie_Fossiele_Energie_Totaal[[#This Row],[Product]]&amp;", "&amp;Referentie_Fossiele_Energie_Totaal[[#Headers],[C3]],Database_Productkaarten[#All],50,FALSE),0)*Referentieberekening!L19),0))</f>
        <v>0</v>
      </c>
      <c r="N162" s="93">
        <f>(IF(Referentieberekening!C19="Bestaande Situatie",(_xlfn.IFNA(VLOOKUP(Referentie_Fossiele_Energie_Totaal[[#This Row],[Product]]&amp;", "&amp;Referentie_Fossiele_Energie_Totaal[[#Headers],[C4]],Database_Productkaarten[#All],50,FALSE),0)*Referentieberekening!L19),0))</f>
        <v>0</v>
      </c>
      <c r="O162" s="93">
        <f>(IF(Referentieberekening!C19="Bestaande Situatie",(_xlfn.IFNA(VLOOKUP(Referentie_Fossiele_Energie_Totaal[[#This Row],[Product]]&amp;", "&amp;Referentie_Fossiele_Energie_Totaal[[#Headers],[D1]],Database_Productkaarten[#All],50,FALSE),0)*Referentieberekening!L19),0))</f>
        <v>0</v>
      </c>
      <c r="P162" s="94">
        <f>(IF(Referentieberekening!C19="Bestaande Situatie",_xlfn.IFNA(VLOOKUP(Referentie_Fossiele_Energie_Totaal[[#This Row],[Product]]&amp;", "&amp;Referentie_Fossiele_Energie_Totaal[[#Headers],[D2]],Database_Productkaarten[#All],50,FALSE),0)*Referentieberekening!L19,0))</f>
        <v>0</v>
      </c>
      <c r="Q162" s="72">
        <f>SUM(Referentie_Fossiele_Energie_Totaal[[#This Row],[A1]:[D2]])</f>
        <v>424985.28184217133</v>
      </c>
    </row>
    <row r="163" spans="2:17" ht="18" x14ac:dyDescent="0.55000000000000004">
      <c r="B163" s="286" t="str">
        <f>Referentieberekening!B20</f>
        <v>Aanbrengen betonbuis rond profiel, ø300 mm - HWA.</v>
      </c>
      <c r="C163" s="92" t="str">
        <f>Referentieberekening!F20</f>
        <v>Betonbuis 300 mm</v>
      </c>
      <c r="D163" s="93">
        <f>(IF(Referentieberekening!C20="Nieuwe Situatie",(_xlfn.IFNA(VLOOKUP(Referentie_Fossiele_Energie_Totaal[[#This Row],[Product]]&amp;", "&amp;Referentie_Fossiele_Energie_Totaal[[#Headers],[A1]],Database_Productkaarten[#All],50,FALSE),0)*Referentieberekening!L20),0))</f>
        <v>0</v>
      </c>
      <c r="E163" s="93">
        <f>(IF(Referentieberekening!C20="Nieuwe Situatie",(_xlfn.IFNA(VLOOKUP(Referentie_Fossiele_Energie_Totaal[[#This Row],[Product]]&amp;", "&amp;Referentie_Fossiele_Energie_Totaal[[#Headers],[A2]],Database_Productkaarten[#All],50,FALSE),0)*Referentieberekening!L20),0))</f>
        <v>0</v>
      </c>
      <c r="F163" s="93">
        <f>(IF(Referentieberekening!C20="Nieuwe Situatie",(_xlfn.IFNA(VLOOKUP(Referentie_Fossiele_Energie_Totaal[[#This Row],[Product]]&amp;", "&amp;Referentie_Fossiele_Energie_Totaal[[#Headers],[A3]],Database_Productkaarten[#All],50,FALSE),0)*Referentieberekening!L20),0))</f>
        <v>0</v>
      </c>
      <c r="G163" s="93">
        <f>IF(Referentieberekening!P20=0,(IF(Referentieberekening!C20="Nieuwe Situatie",(_xlfn.IFNA(VLOOKUP(Referentie_Fossiele_Energie_Totaal[[#This Row],[Product]]&amp;", "&amp;Referentie_Fossiele_Energie_Totaal[[#Headers],[A4]],Database_Productkaarten[#All],50,FALSE),0)*Referentieberekening!L20),0)),(IF(Inschrijfberekening!C21="Nieuwe Situatie",_xlfn.IFNA(VLOOKUP(Inschrijfberekening!K53,Database_Transport[#All],45,FALSE)*(Inschrijfberekening!K21*Inschrijfberekening!N21),0),0)))</f>
        <v>0</v>
      </c>
      <c r="H163" s="93">
        <f>(IF(Referentieberekening!C20="Nieuwe Situatie",(_xlfn.IFNA(VLOOKUP(Referentie_Fossiele_Energie_Totaal[[#This Row],[Product]]&amp;", "&amp;Referentie_Fossiele_Energie_Totaal[[#Headers],[A5]],Database_Productkaarten[#All],50,FALSE),0)*Referentieberekening!L20),0))</f>
        <v>0</v>
      </c>
      <c r="I163" s="93">
        <f>(IF(Referentieberekening!C20="Nieuwe Situatie",(_xlfn.IFNA(VLOOKUP(Referentie_Fossiele_Energie_Totaal[[#This Row],[Product]]&amp;", "&amp;Referentie_Fossiele_Energie_Totaal[[#Headers],[B1]],Database_Productkaarten[#All],50,FALSE),0)*Referentieberekening!L20),0))</f>
        <v>0</v>
      </c>
      <c r="J163" s="93">
        <f>(IF(Referentieberekening!C20="Nieuwe Situatie",(SUM(Referentie_Fossiele_Energie_Totaal[[#This Row],[A1]:[B1]],Referentie_Fossiele_Energie_Totaal[[#This Row],[C1]:[D2]])*Referentieberekening!N20),0))</f>
        <v>0</v>
      </c>
      <c r="K163" s="93">
        <f>(IF(Referentieberekening!C20="Bestaande Situatie",(_xlfn.IFNA(VLOOKUP(Referentie_Fossiele_Energie_Totaal[[#This Row],[Product]]&amp;", "&amp;Referentie_Fossiele_Energie_Totaal[[#Headers],[C1]],Database_Productkaarten[#All],50,FALSE),0)*Referentieberekening!L20),0))</f>
        <v>0</v>
      </c>
      <c r="L163" s="93">
        <f>(IF(Referentieberekening!C20="Bestaande Situatie",(_xlfn.IFNA(VLOOKUP(Referentie_Fossiele_Energie_Totaal[[#This Row],[Product]]&amp;", "&amp;Referentie_Fossiele_Energie_Totaal[[#Headers],[C2]],Database_Productkaarten[#All],50,FALSE),0)*Referentieberekening!L20),0))</f>
        <v>0</v>
      </c>
      <c r="M163" s="93">
        <f>(IF(Referentieberekening!C20="Bestaande Situatie",(_xlfn.IFNA(VLOOKUP(Referentie_Fossiele_Energie_Totaal[[#This Row],[Product]]&amp;", "&amp;Referentie_Fossiele_Energie_Totaal[[#Headers],[C3]],Database_Productkaarten[#All],50,FALSE),0)*Referentieberekening!L20),0))</f>
        <v>0</v>
      </c>
      <c r="N163" s="93">
        <f>(IF(Referentieberekening!C20="Bestaande Situatie",(_xlfn.IFNA(VLOOKUP(Referentie_Fossiele_Energie_Totaal[[#This Row],[Product]]&amp;", "&amp;Referentie_Fossiele_Energie_Totaal[[#Headers],[C4]],Database_Productkaarten[#All],50,FALSE),0)*Referentieberekening!L20),0))</f>
        <v>0</v>
      </c>
      <c r="O163" s="93">
        <f>(IF(Referentieberekening!C20="Bestaande Situatie",(_xlfn.IFNA(VLOOKUP(Referentie_Fossiele_Energie_Totaal[[#This Row],[Product]]&amp;", "&amp;Referentie_Fossiele_Energie_Totaal[[#Headers],[D1]],Database_Productkaarten[#All],50,FALSE),0)*Referentieberekening!L20),0))</f>
        <v>0</v>
      </c>
      <c r="P163" s="94">
        <f>(IF(Referentieberekening!C20="Bestaande Situatie",_xlfn.IFNA(VLOOKUP(Referentie_Fossiele_Energie_Totaal[[#This Row],[Product]]&amp;", "&amp;Referentie_Fossiele_Energie_Totaal[[#Headers],[D2]],Database_Productkaarten[#All],50,FALSE),0)*Referentieberekening!L20,0))</f>
        <v>0</v>
      </c>
      <c r="Q163" s="72">
        <f>SUM(Referentie_Fossiele_Energie_Totaal[[#This Row],[A1]:[D2]])</f>
        <v>0</v>
      </c>
    </row>
    <row r="164" spans="2:17" ht="18" x14ac:dyDescent="0.55000000000000004">
      <c r="B164" s="286" t="str">
        <f>Referentieberekening!B21</f>
        <v>Aanbrengen betonbuis rond profiel, ø500 mm - HWA.</v>
      </c>
      <c r="C164" s="92" t="str">
        <f>Referentieberekening!F21</f>
        <v>Betonbuis 500 mm</v>
      </c>
      <c r="D164" s="93">
        <f>(IF(Referentieberekening!C21="Nieuwe Situatie",(_xlfn.IFNA(VLOOKUP(Referentie_Fossiele_Energie_Totaal[[#This Row],[Product]]&amp;", "&amp;Referentie_Fossiele_Energie_Totaal[[#Headers],[A1]],Database_Productkaarten[#All],50,FALSE),0)*Referentieberekening!L21),0))</f>
        <v>0</v>
      </c>
      <c r="E164" s="93">
        <f>(IF(Referentieberekening!C21="Nieuwe Situatie",(_xlfn.IFNA(VLOOKUP(Referentie_Fossiele_Energie_Totaal[[#This Row],[Product]]&amp;", "&amp;Referentie_Fossiele_Energie_Totaal[[#Headers],[A2]],Database_Productkaarten[#All],50,FALSE),0)*Referentieberekening!L21),0))</f>
        <v>0</v>
      </c>
      <c r="F164" s="93">
        <f>(IF(Referentieberekening!C21="Nieuwe Situatie",(_xlfn.IFNA(VLOOKUP(Referentie_Fossiele_Energie_Totaal[[#This Row],[Product]]&amp;", "&amp;Referentie_Fossiele_Energie_Totaal[[#Headers],[A3]],Database_Productkaarten[#All],50,FALSE),0)*Referentieberekening!L21),0))</f>
        <v>0</v>
      </c>
      <c r="G164" s="93">
        <f>IF(Referentieberekening!P21=0,(IF(Referentieberekening!C21="Nieuwe Situatie",(_xlfn.IFNA(VLOOKUP(Referentie_Fossiele_Energie_Totaal[[#This Row],[Product]]&amp;", "&amp;Referentie_Fossiele_Energie_Totaal[[#Headers],[A4]],Database_Productkaarten[#All],50,FALSE),0)*Referentieberekening!L21),0)),(IF(Inschrijfberekening!C22="Nieuwe Situatie",_xlfn.IFNA(VLOOKUP(Inschrijfberekening!K54,Database_Transport[#All],45,FALSE)*(Inschrijfberekening!K22*Inschrijfberekening!N22),0),0)))</f>
        <v>0</v>
      </c>
      <c r="H164" s="93">
        <f>(IF(Referentieberekening!C21="Nieuwe Situatie",(_xlfn.IFNA(VLOOKUP(Referentie_Fossiele_Energie_Totaal[[#This Row],[Product]]&amp;", "&amp;Referentie_Fossiele_Energie_Totaal[[#Headers],[A5]],Database_Productkaarten[#All],50,FALSE),0)*Referentieberekening!L21),0))</f>
        <v>0</v>
      </c>
      <c r="I164" s="93">
        <f>(IF(Referentieberekening!C21="Nieuwe Situatie",(_xlfn.IFNA(VLOOKUP(Referentie_Fossiele_Energie_Totaal[[#This Row],[Product]]&amp;", "&amp;Referentie_Fossiele_Energie_Totaal[[#Headers],[B1]],Database_Productkaarten[#All],50,FALSE),0)*Referentieberekening!L21),0))</f>
        <v>0</v>
      </c>
      <c r="J164" s="93">
        <f>(IF(Referentieberekening!C21="Nieuwe Situatie",(SUM(Referentie_Fossiele_Energie_Totaal[[#This Row],[A1]:[B1]],Referentie_Fossiele_Energie_Totaal[[#This Row],[C1]:[D2]])*Referentieberekening!N21),0))</f>
        <v>0</v>
      </c>
      <c r="K164" s="93">
        <f>(IF(Referentieberekening!C21="Bestaande Situatie",(_xlfn.IFNA(VLOOKUP(Referentie_Fossiele_Energie_Totaal[[#This Row],[Product]]&amp;", "&amp;Referentie_Fossiele_Energie_Totaal[[#Headers],[C1]],Database_Productkaarten[#All],50,FALSE),0)*Referentieberekening!L21),0))</f>
        <v>0</v>
      </c>
      <c r="L164" s="93">
        <f>(IF(Referentieberekening!C21="Bestaande Situatie",(_xlfn.IFNA(VLOOKUP(Referentie_Fossiele_Energie_Totaal[[#This Row],[Product]]&amp;", "&amp;Referentie_Fossiele_Energie_Totaal[[#Headers],[C2]],Database_Productkaarten[#All],50,FALSE),0)*Referentieberekening!L21),0))</f>
        <v>0</v>
      </c>
      <c r="M164" s="93">
        <f>(IF(Referentieberekening!C21="Bestaande Situatie",(_xlfn.IFNA(VLOOKUP(Referentie_Fossiele_Energie_Totaal[[#This Row],[Product]]&amp;", "&amp;Referentie_Fossiele_Energie_Totaal[[#Headers],[C3]],Database_Productkaarten[#All],50,FALSE),0)*Referentieberekening!L21),0))</f>
        <v>0</v>
      </c>
      <c r="N164" s="93">
        <f>(IF(Referentieberekening!C21="Bestaande Situatie",(_xlfn.IFNA(VLOOKUP(Referentie_Fossiele_Energie_Totaal[[#This Row],[Product]]&amp;", "&amp;Referentie_Fossiele_Energie_Totaal[[#Headers],[C4]],Database_Productkaarten[#All],50,FALSE),0)*Referentieberekening!L21),0))</f>
        <v>0</v>
      </c>
      <c r="O164" s="93">
        <f>(IF(Referentieberekening!C21="Bestaande Situatie",(_xlfn.IFNA(VLOOKUP(Referentie_Fossiele_Energie_Totaal[[#This Row],[Product]]&amp;", "&amp;Referentie_Fossiele_Energie_Totaal[[#Headers],[D1]],Database_Productkaarten[#All],50,FALSE),0)*Referentieberekening!L21),0))</f>
        <v>0</v>
      </c>
      <c r="P164" s="94">
        <f>(IF(Referentieberekening!C21="Bestaande Situatie",_xlfn.IFNA(VLOOKUP(Referentie_Fossiele_Energie_Totaal[[#This Row],[Product]]&amp;", "&amp;Referentie_Fossiele_Energie_Totaal[[#Headers],[D2]],Database_Productkaarten[#All],50,FALSE),0)*Referentieberekening!L21,0))</f>
        <v>0</v>
      </c>
      <c r="Q164" s="72">
        <f>SUM(Referentie_Fossiele_Energie_Totaal[[#This Row],[A1]:[D2]])</f>
        <v>0</v>
      </c>
    </row>
    <row r="165" spans="2:17" ht="18" x14ac:dyDescent="0.55000000000000004">
      <c r="B165" s="286" t="str">
        <f>Referentieberekening!B22</f>
        <v>Aanbrengen betonbuis rond profiel, ø700 mm - HWA.</v>
      </c>
      <c r="C165" s="92" t="str">
        <f>Referentieberekening!F22</f>
        <v>Betonbuis 800 mm</v>
      </c>
      <c r="D165" s="93">
        <f>(IF(Referentieberekening!C22="Nieuwe Situatie",(_xlfn.IFNA(VLOOKUP(Referentie_Fossiele_Energie_Totaal[[#This Row],[Product]]&amp;", "&amp;Referentie_Fossiele_Energie_Totaal[[#Headers],[A1]],Database_Productkaarten[#All],50,FALSE),0)*Referentieberekening!L22),0))</f>
        <v>0</v>
      </c>
      <c r="E165" s="93">
        <f>(IF(Referentieberekening!C22="Nieuwe Situatie",(_xlfn.IFNA(VLOOKUP(Referentie_Fossiele_Energie_Totaal[[#This Row],[Product]]&amp;", "&amp;Referentie_Fossiele_Energie_Totaal[[#Headers],[A2]],Database_Productkaarten[#All],50,FALSE),0)*Referentieberekening!L22),0))</f>
        <v>0</v>
      </c>
      <c r="F165" s="93">
        <f>(IF(Referentieberekening!C22="Nieuwe Situatie",(_xlfn.IFNA(VLOOKUP(Referentie_Fossiele_Energie_Totaal[[#This Row],[Product]]&amp;", "&amp;Referentie_Fossiele_Energie_Totaal[[#Headers],[A3]],Database_Productkaarten[#All],50,FALSE),0)*Referentieberekening!L22),0))</f>
        <v>0</v>
      </c>
      <c r="G165" s="93">
        <f>IF(Referentieberekening!P22=0,(IF(Referentieberekening!C22="Nieuwe Situatie",(_xlfn.IFNA(VLOOKUP(Referentie_Fossiele_Energie_Totaal[[#This Row],[Product]]&amp;", "&amp;Referentie_Fossiele_Energie_Totaal[[#Headers],[A4]],Database_Productkaarten[#All],50,FALSE),0)*Referentieberekening!L22),0)),(IF(Inschrijfberekening!C23="Nieuwe Situatie",_xlfn.IFNA(VLOOKUP(Inschrijfberekening!K55,Database_Transport[#All],45,FALSE)*(Inschrijfberekening!K23*Inschrijfberekening!N23),0),0)))</f>
        <v>0</v>
      </c>
      <c r="H165" s="93">
        <f>(IF(Referentieberekening!C22="Nieuwe Situatie",(_xlfn.IFNA(VLOOKUP(Referentie_Fossiele_Energie_Totaal[[#This Row],[Product]]&amp;", "&amp;Referentie_Fossiele_Energie_Totaal[[#Headers],[A5]],Database_Productkaarten[#All],50,FALSE),0)*Referentieberekening!L22),0))</f>
        <v>0</v>
      </c>
      <c r="I165" s="93">
        <f>(IF(Referentieberekening!C22="Nieuwe Situatie",(_xlfn.IFNA(VLOOKUP(Referentie_Fossiele_Energie_Totaal[[#This Row],[Product]]&amp;", "&amp;Referentie_Fossiele_Energie_Totaal[[#Headers],[B1]],Database_Productkaarten[#All],50,FALSE),0)*Referentieberekening!L22),0))</f>
        <v>0</v>
      </c>
      <c r="J165" s="93">
        <f>(IF(Referentieberekening!C22="Nieuwe Situatie",(SUM(Referentie_Fossiele_Energie_Totaal[[#This Row],[A1]:[B1]],Referentie_Fossiele_Energie_Totaal[[#This Row],[C1]:[D2]])*Referentieberekening!N22),0))</f>
        <v>0</v>
      </c>
      <c r="K165" s="93">
        <f>(IF(Referentieberekening!C22="Bestaande Situatie",(_xlfn.IFNA(VLOOKUP(Referentie_Fossiele_Energie_Totaal[[#This Row],[Product]]&amp;", "&amp;Referentie_Fossiele_Energie_Totaal[[#Headers],[C1]],Database_Productkaarten[#All],50,FALSE),0)*Referentieberekening!L22),0))</f>
        <v>0</v>
      </c>
      <c r="L165" s="93">
        <f>(IF(Referentieberekening!C22="Bestaande Situatie",(_xlfn.IFNA(VLOOKUP(Referentie_Fossiele_Energie_Totaal[[#This Row],[Product]]&amp;", "&amp;Referentie_Fossiele_Energie_Totaal[[#Headers],[C2]],Database_Productkaarten[#All],50,FALSE),0)*Referentieberekening!L22),0))</f>
        <v>0</v>
      </c>
      <c r="M165" s="93">
        <f>(IF(Referentieberekening!C22="Bestaande Situatie",(_xlfn.IFNA(VLOOKUP(Referentie_Fossiele_Energie_Totaal[[#This Row],[Product]]&amp;", "&amp;Referentie_Fossiele_Energie_Totaal[[#Headers],[C3]],Database_Productkaarten[#All],50,FALSE),0)*Referentieberekening!L22),0))</f>
        <v>0</v>
      </c>
      <c r="N165" s="93">
        <f>(IF(Referentieberekening!C22="Bestaande Situatie",(_xlfn.IFNA(VLOOKUP(Referentie_Fossiele_Energie_Totaal[[#This Row],[Product]]&amp;", "&amp;Referentie_Fossiele_Energie_Totaal[[#Headers],[C4]],Database_Productkaarten[#All],50,FALSE),0)*Referentieberekening!L22),0))</f>
        <v>0</v>
      </c>
      <c r="O165" s="93">
        <f>(IF(Referentieberekening!C22="Bestaande Situatie",(_xlfn.IFNA(VLOOKUP(Referentie_Fossiele_Energie_Totaal[[#This Row],[Product]]&amp;", "&amp;Referentie_Fossiele_Energie_Totaal[[#Headers],[D1]],Database_Productkaarten[#All],50,FALSE),0)*Referentieberekening!L22),0))</f>
        <v>0</v>
      </c>
      <c r="P165" s="94">
        <f>(IF(Referentieberekening!C22="Bestaande Situatie",_xlfn.IFNA(VLOOKUP(Referentie_Fossiele_Energie_Totaal[[#This Row],[Product]]&amp;", "&amp;Referentie_Fossiele_Energie_Totaal[[#Headers],[D2]],Database_Productkaarten[#All],50,FALSE),0)*Referentieberekening!L22,0))</f>
        <v>0</v>
      </c>
      <c r="Q165" s="72">
        <f>SUM(Referentie_Fossiele_Energie_Totaal[[#This Row],[A1]:[D2]])</f>
        <v>0</v>
      </c>
    </row>
    <row r="166" spans="2:17" ht="18" x14ac:dyDescent="0.55000000000000004">
      <c r="B166" s="286" t="str">
        <f>Referentieberekening!B23</f>
        <v>Aanbrengen betonbuis rond profiel, ø1000 mm - HWA.</v>
      </c>
      <c r="C166" s="92" t="str">
        <f>Referentieberekening!F23</f>
        <v>Betonbuis 1000 mm</v>
      </c>
      <c r="D166" s="93">
        <f>(IF(Referentieberekening!C23="Nieuwe Situatie",(_xlfn.IFNA(VLOOKUP(Referentie_Fossiele_Energie_Totaal[[#This Row],[Product]]&amp;", "&amp;Referentie_Fossiele_Energie_Totaal[[#Headers],[A1]],Database_Productkaarten[#All],50,FALSE),0)*Referentieberekening!L23),0))</f>
        <v>0</v>
      </c>
      <c r="E166" s="93">
        <f>(IF(Referentieberekening!C23="Nieuwe Situatie",(_xlfn.IFNA(VLOOKUP(Referentie_Fossiele_Energie_Totaal[[#This Row],[Product]]&amp;", "&amp;Referentie_Fossiele_Energie_Totaal[[#Headers],[A2]],Database_Productkaarten[#All],50,FALSE),0)*Referentieberekening!L23),0))</f>
        <v>0</v>
      </c>
      <c r="F166" s="93">
        <f>(IF(Referentieberekening!C23="Nieuwe Situatie",(_xlfn.IFNA(VLOOKUP(Referentie_Fossiele_Energie_Totaal[[#This Row],[Product]]&amp;", "&amp;Referentie_Fossiele_Energie_Totaal[[#Headers],[A3]],Database_Productkaarten[#All],50,FALSE),0)*Referentieberekening!L23),0))</f>
        <v>0</v>
      </c>
      <c r="G166" s="93">
        <f>IF(Referentieberekening!P23=0,(IF(Referentieberekening!C23="Nieuwe Situatie",(_xlfn.IFNA(VLOOKUP(Referentie_Fossiele_Energie_Totaal[[#This Row],[Product]]&amp;", "&amp;Referentie_Fossiele_Energie_Totaal[[#Headers],[A4]],Database_Productkaarten[#All],50,FALSE),0)*Referentieberekening!L23),0)),(IF(Inschrijfberekening!C24="Nieuwe Situatie",_xlfn.IFNA(VLOOKUP(Inschrijfberekening!K56,Database_Transport[#All],45,FALSE)*(Inschrijfberekening!K24*Inschrijfberekening!N24),0),0)))</f>
        <v>0</v>
      </c>
      <c r="H166" s="93">
        <f>(IF(Referentieberekening!C23="Nieuwe Situatie",(_xlfn.IFNA(VLOOKUP(Referentie_Fossiele_Energie_Totaal[[#This Row],[Product]]&amp;", "&amp;Referentie_Fossiele_Energie_Totaal[[#Headers],[A5]],Database_Productkaarten[#All],50,FALSE),0)*Referentieberekening!L23),0))</f>
        <v>0</v>
      </c>
      <c r="I166" s="93">
        <f>(IF(Referentieberekening!C23="Nieuwe Situatie",(_xlfn.IFNA(VLOOKUP(Referentie_Fossiele_Energie_Totaal[[#This Row],[Product]]&amp;", "&amp;Referentie_Fossiele_Energie_Totaal[[#Headers],[B1]],Database_Productkaarten[#All],50,FALSE),0)*Referentieberekening!L23),0))</f>
        <v>0</v>
      </c>
      <c r="J166" s="93">
        <f>(IF(Referentieberekening!C23="Nieuwe Situatie",(SUM(Referentie_Fossiele_Energie_Totaal[[#This Row],[A1]:[B1]],Referentie_Fossiele_Energie_Totaal[[#This Row],[C1]:[D2]])*Referentieberekening!N23),0))</f>
        <v>0</v>
      </c>
      <c r="K166" s="93">
        <f>(IF(Referentieberekening!C23="Bestaande Situatie",(_xlfn.IFNA(VLOOKUP(Referentie_Fossiele_Energie_Totaal[[#This Row],[Product]]&amp;", "&amp;Referentie_Fossiele_Energie_Totaal[[#Headers],[C1]],Database_Productkaarten[#All],50,FALSE),0)*Referentieberekening!L23),0))</f>
        <v>0</v>
      </c>
      <c r="L166" s="93">
        <f>(IF(Referentieberekening!C23="Bestaande Situatie",(_xlfn.IFNA(VLOOKUP(Referentie_Fossiele_Energie_Totaal[[#This Row],[Product]]&amp;", "&amp;Referentie_Fossiele_Energie_Totaal[[#Headers],[C2]],Database_Productkaarten[#All],50,FALSE),0)*Referentieberekening!L23),0))</f>
        <v>0</v>
      </c>
      <c r="M166" s="93">
        <f>(IF(Referentieberekening!C23="Bestaande Situatie",(_xlfn.IFNA(VLOOKUP(Referentie_Fossiele_Energie_Totaal[[#This Row],[Product]]&amp;", "&amp;Referentie_Fossiele_Energie_Totaal[[#Headers],[C3]],Database_Productkaarten[#All],50,FALSE),0)*Referentieberekening!L23),0))</f>
        <v>0</v>
      </c>
      <c r="N166" s="93">
        <f>(IF(Referentieberekening!C23="Bestaande Situatie",(_xlfn.IFNA(VLOOKUP(Referentie_Fossiele_Energie_Totaal[[#This Row],[Product]]&amp;", "&amp;Referentie_Fossiele_Energie_Totaal[[#Headers],[C4]],Database_Productkaarten[#All],50,FALSE),0)*Referentieberekening!L23),0))</f>
        <v>0</v>
      </c>
      <c r="O166" s="93">
        <f>(IF(Referentieberekening!C23="Bestaande Situatie",(_xlfn.IFNA(VLOOKUP(Referentie_Fossiele_Energie_Totaal[[#This Row],[Product]]&amp;", "&amp;Referentie_Fossiele_Energie_Totaal[[#Headers],[D1]],Database_Productkaarten[#All],50,FALSE),0)*Referentieberekening!L23),0))</f>
        <v>0</v>
      </c>
      <c r="P166" s="94">
        <f>(IF(Referentieberekening!C23="Bestaande Situatie",_xlfn.IFNA(VLOOKUP(Referentie_Fossiele_Energie_Totaal[[#This Row],[Product]]&amp;", "&amp;Referentie_Fossiele_Energie_Totaal[[#Headers],[D2]],Database_Productkaarten[#All],50,FALSE),0)*Referentieberekening!L23,0))</f>
        <v>0</v>
      </c>
      <c r="Q166" s="72">
        <f>SUM(Referentie_Fossiele_Energie_Totaal[[#This Row],[A1]:[D2]])</f>
        <v>0</v>
      </c>
    </row>
    <row r="167" spans="2:17" ht="18" x14ac:dyDescent="0.55000000000000004">
      <c r="B167" s="286" t="str">
        <f>Referentieberekening!B24</f>
        <v>Aanbrengen drainage rioolsleuf PP ø 125 mm.</v>
      </c>
      <c r="C167" s="92" t="str">
        <f>Referentieberekening!F24</f>
        <v>PP Drainbuis 125 mm</v>
      </c>
      <c r="D167" s="93">
        <f>(IF(Referentieberekening!C24="Nieuwe Situatie",(_xlfn.IFNA(VLOOKUP(Referentie_Fossiele_Energie_Totaal[[#This Row],[Product]]&amp;", "&amp;Referentie_Fossiele_Energie_Totaal[[#Headers],[A1]],Database_Productkaarten[#All],50,FALSE),0)*Referentieberekening!L24),0))</f>
        <v>0</v>
      </c>
      <c r="E167" s="93">
        <f>(IF(Referentieberekening!C24="Nieuwe Situatie",(_xlfn.IFNA(VLOOKUP(Referentie_Fossiele_Energie_Totaal[[#This Row],[Product]]&amp;", "&amp;Referentie_Fossiele_Energie_Totaal[[#Headers],[A2]],Database_Productkaarten[#All],50,FALSE),0)*Referentieberekening!L24),0))</f>
        <v>0</v>
      </c>
      <c r="F167" s="93">
        <f>(IF(Referentieberekening!C24="Nieuwe Situatie",(_xlfn.IFNA(VLOOKUP(Referentie_Fossiele_Energie_Totaal[[#This Row],[Product]]&amp;", "&amp;Referentie_Fossiele_Energie_Totaal[[#Headers],[A3]],Database_Productkaarten[#All],50,FALSE),0)*Referentieberekening!L24),0))</f>
        <v>0</v>
      </c>
      <c r="G167" s="93">
        <f>IF(Referentieberekening!P24=0,(IF(Referentieberekening!C24="Nieuwe Situatie",(_xlfn.IFNA(VLOOKUP(Referentie_Fossiele_Energie_Totaal[[#This Row],[Product]]&amp;", "&amp;Referentie_Fossiele_Energie_Totaal[[#Headers],[A4]],Database_Productkaarten[#All],50,FALSE),0)*Referentieberekening!L24),0)),(IF(Inschrijfberekening!C25="Nieuwe Situatie",_xlfn.IFNA(VLOOKUP(Inschrijfberekening!K57,Database_Transport[#All],45,FALSE)*(Inschrijfberekening!K25*Inschrijfberekening!N25),0),0)))</f>
        <v>0</v>
      </c>
      <c r="H167" s="93">
        <f>(IF(Referentieberekening!C24="Nieuwe Situatie",(_xlfn.IFNA(VLOOKUP(Referentie_Fossiele_Energie_Totaal[[#This Row],[Product]]&amp;", "&amp;Referentie_Fossiele_Energie_Totaal[[#Headers],[A5]],Database_Productkaarten[#All],50,FALSE),0)*Referentieberekening!L24),0))</f>
        <v>0</v>
      </c>
      <c r="I167" s="93">
        <f>(IF(Referentieberekening!C24="Nieuwe Situatie",(_xlfn.IFNA(VLOOKUP(Referentie_Fossiele_Energie_Totaal[[#This Row],[Product]]&amp;", "&amp;Referentie_Fossiele_Energie_Totaal[[#Headers],[B1]],Database_Productkaarten[#All],50,FALSE),0)*Referentieberekening!L24),0))</f>
        <v>0</v>
      </c>
      <c r="J167" s="93">
        <f>(IF(Referentieberekening!C24="Nieuwe Situatie",(SUM(Referentie_Fossiele_Energie_Totaal[[#This Row],[A1]:[B1]],Referentie_Fossiele_Energie_Totaal[[#This Row],[C1]:[D2]])*Referentieberekening!N24),0))</f>
        <v>0</v>
      </c>
      <c r="K167" s="93">
        <f>(IF(Referentieberekening!C24="Bestaande Situatie",(_xlfn.IFNA(VLOOKUP(Referentie_Fossiele_Energie_Totaal[[#This Row],[Product]]&amp;", "&amp;Referentie_Fossiele_Energie_Totaal[[#Headers],[C1]],Database_Productkaarten[#All],50,FALSE),0)*Referentieberekening!L24),0))</f>
        <v>0</v>
      </c>
      <c r="L167" s="93">
        <f>(IF(Referentieberekening!C24="Bestaande Situatie",(_xlfn.IFNA(VLOOKUP(Referentie_Fossiele_Energie_Totaal[[#This Row],[Product]]&amp;", "&amp;Referentie_Fossiele_Energie_Totaal[[#Headers],[C2]],Database_Productkaarten[#All],50,FALSE),0)*Referentieberekening!L24),0))</f>
        <v>0</v>
      </c>
      <c r="M167" s="93">
        <f>(IF(Referentieberekening!C24="Bestaande Situatie",(_xlfn.IFNA(VLOOKUP(Referentie_Fossiele_Energie_Totaal[[#This Row],[Product]]&amp;", "&amp;Referentie_Fossiele_Energie_Totaal[[#Headers],[C3]],Database_Productkaarten[#All],50,FALSE),0)*Referentieberekening!L24),0))</f>
        <v>0</v>
      </c>
      <c r="N167" s="93">
        <f>(IF(Referentieberekening!C24="Bestaande Situatie",(_xlfn.IFNA(VLOOKUP(Referentie_Fossiele_Energie_Totaal[[#This Row],[Product]]&amp;", "&amp;Referentie_Fossiele_Energie_Totaal[[#Headers],[C4]],Database_Productkaarten[#All],50,FALSE),0)*Referentieberekening!L24),0))</f>
        <v>0</v>
      </c>
      <c r="O167" s="93">
        <f>(IF(Referentieberekening!C24="Bestaande Situatie",(_xlfn.IFNA(VLOOKUP(Referentie_Fossiele_Energie_Totaal[[#This Row],[Product]]&amp;", "&amp;Referentie_Fossiele_Energie_Totaal[[#Headers],[D1]],Database_Productkaarten[#All],50,FALSE),0)*Referentieberekening!L24),0))</f>
        <v>0</v>
      </c>
      <c r="P167" s="94">
        <f>(IF(Referentieberekening!C24="Bestaande Situatie",_xlfn.IFNA(VLOOKUP(Referentie_Fossiele_Energie_Totaal[[#This Row],[Product]]&amp;", "&amp;Referentie_Fossiele_Energie_Totaal[[#Headers],[D2]],Database_Productkaarten[#All],50,FALSE),0)*Referentieberekening!L24,0))</f>
        <v>0</v>
      </c>
      <c r="Q167" s="72">
        <f>SUM(Referentie_Fossiele_Energie_Totaal[[#This Row],[A1]:[D2]])</f>
        <v>0</v>
      </c>
    </row>
    <row r="168" spans="2:17" ht="18" x14ac:dyDescent="0.55000000000000004">
      <c r="B168" s="286" t="str">
        <f>Referentieberekening!B25</f>
        <v>Aanbrengen betonbuis rond profiel, ø300 mm - DWA.</v>
      </c>
      <c r="C168" s="92" t="str">
        <f>Referentieberekening!F25</f>
        <v>Betonbuis 300 mm</v>
      </c>
      <c r="D168" s="93">
        <f>(IF(Referentieberekening!C25="Nieuwe Situatie",(_xlfn.IFNA(VLOOKUP(Referentie_Fossiele_Energie_Totaal[[#This Row],[Product]]&amp;", "&amp;Referentie_Fossiele_Energie_Totaal[[#Headers],[A1]],Database_Productkaarten[#All],50,FALSE),0)*Referentieberekening!L25),0))</f>
        <v>0</v>
      </c>
      <c r="E168" s="93">
        <f>(IF(Referentieberekening!C25="Nieuwe Situatie",(_xlfn.IFNA(VLOOKUP(Referentie_Fossiele_Energie_Totaal[[#This Row],[Product]]&amp;", "&amp;Referentie_Fossiele_Energie_Totaal[[#Headers],[A2]],Database_Productkaarten[#All],50,FALSE),0)*Referentieberekening!L25),0))</f>
        <v>0</v>
      </c>
      <c r="F168" s="93">
        <f>(IF(Referentieberekening!C25="Nieuwe Situatie",(_xlfn.IFNA(VLOOKUP(Referentie_Fossiele_Energie_Totaal[[#This Row],[Product]]&amp;", "&amp;Referentie_Fossiele_Energie_Totaal[[#Headers],[A3]],Database_Productkaarten[#All],50,FALSE),0)*Referentieberekening!L25),0))</f>
        <v>0</v>
      </c>
      <c r="G168" s="93">
        <f>IF(Referentieberekening!P25=0,(IF(Referentieberekening!C25="Nieuwe Situatie",(_xlfn.IFNA(VLOOKUP(Referentie_Fossiele_Energie_Totaal[[#This Row],[Product]]&amp;", "&amp;Referentie_Fossiele_Energie_Totaal[[#Headers],[A4]],Database_Productkaarten[#All],50,FALSE),0)*Referentieberekening!L25),0)),(IF(Inschrijfberekening!C26="Nieuwe Situatie",_xlfn.IFNA(VLOOKUP(Inschrijfberekening!K58,Database_Transport[#All],45,FALSE)*(Inschrijfberekening!K26*Inschrijfberekening!N26),0),0)))</f>
        <v>0</v>
      </c>
      <c r="H168" s="93">
        <f>(IF(Referentieberekening!C25="Nieuwe Situatie",(_xlfn.IFNA(VLOOKUP(Referentie_Fossiele_Energie_Totaal[[#This Row],[Product]]&amp;", "&amp;Referentie_Fossiele_Energie_Totaal[[#Headers],[A5]],Database_Productkaarten[#All],50,FALSE),0)*Referentieberekening!L25),0))</f>
        <v>0</v>
      </c>
      <c r="I168" s="93">
        <f>(IF(Referentieberekening!C25="Nieuwe Situatie",(_xlfn.IFNA(VLOOKUP(Referentie_Fossiele_Energie_Totaal[[#This Row],[Product]]&amp;", "&amp;Referentie_Fossiele_Energie_Totaal[[#Headers],[B1]],Database_Productkaarten[#All],50,FALSE),0)*Referentieberekening!L25),0))</f>
        <v>0</v>
      </c>
      <c r="J168" s="93">
        <f>(IF(Referentieberekening!C25="Nieuwe Situatie",(SUM(Referentie_Fossiele_Energie_Totaal[[#This Row],[A1]:[B1]],Referentie_Fossiele_Energie_Totaal[[#This Row],[C1]:[D2]])*Referentieberekening!N25),0))</f>
        <v>0</v>
      </c>
      <c r="K168" s="93">
        <f>(IF(Referentieberekening!C25="Bestaande Situatie",(_xlfn.IFNA(VLOOKUP(Referentie_Fossiele_Energie_Totaal[[#This Row],[Product]]&amp;", "&amp;Referentie_Fossiele_Energie_Totaal[[#Headers],[C1]],Database_Productkaarten[#All],50,FALSE),0)*Referentieberekening!L25),0))</f>
        <v>0</v>
      </c>
      <c r="L168" s="93">
        <f>(IF(Referentieberekening!C25="Bestaande Situatie",(_xlfn.IFNA(VLOOKUP(Referentie_Fossiele_Energie_Totaal[[#This Row],[Product]]&amp;", "&amp;Referentie_Fossiele_Energie_Totaal[[#Headers],[C2]],Database_Productkaarten[#All],50,FALSE),0)*Referentieberekening!L25),0))</f>
        <v>0</v>
      </c>
      <c r="M168" s="93">
        <f>(IF(Referentieberekening!C25="Bestaande Situatie",(_xlfn.IFNA(VLOOKUP(Referentie_Fossiele_Energie_Totaal[[#This Row],[Product]]&amp;", "&amp;Referentie_Fossiele_Energie_Totaal[[#Headers],[C3]],Database_Productkaarten[#All],50,FALSE),0)*Referentieberekening!L25),0))</f>
        <v>0</v>
      </c>
      <c r="N168" s="93">
        <f>(IF(Referentieberekening!C25="Bestaande Situatie",(_xlfn.IFNA(VLOOKUP(Referentie_Fossiele_Energie_Totaal[[#This Row],[Product]]&amp;", "&amp;Referentie_Fossiele_Energie_Totaal[[#Headers],[C4]],Database_Productkaarten[#All],50,FALSE),0)*Referentieberekening!L25),0))</f>
        <v>0</v>
      </c>
      <c r="O168" s="93">
        <f>(IF(Referentieberekening!C25="Bestaande Situatie",(_xlfn.IFNA(VLOOKUP(Referentie_Fossiele_Energie_Totaal[[#This Row],[Product]]&amp;", "&amp;Referentie_Fossiele_Energie_Totaal[[#Headers],[D1]],Database_Productkaarten[#All],50,FALSE),0)*Referentieberekening!L25),0))</f>
        <v>0</v>
      </c>
      <c r="P168" s="94">
        <f>(IF(Referentieberekening!C25="Bestaande Situatie",_xlfn.IFNA(VLOOKUP(Referentie_Fossiele_Energie_Totaal[[#This Row],[Product]]&amp;", "&amp;Referentie_Fossiele_Energie_Totaal[[#Headers],[D2]],Database_Productkaarten[#All],50,FALSE),0)*Referentieberekening!L25,0))</f>
        <v>0</v>
      </c>
      <c r="Q168" s="72">
        <f>SUM(Referentie_Fossiele_Energie_Totaal[[#This Row],[A1]:[D2]])</f>
        <v>0</v>
      </c>
    </row>
    <row r="169" spans="2:17" ht="18" x14ac:dyDescent="0.55000000000000004">
      <c r="B169" s="286" t="str">
        <f>Referentieberekening!B26</f>
        <v>Aanbrengen  PVC 160 mm, incl. grondwerk - HWA.</v>
      </c>
      <c r="C169" s="92" t="str">
        <f>Referentieberekening!F26</f>
        <v>PVC 200 mm</v>
      </c>
      <c r="D169" s="93">
        <f>(IF(Referentieberekening!C26="Nieuwe Situatie",(_xlfn.IFNA(VLOOKUP(Referentie_Fossiele_Energie_Totaal[[#This Row],[Product]]&amp;", "&amp;Referentie_Fossiele_Energie_Totaal[[#Headers],[A1]],Database_Productkaarten[#All],50,FALSE),0)*Referentieberekening!L26),0))</f>
        <v>0</v>
      </c>
      <c r="E169" s="93">
        <f>(IF(Referentieberekening!C26="Nieuwe Situatie",(_xlfn.IFNA(VLOOKUP(Referentie_Fossiele_Energie_Totaal[[#This Row],[Product]]&amp;", "&amp;Referentie_Fossiele_Energie_Totaal[[#Headers],[A2]],Database_Productkaarten[#All],50,FALSE),0)*Referentieberekening!L26),0))</f>
        <v>0</v>
      </c>
      <c r="F169" s="93">
        <f>(IF(Referentieberekening!C26="Nieuwe Situatie",(_xlfn.IFNA(VLOOKUP(Referentie_Fossiele_Energie_Totaal[[#This Row],[Product]]&amp;", "&amp;Referentie_Fossiele_Energie_Totaal[[#Headers],[A3]],Database_Productkaarten[#All],50,FALSE),0)*Referentieberekening!L26),0))</f>
        <v>0</v>
      </c>
      <c r="G169" s="93">
        <f>IF(Referentieberekening!P26=0,(IF(Referentieberekening!C26="Nieuwe Situatie",(_xlfn.IFNA(VLOOKUP(Referentie_Fossiele_Energie_Totaal[[#This Row],[Product]]&amp;", "&amp;Referentie_Fossiele_Energie_Totaal[[#Headers],[A4]],Database_Productkaarten[#All],50,FALSE),0)*Referentieberekening!L26),0)),(IF(Inschrijfberekening!C27="Nieuwe Situatie",_xlfn.IFNA(VLOOKUP(Inschrijfberekening!K59,Database_Transport[#All],45,FALSE)*(Inschrijfberekening!K27*Inschrijfberekening!N27),0),0)))</f>
        <v>0</v>
      </c>
      <c r="H169" s="93">
        <f>(IF(Referentieberekening!C26="Nieuwe Situatie",(_xlfn.IFNA(VLOOKUP(Referentie_Fossiele_Energie_Totaal[[#This Row],[Product]]&amp;", "&amp;Referentie_Fossiele_Energie_Totaal[[#Headers],[A5]],Database_Productkaarten[#All],50,FALSE),0)*Referentieberekening!L26),0))</f>
        <v>0</v>
      </c>
      <c r="I169" s="93">
        <f>(IF(Referentieberekening!C26="Nieuwe Situatie",(_xlfn.IFNA(VLOOKUP(Referentie_Fossiele_Energie_Totaal[[#This Row],[Product]]&amp;", "&amp;Referentie_Fossiele_Energie_Totaal[[#Headers],[B1]],Database_Productkaarten[#All],50,FALSE),0)*Referentieberekening!L26),0))</f>
        <v>0</v>
      </c>
      <c r="J169" s="93">
        <f>(IF(Referentieberekening!C26="Nieuwe Situatie",(SUM(Referentie_Fossiele_Energie_Totaal[[#This Row],[A1]:[B1]],Referentie_Fossiele_Energie_Totaal[[#This Row],[C1]:[D2]])*Referentieberekening!N26),0))</f>
        <v>0</v>
      </c>
      <c r="K169" s="93">
        <f>(IF(Referentieberekening!C26="Bestaande Situatie",(_xlfn.IFNA(VLOOKUP(Referentie_Fossiele_Energie_Totaal[[#This Row],[Product]]&amp;", "&amp;Referentie_Fossiele_Energie_Totaal[[#Headers],[C1]],Database_Productkaarten[#All],50,FALSE),0)*Referentieberekening!L26),0))</f>
        <v>0</v>
      </c>
      <c r="L169" s="93">
        <f>(IF(Referentieberekening!C26="Bestaande Situatie",(_xlfn.IFNA(VLOOKUP(Referentie_Fossiele_Energie_Totaal[[#This Row],[Product]]&amp;", "&amp;Referentie_Fossiele_Energie_Totaal[[#Headers],[C2]],Database_Productkaarten[#All],50,FALSE),0)*Referentieberekening!L26),0))</f>
        <v>0</v>
      </c>
      <c r="M169" s="93">
        <f>(IF(Referentieberekening!C26="Bestaande Situatie",(_xlfn.IFNA(VLOOKUP(Referentie_Fossiele_Energie_Totaal[[#This Row],[Product]]&amp;", "&amp;Referentie_Fossiele_Energie_Totaal[[#Headers],[C3]],Database_Productkaarten[#All],50,FALSE),0)*Referentieberekening!L26),0))</f>
        <v>0</v>
      </c>
      <c r="N169" s="93">
        <f>(IF(Referentieberekening!C26="Bestaande Situatie",(_xlfn.IFNA(VLOOKUP(Referentie_Fossiele_Energie_Totaal[[#This Row],[Product]]&amp;", "&amp;Referentie_Fossiele_Energie_Totaal[[#Headers],[C4]],Database_Productkaarten[#All],50,FALSE),0)*Referentieberekening!L26),0))</f>
        <v>0</v>
      </c>
      <c r="O169" s="93">
        <f>(IF(Referentieberekening!C26="Bestaande Situatie",(_xlfn.IFNA(VLOOKUP(Referentie_Fossiele_Energie_Totaal[[#This Row],[Product]]&amp;", "&amp;Referentie_Fossiele_Energie_Totaal[[#Headers],[D1]],Database_Productkaarten[#All],50,FALSE),0)*Referentieberekening!L26),0))</f>
        <v>0</v>
      </c>
      <c r="P169" s="94">
        <f>(IF(Referentieberekening!C26="Bestaande Situatie",_xlfn.IFNA(VLOOKUP(Referentie_Fossiele_Energie_Totaal[[#This Row],[Product]]&amp;", "&amp;Referentie_Fossiele_Energie_Totaal[[#Headers],[D2]],Database_Productkaarten[#All],50,FALSE),0)*Referentieberekening!L26,0))</f>
        <v>0</v>
      </c>
      <c r="Q169" s="72">
        <f>SUM(Referentie_Fossiele_Energie_Totaal[[#This Row],[A1]:[D2]])</f>
        <v>0</v>
      </c>
    </row>
    <row r="170" spans="2:17" ht="18" x14ac:dyDescent="0.55000000000000004">
      <c r="B170" s="286" t="str">
        <f>Referentieberekening!B27</f>
        <v>Aanbrengen  PVC 160 mm, incl. grondwerk - DWA.</v>
      </c>
      <c r="C170" s="92" t="str">
        <f>Referentieberekening!F27</f>
        <v>PVC 200 mm</v>
      </c>
      <c r="D170" s="93">
        <f>(IF(Referentieberekening!C27="Nieuwe Situatie",(_xlfn.IFNA(VLOOKUP(Referentie_Fossiele_Energie_Totaal[[#This Row],[Product]]&amp;", "&amp;Referentie_Fossiele_Energie_Totaal[[#Headers],[A1]],Database_Productkaarten[#All],50,FALSE),0)*Referentieberekening!L27),0))</f>
        <v>0</v>
      </c>
      <c r="E170" s="93">
        <f>(IF(Referentieberekening!C27="Nieuwe Situatie",(_xlfn.IFNA(VLOOKUP(Referentie_Fossiele_Energie_Totaal[[#This Row],[Product]]&amp;", "&amp;Referentie_Fossiele_Energie_Totaal[[#Headers],[A2]],Database_Productkaarten[#All],50,FALSE),0)*Referentieberekening!L27),0))</f>
        <v>0</v>
      </c>
      <c r="F170" s="93">
        <f>(IF(Referentieberekening!C27="Nieuwe Situatie",(_xlfn.IFNA(VLOOKUP(Referentie_Fossiele_Energie_Totaal[[#This Row],[Product]]&amp;", "&amp;Referentie_Fossiele_Energie_Totaal[[#Headers],[A3]],Database_Productkaarten[#All],50,FALSE),0)*Referentieberekening!L27),0))</f>
        <v>0</v>
      </c>
      <c r="G170" s="93">
        <f>IF(Referentieberekening!P27=0,(IF(Referentieberekening!C27="Nieuwe Situatie",(_xlfn.IFNA(VLOOKUP(Referentie_Fossiele_Energie_Totaal[[#This Row],[Product]]&amp;", "&amp;Referentie_Fossiele_Energie_Totaal[[#Headers],[A4]],Database_Productkaarten[#All],50,FALSE),0)*Referentieberekening!L27),0)),(IF(Inschrijfberekening!C28="Nieuwe Situatie",_xlfn.IFNA(VLOOKUP(Inschrijfberekening!K60,Database_Transport[#All],45,FALSE)*(Inschrijfberekening!K28*Inschrijfberekening!N28),0),0)))</f>
        <v>0</v>
      </c>
      <c r="H170" s="93">
        <f>(IF(Referentieberekening!C27="Nieuwe Situatie",(_xlfn.IFNA(VLOOKUP(Referentie_Fossiele_Energie_Totaal[[#This Row],[Product]]&amp;", "&amp;Referentie_Fossiele_Energie_Totaal[[#Headers],[A5]],Database_Productkaarten[#All],50,FALSE),0)*Referentieberekening!L27),0))</f>
        <v>0</v>
      </c>
      <c r="I170" s="93">
        <f>(IF(Referentieberekening!C27="Nieuwe Situatie",(_xlfn.IFNA(VLOOKUP(Referentie_Fossiele_Energie_Totaal[[#This Row],[Product]]&amp;", "&amp;Referentie_Fossiele_Energie_Totaal[[#Headers],[B1]],Database_Productkaarten[#All],50,FALSE),0)*Referentieberekening!L27),0))</f>
        <v>0</v>
      </c>
      <c r="J170" s="93">
        <f>(IF(Referentieberekening!C27="Nieuwe Situatie",(SUM(Referentie_Fossiele_Energie_Totaal[[#This Row],[A1]:[B1]],Referentie_Fossiele_Energie_Totaal[[#This Row],[C1]:[D2]])*Referentieberekening!N27),0))</f>
        <v>0</v>
      </c>
      <c r="K170" s="93">
        <f>(IF(Referentieberekening!C27="Bestaande Situatie",(_xlfn.IFNA(VLOOKUP(Referentie_Fossiele_Energie_Totaal[[#This Row],[Product]]&amp;", "&amp;Referentie_Fossiele_Energie_Totaal[[#Headers],[C1]],Database_Productkaarten[#All],50,FALSE),0)*Referentieberekening!L27),0))</f>
        <v>0</v>
      </c>
      <c r="L170" s="93">
        <f>(IF(Referentieberekening!C27="Bestaande Situatie",(_xlfn.IFNA(VLOOKUP(Referentie_Fossiele_Energie_Totaal[[#This Row],[Product]]&amp;", "&amp;Referentie_Fossiele_Energie_Totaal[[#Headers],[C2]],Database_Productkaarten[#All],50,FALSE),0)*Referentieberekening!L27),0))</f>
        <v>0</v>
      </c>
      <c r="M170" s="93">
        <f>(IF(Referentieberekening!C27="Bestaande Situatie",(_xlfn.IFNA(VLOOKUP(Referentie_Fossiele_Energie_Totaal[[#This Row],[Product]]&amp;", "&amp;Referentie_Fossiele_Energie_Totaal[[#Headers],[C3]],Database_Productkaarten[#All],50,FALSE),0)*Referentieberekening!L27),0))</f>
        <v>0</v>
      </c>
      <c r="N170" s="93">
        <f>(IF(Referentieberekening!C27="Bestaande Situatie",(_xlfn.IFNA(VLOOKUP(Referentie_Fossiele_Energie_Totaal[[#This Row],[Product]]&amp;", "&amp;Referentie_Fossiele_Energie_Totaal[[#Headers],[C4]],Database_Productkaarten[#All],50,FALSE),0)*Referentieberekening!L27),0))</f>
        <v>0</v>
      </c>
      <c r="O170" s="93">
        <f>(IF(Referentieberekening!C27="Bestaande Situatie",(_xlfn.IFNA(VLOOKUP(Referentie_Fossiele_Energie_Totaal[[#This Row],[Product]]&amp;", "&amp;Referentie_Fossiele_Energie_Totaal[[#Headers],[D1]],Database_Productkaarten[#All],50,FALSE),0)*Referentieberekening!L27),0))</f>
        <v>0</v>
      </c>
      <c r="P170" s="94">
        <f>(IF(Referentieberekening!C27="Bestaande Situatie",_xlfn.IFNA(VLOOKUP(Referentie_Fossiele_Energie_Totaal[[#This Row],[Product]]&amp;", "&amp;Referentie_Fossiele_Energie_Totaal[[#Headers],[D2]],Database_Productkaarten[#All],50,FALSE),0)*Referentieberekening!L27,0))</f>
        <v>0</v>
      </c>
      <c r="Q170" s="72">
        <f>SUM(Referentie_Fossiele_Energie_Totaal[[#This Row],[A1]:[D2]])</f>
        <v>0</v>
      </c>
    </row>
    <row r="171" spans="2:17" ht="18" x14ac:dyDescent="0.55000000000000004">
      <c r="B171" s="286" t="str">
        <f>Referentieberekening!B28</f>
        <v xml:space="preserve"> Grond ontgraven uit cunet, hoogte 1,0 m - rijweg/ fietspad </v>
      </c>
      <c r="C171" s="92" t="str">
        <f>Referentieberekening!F28</f>
        <v>Grond</v>
      </c>
      <c r="D171" s="93">
        <f>(IF(Referentieberekening!C28="Nieuwe Situatie",(_xlfn.IFNA(VLOOKUP(Referentie_Fossiele_Energie_Totaal[[#This Row],[Product]]&amp;", "&amp;Referentie_Fossiele_Energie_Totaal[[#Headers],[A1]],Database_Productkaarten[#All],50,FALSE),0)*Referentieberekening!L28),0))</f>
        <v>0</v>
      </c>
      <c r="E171" s="93">
        <f>(IF(Referentieberekening!C28="Nieuwe Situatie",(_xlfn.IFNA(VLOOKUP(Referentie_Fossiele_Energie_Totaal[[#This Row],[Product]]&amp;", "&amp;Referentie_Fossiele_Energie_Totaal[[#Headers],[A2]],Database_Productkaarten[#All],50,FALSE),0)*Referentieberekening!L28),0))</f>
        <v>0</v>
      </c>
      <c r="F171" s="93">
        <f>(IF(Referentieberekening!C28="Nieuwe Situatie",(_xlfn.IFNA(VLOOKUP(Referentie_Fossiele_Energie_Totaal[[#This Row],[Product]]&amp;", "&amp;Referentie_Fossiele_Energie_Totaal[[#Headers],[A3]],Database_Productkaarten[#All],50,FALSE),0)*Referentieberekening!L28),0))</f>
        <v>0</v>
      </c>
      <c r="G171" s="93">
        <f>IF(Referentieberekening!P28=0,(IF(Referentieberekening!C28="Nieuwe Situatie",(_xlfn.IFNA(VLOOKUP(Referentie_Fossiele_Energie_Totaal[[#This Row],[Product]]&amp;", "&amp;Referentie_Fossiele_Energie_Totaal[[#Headers],[A4]],Database_Productkaarten[#All],50,FALSE),0)*Referentieberekening!L28),0)),(IF(Inschrijfberekening!C29="Nieuwe Situatie",_xlfn.IFNA(VLOOKUP(Inschrijfberekening!K61,Database_Transport[#All],45,FALSE)*(Inschrijfberekening!K29*Inschrijfberekening!N29),0),0)))</f>
        <v>0</v>
      </c>
      <c r="H171" s="93">
        <f>(IF(Referentieberekening!C28="Nieuwe Situatie",(_xlfn.IFNA(VLOOKUP(Referentie_Fossiele_Energie_Totaal[[#This Row],[Product]]&amp;", "&amp;Referentie_Fossiele_Energie_Totaal[[#Headers],[A5]],Database_Productkaarten[#All],50,FALSE),0)*Referentieberekening!L28),0))</f>
        <v>0</v>
      </c>
      <c r="I171" s="93">
        <f>(IF(Referentieberekening!C28="Nieuwe Situatie",(_xlfn.IFNA(VLOOKUP(Referentie_Fossiele_Energie_Totaal[[#This Row],[Product]]&amp;", "&amp;Referentie_Fossiele_Energie_Totaal[[#Headers],[B1]],Database_Productkaarten[#All],50,FALSE),0)*Referentieberekening!L28),0))</f>
        <v>0</v>
      </c>
      <c r="J171" s="93">
        <f>(IF(Referentieberekening!C28="Nieuwe Situatie",(SUM(Referentie_Fossiele_Energie_Totaal[[#This Row],[A1]:[B1]],Referentie_Fossiele_Energie_Totaal[[#This Row],[C1]:[D2]])*Referentieberekening!N28),0))</f>
        <v>0</v>
      </c>
      <c r="K171" s="93">
        <f>(IF(Referentieberekening!C28="Bestaande Situatie",(_xlfn.IFNA(VLOOKUP(Referentie_Fossiele_Energie_Totaal[[#This Row],[Product]]&amp;", "&amp;Referentie_Fossiele_Energie_Totaal[[#Headers],[C1]],Database_Productkaarten[#All],50,FALSE),0)*Referentieberekening!L28),0))</f>
        <v>99.163675207727778</v>
      </c>
      <c r="L171" s="93">
        <f>(IF(Referentieberekening!C28="Bestaande Situatie",(_xlfn.IFNA(VLOOKUP(Referentie_Fossiele_Energie_Totaal[[#This Row],[Product]]&amp;", "&amp;Referentie_Fossiele_Energie_Totaal[[#Headers],[C2]],Database_Productkaarten[#All],50,FALSE),0)*Referentieberekening!L28),0))</f>
        <v>888089.06240000005</v>
      </c>
      <c r="M171" s="93">
        <f>(IF(Referentieberekening!C28="Bestaande Situatie",(_xlfn.IFNA(VLOOKUP(Referentie_Fossiele_Energie_Totaal[[#This Row],[Product]]&amp;", "&amp;Referentie_Fossiele_Energie_Totaal[[#Headers],[C3]],Database_Productkaarten[#All],50,FALSE),0)*Referentieberekening!L28),0))</f>
        <v>0</v>
      </c>
      <c r="N171" s="93">
        <f>(IF(Referentieberekening!C28="Bestaande Situatie",(_xlfn.IFNA(VLOOKUP(Referentie_Fossiele_Energie_Totaal[[#This Row],[Product]]&amp;", "&amp;Referentie_Fossiele_Energie_Totaal[[#Headers],[C4]],Database_Productkaarten[#All],50,FALSE),0)*Referentieberekening!L28),0))</f>
        <v>0</v>
      </c>
      <c r="O171" s="93">
        <f>(IF(Referentieberekening!C28="Bestaande Situatie",(_xlfn.IFNA(VLOOKUP(Referentie_Fossiele_Energie_Totaal[[#This Row],[Product]]&amp;", "&amp;Referentie_Fossiele_Energie_Totaal[[#Headers],[D1]],Database_Productkaarten[#All],50,FALSE),0)*Referentieberekening!L28),0))</f>
        <v>0</v>
      </c>
      <c r="P171" s="94">
        <f>(IF(Referentieberekening!C28="Bestaande Situatie",_xlfn.IFNA(VLOOKUP(Referentie_Fossiele_Energie_Totaal[[#This Row],[Product]]&amp;", "&amp;Referentie_Fossiele_Energie_Totaal[[#Headers],[D2]],Database_Productkaarten[#All],50,FALSE),0)*Referentieberekening!L28,0))</f>
        <v>0</v>
      </c>
      <c r="Q171" s="72">
        <f>SUM(Referentie_Fossiele_Energie_Totaal[[#This Row],[A1]:[D2]])</f>
        <v>888188.22607520781</v>
      </c>
    </row>
    <row r="172" spans="2:17" ht="18" x14ac:dyDescent="0.55000000000000004">
      <c r="B172" s="286" t="str">
        <f>Referentieberekening!B29</f>
        <v xml:space="preserve"> Grond ontgraven uit cunet, hoogte 0,90 m - voetpad. </v>
      </c>
      <c r="C172" s="92" t="str">
        <f>Referentieberekening!F29</f>
        <v>Grond</v>
      </c>
      <c r="D172" s="93">
        <f>(IF(Referentieberekening!C29="Nieuwe Situatie",(_xlfn.IFNA(VLOOKUP(Referentie_Fossiele_Energie_Totaal[[#This Row],[Product]]&amp;", "&amp;Referentie_Fossiele_Energie_Totaal[[#Headers],[A1]],Database_Productkaarten[#All],50,FALSE),0)*Referentieberekening!L29),0))</f>
        <v>0</v>
      </c>
      <c r="E172" s="93">
        <f>(IF(Referentieberekening!C29="Nieuwe Situatie",(_xlfn.IFNA(VLOOKUP(Referentie_Fossiele_Energie_Totaal[[#This Row],[Product]]&amp;", "&amp;Referentie_Fossiele_Energie_Totaal[[#Headers],[A2]],Database_Productkaarten[#All],50,FALSE),0)*Referentieberekening!L29),0))</f>
        <v>0</v>
      </c>
      <c r="F172" s="93">
        <f>(IF(Referentieberekening!C29="Nieuwe Situatie",(_xlfn.IFNA(VLOOKUP(Referentie_Fossiele_Energie_Totaal[[#This Row],[Product]]&amp;", "&amp;Referentie_Fossiele_Energie_Totaal[[#Headers],[A3]],Database_Productkaarten[#All],50,FALSE),0)*Referentieberekening!L29),0))</f>
        <v>0</v>
      </c>
      <c r="G172" s="93">
        <f>IF(Referentieberekening!P29=0,(IF(Referentieberekening!C29="Nieuwe Situatie",(_xlfn.IFNA(VLOOKUP(Referentie_Fossiele_Energie_Totaal[[#This Row],[Product]]&amp;", "&amp;Referentie_Fossiele_Energie_Totaal[[#Headers],[A4]],Database_Productkaarten[#All],50,FALSE),0)*Referentieberekening!L29),0)),(IF(Inschrijfberekening!C30="Nieuwe Situatie",_xlfn.IFNA(VLOOKUP(Inschrijfberekening!K62,Database_Transport[#All],45,FALSE)*(Inschrijfberekening!K30*Inschrijfberekening!N30),0),0)))</f>
        <v>0</v>
      </c>
      <c r="H172" s="93">
        <f>(IF(Referentieberekening!C29="Nieuwe Situatie",(_xlfn.IFNA(VLOOKUP(Referentie_Fossiele_Energie_Totaal[[#This Row],[Product]]&amp;", "&amp;Referentie_Fossiele_Energie_Totaal[[#Headers],[A5]],Database_Productkaarten[#All],50,FALSE),0)*Referentieberekening!L29),0))</f>
        <v>0</v>
      </c>
      <c r="I172" s="93">
        <f>(IF(Referentieberekening!C29="Nieuwe Situatie",(_xlfn.IFNA(VLOOKUP(Referentie_Fossiele_Energie_Totaal[[#This Row],[Product]]&amp;", "&amp;Referentie_Fossiele_Energie_Totaal[[#Headers],[B1]],Database_Productkaarten[#All],50,FALSE),0)*Referentieberekening!L29),0))</f>
        <v>0</v>
      </c>
      <c r="J172" s="93">
        <f>(IF(Referentieberekening!C29="Nieuwe Situatie",(SUM(Referentie_Fossiele_Energie_Totaal[[#This Row],[A1]:[B1]],Referentie_Fossiele_Energie_Totaal[[#This Row],[C1]:[D2]])*Referentieberekening!N29),0))</f>
        <v>0</v>
      </c>
      <c r="K172" s="93">
        <f>(IF(Referentieberekening!C29="Bestaande Situatie",(_xlfn.IFNA(VLOOKUP(Referentie_Fossiele_Energie_Totaal[[#This Row],[Product]]&amp;", "&amp;Referentie_Fossiele_Energie_Totaal[[#Headers],[C1]],Database_Productkaarten[#All],50,FALSE),0)*Referentieberekening!L29),0))</f>
        <v>8.4811038006609287</v>
      </c>
      <c r="L172" s="93">
        <f>(IF(Referentieberekening!C29="Bestaande Situatie",(_xlfn.IFNA(VLOOKUP(Referentie_Fossiele_Energie_Totaal[[#This Row],[Product]]&amp;", "&amp;Referentie_Fossiele_Energie_Totaal[[#Headers],[C2]],Database_Productkaarten[#All],50,FALSE),0)*Referentieberekening!L29),0))</f>
        <v>75954.9856</v>
      </c>
      <c r="M172" s="93">
        <f>(IF(Referentieberekening!C29="Bestaande Situatie",(_xlfn.IFNA(VLOOKUP(Referentie_Fossiele_Energie_Totaal[[#This Row],[Product]]&amp;", "&amp;Referentie_Fossiele_Energie_Totaal[[#Headers],[C3]],Database_Productkaarten[#All],50,FALSE),0)*Referentieberekening!L29),0))</f>
        <v>0</v>
      </c>
      <c r="N172" s="93">
        <f>(IF(Referentieberekening!C29="Bestaande Situatie",(_xlfn.IFNA(VLOOKUP(Referentie_Fossiele_Energie_Totaal[[#This Row],[Product]]&amp;", "&amp;Referentie_Fossiele_Energie_Totaal[[#Headers],[C4]],Database_Productkaarten[#All],50,FALSE),0)*Referentieberekening!L29),0))</f>
        <v>0</v>
      </c>
      <c r="O172" s="93">
        <f>(IF(Referentieberekening!C29="Bestaande Situatie",(_xlfn.IFNA(VLOOKUP(Referentie_Fossiele_Energie_Totaal[[#This Row],[Product]]&amp;", "&amp;Referentie_Fossiele_Energie_Totaal[[#Headers],[D1]],Database_Productkaarten[#All],50,FALSE),0)*Referentieberekening!L29),0))</f>
        <v>0</v>
      </c>
      <c r="P172" s="94">
        <f>(IF(Referentieberekening!C29="Bestaande Situatie",_xlfn.IFNA(VLOOKUP(Referentie_Fossiele_Energie_Totaal[[#This Row],[Product]]&amp;", "&amp;Referentie_Fossiele_Energie_Totaal[[#Headers],[D2]],Database_Productkaarten[#All],50,FALSE),0)*Referentieberekening!L29,0))</f>
        <v>0</v>
      </c>
      <c r="Q172" s="72">
        <f>SUM(Referentie_Fossiele_Energie_Totaal[[#This Row],[A1]:[D2]])</f>
        <v>75963.466703800659</v>
      </c>
    </row>
    <row r="173" spans="2:17" ht="18" x14ac:dyDescent="0.55000000000000004">
      <c r="B173" s="286" t="str">
        <f>Referentieberekening!B30</f>
        <v xml:space="preserve"> Grond ontgraven uit cunet, hoogte 0,90 m - overige verharding. </v>
      </c>
      <c r="C173" s="92" t="str">
        <f>Referentieberekening!F30</f>
        <v>Grond</v>
      </c>
      <c r="D173" s="93">
        <f>(IF(Referentieberekening!C30="Nieuwe Situatie",(_xlfn.IFNA(VLOOKUP(Referentie_Fossiele_Energie_Totaal[[#This Row],[Product]]&amp;", "&amp;Referentie_Fossiele_Energie_Totaal[[#Headers],[A1]],Database_Productkaarten[#All],50,FALSE),0)*Referentieberekening!L30),0))</f>
        <v>0</v>
      </c>
      <c r="E173" s="93">
        <f>(IF(Referentieberekening!C30="Nieuwe Situatie",(_xlfn.IFNA(VLOOKUP(Referentie_Fossiele_Energie_Totaal[[#This Row],[Product]]&amp;", "&amp;Referentie_Fossiele_Energie_Totaal[[#Headers],[A2]],Database_Productkaarten[#All],50,FALSE),0)*Referentieberekening!L30),0))</f>
        <v>0</v>
      </c>
      <c r="F173" s="93">
        <f>(IF(Referentieberekening!C30="Nieuwe Situatie",(_xlfn.IFNA(VLOOKUP(Referentie_Fossiele_Energie_Totaal[[#This Row],[Product]]&amp;", "&amp;Referentie_Fossiele_Energie_Totaal[[#Headers],[A3]],Database_Productkaarten[#All],50,FALSE),0)*Referentieberekening!L30),0))</f>
        <v>0</v>
      </c>
      <c r="G173" s="93">
        <f>IF(Referentieberekening!P30=0,(IF(Referentieberekening!C30="Nieuwe Situatie",(_xlfn.IFNA(VLOOKUP(Referentie_Fossiele_Energie_Totaal[[#This Row],[Product]]&amp;", "&amp;Referentie_Fossiele_Energie_Totaal[[#Headers],[A4]],Database_Productkaarten[#All],50,FALSE),0)*Referentieberekening!L30),0)),(IF(Inschrijfberekening!C31="Nieuwe Situatie",_xlfn.IFNA(VLOOKUP(Inschrijfberekening!K63,Database_Transport[#All],45,FALSE)*(Inschrijfberekening!K31*Inschrijfberekening!N31),0),0)))</f>
        <v>0</v>
      </c>
      <c r="H173" s="93">
        <f>(IF(Referentieberekening!C30="Nieuwe Situatie",(_xlfn.IFNA(VLOOKUP(Referentie_Fossiele_Energie_Totaal[[#This Row],[Product]]&amp;", "&amp;Referentie_Fossiele_Energie_Totaal[[#Headers],[A5]],Database_Productkaarten[#All],50,FALSE),0)*Referentieberekening!L30),0))</f>
        <v>0</v>
      </c>
      <c r="I173" s="93">
        <f>(IF(Referentieberekening!C30="Nieuwe Situatie",(_xlfn.IFNA(VLOOKUP(Referentie_Fossiele_Energie_Totaal[[#This Row],[Product]]&amp;", "&amp;Referentie_Fossiele_Energie_Totaal[[#Headers],[B1]],Database_Productkaarten[#All],50,FALSE),0)*Referentieberekening!L30),0))</f>
        <v>0</v>
      </c>
      <c r="J173" s="93">
        <f>(IF(Referentieberekening!C30="Nieuwe Situatie",(SUM(Referentie_Fossiele_Energie_Totaal[[#This Row],[A1]:[B1]],Referentie_Fossiele_Energie_Totaal[[#This Row],[C1]:[D2]])*Referentieberekening!N30),0))</f>
        <v>0</v>
      </c>
      <c r="K173" s="93">
        <f>(IF(Referentieberekening!C30="Bestaande Situatie",(_xlfn.IFNA(VLOOKUP(Referentie_Fossiele_Energie_Totaal[[#This Row],[Product]]&amp;", "&amp;Referentie_Fossiele_Energie_Totaal[[#Headers],[C1]],Database_Productkaarten[#All],50,FALSE),0)*Referentieberekening!L30),0))</f>
        <v>14.352637201118494</v>
      </c>
      <c r="L173" s="93">
        <f>(IF(Referentieberekening!C30="Bestaande Situatie",(_xlfn.IFNA(VLOOKUP(Referentie_Fossiele_Energie_Totaal[[#This Row],[Product]]&amp;", "&amp;Referentie_Fossiele_Energie_Totaal[[#Headers],[C2]],Database_Productkaarten[#All],50,FALSE),0)*Referentieberekening!L30),0))</f>
        <v>128539.20640000001</v>
      </c>
      <c r="M173" s="93">
        <f>(IF(Referentieberekening!C30="Bestaande Situatie",(_xlfn.IFNA(VLOOKUP(Referentie_Fossiele_Energie_Totaal[[#This Row],[Product]]&amp;", "&amp;Referentie_Fossiele_Energie_Totaal[[#Headers],[C3]],Database_Productkaarten[#All],50,FALSE),0)*Referentieberekening!L30),0))</f>
        <v>0</v>
      </c>
      <c r="N173" s="93">
        <f>(IF(Referentieberekening!C30="Bestaande Situatie",(_xlfn.IFNA(VLOOKUP(Referentie_Fossiele_Energie_Totaal[[#This Row],[Product]]&amp;", "&amp;Referentie_Fossiele_Energie_Totaal[[#Headers],[C4]],Database_Productkaarten[#All],50,FALSE),0)*Referentieberekening!L30),0))</f>
        <v>0</v>
      </c>
      <c r="O173" s="93">
        <f>(IF(Referentieberekening!C30="Bestaande Situatie",(_xlfn.IFNA(VLOOKUP(Referentie_Fossiele_Energie_Totaal[[#This Row],[Product]]&amp;", "&amp;Referentie_Fossiele_Energie_Totaal[[#Headers],[D1]],Database_Productkaarten[#All],50,FALSE),0)*Referentieberekening!L30),0))</f>
        <v>0</v>
      </c>
      <c r="P173" s="94">
        <f>(IF(Referentieberekening!C30="Bestaande Situatie",_xlfn.IFNA(VLOOKUP(Referentie_Fossiele_Energie_Totaal[[#This Row],[Product]]&amp;", "&amp;Referentie_Fossiele_Energie_Totaal[[#Headers],[D2]],Database_Productkaarten[#All],50,FALSE),0)*Referentieberekening!L30,0))</f>
        <v>0</v>
      </c>
      <c r="Q173" s="72">
        <f>SUM(Referentie_Fossiele_Energie_Totaal[[#This Row],[A1]:[D2]])</f>
        <v>128553.55903720114</v>
      </c>
    </row>
    <row r="174" spans="2:17" ht="18" x14ac:dyDescent="0.55000000000000004">
      <c r="B174" s="286" t="str">
        <f>Referentieberekening!B31</f>
        <v>Grond ontgraven t.b.v. sleuf hoofdriool.</v>
      </c>
      <c r="C174" s="92" t="str">
        <f>Referentieberekening!F31</f>
        <v>Grond</v>
      </c>
      <c r="D174" s="93">
        <f>(IF(Referentieberekening!C31="Nieuwe Situatie",(_xlfn.IFNA(VLOOKUP(Referentie_Fossiele_Energie_Totaal[[#This Row],[Product]]&amp;", "&amp;Referentie_Fossiele_Energie_Totaal[[#Headers],[A1]],Database_Productkaarten[#All],50,FALSE),0)*Referentieberekening!L31),0))</f>
        <v>0</v>
      </c>
      <c r="E174" s="93">
        <f>(IF(Referentieberekening!C31="Nieuwe Situatie",(_xlfn.IFNA(VLOOKUP(Referentie_Fossiele_Energie_Totaal[[#This Row],[Product]]&amp;", "&amp;Referentie_Fossiele_Energie_Totaal[[#Headers],[A2]],Database_Productkaarten[#All],50,FALSE),0)*Referentieberekening!L31),0))</f>
        <v>0</v>
      </c>
      <c r="F174" s="93">
        <f>(IF(Referentieberekening!C31="Nieuwe Situatie",(_xlfn.IFNA(VLOOKUP(Referentie_Fossiele_Energie_Totaal[[#This Row],[Product]]&amp;", "&amp;Referentie_Fossiele_Energie_Totaal[[#Headers],[A3]],Database_Productkaarten[#All],50,FALSE),0)*Referentieberekening!L31),0))</f>
        <v>0</v>
      </c>
      <c r="G174" s="93">
        <f>IF(Referentieberekening!P31=0,(IF(Referentieberekening!C31="Nieuwe Situatie",(_xlfn.IFNA(VLOOKUP(Referentie_Fossiele_Energie_Totaal[[#This Row],[Product]]&amp;", "&amp;Referentie_Fossiele_Energie_Totaal[[#Headers],[A4]],Database_Productkaarten[#All],50,FALSE),0)*Referentieberekening!L31),0)),(IF(Inschrijfberekening!C32="Nieuwe Situatie",_xlfn.IFNA(VLOOKUP(Inschrijfberekening!K64,Database_Transport[#All],45,FALSE)*(Inschrijfberekening!K32*Inschrijfberekening!N32),0),0)))</f>
        <v>0</v>
      </c>
      <c r="H174" s="93">
        <f>(IF(Referentieberekening!C31="Nieuwe Situatie",(_xlfn.IFNA(VLOOKUP(Referentie_Fossiele_Energie_Totaal[[#This Row],[Product]]&amp;", "&amp;Referentie_Fossiele_Energie_Totaal[[#Headers],[A5]],Database_Productkaarten[#All],50,FALSE),0)*Referentieberekening!L31),0))</f>
        <v>0</v>
      </c>
      <c r="I174" s="93">
        <f>(IF(Referentieberekening!C31="Nieuwe Situatie",(_xlfn.IFNA(VLOOKUP(Referentie_Fossiele_Energie_Totaal[[#This Row],[Product]]&amp;", "&amp;Referentie_Fossiele_Energie_Totaal[[#Headers],[B1]],Database_Productkaarten[#All],50,FALSE),0)*Referentieberekening!L31),0))</f>
        <v>0</v>
      </c>
      <c r="J174" s="93">
        <f>(IF(Referentieberekening!C31="Nieuwe Situatie",(SUM(Referentie_Fossiele_Energie_Totaal[[#This Row],[A1]:[B1]],Referentie_Fossiele_Energie_Totaal[[#This Row],[C1]:[D2]])*Referentieberekening!N31),0))</f>
        <v>0</v>
      </c>
      <c r="K174" s="93">
        <f>(IF(Referentieberekening!C31="Bestaande Situatie",(_xlfn.IFNA(VLOOKUP(Referentie_Fossiele_Energie_Totaal[[#This Row],[Product]]&amp;", "&amp;Referentie_Fossiele_Energie_Totaal[[#Headers],[C1]],Database_Productkaarten[#All],50,FALSE),0)*Referentieberekening!L31),0))</f>
        <v>26.748096602084466</v>
      </c>
      <c r="L174" s="93">
        <f>(IF(Referentieberekening!C31="Bestaande Situatie",(_xlfn.IFNA(VLOOKUP(Referentie_Fossiele_Energie_Totaal[[#This Row],[Product]]&amp;", "&amp;Referentie_Fossiele_Energie_Totaal[[#Headers],[C2]],Database_Productkaarten[#All],50,FALSE),0)*Referentieberekening!L31),0))</f>
        <v>239550.33920000002</v>
      </c>
      <c r="M174" s="93">
        <f>(IF(Referentieberekening!C31="Bestaande Situatie",(_xlfn.IFNA(VLOOKUP(Referentie_Fossiele_Energie_Totaal[[#This Row],[Product]]&amp;", "&amp;Referentie_Fossiele_Energie_Totaal[[#Headers],[C3]],Database_Productkaarten[#All],50,FALSE),0)*Referentieberekening!L31),0))</f>
        <v>0</v>
      </c>
      <c r="N174" s="93">
        <f>(IF(Referentieberekening!C31="Bestaande Situatie",(_xlfn.IFNA(VLOOKUP(Referentie_Fossiele_Energie_Totaal[[#This Row],[Product]]&amp;", "&amp;Referentie_Fossiele_Energie_Totaal[[#Headers],[C4]],Database_Productkaarten[#All],50,FALSE),0)*Referentieberekening!L31),0))</f>
        <v>0</v>
      </c>
      <c r="O174" s="93">
        <f>(IF(Referentieberekening!C31="Bestaande Situatie",(_xlfn.IFNA(VLOOKUP(Referentie_Fossiele_Energie_Totaal[[#This Row],[Product]]&amp;", "&amp;Referentie_Fossiele_Energie_Totaal[[#Headers],[D1]],Database_Productkaarten[#All],50,FALSE),0)*Referentieberekening!L31),0))</f>
        <v>0</v>
      </c>
      <c r="P174" s="94">
        <f>(IF(Referentieberekening!C31="Bestaande Situatie",_xlfn.IFNA(VLOOKUP(Referentie_Fossiele_Energie_Totaal[[#This Row],[Product]]&amp;", "&amp;Referentie_Fossiele_Energie_Totaal[[#Headers],[D2]],Database_Productkaarten[#All],50,FALSE),0)*Referentieberekening!L31,0))</f>
        <v>0</v>
      </c>
      <c r="Q174" s="72">
        <f>SUM(Referentie_Fossiele_Energie_Totaal[[#This Row],[A1]:[D2]])</f>
        <v>239577.08729660211</v>
      </c>
    </row>
    <row r="175" spans="2:17" ht="18" x14ac:dyDescent="0.55000000000000004">
      <c r="B175" s="286" t="str">
        <f>Referentieberekening!B32</f>
        <v xml:space="preserve"> Zand leveren en verwerken in cunet, hoogte 0,70 m - rijweg. </v>
      </c>
      <c r="C175" s="92" t="str">
        <f>Referentieberekening!F32</f>
        <v>Ophoogzand, Cascade-leden</v>
      </c>
      <c r="D175" s="93">
        <f>(IF(Referentieberekening!C32="Nieuwe Situatie",(_xlfn.IFNA(VLOOKUP(Referentie_Fossiele_Energie_Totaal[[#This Row],[Product]]&amp;", "&amp;Referentie_Fossiele_Energie_Totaal[[#Headers],[A1]],Database_Productkaarten[#All],50,FALSE),0)*Referentieberekening!L32),0))</f>
        <v>0</v>
      </c>
      <c r="E175" s="93">
        <f>(IF(Referentieberekening!C32="Nieuwe Situatie",(_xlfn.IFNA(VLOOKUP(Referentie_Fossiele_Energie_Totaal[[#This Row],[Product]]&amp;", "&amp;Referentie_Fossiele_Energie_Totaal[[#Headers],[A2]],Database_Productkaarten[#All],50,FALSE),0)*Referentieberekening!L32),0))</f>
        <v>0</v>
      </c>
      <c r="F175" s="93">
        <f>(IF(Referentieberekening!C32="Nieuwe Situatie",(_xlfn.IFNA(VLOOKUP(Referentie_Fossiele_Energie_Totaal[[#This Row],[Product]]&amp;", "&amp;Referentie_Fossiele_Energie_Totaal[[#Headers],[A3]],Database_Productkaarten[#All],50,FALSE),0)*Referentieberekening!L32),0))</f>
        <v>0</v>
      </c>
      <c r="G175" s="93">
        <f>IF(Referentieberekening!P32=0,(IF(Referentieberekening!C32="Nieuwe Situatie",(_xlfn.IFNA(VLOOKUP(Referentie_Fossiele_Energie_Totaal[[#This Row],[Product]]&amp;", "&amp;Referentie_Fossiele_Energie_Totaal[[#Headers],[A4]],Database_Productkaarten[#All],50,FALSE),0)*Referentieberekening!L32),0)),(IF(Inschrijfberekening!C33="Nieuwe Situatie",_xlfn.IFNA(VLOOKUP(Inschrijfberekening!K65,Database_Transport[#All],45,FALSE)*(Inschrijfberekening!K33*Inschrijfberekening!N33),0),0)))</f>
        <v>664240.9558</v>
      </c>
      <c r="H175" s="93">
        <f>(IF(Referentieberekening!C32="Nieuwe Situatie",(_xlfn.IFNA(VLOOKUP(Referentie_Fossiele_Energie_Totaal[[#This Row],[Product]]&amp;", "&amp;Referentie_Fossiele_Energie_Totaal[[#Headers],[A5]],Database_Productkaarten[#All],50,FALSE),0)*Referentieberekening!L32),0))</f>
        <v>74.168883718279943</v>
      </c>
      <c r="I175" s="93">
        <f>(IF(Referentieberekening!C32="Nieuwe Situatie",(_xlfn.IFNA(VLOOKUP(Referentie_Fossiele_Energie_Totaal[[#This Row],[Product]]&amp;", "&amp;Referentie_Fossiele_Energie_Totaal[[#Headers],[B1]],Database_Productkaarten[#All],50,FALSE),0)*Referentieberekening!L32),0))</f>
        <v>0</v>
      </c>
      <c r="J175" s="93">
        <f>(IF(Referentieberekening!C32="Nieuwe Situatie",(SUM(Referentie_Fossiele_Energie_Totaal[[#This Row],[A1]:[B1]],Referentie_Fossiele_Energie_Totaal[[#This Row],[C1]:[D2]])*Referentieberekening!N32),0))</f>
        <v>0</v>
      </c>
      <c r="K175" s="93">
        <f>(IF(Referentieberekening!C32="Bestaande Situatie",(_xlfn.IFNA(VLOOKUP(Referentie_Fossiele_Energie_Totaal[[#This Row],[Product]]&amp;", "&amp;Referentie_Fossiele_Energie_Totaal[[#Headers],[C1]],Database_Productkaarten[#All],50,FALSE),0)*Referentieberekening!L32),0))</f>
        <v>0</v>
      </c>
      <c r="L175" s="93">
        <f>(IF(Referentieberekening!C32="Bestaande Situatie",(_xlfn.IFNA(VLOOKUP(Referentie_Fossiele_Energie_Totaal[[#This Row],[Product]]&amp;", "&amp;Referentie_Fossiele_Energie_Totaal[[#Headers],[C2]],Database_Productkaarten[#All],50,FALSE),0)*Referentieberekening!L32),0))</f>
        <v>0</v>
      </c>
      <c r="M175" s="93">
        <f>(IF(Referentieberekening!C32="Bestaande Situatie",(_xlfn.IFNA(VLOOKUP(Referentie_Fossiele_Energie_Totaal[[#This Row],[Product]]&amp;", "&amp;Referentie_Fossiele_Energie_Totaal[[#Headers],[C3]],Database_Productkaarten[#All],50,FALSE),0)*Referentieberekening!L32),0))</f>
        <v>0</v>
      </c>
      <c r="N175" s="93">
        <f>(IF(Referentieberekening!C32="Bestaande Situatie",(_xlfn.IFNA(VLOOKUP(Referentie_Fossiele_Energie_Totaal[[#This Row],[Product]]&amp;", "&amp;Referentie_Fossiele_Energie_Totaal[[#Headers],[C4]],Database_Productkaarten[#All],50,FALSE),0)*Referentieberekening!L32),0))</f>
        <v>0</v>
      </c>
      <c r="O175" s="93">
        <f>(IF(Referentieberekening!C32="Bestaande Situatie",(_xlfn.IFNA(VLOOKUP(Referentie_Fossiele_Energie_Totaal[[#This Row],[Product]]&amp;", "&amp;Referentie_Fossiele_Energie_Totaal[[#Headers],[D1]],Database_Productkaarten[#All],50,FALSE),0)*Referentieberekening!L32),0))</f>
        <v>0</v>
      </c>
      <c r="P175" s="94">
        <f>(IF(Referentieberekening!C32="Bestaande Situatie",_xlfn.IFNA(VLOOKUP(Referentie_Fossiele_Energie_Totaal[[#This Row],[Product]]&amp;", "&amp;Referentie_Fossiele_Energie_Totaal[[#Headers],[D2]],Database_Productkaarten[#All],50,FALSE),0)*Referentieberekening!L32,0))</f>
        <v>0</v>
      </c>
      <c r="Q175" s="72">
        <f>SUM(Referentie_Fossiele_Energie_Totaal[[#This Row],[A1]:[D2]])</f>
        <v>664315.12468371831</v>
      </c>
    </row>
    <row r="176" spans="2:17" ht="18" x14ac:dyDescent="0.55000000000000004">
      <c r="B176" s="286" t="str">
        <f>Referentieberekening!B33</f>
        <v xml:space="preserve"> Zand verwerken in cunet, hoogte 1,00 m - voetpad (vrijgekomen). </v>
      </c>
      <c r="C176" s="92" t="str">
        <f>Referentieberekening!F33</f>
        <v>Zand (hergebruik)</v>
      </c>
      <c r="D176" s="93">
        <f>(IF(Referentieberekening!C33="Nieuwe Situatie",(_xlfn.IFNA(VLOOKUP(Referentie_Fossiele_Energie_Totaal[[#This Row],[Product]]&amp;", "&amp;Referentie_Fossiele_Energie_Totaal[[#Headers],[A1]],Database_Productkaarten[#All],50,FALSE),0)*Referentieberekening!L33),0))</f>
        <v>0</v>
      </c>
      <c r="E176" s="93">
        <f>(IF(Referentieberekening!C33="Nieuwe Situatie",(_xlfn.IFNA(VLOOKUP(Referentie_Fossiele_Energie_Totaal[[#This Row],[Product]]&amp;", "&amp;Referentie_Fossiele_Energie_Totaal[[#Headers],[A2]],Database_Productkaarten[#All],50,FALSE),0)*Referentieberekening!L33),0))</f>
        <v>0</v>
      </c>
      <c r="F176" s="93">
        <f>(IF(Referentieberekening!C33="Nieuwe Situatie",(_xlfn.IFNA(VLOOKUP(Referentie_Fossiele_Energie_Totaal[[#This Row],[Product]]&amp;", "&amp;Referentie_Fossiele_Energie_Totaal[[#Headers],[A3]],Database_Productkaarten[#All],50,FALSE),0)*Referentieberekening!L33),0))</f>
        <v>0</v>
      </c>
      <c r="G176" s="93">
        <f>IF(Referentieberekening!P33=0,(IF(Referentieberekening!C33="Nieuwe Situatie",(_xlfn.IFNA(VLOOKUP(Referentie_Fossiele_Energie_Totaal[[#This Row],[Product]]&amp;", "&amp;Referentie_Fossiele_Energie_Totaal[[#Headers],[A4]],Database_Productkaarten[#All],50,FALSE),0)*Referentieberekening!L33),0)),(IF(Inschrijfberekening!C34="Nieuwe Situatie",_xlfn.IFNA(VLOOKUP(Inschrijfberekening!K66,Database_Transport[#All],45,FALSE)*(Inschrijfberekening!K34*Inschrijfberekening!N34),0),0)))</f>
        <v>0</v>
      </c>
      <c r="H176" s="93">
        <f>(IF(Referentieberekening!C33="Nieuwe Situatie",(_xlfn.IFNA(VLOOKUP(Referentie_Fossiele_Energie_Totaal[[#This Row],[Product]]&amp;", "&amp;Referentie_Fossiele_Energie_Totaal[[#Headers],[A5]],Database_Productkaarten[#All],50,FALSE),0)*Referentieberekening!L33),0))</f>
        <v>10.397507063310274</v>
      </c>
      <c r="I176" s="93">
        <f>(IF(Referentieberekening!C33="Nieuwe Situatie",(_xlfn.IFNA(VLOOKUP(Referentie_Fossiele_Energie_Totaal[[#This Row],[Product]]&amp;", "&amp;Referentie_Fossiele_Energie_Totaal[[#Headers],[B1]],Database_Productkaarten[#All],50,FALSE),0)*Referentieberekening!L33),0))</f>
        <v>0</v>
      </c>
      <c r="J176" s="93">
        <f>(IF(Referentieberekening!C33="Nieuwe Situatie",(SUM(Referentie_Fossiele_Energie_Totaal[[#This Row],[A1]:[B1]],Referentie_Fossiele_Energie_Totaal[[#This Row],[C1]:[D2]])*Referentieberekening!N33),0))</f>
        <v>0</v>
      </c>
      <c r="K176" s="93">
        <f>(IF(Referentieberekening!C33="Bestaande Situatie",(_xlfn.IFNA(VLOOKUP(Referentie_Fossiele_Energie_Totaal[[#This Row],[Product]]&amp;", "&amp;Referentie_Fossiele_Energie_Totaal[[#Headers],[C1]],Database_Productkaarten[#All],50,FALSE),0)*Referentieberekening!L33),0))</f>
        <v>0</v>
      </c>
      <c r="L176" s="93">
        <f>(IF(Referentieberekening!C33="Bestaande Situatie",(_xlfn.IFNA(VLOOKUP(Referentie_Fossiele_Energie_Totaal[[#This Row],[Product]]&amp;", "&amp;Referentie_Fossiele_Energie_Totaal[[#Headers],[C2]],Database_Productkaarten[#All],50,FALSE),0)*Referentieberekening!L33),0))</f>
        <v>0</v>
      </c>
      <c r="M176" s="93">
        <f>(IF(Referentieberekening!C33="Bestaande Situatie",(_xlfn.IFNA(VLOOKUP(Referentie_Fossiele_Energie_Totaal[[#This Row],[Product]]&amp;", "&amp;Referentie_Fossiele_Energie_Totaal[[#Headers],[C3]],Database_Productkaarten[#All],50,FALSE),0)*Referentieberekening!L33),0))</f>
        <v>0</v>
      </c>
      <c r="N176" s="93">
        <f>(IF(Referentieberekening!C33="Bestaande Situatie",(_xlfn.IFNA(VLOOKUP(Referentie_Fossiele_Energie_Totaal[[#This Row],[Product]]&amp;", "&amp;Referentie_Fossiele_Energie_Totaal[[#Headers],[C4]],Database_Productkaarten[#All],50,FALSE),0)*Referentieberekening!L33),0))</f>
        <v>0</v>
      </c>
      <c r="O176" s="93">
        <f>(IF(Referentieberekening!C33="Bestaande Situatie",(_xlfn.IFNA(VLOOKUP(Referentie_Fossiele_Energie_Totaal[[#This Row],[Product]]&amp;", "&amp;Referentie_Fossiele_Energie_Totaal[[#Headers],[D1]],Database_Productkaarten[#All],50,FALSE),0)*Referentieberekening!L33),0))</f>
        <v>0</v>
      </c>
      <c r="P176" s="94">
        <f>(IF(Referentieberekening!C33="Bestaande Situatie",_xlfn.IFNA(VLOOKUP(Referentie_Fossiele_Energie_Totaal[[#This Row],[Product]]&amp;", "&amp;Referentie_Fossiele_Energie_Totaal[[#Headers],[D2]],Database_Productkaarten[#All],50,FALSE),0)*Referentieberekening!L33,0))</f>
        <v>0</v>
      </c>
      <c r="Q176" s="72">
        <f>SUM(Referentie_Fossiele_Energie_Totaal[[#This Row],[A1]:[D2]])</f>
        <v>10.397507063310274</v>
      </c>
    </row>
    <row r="177" spans="2:19" ht="18" x14ac:dyDescent="0.55000000000000004">
      <c r="B177" s="286" t="str">
        <f>Referentieberekening!B34</f>
        <v xml:space="preserve"> Zand verwerken in cunet, hoogte 1,00 m - overige verharding (vrijgekomen). </v>
      </c>
      <c r="C177" s="92" t="str">
        <f>Referentieberekening!F34</f>
        <v>Zand (hergebruik)</v>
      </c>
      <c r="D177" s="93">
        <f>(IF(Referentieberekening!C34="Nieuwe Situatie",(_xlfn.IFNA(VLOOKUP(Referentie_Fossiele_Energie_Totaal[[#This Row],[Product]]&amp;", "&amp;Referentie_Fossiele_Energie_Totaal[[#Headers],[A1]],Database_Productkaarten[#All],50,FALSE),0)*Referentieberekening!L34),0))</f>
        <v>0</v>
      </c>
      <c r="E177" s="93">
        <f>(IF(Referentieberekening!C34="Nieuwe Situatie",(_xlfn.IFNA(VLOOKUP(Referentie_Fossiele_Energie_Totaal[[#This Row],[Product]]&amp;", "&amp;Referentie_Fossiele_Energie_Totaal[[#Headers],[A2]],Database_Productkaarten[#All],50,FALSE),0)*Referentieberekening!L34),0))</f>
        <v>0</v>
      </c>
      <c r="F177" s="93">
        <f>(IF(Referentieberekening!C34="Nieuwe Situatie",(_xlfn.IFNA(VLOOKUP(Referentie_Fossiele_Energie_Totaal[[#This Row],[Product]]&amp;", "&amp;Referentie_Fossiele_Energie_Totaal[[#Headers],[A3]],Database_Productkaarten[#All],50,FALSE),0)*Referentieberekening!L34),0))</f>
        <v>0</v>
      </c>
      <c r="G177" s="93">
        <f>IF(Referentieberekening!P34=0,(IF(Referentieberekening!C34="Nieuwe Situatie",(_xlfn.IFNA(VLOOKUP(Referentie_Fossiele_Energie_Totaal[[#This Row],[Product]]&amp;", "&amp;Referentie_Fossiele_Energie_Totaal[[#Headers],[A4]],Database_Productkaarten[#All],50,FALSE),0)*Referentieberekening!L34),0)),(IF(Inschrijfberekening!C35="Nieuwe Situatie",_xlfn.IFNA(VLOOKUP(Inschrijfberekening!K67,Database_Transport[#All],45,FALSE)*(Inschrijfberekening!K35*Inschrijfberekening!N35),0),0)))</f>
        <v>0</v>
      </c>
      <c r="H177" s="93">
        <f>(IF(Referentieberekening!C34="Nieuwe Situatie",(_xlfn.IFNA(VLOOKUP(Referentie_Fossiele_Energie_Totaal[[#This Row],[Product]]&amp;", "&amp;Referentie_Fossiele_Energie_Totaal[[#Headers],[A5]],Database_Productkaarten[#All],50,FALSE),0)*Referentieberekening!L34),0))</f>
        <v>17.329178438850455</v>
      </c>
      <c r="I177" s="93">
        <f>(IF(Referentieberekening!C34="Nieuwe Situatie",(_xlfn.IFNA(VLOOKUP(Referentie_Fossiele_Energie_Totaal[[#This Row],[Product]]&amp;", "&amp;Referentie_Fossiele_Energie_Totaal[[#Headers],[B1]],Database_Productkaarten[#All],50,FALSE),0)*Referentieberekening!L34),0))</f>
        <v>0</v>
      </c>
      <c r="J177" s="93">
        <f>(IF(Referentieberekening!C34="Nieuwe Situatie",(SUM(Referentie_Fossiele_Energie_Totaal[[#This Row],[A1]:[B1]],Referentie_Fossiele_Energie_Totaal[[#This Row],[C1]:[D2]])*Referentieberekening!N34),0))</f>
        <v>0</v>
      </c>
      <c r="K177" s="93">
        <f>(IF(Referentieberekening!C34="Bestaande Situatie",(_xlfn.IFNA(VLOOKUP(Referentie_Fossiele_Energie_Totaal[[#This Row],[Product]]&amp;", "&amp;Referentie_Fossiele_Energie_Totaal[[#Headers],[C1]],Database_Productkaarten[#All],50,FALSE),0)*Referentieberekening!L34),0))</f>
        <v>0</v>
      </c>
      <c r="L177" s="93">
        <f>(IF(Referentieberekening!C34="Bestaande Situatie",(_xlfn.IFNA(VLOOKUP(Referentie_Fossiele_Energie_Totaal[[#This Row],[Product]]&amp;", "&amp;Referentie_Fossiele_Energie_Totaal[[#Headers],[C2]],Database_Productkaarten[#All],50,FALSE),0)*Referentieberekening!L34),0))</f>
        <v>0</v>
      </c>
      <c r="M177" s="93">
        <f>(IF(Referentieberekening!C34="Bestaande Situatie",(_xlfn.IFNA(VLOOKUP(Referentie_Fossiele_Energie_Totaal[[#This Row],[Product]]&amp;", "&amp;Referentie_Fossiele_Energie_Totaal[[#Headers],[C3]],Database_Productkaarten[#All],50,FALSE),0)*Referentieberekening!L34),0))</f>
        <v>0</v>
      </c>
      <c r="N177" s="93">
        <f>(IF(Referentieberekening!C34="Bestaande Situatie",(_xlfn.IFNA(VLOOKUP(Referentie_Fossiele_Energie_Totaal[[#This Row],[Product]]&amp;", "&amp;Referentie_Fossiele_Energie_Totaal[[#Headers],[C4]],Database_Productkaarten[#All],50,FALSE),0)*Referentieberekening!L34),0))</f>
        <v>0</v>
      </c>
      <c r="O177" s="93">
        <f>(IF(Referentieberekening!C34="Bestaande Situatie",(_xlfn.IFNA(VLOOKUP(Referentie_Fossiele_Energie_Totaal[[#This Row],[Product]]&amp;", "&amp;Referentie_Fossiele_Energie_Totaal[[#Headers],[D1]],Database_Productkaarten[#All],50,FALSE),0)*Referentieberekening!L34),0))</f>
        <v>0</v>
      </c>
      <c r="P177" s="94">
        <f>(IF(Referentieberekening!C34="Bestaande Situatie",_xlfn.IFNA(VLOOKUP(Referentie_Fossiele_Energie_Totaal[[#This Row],[Product]]&amp;", "&amp;Referentie_Fossiele_Energie_Totaal[[#Headers],[D2]],Database_Productkaarten[#All],50,FALSE),0)*Referentieberekening!L34,0))</f>
        <v>0</v>
      </c>
      <c r="Q177" s="72">
        <f>SUM(Referentie_Fossiele_Energie_Totaal[[#This Row],[A1]:[D2]])</f>
        <v>17.329178438850455</v>
      </c>
    </row>
    <row r="178" spans="2:19" ht="18.5" thickBot="1" x14ac:dyDescent="0.6">
      <c r="B178" s="286" t="str">
        <f>Referentieberekening!B35</f>
        <v xml:space="preserve"> Aanvullen sleuf ten behoeve van hoofdriolering. </v>
      </c>
      <c r="C178" s="92" t="str">
        <f>Referentieberekening!F35</f>
        <v>Zand (hergebruik)</v>
      </c>
      <c r="D178" s="93">
        <f>(IF(Referentieberekening!C35="Nieuwe Situatie",(_xlfn.IFNA(VLOOKUP(Referentie_Fossiele_Energie_Totaal[[#This Row],[Product]]&amp;", "&amp;Referentie_Fossiele_Energie_Totaal[[#Headers],[A1]],Database_Productkaarten[#All],50,FALSE),0)*Referentieberekening!L35),0))</f>
        <v>0</v>
      </c>
      <c r="E178" s="93">
        <f>(IF(Referentieberekening!C35="Nieuwe Situatie",(_xlfn.IFNA(VLOOKUP(Referentie_Fossiele_Energie_Totaal[[#This Row],[Product]]&amp;", "&amp;Referentie_Fossiele_Energie_Totaal[[#Headers],[A2]],Database_Productkaarten[#All],50,FALSE),0)*Referentieberekening!L35),0))</f>
        <v>0</v>
      </c>
      <c r="F178" s="93">
        <f>(IF(Referentieberekening!C35="Nieuwe Situatie",(_xlfn.IFNA(VLOOKUP(Referentie_Fossiele_Energie_Totaal[[#This Row],[Product]]&amp;", "&amp;Referentie_Fossiele_Energie_Totaal[[#Headers],[A3]],Database_Productkaarten[#All],50,FALSE),0)*Referentieberekening!L35),0))</f>
        <v>0</v>
      </c>
      <c r="G178" s="93">
        <f>IF(Referentieberekening!P35=0,(IF(Referentieberekening!C35="Nieuwe Situatie",(_xlfn.IFNA(VLOOKUP(Referentie_Fossiele_Energie_Totaal[[#This Row],[Product]]&amp;", "&amp;Referentie_Fossiele_Energie_Totaal[[#Headers],[A4]],Database_Productkaarten[#All],50,FALSE),0)*Referentieberekening!L35),0)),(IF(Inschrijfberekening!C36="Nieuwe Situatie",_xlfn.IFNA(VLOOKUP(Inschrijfberekening!K68,Database_Transport[#All],45,FALSE)*(Inschrijfberekening!K36*Inschrijfberekening!N36),0),0)))</f>
        <v>0</v>
      </c>
      <c r="H178" s="93">
        <f>(IF(Referentieberekening!C35="Nieuwe Situatie",(_xlfn.IFNA(VLOOKUP(Referentie_Fossiele_Energie_Totaal[[#This Row],[Product]]&amp;", "&amp;Referentie_Fossiele_Energie_Totaal[[#Headers],[A5]],Database_Productkaarten[#All],50,FALSE),0)*Referentieberekening!L35),0))</f>
        <v>27.03351836460671</v>
      </c>
      <c r="I178" s="93">
        <f>(IF(Referentieberekening!C35="Nieuwe Situatie",(_xlfn.IFNA(VLOOKUP(Referentie_Fossiele_Energie_Totaal[[#This Row],[Product]]&amp;", "&amp;Referentie_Fossiele_Energie_Totaal[[#Headers],[B1]],Database_Productkaarten[#All],50,FALSE),0)*Referentieberekening!L35),0))</f>
        <v>0</v>
      </c>
      <c r="J178" s="93">
        <f>(IF(Referentieberekening!C35="Nieuwe Situatie",(SUM(Referentie_Fossiele_Energie_Totaal[[#This Row],[A1]:[B1]],Referentie_Fossiele_Energie_Totaal[[#This Row],[C1]:[D2]])*Referentieberekening!N35),0))</f>
        <v>0</v>
      </c>
      <c r="K178" s="93">
        <f>(IF(Referentieberekening!C35="Bestaande Situatie",(_xlfn.IFNA(VLOOKUP(Referentie_Fossiele_Energie_Totaal[[#This Row],[Product]]&amp;", "&amp;Referentie_Fossiele_Energie_Totaal[[#Headers],[C1]],Database_Productkaarten[#All],50,FALSE),0)*Referentieberekening!L35),0))</f>
        <v>0</v>
      </c>
      <c r="L178" s="93">
        <f>(IF(Referentieberekening!C35="Bestaande Situatie",(_xlfn.IFNA(VLOOKUP(Referentie_Fossiele_Energie_Totaal[[#This Row],[Product]]&amp;", "&amp;Referentie_Fossiele_Energie_Totaal[[#Headers],[C2]],Database_Productkaarten[#All],50,FALSE),0)*Referentieberekening!L35),0))</f>
        <v>0</v>
      </c>
      <c r="M178" s="93">
        <f>(IF(Referentieberekening!C35="Bestaande Situatie",(_xlfn.IFNA(VLOOKUP(Referentie_Fossiele_Energie_Totaal[[#This Row],[Product]]&amp;", "&amp;Referentie_Fossiele_Energie_Totaal[[#Headers],[C3]],Database_Productkaarten[#All],50,FALSE),0)*Referentieberekening!L35),0))</f>
        <v>0</v>
      </c>
      <c r="N178" s="93">
        <f>(IF(Referentieberekening!C35="Bestaande Situatie",(_xlfn.IFNA(VLOOKUP(Referentie_Fossiele_Energie_Totaal[[#This Row],[Product]]&amp;", "&amp;Referentie_Fossiele_Energie_Totaal[[#Headers],[C4]],Database_Productkaarten[#All],50,FALSE),0)*Referentieberekening!L35),0))</f>
        <v>0</v>
      </c>
      <c r="O178" s="93">
        <f>(IF(Referentieberekening!C35="Bestaande Situatie",(_xlfn.IFNA(VLOOKUP(Referentie_Fossiele_Energie_Totaal[[#This Row],[Product]]&amp;", "&amp;Referentie_Fossiele_Energie_Totaal[[#Headers],[D1]],Database_Productkaarten[#All],50,FALSE),0)*Referentieberekening!L35),0))</f>
        <v>0</v>
      </c>
      <c r="P178" s="94">
        <f>(IF(Referentieberekening!C35="Bestaande Situatie",_xlfn.IFNA(VLOOKUP(Referentie_Fossiele_Energie_Totaal[[#This Row],[Product]]&amp;", "&amp;Referentie_Fossiele_Energie_Totaal[[#Headers],[D2]],Database_Productkaarten[#All],50,FALSE),0)*Referentieberekening!L35,0))</f>
        <v>0</v>
      </c>
      <c r="Q178" s="72">
        <f>SUM(Referentie_Fossiele_Energie_Totaal[[#This Row],[A1]:[D2]])</f>
        <v>27.03351836460671</v>
      </c>
    </row>
    <row r="179" spans="2:19" ht="18.5" thickTop="1" x14ac:dyDescent="0.55000000000000004">
      <c r="B179" s="68" t="s">
        <v>16</v>
      </c>
      <c r="C179" s="69"/>
      <c r="D179" s="213">
        <f>SUBTOTAL(109,Referentie_Fossiele_Energie_Totaal[A1])</f>
        <v>4384635.3504970372</v>
      </c>
      <c r="E179" s="213">
        <f>SUBTOTAL(109,Referentie_Fossiele_Energie_Totaal[A2])</f>
        <v>573558.07213608851</v>
      </c>
      <c r="F179" s="213">
        <f>SUBTOTAL(109,Referentie_Fossiele_Energie_Totaal[A3])</f>
        <v>1032673.9209655657</v>
      </c>
      <c r="G179" s="213">
        <f>SUBTOTAL(109,Referentie_Fossiele_Energie_Totaal[A4])</f>
        <v>1131488.67396712</v>
      </c>
      <c r="H179" s="213">
        <f>SUBTOTAL(109,Referentie_Fossiele_Energie_Totaal[A5])</f>
        <v>46135.541578757147</v>
      </c>
      <c r="I179" s="213">
        <f>SUBTOTAL(109,Referentie_Fossiele_Energie_Totaal[B1])</f>
        <v>0</v>
      </c>
      <c r="J179" s="213">
        <f>SUBTOTAL(109,Referentie_Fossiele_Energie_Totaal[B4])</f>
        <v>0</v>
      </c>
      <c r="K179" s="213">
        <f>SUBTOTAL(109,Referentie_Fossiele_Energie_Totaal[C1])</f>
        <v>1706.7574983250915</v>
      </c>
      <c r="L179" s="213">
        <f>SUBTOTAL(109,Referentie_Fossiele_Energie_Totaal[C2])</f>
        <v>1332133.5936</v>
      </c>
      <c r="M179" s="213">
        <f>SUBTOTAL(109,Referentie_Fossiele_Energie_Totaal[C3])</f>
        <v>962.92840153949999</v>
      </c>
      <c r="N179" s="213">
        <f>SUBTOTAL(109,Referentie_Fossiele_Energie_Totaal[C4])</f>
        <v>0</v>
      </c>
      <c r="O179" s="213">
        <f>SUBTOTAL(109,Referentie_Fossiele_Energie_Totaal[D1])</f>
        <v>-57698.683170753415</v>
      </c>
      <c r="P179" s="214">
        <f>SUBTOTAL(109,Referentie_Fossiele_Energie_Totaal[D2])</f>
        <v>-5379.5266739348845</v>
      </c>
      <c r="Q179" s="215">
        <f>SUBTOTAL(109,Referentie_Fossiele_Energie_Totaal[Totaal])</f>
        <v>8440216.6287997477</v>
      </c>
    </row>
    <row r="180" spans="2:19" ht="18" x14ac:dyDescent="0.55000000000000004">
      <c r="B180" s="17"/>
      <c r="C180" s="17"/>
      <c r="D180" s="17"/>
      <c r="E180" s="17"/>
      <c r="F180" s="17"/>
      <c r="G180" s="17"/>
      <c r="H180" s="17"/>
      <c r="I180" s="17"/>
      <c r="J180" s="17"/>
      <c r="K180" s="17"/>
      <c r="L180" s="17"/>
      <c r="M180" s="17"/>
      <c r="N180" s="17"/>
      <c r="O180" s="17"/>
      <c r="P180" s="17"/>
    </row>
    <row r="181" spans="2:19" ht="18" x14ac:dyDescent="0.55000000000000004">
      <c r="B181" s="17"/>
      <c r="C181" s="17"/>
      <c r="D181" s="17"/>
      <c r="E181" s="17"/>
      <c r="F181" s="17"/>
      <c r="G181" s="17"/>
      <c r="H181" s="17"/>
      <c r="I181" s="17"/>
      <c r="J181" s="17"/>
      <c r="K181" s="17"/>
      <c r="L181" s="17"/>
      <c r="M181" s="17"/>
      <c r="N181" s="17"/>
      <c r="O181" s="17"/>
      <c r="P181" s="17"/>
    </row>
    <row r="182" spans="2:19" ht="22" x14ac:dyDescent="0.65">
      <c r="B182" s="134" t="s">
        <v>362</v>
      </c>
      <c r="C182" s="134"/>
      <c r="D182" s="134"/>
      <c r="E182" s="17"/>
      <c r="F182" s="17"/>
      <c r="G182" s="17"/>
      <c r="H182" s="17"/>
      <c r="I182" s="17"/>
      <c r="J182" s="17"/>
      <c r="K182" s="17"/>
      <c r="L182" s="17"/>
      <c r="M182" s="17"/>
      <c r="N182" s="17"/>
      <c r="O182" s="17"/>
      <c r="P182" s="17"/>
    </row>
    <row r="183" spans="2:19" ht="18.5" thickBot="1" x14ac:dyDescent="0.6">
      <c r="B183" s="65" t="s">
        <v>55</v>
      </c>
      <c r="C183" s="66" t="s">
        <v>4</v>
      </c>
      <c r="D183" s="74" t="s">
        <v>344</v>
      </c>
      <c r="E183" s="75" t="s">
        <v>345</v>
      </c>
      <c r="F183" s="75" t="s">
        <v>348</v>
      </c>
      <c r="G183" s="75" t="s">
        <v>349</v>
      </c>
      <c r="H183" s="75" t="s">
        <v>343</v>
      </c>
      <c r="I183" s="74" t="s">
        <v>480</v>
      </c>
      <c r="J183" s="75" t="s">
        <v>481</v>
      </c>
      <c r="K183" s="75" t="s">
        <v>484</v>
      </c>
      <c r="L183" s="195" t="s">
        <v>496</v>
      </c>
      <c r="M183" s="195" t="s">
        <v>497</v>
      </c>
      <c r="N183" s="195" t="s">
        <v>498</v>
      </c>
      <c r="O183" s="17"/>
      <c r="P183" s="17"/>
      <c r="Q183" s="17"/>
      <c r="R183" s="17"/>
      <c r="S183" s="17"/>
    </row>
    <row r="184" spans="2:19" ht="18.5" thickTop="1" x14ac:dyDescent="0.55000000000000004">
      <c r="B184" s="286" t="str">
        <f>Referentieberekening!B5</f>
        <v xml:space="preserve"> Opbreken betonstraatstenen. </v>
      </c>
      <c r="C184" s="67" t="str">
        <f>Referentieberekening!F5</f>
        <v>Betonstraatsteen 210x105x80</v>
      </c>
      <c r="D184" s="117" cm="1">
        <f t="array" ref="D184">_xlfn.IFNA((_xlfn.IFS(Referentieberekening!C5="Nieuwe Situatie",(50),Referentieberekening!C5="Bestaande Situatie",(0))),0)*Referentieberekening!L5</f>
        <v>0</v>
      </c>
      <c r="E184" s="122" cm="1">
        <f t="array" ref="E184">(_xlfn.IFNA((_xlfn.IFS(Referentieberekening!C5="Nieuwe Situatie",(50),Referentieberekening!C5="Bestaande Situatie",(50))),0)*Referentieberekening!L5)*0.18</f>
        <v>5625</v>
      </c>
      <c r="F184" s="118" t="s">
        <v>347</v>
      </c>
      <c r="G184" s="118" t="s">
        <v>347</v>
      </c>
      <c r="H184"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4" s="182" cm="1">
        <f t="array" ref="I184">_xlfn.IFNA((_xlfn.IFS(Referentieberekening!C5="Nieuwe Situatie",(50),Referentieberekening!C5="Bestaande Situatie",(0))),0)*Referentieberekening!L5*Referentieberekening!N5</f>
        <v>0</v>
      </c>
      <c r="J184" s="182" cm="1">
        <f t="array" ref="J184">(_xlfn.IFNA((_xlfn.IFS(Referentieberekening!C5="Nieuwe Situatie",(50),Referentieberekening!C5="Bestaande Situatie",(50))),0)*Referentieberekening!L5)*Referentieberekening!N5</f>
        <v>0</v>
      </c>
      <c r="K184"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4" s="182"/>
      <c r="M184" s="182"/>
      <c r="N184" s="182"/>
      <c r="O184" s="17"/>
      <c r="P184" s="17"/>
      <c r="Q184" s="17"/>
      <c r="R184" s="17"/>
      <c r="S184" s="17"/>
    </row>
    <row r="185" spans="2:19" ht="18" x14ac:dyDescent="0.55000000000000004">
      <c r="B185" s="286" t="str">
        <f>Referentieberekening!B6</f>
        <v>Aanbrengen band 280x300x260 mm, betonrug.</v>
      </c>
      <c r="C185" s="67" t="str">
        <f>Referentieberekening!F6</f>
        <v>Trottoirband 280x300</v>
      </c>
      <c r="D185" s="117" cm="1">
        <f t="array" ref="D185">_xlfn.IFNA((_xlfn.IFS(Referentieberekening!C6="Nieuwe Situatie",(50),Referentieberekening!C6="Bestaande Situatie",(0))),0)*Referentieberekening!L6*0.1911</f>
        <v>15096.9</v>
      </c>
      <c r="E185" s="122" cm="1">
        <f t="array" ref="E185">(_xlfn.IFNA((_xlfn.IFS(Referentieberekening!C6="Nieuwe Situatie",(50),Referentieberekening!C6="Bestaande Situatie",(50))),0)*Referentieberekening!L6)*0.1911</f>
        <v>15096.9</v>
      </c>
      <c r="F185" s="118" t="s">
        <v>347</v>
      </c>
      <c r="G185" s="118" t="s">
        <v>347</v>
      </c>
      <c r="H185"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5" s="182" cm="1">
        <f t="array" ref="I185">_xlfn.IFNA((_xlfn.IFS(Referentieberekening!C6="Nieuwe Situatie",(50),Referentieberekening!C6="Bestaande Situatie",(0))),0)*Referentieberekening!L6*Referentieberekening!N6</f>
        <v>0</v>
      </c>
      <c r="J185" s="182" cm="1">
        <f t="array" ref="J185">(_xlfn.IFNA((_xlfn.IFS(Referentieberekening!C6="Nieuwe Situatie",(50),Referentieberekening!C6="Bestaande Situatie",(50))),0)*Referentieberekening!L6)*Referentieberekening!N6</f>
        <v>0</v>
      </c>
      <c r="K185"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5" s="182"/>
      <c r="M185" s="182"/>
      <c r="N185" s="182"/>
      <c r="O185" s="17"/>
      <c r="P185" s="17"/>
      <c r="Q185" s="17"/>
      <c r="R185" s="17"/>
      <c r="S185" s="17"/>
    </row>
    <row r="186" spans="2:19" ht="18" x14ac:dyDescent="0.55000000000000004">
      <c r="B186" s="286" t="str">
        <f>Referentieberekening!B7</f>
        <v>Aanbrengen opsluitband 100x200mm.</v>
      </c>
      <c r="C186" s="67" t="str">
        <f>Referentieberekening!F7</f>
        <v>Opsluitband 100x200</v>
      </c>
      <c r="D186" s="117" cm="1">
        <f t="array" ref="D186">_xlfn.IFNA((_xlfn.IFS(Referentieberekening!C7="Nieuwe Situatie",(50),Referentieberekening!C7="Bestaande Situatie",(0))),0)*Referentieberekening!L7*0.0455</f>
        <v>2275</v>
      </c>
      <c r="E186" s="122" cm="1">
        <f t="array" ref="E186">(_xlfn.IFNA((_xlfn.IFS(Referentieberekening!C7="Nieuwe Situatie",(50),Referentieberekening!C7="Bestaande Situatie",(50))),0)*Referentieberekening!L7)*0.0455</f>
        <v>2275</v>
      </c>
      <c r="F186" s="118" t="s">
        <v>347</v>
      </c>
      <c r="G186" s="118" t="s">
        <v>347</v>
      </c>
      <c r="H186"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6" s="182" cm="1">
        <f t="array" ref="I186">_xlfn.IFNA((_xlfn.IFS(Referentieberekening!C7="Nieuwe Situatie",(50),Referentieberekening!C7="Bestaande Situatie",(0))),0)*Referentieberekening!L7*Referentieberekening!N7</f>
        <v>0</v>
      </c>
      <c r="J186" s="182" cm="1">
        <f t="array" ref="J186">(_xlfn.IFNA((_xlfn.IFS(Referentieberekening!C7="Nieuwe Situatie",(50),Referentieberekening!C7="Bestaande Situatie",(50))),0)*Referentieberekening!L7)*Referentieberekening!N7</f>
        <v>0</v>
      </c>
      <c r="K186"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6" s="182"/>
      <c r="M186" s="182"/>
      <c r="N186" s="182"/>
      <c r="O186" s="17"/>
      <c r="P186" s="17"/>
      <c r="Q186" s="17"/>
      <c r="R186" s="17"/>
      <c r="S186" s="17"/>
    </row>
    <row r="187" spans="2:19" ht="18" x14ac:dyDescent="0.55000000000000004">
      <c r="B187" s="286" t="str">
        <f>Referentieberekening!B8</f>
        <v>Aanbrengen straatlaag van straatzand dik 50 mm.</v>
      </c>
      <c r="C187" s="67" t="str">
        <f>Referentieberekening!F8</f>
        <v>Straatzand</v>
      </c>
      <c r="D187" s="117" cm="1">
        <f t="array" ref="D187">_xlfn.IFNA((_xlfn.IFS(Referentieberekening!C8="Nieuwe Situatie",(50),Referentieberekening!C8="Bestaande Situatie",(0))),0)*Referentieberekening!L8</f>
        <v>2880</v>
      </c>
      <c r="E187" s="122" cm="1">
        <f t="array" ref="E187">(_xlfn.IFNA((_xlfn.IFS(Referentieberekening!C8="Nieuwe Situatie",(50),Referentieberekening!C8="Bestaande Situatie",(50))),0)*Referentieberekening!L8)</f>
        <v>2880</v>
      </c>
      <c r="F187" s="118" t="s">
        <v>347</v>
      </c>
      <c r="G187" s="118" t="s">
        <v>347</v>
      </c>
      <c r="H187"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7" s="182" cm="1">
        <f t="array" ref="I187">_xlfn.IFNA((_xlfn.IFS(Referentieberekening!C8="Nieuwe Situatie",(50),Referentieberekening!C8="Bestaande Situatie",(0))),0)*Referentieberekening!L8*Referentieberekening!N8</f>
        <v>0</v>
      </c>
      <c r="J187" s="182" cm="1">
        <f t="array" ref="J187">(_xlfn.IFNA((_xlfn.IFS(Referentieberekening!C8="Nieuwe Situatie",(50),Referentieberekening!C8="Bestaande Situatie",(50))),0)*Referentieberekening!L8)*Referentieberekening!N8</f>
        <v>0</v>
      </c>
      <c r="K187"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7" s="182"/>
      <c r="M187" s="182"/>
      <c r="N187" s="182"/>
      <c r="O187" s="17"/>
      <c r="P187" s="17"/>
      <c r="Q187" s="17"/>
      <c r="R187" s="17"/>
      <c r="S187" s="17"/>
    </row>
    <row r="188" spans="2:19" ht="18" x14ac:dyDescent="0.55000000000000004">
      <c r="B188" s="286" t="str">
        <f>Referentieberekening!B9</f>
        <v>Aanbrengen betontegels 300x300x45 mm.</v>
      </c>
      <c r="C188" s="67" t="str">
        <f>Referentieberekening!F9</f>
        <v>Betontegel 300x300x45</v>
      </c>
      <c r="D188" s="117" cm="1">
        <f t="array" ref="D188">_xlfn.IFNA((_xlfn.IFS(Referentieberekening!C9="Nieuwe Situatie",(50),Referentieberekening!C9="Bestaande Situatie",(0))),0)*Referentieberekening!L9*0.1045</f>
        <v>3762</v>
      </c>
      <c r="E188" s="122" cm="1">
        <f t="array" ref="E188">(_xlfn.IFNA((_xlfn.IFS(Referentieberekening!C9="Nieuwe Situatie",(50),Referentieberekening!C9="Bestaande Situatie",(50))),0)*Referentieberekening!L9)*0.1045</f>
        <v>3762</v>
      </c>
      <c r="F188" s="118" t="s">
        <v>347</v>
      </c>
      <c r="G188" s="118" t="s">
        <v>347</v>
      </c>
      <c r="H188"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8" s="182" cm="1">
        <f t="array" ref="I188">_xlfn.IFNA((_xlfn.IFS(Referentieberekening!C9="Nieuwe Situatie",(50),Referentieberekening!C9="Bestaande Situatie",(0))),0)*Referentieberekening!L9*Referentieberekening!N9</f>
        <v>0</v>
      </c>
      <c r="J188" s="182" cm="1">
        <f t="array" ref="J188">(_xlfn.IFNA((_xlfn.IFS(Referentieberekening!C9="Nieuwe Situatie",(50),Referentieberekening!C9="Bestaande Situatie",(50))),0)*Referentieberekening!L9)*Referentieberekening!N9</f>
        <v>0</v>
      </c>
      <c r="K188"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8" s="182"/>
      <c r="M188" s="182"/>
      <c r="N188" s="182"/>
      <c r="O188" s="17"/>
      <c r="P188" s="17"/>
      <c r="Q188" s="17"/>
      <c r="R188" s="17"/>
      <c r="S188" s="17"/>
    </row>
    <row r="189" spans="2:19" ht="18" x14ac:dyDescent="0.55000000000000004">
      <c r="B189" s="286" t="str">
        <f>Referentieberekening!B10</f>
        <v xml:space="preserve"> Opbreken asfaltverharding, dik 120 mm. </v>
      </c>
      <c r="C189" s="67" t="str">
        <f>Referentieberekening!F10</f>
        <v>AC bin/base 50% PR - PCR 1.0</v>
      </c>
      <c r="D189" s="117" cm="1">
        <f t="array" ref="D189">_xlfn.IFNA((_xlfn.IFS(Referentieberekening!C10="Nieuwe Situatie",(50),Referentieberekening!C10="Bestaande Situatie",(0))),0)*Referentieberekening!L10</f>
        <v>0</v>
      </c>
      <c r="E189" s="122" cm="1">
        <f t="array" ref="E189">(_xlfn.IFNA((_xlfn.IFS(Referentieberekening!C10="Nieuwe Situatie",(50),Referentieberekening!C10="Bestaande Situatie",(50))),0)*Referentieberekening!L10)</f>
        <v>1564.2</v>
      </c>
      <c r="F189" s="118" t="s">
        <v>347</v>
      </c>
      <c r="G189" s="118" t="s">
        <v>347</v>
      </c>
      <c r="H189"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89" s="182" cm="1">
        <f t="array" ref="I189">_xlfn.IFNA((_xlfn.IFS(Referentieberekening!C10="Nieuwe Situatie",(50),Referentieberekening!C10="Bestaande Situatie",(0))),0)*Referentieberekening!L10*Referentieberekening!N10</f>
        <v>0</v>
      </c>
      <c r="J189" s="182" cm="1">
        <f t="array" ref="J189">(_xlfn.IFNA((_xlfn.IFS(Referentieberekening!C10="Nieuwe Situatie",(50),Referentieberekening!C10="Bestaande Situatie",(50))),0)*Referentieberekening!L10)*Referentieberekening!N10</f>
        <v>0</v>
      </c>
      <c r="K189"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89" s="182"/>
      <c r="M189" s="182"/>
      <c r="N189" s="182"/>
      <c r="O189" s="17"/>
      <c r="P189" s="17"/>
      <c r="Q189" s="17"/>
      <c r="R189" s="17"/>
      <c r="S189" s="17"/>
    </row>
    <row r="190" spans="2:19" ht="18" x14ac:dyDescent="0.55000000000000004">
      <c r="B190" s="286" t="str">
        <f>Referentieberekening!B11</f>
        <v xml:space="preserve"> Frezen asfalt dik 30 mm - fietspad. </v>
      </c>
      <c r="C190" s="67" t="str">
        <f>Referentieberekening!F11</f>
        <v>SMA 8-11 - PCR 1.0</v>
      </c>
      <c r="D190" s="117" cm="1">
        <f t="array" ref="D190">_xlfn.IFNA((_xlfn.IFS(Referentieberekening!C11="Nieuwe Situatie",(50),Referentieberekening!C11="Bestaande Situatie",(0))),0)*Referentieberekening!L11</f>
        <v>0</v>
      </c>
      <c r="E190" s="122" cm="1">
        <f t="array" ref="E190">(_xlfn.IFNA((_xlfn.IFS(Referentieberekening!C11="Nieuwe Situatie",(50),Referentieberekening!C11="Bestaande Situatie",(50))),0)*Referentieberekening!L11)</f>
        <v>969.375</v>
      </c>
      <c r="F190" s="118" t="s">
        <v>347</v>
      </c>
      <c r="G190" s="118" t="s">
        <v>347</v>
      </c>
      <c r="H190"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0" s="182" cm="1">
        <f t="array" ref="I190">_xlfn.IFNA((_xlfn.IFS(Referentieberekening!C11="Nieuwe Situatie",(50),Referentieberekening!C11="Bestaande Situatie",(0))),0)*Referentieberekening!L11*Referentieberekening!N11</f>
        <v>0</v>
      </c>
      <c r="J190" s="182" cm="1">
        <f t="array" ref="J190">(_xlfn.IFNA((_xlfn.IFS(Referentieberekening!C11="Nieuwe Situatie",(50),Referentieberekening!C11="Bestaande Situatie",(50))),0)*Referentieberekening!L11)*Referentieberekening!N11</f>
        <v>0</v>
      </c>
      <c r="K190"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0" s="182"/>
      <c r="M190" s="182"/>
      <c r="N190" s="182"/>
      <c r="O190" s="17"/>
      <c r="P190" s="17"/>
      <c r="Q190" s="17"/>
      <c r="R190" s="17"/>
      <c r="S190" s="17"/>
    </row>
    <row r="191" spans="2:19" ht="18" x14ac:dyDescent="0.55000000000000004">
      <c r="B191" s="286" t="str">
        <f>Referentieberekening!B12</f>
        <v>Aanbrengen menggranulaat, dik 300 mm - rijweg.</v>
      </c>
      <c r="C191" s="67" t="str">
        <f>Referentieberekening!F12</f>
        <v>Menggranulaat 0/31,5</v>
      </c>
      <c r="D191" s="117" cm="1">
        <f t="array" ref="D191">_xlfn.IFNA((_xlfn.IFS(Referentieberekening!C12="Nieuwe Situatie",(50),Referentieberekening!C12="Bestaande Situatie",(0))),0)*Referentieberekening!L12*1.8</f>
        <v>348705</v>
      </c>
      <c r="E191" s="122" cm="1">
        <f t="array" ref="E191">(_xlfn.IFNA((_xlfn.IFS(Referentieberekening!C12="Nieuwe Situatie",(50),Referentieberekening!C12="Bestaande Situatie",(50))),0)*Referentieberekening!L12)*1.8</f>
        <v>348705</v>
      </c>
      <c r="F191" s="118" t="s">
        <v>347</v>
      </c>
      <c r="G191" s="118" t="s">
        <v>347</v>
      </c>
      <c r="H191"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1" s="182" cm="1">
        <f t="array" ref="I191">_xlfn.IFNA((_xlfn.IFS(Referentieberekening!C12="Nieuwe Situatie",(50),Referentieberekening!C12="Bestaande Situatie",(0))),0)*Referentieberekening!L12*Referentieberekening!N12</f>
        <v>0</v>
      </c>
      <c r="J191" s="182" cm="1">
        <f t="array" ref="J191">(_xlfn.IFNA((_xlfn.IFS(Referentieberekening!C12="Nieuwe Situatie",(50),Referentieberekening!C12="Bestaande Situatie",(50))),0)*Referentieberekening!L12)*Referentieberekening!N12</f>
        <v>0</v>
      </c>
      <c r="K191"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1" s="182"/>
      <c r="M191" s="182"/>
      <c r="N191" s="182"/>
      <c r="O191" s="17"/>
      <c r="P191" s="17"/>
      <c r="Q191" s="17"/>
      <c r="R191" s="17"/>
      <c r="S191" s="17"/>
    </row>
    <row r="192" spans="2:19" ht="18" x14ac:dyDescent="0.55000000000000004">
      <c r="B192" s="286" t="str">
        <f>Referentieberekening!B13</f>
        <v>Aanbrengen onderlaag AC 22 base, dik 70 mm.</v>
      </c>
      <c r="C192" s="67" t="str">
        <f>Referentieberekening!F13</f>
        <v>AC bin/base 50% PR - PCR 2.0</v>
      </c>
      <c r="D192" s="117" cm="1">
        <f t="array" ref="D192">_xlfn.IFNA((_xlfn.IFS(Referentieberekening!C13="Nieuwe Situatie",(50),Referentieberekening!C13="Bestaande Situatie",(0))),0)*Referentieberekening!L13</f>
        <v>56050</v>
      </c>
      <c r="E192" s="122" cm="1">
        <f t="array" ref="E192">(_xlfn.IFNA((_xlfn.IFS(Referentieberekening!C13="Nieuwe Situatie",(50),Referentieberekening!C13="Bestaande Situatie",(50))),0)*Referentieberekening!L13)</f>
        <v>56050</v>
      </c>
      <c r="F192" s="118" t="s">
        <v>347</v>
      </c>
      <c r="G192" s="118" t="s">
        <v>347</v>
      </c>
      <c r="H192"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2" s="182" cm="1">
        <f t="array" ref="I192">_xlfn.IFNA((_xlfn.IFS(Referentieberekening!C13="Nieuwe Situatie",(50),Referentieberekening!C13="Bestaande Situatie",(0))),0)*Referentieberekening!L13*Referentieberekening!N13</f>
        <v>0</v>
      </c>
      <c r="J192" s="182" cm="1">
        <f t="array" ref="J192">(_xlfn.IFNA((_xlfn.IFS(Referentieberekening!C13="Nieuwe Situatie",(50),Referentieberekening!C13="Bestaande Situatie",(50))),0)*Referentieberekening!L13)*Referentieberekening!N13</f>
        <v>0</v>
      </c>
      <c r="K192"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2" s="182"/>
      <c r="M192" s="182"/>
      <c r="N192" s="182"/>
      <c r="O192" s="17"/>
      <c r="P192" s="17"/>
      <c r="Q192" s="17"/>
      <c r="R192" s="17"/>
      <c r="S192" s="17"/>
    </row>
    <row r="193" spans="2:19" ht="18" x14ac:dyDescent="0.55000000000000004">
      <c r="B193" s="286" t="str">
        <f>Referentieberekening!B14</f>
        <v>Aanbrengen tussenlaag AC16 bind, dik 50 mm</v>
      </c>
      <c r="C193" s="67" t="str">
        <f>Referentieberekening!F14</f>
        <v>AC bin/base 50% PR - PCR 2.0</v>
      </c>
      <c r="D193" s="117" cm="1">
        <f t="array" ref="D193">_xlfn.IFNA((_xlfn.IFS(Referentieberekening!C14="Nieuwe Situatie",(50),Referentieberekening!C14="Bestaande Situatie",(0))),0)*Referentieberekening!L14</f>
        <v>40050</v>
      </c>
      <c r="E193" s="122" cm="1">
        <f t="array" ref="E193">(_xlfn.IFNA((_xlfn.IFS(Referentieberekening!C14="Nieuwe Situatie",(50),Referentieberekening!C14="Bestaande Situatie",(50))),0)*Referentieberekening!L14)</f>
        <v>40050</v>
      </c>
      <c r="F193" s="118" t="s">
        <v>347</v>
      </c>
      <c r="G193" s="118" t="s">
        <v>347</v>
      </c>
      <c r="H193"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3" s="182" cm="1">
        <f t="array" ref="I193">_xlfn.IFNA((_xlfn.IFS(Referentieberekening!C14="Nieuwe Situatie",(50),Referentieberekening!C14="Bestaande Situatie",(0))),0)*Referentieberekening!L14*Referentieberekening!N14</f>
        <v>0</v>
      </c>
      <c r="J193" s="182" cm="1">
        <f t="array" ref="J193">(_xlfn.IFNA((_xlfn.IFS(Referentieberekening!C14="Nieuwe Situatie",(50),Referentieberekening!C14="Bestaande Situatie",(50))),0)*Referentieberekening!L14)*Referentieberekening!N14</f>
        <v>0</v>
      </c>
      <c r="K193"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3" s="182"/>
      <c r="M193" s="182"/>
      <c r="N193" s="182"/>
      <c r="O193" s="17"/>
      <c r="P193" s="17"/>
      <c r="Q193" s="17"/>
      <c r="R193" s="17"/>
      <c r="S193" s="17"/>
    </row>
    <row r="194" spans="2:19" ht="18" x14ac:dyDescent="0.55000000000000004">
      <c r="B194" s="286" t="str">
        <f>Referentieberekening!B15</f>
        <v>Aanbrengen deklaag van SMA-NL 8, dik 30 mm.</v>
      </c>
      <c r="C194" s="67" t="str">
        <f>Referentieberekening!F15</f>
        <v>SMA 8-11 - PCR 2.0</v>
      </c>
      <c r="D194" s="117" cm="1">
        <f t="array" ref="D194">_xlfn.IFNA((_xlfn.IFS(Referentieberekening!C15="Nieuwe Situatie",(50),Referentieberekening!C15="Bestaande Situatie",(0))),0)*Referentieberekening!L15</f>
        <v>24050</v>
      </c>
      <c r="E194" s="122" cm="1">
        <f t="array" ref="E194">(_xlfn.IFNA((_xlfn.IFS(Referentieberekening!C15="Nieuwe Situatie",(50),Referentieberekening!C15="Bestaande Situatie",(50))),0)*Referentieberekening!L15)</f>
        <v>24050</v>
      </c>
      <c r="F194" s="118" t="s">
        <v>347</v>
      </c>
      <c r="G194" s="118" t="s">
        <v>347</v>
      </c>
      <c r="H194"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4" s="182" cm="1">
        <f t="array" ref="I194">_xlfn.IFNA((_xlfn.IFS(Referentieberekening!C15="Nieuwe Situatie",(50),Referentieberekening!C15="Bestaande Situatie",(0))),0)*Referentieberekening!L15*Referentieberekening!N15</f>
        <v>0</v>
      </c>
      <c r="J194" s="182" cm="1">
        <f t="array" ref="J194">(_xlfn.IFNA((_xlfn.IFS(Referentieberekening!C15="Nieuwe Situatie",(50),Referentieberekening!C15="Bestaande Situatie",(50))),0)*Referentieberekening!L15)*Referentieberekening!N15</f>
        <v>0</v>
      </c>
      <c r="K194"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4" s="182"/>
      <c r="M194" s="182"/>
      <c r="N194" s="182"/>
      <c r="O194" s="17"/>
      <c r="P194" s="17"/>
      <c r="Q194" s="17"/>
      <c r="R194" s="17"/>
      <c r="S194" s="17"/>
    </row>
    <row r="195" spans="2:19" ht="18" x14ac:dyDescent="0.55000000000000004">
      <c r="B195" s="286" t="str">
        <f>Referentieberekening!B16</f>
        <v>Aanbrengen menggranulaat, dik 200 mm - fietspad.</v>
      </c>
      <c r="C195" s="67" t="str">
        <f>Referentieberekening!F16</f>
        <v>Menggranulaat 0/31,5</v>
      </c>
      <c r="D195" s="117" cm="1">
        <f t="array" ref="D195">_xlfn.IFNA((_xlfn.IFS(Referentieberekening!C16="Nieuwe Situatie",(50),Referentieberekening!C16="Bestaande Situatie",(0))),0)*Referentieberekening!L16*1.8</f>
        <v>15552</v>
      </c>
      <c r="E195" s="122" cm="1">
        <f t="array" ref="E195">(_xlfn.IFNA((_xlfn.IFS(Referentieberekening!C16="Nieuwe Situatie",(50),Referentieberekening!C16="Bestaande Situatie",(50))),0)*Referentieberekening!L16)*1.8</f>
        <v>15552</v>
      </c>
      <c r="F195" s="118" t="s">
        <v>347</v>
      </c>
      <c r="G195" s="118" t="s">
        <v>347</v>
      </c>
      <c r="H195"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5" s="182" cm="1">
        <f t="array" ref="I195">_xlfn.IFNA((_xlfn.IFS(Referentieberekening!C16="Nieuwe Situatie",(50),Referentieberekening!C16="Bestaande Situatie",(0))),0)*Referentieberekening!L16*Referentieberekening!N16</f>
        <v>0</v>
      </c>
      <c r="J195" s="182" cm="1">
        <f t="array" ref="J195">(_xlfn.IFNA((_xlfn.IFS(Referentieberekening!C16="Nieuwe Situatie",(50),Referentieberekening!C16="Bestaande Situatie",(50))),0)*Referentieberekening!L16)*Referentieberekening!N16</f>
        <v>0</v>
      </c>
      <c r="K195"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5" s="182"/>
      <c r="M195" s="182"/>
      <c r="N195" s="182"/>
      <c r="O195" s="17"/>
      <c r="P195" s="17"/>
      <c r="Q195" s="17"/>
      <c r="R195" s="17"/>
      <c r="S195" s="17"/>
    </row>
    <row r="196" spans="2:19" ht="18" x14ac:dyDescent="0.55000000000000004">
      <c r="B196" s="286" t="str">
        <f>Referentieberekening!B17</f>
        <v>Aanbrengen onderlaag AC 16 base, dik 50 mm 275 m2.</v>
      </c>
      <c r="C196" s="67" t="str">
        <f>Referentieberekening!F17</f>
        <v>AC bin/base 50% PR - PCR 2.0</v>
      </c>
      <c r="D196" s="117" cm="1">
        <f t="array" ref="D196">_xlfn.IFNA((_xlfn.IFS(Referentieberekening!C17="Nieuwe Situatie",(50),Referentieberekening!C17="Bestaande Situatie",(0))),0)*Referentieberekening!L17</f>
        <v>1750</v>
      </c>
      <c r="E196" s="122" cm="1">
        <f t="array" ref="E196">(_xlfn.IFNA((_xlfn.IFS(Referentieberekening!C17="Nieuwe Situatie",(50),Referentieberekening!C17="Bestaande Situatie",(50))),0)*Referentieberekening!L17)</f>
        <v>1750</v>
      </c>
      <c r="F196" s="118" t="s">
        <v>347</v>
      </c>
      <c r="G196" s="118" t="s">
        <v>347</v>
      </c>
      <c r="H196"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6" s="182" cm="1">
        <f t="array" ref="I196">_xlfn.IFNA((_xlfn.IFS(Referentieberekening!C17="Nieuwe Situatie",(50),Referentieberekening!C17="Bestaande Situatie",(0))),0)*Referentieberekening!L17*Referentieberekening!N17</f>
        <v>0</v>
      </c>
      <c r="J196" s="182" cm="1">
        <f t="array" ref="J196">(_xlfn.IFNA((_xlfn.IFS(Referentieberekening!C17="Nieuwe Situatie",(50),Referentieberekening!C17="Bestaande Situatie",(50))),0)*Referentieberekening!L17)*Referentieberekening!N17</f>
        <v>0</v>
      </c>
      <c r="K196"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6" s="182"/>
      <c r="M196" s="182"/>
      <c r="N196" s="182"/>
      <c r="O196" s="17"/>
      <c r="P196" s="17"/>
      <c r="Q196" s="17"/>
      <c r="R196" s="17"/>
      <c r="S196" s="17"/>
    </row>
    <row r="197" spans="2:19" ht="18" x14ac:dyDescent="0.55000000000000004">
      <c r="B197" s="286" t="str">
        <f>Referentieberekening!B18</f>
        <v>Aanbrengen deklaag SMA-NL 8, dik 30 mm - 275 m2 (rood)</v>
      </c>
      <c r="C197" s="67" t="str">
        <f>Referentieberekening!F18</f>
        <v>AC surf rood, met blank bindmiddel - PCR 2.0</v>
      </c>
      <c r="D197" s="117" cm="1">
        <f t="array" ref="D197">_xlfn.IFNA((_xlfn.IFS(Referentieberekening!C18="Nieuwe Situatie",(50),Referentieberekening!C18="Bestaande Situatie",(0))),0)*Referentieberekening!L18</f>
        <v>1050</v>
      </c>
      <c r="E197" s="122" cm="1">
        <f t="array" ref="E197">(_xlfn.IFNA((_xlfn.IFS(Referentieberekening!C18="Nieuwe Situatie",(50),Referentieberekening!C18="Bestaande Situatie",(50))),0)*Referentieberekening!L18)</f>
        <v>1050</v>
      </c>
      <c r="F197" s="118" t="s">
        <v>347</v>
      </c>
      <c r="G197" s="118" t="s">
        <v>347</v>
      </c>
      <c r="H197"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7" s="182" cm="1">
        <f t="array" ref="I197">_xlfn.IFNA((_xlfn.IFS(Referentieberekening!C18="Nieuwe Situatie",(50),Referentieberekening!C18="Bestaande Situatie",(0))),0)*Referentieberekening!L18*Referentieberekening!N18</f>
        <v>0</v>
      </c>
      <c r="J197" s="182" cm="1">
        <f t="array" ref="J197">(_xlfn.IFNA((_xlfn.IFS(Referentieberekening!C18="Nieuwe Situatie",(50),Referentieberekening!C18="Bestaande Situatie",(50))),0)*Referentieberekening!L18)*Referentieberekening!N18</f>
        <v>0</v>
      </c>
      <c r="K197"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7" s="182"/>
      <c r="M197" s="182"/>
      <c r="N197" s="182"/>
      <c r="O197" s="17"/>
      <c r="P197" s="17"/>
      <c r="Q197" s="17"/>
      <c r="R197" s="17"/>
      <c r="S197" s="17"/>
    </row>
    <row r="198" spans="2:19" ht="18" x14ac:dyDescent="0.55000000000000004">
      <c r="B198" s="286" t="str">
        <f>Referentieberekening!B19</f>
        <v>Aanbrengen deklaag SMA-NL 8, dik 30 mm - 890 m2 (rood)</v>
      </c>
      <c r="C198" s="67" t="str">
        <f>Referentieberekening!F19</f>
        <v>AC surf rood, met blank bindmiddel - PCR 2.0</v>
      </c>
      <c r="D198" s="117" cm="1">
        <f t="array" ref="D198">_xlfn.IFNA((_xlfn.IFS(Referentieberekening!C19="Nieuwe Situatie",(50),Referentieberekening!C19="Bestaande Situatie",(0))),0)*Referentieberekening!L19</f>
        <v>3400</v>
      </c>
      <c r="E198" s="122" cm="1">
        <f t="array" ref="E198">(_xlfn.IFNA((_xlfn.IFS(Referentieberekening!C19="Nieuwe Situatie",(50),Referentieberekening!C19="Bestaande Situatie",(50))),0)*Referentieberekening!L19)</f>
        <v>3400</v>
      </c>
      <c r="F198" s="118" t="s">
        <v>347</v>
      </c>
      <c r="G198" s="118" t="s">
        <v>347</v>
      </c>
      <c r="H198"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8" s="182" cm="1">
        <f t="array" ref="I198">_xlfn.IFNA((_xlfn.IFS(Referentieberekening!C19="Nieuwe Situatie",(50),Referentieberekening!C19="Bestaande Situatie",(0))),0)*Referentieberekening!L19*Referentieberekening!N19</f>
        <v>0</v>
      </c>
      <c r="J198" s="182" cm="1">
        <f t="array" ref="J198">(_xlfn.IFNA((_xlfn.IFS(Referentieberekening!C19="Nieuwe Situatie",(50),Referentieberekening!C19="Bestaande Situatie",(50))),0)*Referentieberekening!L19)*Referentieberekening!N19</f>
        <v>0</v>
      </c>
      <c r="K198"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8" s="182"/>
      <c r="M198" s="182"/>
      <c r="N198" s="182"/>
      <c r="O198" s="17"/>
      <c r="P198" s="17"/>
      <c r="Q198" s="17"/>
      <c r="R198" s="17"/>
      <c r="S198" s="17"/>
    </row>
    <row r="199" spans="2:19" ht="18" x14ac:dyDescent="0.55000000000000004">
      <c r="B199" s="286" t="str">
        <f>Referentieberekening!B20</f>
        <v>Aanbrengen betonbuis rond profiel, ø300 mm - HWA.</v>
      </c>
      <c r="C199" s="67" t="str">
        <f>Referentieberekening!F20</f>
        <v>Betonbuis 300 mm</v>
      </c>
      <c r="D199" s="117" cm="1">
        <f t="array" ref="D199">_xlfn.IFNA((_xlfn.IFS(Referentieberekening!C20="Nieuwe Situatie",(50),Referentieberekening!C20="Bestaande Situatie",(0))),0)*Referentieberekening!L20*(0.46/2.5)</f>
        <v>920</v>
      </c>
      <c r="E199" s="122" cm="1">
        <f t="array" ref="E199">(_xlfn.IFNA((_xlfn.IFS(Referentieberekening!C20="Nieuwe Situatie",(50),Referentieberekening!C20="Bestaande Situatie",(50))),0)*Referentieberekening!L20)*(0.46/2.5)</f>
        <v>920</v>
      </c>
      <c r="F199" s="118" t="s">
        <v>347</v>
      </c>
      <c r="G199" s="118" t="s">
        <v>347</v>
      </c>
      <c r="H199"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99" s="182" cm="1">
        <f t="array" ref="I199">_xlfn.IFNA((_xlfn.IFS(Referentieberekening!C20="Nieuwe Situatie",(50),Referentieberekening!C20="Bestaande Situatie",(0))),0)*Referentieberekening!L20*Referentieberekening!N20</f>
        <v>0</v>
      </c>
      <c r="J199" s="182" cm="1">
        <f t="array" ref="J199">(_xlfn.IFNA((_xlfn.IFS(Referentieberekening!C20="Nieuwe Situatie",(50),Referentieberekening!C20="Bestaande Situatie",(50))),0)*Referentieberekening!L20)*Referentieberekening!N20</f>
        <v>0</v>
      </c>
      <c r="K199"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99" s="182"/>
      <c r="M199" s="182"/>
      <c r="N199" s="182"/>
      <c r="O199" s="17"/>
      <c r="P199" s="17"/>
      <c r="Q199" s="17"/>
      <c r="R199" s="17"/>
      <c r="S199" s="17"/>
    </row>
    <row r="200" spans="2:19" ht="18" x14ac:dyDescent="0.55000000000000004">
      <c r="B200" s="286" t="str">
        <f>Referentieberekening!B21</f>
        <v>Aanbrengen betonbuis rond profiel, ø500 mm - HWA.</v>
      </c>
      <c r="C200" s="67" t="str">
        <f>Referentieberekening!F21</f>
        <v>Betonbuis 500 mm</v>
      </c>
      <c r="D200" s="117" cm="1">
        <f t="array" ref="D200">_xlfn.IFNA((_xlfn.IFS(Referentieberekening!C21="Nieuwe Situatie",(50),Referentieberekening!C21="Bestaande Situatie",(0))),0)*Referentieberekening!L21*(0.82/2.5)</f>
        <v>8199.9999999999982</v>
      </c>
      <c r="E200" s="122" cm="1">
        <f t="array" ref="E200">(_xlfn.IFNA((_xlfn.IFS(Referentieberekening!C21="Nieuwe Situatie",(50),Referentieberekening!C21="Bestaande Situatie",(50))),0)*Referentieberekening!L21)*(0.82/2.5)</f>
        <v>8199.9999999999982</v>
      </c>
      <c r="F200" s="118" t="s">
        <v>347</v>
      </c>
      <c r="G200" s="118" t="s">
        <v>347</v>
      </c>
      <c r="H200"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0" s="182" cm="1">
        <f t="array" ref="I200">_xlfn.IFNA((_xlfn.IFS(Referentieberekening!C21="Nieuwe Situatie",(50),Referentieberekening!C21="Bestaande Situatie",(0))),0)*Referentieberekening!L21*Referentieberekening!N21</f>
        <v>0</v>
      </c>
      <c r="J200" s="182" cm="1">
        <f t="array" ref="J200">(_xlfn.IFNA((_xlfn.IFS(Referentieberekening!C21="Nieuwe Situatie",(50),Referentieberekening!C21="Bestaande Situatie",(50))),0)*Referentieberekening!L21)*Referentieberekening!N21</f>
        <v>0</v>
      </c>
      <c r="K200"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0" s="182"/>
      <c r="M200" s="182"/>
      <c r="N200" s="182"/>
      <c r="O200" s="17"/>
      <c r="P200" s="17"/>
      <c r="Q200" s="17"/>
      <c r="R200" s="17"/>
      <c r="S200" s="17"/>
    </row>
    <row r="201" spans="2:19" ht="18" x14ac:dyDescent="0.55000000000000004">
      <c r="B201" s="286" t="str">
        <f>Referentieberekening!B22</f>
        <v>Aanbrengen betonbuis rond profiel, ø700 mm - HWA.</v>
      </c>
      <c r="C201" s="67" t="str">
        <f>Referentieberekening!F22</f>
        <v>Betonbuis 800 mm</v>
      </c>
      <c r="D201" s="117" cm="1">
        <f t="array" ref="D201">_xlfn.IFNA((_xlfn.IFS(Referentieberekening!C22="Nieuwe Situatie",(50),Referentieberekening!C22="Bestaande Situatie",(0))),0)*Referentieberekening!L22*(1.66/2.5)</f>
        <v>1659.9999999999998</v>
      </c>
      <c r="E201" s="122" cm="1">
        <f t="array" ref="E201">(_xlfn.IFNA((_xlfn.IFS(Referentieberekening!C22="Nieuwe Situatie",(50),Referentieberekening!C22="Bestaande Situatie",(50))),0)*Referentieberekening!L22)*(1.66/2.5)</f>
        <v>1659.9999999999998</v>
      </c>
      <c r="F201" s="118" t="s">
        <v>347</v>
      </c>
      <c r="G201" s="118" t="s">
        <v>347</v>
      </c>
      <c r="H201"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1" s="182" cm="1">
        <f t="array" ref="I201">_xlfn.IFNA((_xlfn.IFS(Referentieberekening!C22="Nieuwe Situatie",(50),Referentieberekening!C22="Bestaande Situatie",(0))),0)*Referentieberekening!L22*Referentieberekening!N22</f>
        <v>0</v>
      </c>
      <c r="J201" s="182" cm="1">
        <f t="array" ref="J201">(_xlfn.IFNA((_xlfn.IFS(Referentieberekening!C22="Nieuwe Situatie",(50),Referentieberekening!C22="Bestaande Situatie",(50))),0)*Referentieberekening!L22)*Referentieberekening!N22</f>
        <v>0</v>
      </c>
      <c r="K201"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1" s="182"/>
      <c r="M201" s="182"/>
      <c r="N201" s="182"/>
      <c r="O201" s="17"/>
      <c r="P201" s="17"/>
      <c r="Q201" s="17"/>
      <c r="R201" s="17"/>
      <c r="S201" s="17"/>
    </row>
    <row r="202" spans="2:19" ht="18" x14ac:dyDescent="0.55000000000000004">
      <c r="B202" s="286" t="str">
        <f>Referentieberekening!B23</f>
        <v>Aanbrengen betonbuis rond profiel, ø1000 mm - HWA.</v>
      </c>
      <c r="C202" s="67" t="str">
        <f>Referentieberekening!F23</f>
        <v>Betonbuis 1000 mm</v>
      </c>
      <c r="D202" s="117" cm="1">
        <f t="array" ref="D202">_xlfn.IFNA((_xlfn.IFS(Referentieberekening!C23="Nieuwe Situatie",(50),Referentieberekening!C23="Bestaande Situatie",(0))),0)*Referentieberekening!L23*(3.131/2.5)</f>
        <v>1878.6</v>
      </c>
      <c r="E202" s="122" cm="1">
        <f t="array" ref="E202">(_xlfn.IFNA((_xlfn.IFS(Referentieberekening!C23="Nieuwe Situatie",(50),Referentieberekening!C23="Bestaande Situatie",(50))),0)*Referentieberekening!L23)*(3.131/2.5)</f>
        <v>1878.6</v>
      </c>
      <c r="F202" s="118" t="s">
        <v>347</v>
      </c>
      <c r="G202" s="118" t="s">
        <v>347</v>
      </c>
      <c r="H202"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2" s="182" cm="1">
        <f t="array" ref="I202">_xlfn.IFNA((_xlfn.IFS(Referentieberekening!C23="Nieuwe Situatie",(50),Referentieberekening!C23="Bestaande Situatie",(0))),0)*Referentieberekening!L23*Referentieberekening!N23</f>
        <v>0</v>
      </c>
      <c r="J202" s="182" cm="1">
        <f t="array" ref="J202">(_xlfn.IFNA((_xlfn.IFS(Referentieberekening!C23="Nieuwe Situatie",(50),Referentieberekening!C23="Bestaande Situatie",(50))),0)*Referentieberekening!L23)*Referentieberekening!N23</f>
        <v>0</v>
      </c>
      <c r="K202"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2" s="182"/>
      <c r="M202" s="182"/>
      <c r="N202" s="182"/>
      <c r="O202" s="17"/>
      <c r="P202" s="17"/>
      <c r="Q202" s="17"/>
      <c r="R202" s="17"/>
      <c r="S202" s="17"/>
    </row>
    <row r="203" spans="2:19" ht="18" x14ac:dyDescent="0.55000000000000004">
      <c r="B203" s="286" t="str">
        <f>Referentieberekening!B24</f>
        <v>Aanbrengen drainage rioolsleuf PP ø 125 mm.</v>
      </c>
      <c r="C203" s="67" t="str">
        <f>Referentieberekening!F24</f>
        <v>PP Drainbuis 125 mm</v>
      </c>
      <c r="D203" s="117" cm="1">
        <f t="array" ref="D203">_xlfn.IFNA((_xlfn.IFS(Referentieberekening!C24="Nieuwe Situatie",(50),Referentieberekening!C24="Bestaande Situatie",(0))),0)*Referentieberekening!L24*0.005</f>
        <v>170</v>
      </c>
      <c r="E203" s="122" cm="1">
        <f t="array" ref="E203">(_xlfn.IFNA((_xlfn.IFS(Referentieberekening!C24="Nieuwe Situatie",(50),Referentieberekening!C24="Bestaande Situatie",(50))),0)*Referentieberekening!L24)*0.005</f>
        <v>170</v>
      </c>
      <c r="F203" s="118" t="s">
        <v>347</v>
      </c>
      <c r="G203" s="118" t="s">
        <v>347</v>
      </c>
      <c r="H203"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3" s="182" cm="1">
        <f t="array" ref="I203">_xlfn.IFNA((_xlfn.IFS(Referentieberekening!C24="Nieuwe Situatie",(50),Referentieberekening!C24="Bestaande Situatie",(0))),0)*Referentieberekening!L24*Referentieberekening!N24</f>
        <v>0</v>
      </c>
      <c r="J203" s="182" cm="1">
        <f t="array" ref="J203">(_xlfn.IFNA((_xlfn.IFS(Referentieberekening!C24="Nieuwe Situatie",(50),Referentieberekening!C24="Bestaande Situatie",(50))),0)*Referentieberekening!L24)*Referentieberekening!N24</f>
        <v>0</v>
      </c>
      <c r="K203"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3" s="182"/>
      <c r="M203" s="182"/>
      <c r="N203" s="182"/>
      <c r="O203" s="17"/>
      <c r="P203" s="17"/>
      <c r="Q203" s="17"/>
      <c r="R203" s="17"/>
      <c r="S203" s="17"/>
    </row>
    <row r="204" spans="2:19" ht="18" x14ac:dyDescent="0.55000000000000004">
      <c r="B204" s="286" t="str">
        <f>Referentieberekening!B25</f>
        <v>Aanbrengen betonbuis rond profiel, ø300 mm - DWA.</v>
      </c>
      <c r="C204" s="67" t="str">
        <f>Referentieberekening!F25</f>
        <v>Betonbuis 300 mm</v>
      </c>
      <c r="D204" s="117" cm="1">
        <f t="array" ref="D204">_xlfn.IFNA((_xlfn.IFS(Referentieberekening!C25="Nieuwe Situatie",(50),Referentieberekening!C25="Bestaande Situatie",(0))),0)*Referentieberekening!L25*(0.46/2.5)</f>
        <v>5980</v>
      </c>
      <c r="E204" s="122" cm="1">
        <f t="array" ref="E204">(_xlfn.IFNA((_xlfn.IFS(Referentieberekening!C25="Nieuwe Situatie",(50),Referentieberekening!C25="Bestaande Situatie",(50))),0)*Referentieberekening!L25)*(0.46/2.5)</f>
        <v>5980</v>
      </c>
      <c r="F204" s="118" t="s">
        <v>347</v>
      </c>
      <c r="G204" s="118" t="s">
        <v>347</v>
      </c>
      <c r="H204"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4" s="182" cm="1">
        <f t="array" ref="I204">_xlfn.IFNA((_xlfn.IFS(Referentieberekening!C25="Nieuwe Situatie",(50),Referentieberekening!C25="Bestaande Situatie",(0))),0)*Referentieberekening!L25*Referentieberekening!N25</f>
        <v>0</v>
      </c>
      <c r="J204" s="182" cm="1">
        <f t="array" ref="J204">(_xlfn.IFNA((_xlfn.IFS(Referentieberekening!C25="Nieuwe Situatie",(50),Referentieberekening!C25="Bestaande Situatie",(50))),0)*Referentieberekening!L25)*Referentieberekening!N25</f>
        <v>0</v>
      </c>
      <c r="K204"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4" s="182"/>
      <c r="M204" s="182"/>
      <c r="N204" s="182"/>
      <c r="O204" s="17"/>
      <c r="P204" s="17"/>
      <c r="Q204" s="17"/>
      <c r="R204" s="17"/>
      <c r="S204" s="17"/>
    </row>
    <row r="205" spans="2:19" ht="18" x14ac:dyDescent="0.55000000000000004">
      <c r="B205" s="286" t="str">
        <f>Referentieberekening!B26</f>
        <v>Aanbrengen  PVC 160 mm, incl. grondwerk - HWA.</v>
      </c>
      <c r="C205" s="67" t="str">
        <f>Referentieberekening!F26</f>
        <v>PVC 200 mm</v>
      </c>
      <c r="D205" s="117" cm="1">
        <f t="array" ref="D205">_xlfn.IFNA((_xlfn.IFS(Referentieberekening!C26="Nieuwe Situatie",(50),Referentieberekening!C26="Bestaande Situatie",(0))),0)*Referentieberekening!L26*0.005</f>
        <v>62.5</v>
      </c>
      <c r="E205" s="122" cm="1">
        <f t="array" ref="E205">(_xlfn.IFNA((_xlfn.IFS(Referentieberekening!C26="Nieuwe Situatie",(50),Referentieberekening!C26="Bestaande Situatie",(50))),0)*Referentieberekening!L26)*0.005</f>
        <v>62.5</v>
      </c>
      <c r="F205" s="118" t="s">
        <v>347</v>
      </c>
      <c r="G205" s="118" t="s">
        <v>347</v>
      </c>
      <c r="H205"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5" s="182" cm="1">
        <f t="array" ref="I205">_xlfn.IFNA((_xlfn.IFS(Referentieberekening!C26="Nieuwe Situatie",(50),Referentieberekening!C26="Bestaande Situatie",(0))),0)*Referentieberekening!L26*Referentieberekening!N26</f>
        <v>0</v>
      </c>
      <c r="J205" s="182" cm="1">
        <f t="array" ref="J205">(_xlfn.IFNA((_xlfn.IFS(Referentieberekening!C26="Nieuwe Situatie",(50),Referentieberekening!C26="Bestaande Situatie",(50))),0)*Referentieberekening!L26)*Referentieberekening!N26</f>
        <v>0</v>
      </c>
      <c r="K205"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5" s="182"/>
      <c r="M205" s="182"/>
      <c r="N205" s="182"/>
      <c r="O205" s="17"/>
      <c r="P205" s="17"/>
      <c r="Q205" s="17"/>
      <c r="R205" s="17"/>
      <c r="S205" s="17"/>
    </row>
    <row r="206" spans="2:19" ht="18" x14ac:dyDescent="0.55000000000000004">
      <c r="B206" s="286" t="str">
        <f>Referentieberekening!B27</f>
        <v>Aanbrengen  PVC 160 mm, incl. grondwerk - DWA.</v>
      </c>
      <c r="C206" s="67" t="str">
        <f>Referentieberekening!F27</f>
        <v>PVC 200 mm</v>
      </c>
      <c r="D206" s="117" cm="1">
        <f t="array" ref="D206">_xlfn.IFNA((_xlfn.IFS(Referentieberekening!C27="Nieuwe Situatie",(50),Referentieberekening!C27="Bestaande Situatie",(0))),0)*Referentieberekening!L27*0.005</f>
        <v>62.5</v>
      </c>
      <c r="E206" s="122" cm="1">
        <f t="array" ref="E206">(_xlfn.IFNA((_xlfn.IFS(Referentieberekening!C27="Nieuwe Situatie",(50),Referentieberekening!C27="Bestaande Situatie",(50))),0)*Referentieberekening!L27)*0.005</f>
        <v>62.5</v>
      </c>
      <c r="F206" s="118" t="s">
        <v>347</v>
      </c>
      <c r="G206" s="118" t="s">
        <v>347</v>
      </c>
      <c r="H206"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6" s="182" cm="1">
        <f t="array" ref="I206">_xlfn.IFNA((_xlfn.IFS(Referentieberekening!C27="Nieuwe Situatie",(50),Referentieberekening!C27="Bestaande Situatie",(0))),0)*Referentieberekening!L27*Referentieberekening!N27</f>
        <v>0</v>
      </c>
      <c r="J206" s="182" cm="1">
        <f t="array" ref="J206">(_xlfn.IFNA((_xlfn.IFS(Referentieberekening!C27="Nieuwe Situatie",(50),Referentieberekening!C27="Bestaande Situatie",(50))),0)*Referentieberekening!L27)*Referentieberekening!N27</f>
        <v>0</v>
      </c>
      <c r="K206"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6" s="182"/>
      <c r="M206" s="182"/>
      <c r="N206" s="182"/>
      <c r="O206" s="17"/>
      <c r="P206" s="17"/>
      <c r="Q206" s="17"/>
      <c r="R206" s="17"/>
      <c r="S206" s="17"/>
    </row>
    <row r="207" spans="2:19" ht="18" x14ac:dyDescent="0.55000000000000004">
      <c r="B207" s="286" t="str">
        <f>Referentieberekening!B28</f>
        <v xml:space="preserve"> Grond ontgraven uit cunet, hoogte 1,0 m - rijweg/ fietspad </v>
      </c>
      <c r="C207" s="67" t="str">
        <f>Referentieberekening!F28</f>
        <v>Grond</v>
      </c>
      <c r="D207" s="117" cm="1">
        <f t="array" ref="D207">_xlfn.IFNA((_xlfn.IFS(Referentieberekening!C28="Nieuwe Situatie",(50),Referentieberekening!C28="Bestaande Situatie",(0))),0)*Referentieberekening!L28</f>
        <v>0</v>
      </c>
      <c r="E207" s="122" cm="1">
        <f t="array" ref="E207">(_xlfn.IFNA((_xlfn.IFS(Referentieberekening!C28="Nieuwe Situatie",(50),Referentieberekening!C28="Bestaande Situatie",(50))),0)*Referentieberekening!L28)</f>
        <v>608000</v>
      </c>
      <c r="F207" s="118" t="s">
        <v>347</v>
      </c>
      <c r="G207" s="118" t="s">
        <v>347</v>
      </c>
      <c r="H207"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7" s="182" cm="1">
        <f t="array" ref="I207">_xlfn.IFNA((_xlfn.IFS(Referentieberekening!C28="Nieuwe Situatie",(50),Referentieberekening!C28="Bestaande Situatie",(0))),0)*Referentieberekening!L28*Referentieberekening!N28</f>
        <v>0</v>
      </c>
      <c r="J207" s="182" cm="1">
        <f t="array" ref="J207">(_xlfn.IFNA((_xlfn.IFS(Referentieberekening!C28="Nieuwe Situatie",(50),Referentieberekening!C28="Bestaande Situatie",(50))),0)*Referentieberekening!L28)*Referentieberekening!N28</f>
        <v>0</v>
      </c>
      <c r="K207"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7" s="182"/>
      <c r="M207" s="182"/>
      <c r="N207" s="182"/>
      <c r="O207" s="17"/>
      <c r="P207" s="17"/>
      <c r="Q207" s="17"/>
      <c r="R207" s="17"/>
      <c r="S207" s="17"/>
    </row>
    <row r="208" spans="2:19" ht="18" x14ac:dyDescent="0.55000000000000004">
      <c r="B208" s="286" t="str">
        <f>Referentieberekening!B29</f>
        <v xml:space="preserve"> Grond ontgraven uit cunet, hoogte 0,90 m - voetpad. </v>
      </c>
      <c r="C208" s="67" t="str">
        <f>Referentieberekening!F29</f>
        <v>Grond</v>
      </c>
      <c r="D208" s="117" cm="1">
        <f t="array" ref="D208">_xlfn.IFNA((_xlfn.IFS(Referentieberekening!C29="Nieuwe Situatie",(50),Referentieberekening!C29="Bestaande Situatie",(0))),0)*Referentieberekening!L29</f>
        <v>0</v>
      </c>
      <c r="E208" s="122" cm="1">
        <f t="array" ref="E208">(_xlfn.IFNA((_xlfn.IFS(Referentieberekening!C29="Nieuwe Situatie",(50),Referentieberekening!C29="Bestaande Situatie",(50))),0)*Referentieberekening!L29)</f>
        <v>52000</v>
      </c>
      <c r="F208" s="118" t="s">
        <v>347</v>
      </c>
      <c r="G208" s="118" t="s">
        <v>347</v>
      </c>
      <c r="H208"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8" s="182" cm="1">
        <f t="array" ref="I208">_xlfn.IFNA((_xlfn.IFS(Referentieberekening!C29="Nieuwe Situatie",(50),Referentieberekening!C29="Bestaande Situatie",(0))),0)*Referentieberekening!L29*Referentieberekening!N29</f>
        <v>0</v>
      </c>
      <c r="J208" s="182" cm="1">
        <f t="array" ref="J208">(_xlfn.IFNA((_xlfn.IFS(Referentieberekening!C29="Nieuwe Situatie",(50),Referentieberekening!C29="Bestaande Situatie",(50))),0)*Referentieberekening!L29)*Referentieberekening!N29</f>
        <v>0</v>
      </c>
      <c r="K208"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8" s="182"/>
      <c r="M208" s="182"/>
      <c r="N208" s="182"/>
      <c r="O208" s="17"/>
      <c r="P208" s="17"/>
      <c r="Q208" s="17"/>
      <c r="R208" s="17"/>
      <c r="S208" s="17"/>
    </row>
    <row r="209" spans="2:22" ht="18" x14ac:dyDescent="0.55000000000000004">
      <c r="B209" s="286" t="str">
        <f>Referentieberekening!B30</f>
        <v xml:space="preserve"> Grond ontgraven uit cunet, hoogte 0,90 m - overige verharding. </v>
      </c>
      <c r="C209" s="67" t="str">
        <f>Referentieberekening!F30</f>
        <v>Grond</v>
      </c>
      <c r="D209" s="117" cm="1">
        <f t="array" ref="D209">_xlfn.IFNA((_xlfn.IFS(Referentieberekening!C30="Nieuwe Situatie",(50),Referentieberekening!C30="Bestaande Situatie",(0))),0)*Referentieberekening!L30</f>
        <v>0</v>
      </c>
      <c r="E209" s="122" cm="1">
        <f t="array" ref="E209">(_xlfn.IFNA((_xlfn.IFS(Referentieberekening!C30="Nieuwe Situatie",(50),Referentieberekening!C30="Bestaande Situatie",(50))),0)*Referentieberekening!L30)</f>
        <v>88000</v>
      </c>
      <c r="F209" s="118" t="s">
        <v>347</v>
      </c>
      <c r="G209" s="118" t="s">
        <v>347</v>
      </c>
      <c r="H209"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09" s="182" cm="1">
        <f t="array" ref="I209">_xlfn.IFNA((_xlfn.IFS(Referentieberekening!C30="Nieuwe Situatie",(50),Referentieberekening!C30="Bestaande Situatie",(0))),0)*Referentieberekening!L30*Referentieberekening!N30</f>
        <v>0</v>
      </c>
      <c r="J209" s="182" cm="1">
        <f t="array" ref="J209">(_xlfn.IFNA((_xlfn.IFS(Referentieberekening!C30="Nieuwe Situatie",(50),Referentieberekening!C30="Bestaande Situatie",(50))),0)*Referentieberekening!L30)*Referentieberekening!N30</f>
        <v>0</v>
      </c>
      <c r="K209"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09" s="182"/>
      <c r="M209" s="182"/>
      <c r="N209" s="182"/>
      <c r="O209" s="17"/>
      <c r="P209" s="17"/>
      <c r="Q209" s="17"/>
      <c r="R209" s="17"/>
      <c r="S209" s="17"/>
    </row>
    <row r="210" spans="2:22" ht="18" x14ac:dyDescent="0.55000000000000004">
      <c r="B210" s="286" t="str">
        <f>Referentieberekening!B31</f>
        <v>Grond ontgraven t.b.v. sleuf hoofdriool.</v>
      </c>
      <c r="C210" s="67" t="str">
        <f>Referentieberekening!F31</f>
        <v>Grond</v>
      </c>
      <c r="D210" s="117" cm="1">
        <f t="array" ref="D210">_xlfn.IFNA((_xlfn.IFS(Referentieberekening!C31="Nieuwe Situatie",(50),Referentieberekening!C31="Bestaande Situatie",(0))),0)*Referentieberekening!L31</f>
        <v>0</v>
      </c>
      <c r="E210" s="122" cm="1">
        <f t="array" ref="E210">(_xlfn.IFNA((_xlfn.IFS(Referentieberekening!C31="Nieuwe Situatie",(50),Referentieberekening!C31="Bestaande Situatie",(50))),0)*Referentieberekening!L31)</f>
        <v>164000</v>
      </c>
      <c r="F210" s="118" t="s">
        <v>347</v>
      </c>
      <c r="G210" s="118" t="s">
        <v>347</v>
      </c>
      <c r="H210"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10" s="182" cm="1">
        <f t="array" ref="I210">_xlfn.IFNA((_xlfn.IFS(Referentieberekening!C31="Nieuwe Situatie",(50),Referentieberekening!C31="Bestaande Situatie",(0))),0)*Referentieberekening!L31*Referentieberekening!N31</f>
        <v>0</v>
      </c>
      <c r="J210" s="182" cm="1">
        <f t="array" ref="J210">(_xlfn.IFNA((_xlfn.IFS(Referentieberekening!C31="Nieuwe Situatie",(50),Referentieberekening!C31="Bestaande Situatie",(50))),0)*Referentieberekening!L31)*Referentieberekening!N31</f>
        <v>0</v>
      </c>
      <c r="K210"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10" s="182"/>
      <c r="M210" s="182"/>
      <c r="N210" s="182"/>
      <c r="O210" s="17"/>
      <c r="P210" s="17"/>
      <c r="Q210" s="17"/>
      <c r="R210" s="17"/>
      <c r="S210" s="17"/>
    </row>
    <row r="211" spans="2:22" ht="18" x14ac:dyDescent="0.55000000000000004">
      <c r="B211" s="286" t="str">
        <f>Referentieberekening!B32</f>
        <v xml:space="preserve"> Zand leveren en verwerken in cunet, hoogte 0,70 m - rijweg. </v>
      </c>
      <c r="C211" s="67" t="str">
        <f>Referentieberekening!F32</f>
        <v>Ophoogzand, Cascade-leden</v>
      </c>
      <c r="D211" s="117" cm="1">
        <f t="array" ref="D211">_xlfn.IFNA((_xlfn.IFS(Referentieberekening!C32="Nieuwe Situatie",(50),Referentieberekening!C32="Bestaande Situatie",(0))),0)*Referentieberekening!L32</f>
        <v>454750</v>
      </c>
      <c r="E211" s="122" cm="1">
        <f t="array" ref="E211">(_xlfn.IFNA((_xlfn.IFS(Referentieberekening!C32="Nieuwe Situatie",(50),Referentieberekening!C32="Bestaande Situatie",(50))),0)*Referentieberekening!L32)</f>
        <v>454750</v>
      </c>
      <c r="F211" s="118" t="s">
        <v>347</v>
      </c>
      <c r="G211" s="118" t="s">
        <v>347</v>
      </c>
      <c r="H211"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11" s="182" cm="1">
        <f t="array" ref="I211">_xlfn.IFNA((_xlfn.IFS(Referentieberekening!C32="Nieuwe Situatie",(50),Referentieberekening!C32="Bestaande Situatie",(0))),0)*Referentieberekening!L32*Referentieberekening!N32</f>
        <v>0</v>
      </c>
      <c r="J211" s="182" cm="1">
        <f t="array" ref="J211">(_xlfn.IFNA((_xlfn.IFS(Referentieberekening!C32="Nieuwe Situatie",(50),Referentieberekening!C32="Bestaande Situatie",(50))),0)*Referentieberekening!L32)*Referentieberekening!N32</f>
        <v>0</v>
      </c>
      <c r="K211"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11" s="182"/>
      <c r="M211" s="182"/>
      <c r="N211" s="182"/>
      <c r="O211" s="17"/>
      <c r="P211" s="17"/>
      <c r="Q211" s="17"/>
      <c r="R211" s="17"/>
      <c r="S211" s="17"/>
    </row>
    <row r="212" spans="2:22" ht="18" x14ac:dyDescent="0.55000000000000004">
      <c r="B212" s="286" t="str">
        <f>Referentieberekening!B33</f>
        <v xml:space="preserve"> Zand verwerken in cunet, hoogte 1,00 m - voetpad (vrijgekomen). </v>
      </c>
      <c r="C212" s="67" t="str">
        <f>Referentieberekening!F33</f>
        <v>Zand (hergebruik)</v>
      </c>
      <c r="D212" s="117" cm="1">
        <f t="array" ref="D212">_xlfn.IFNA((_xlfn.IFS(Referentieberekening!C33="Nieuwe Situatie",(50),Referentieberekening!C33="Bestaande Situatie",(0))),0)*Referentieberekening!L33</f>
        <v>63750</v>
      </c>
      <c r="E212" s="122" cm="1">
        <f t="array" ref="E212">(_xlfn.IFNA((_xlfn.IFS(Referentieberekening!C33="Nieuwe Situatie",(50),Referentieberekening!C33="Bestaande Situatie",(50))),0)*Referentieberekening!L33)</f>
        <v>63750</v>
      </c>
      <c r="F212" s="118" t="s">
        <v>347</v>
      </c>
      <c r="G212" s="118" t="s">
        <v>347</v>
      </c>
      <c r="H212"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12" s="182" cm="1">
        <f t="array" ref="I212">_xlfn.IFNA((_xlfn.IFS(Referentieberekening!C33="Nieuwe Situatie",(50),Referentieberekening!C33="Bestaande Situatie",(0))),0)*Referentieberekening!L33*Referentieberekening!N33</f>
        <v>0</v>
      </c>
      <c r="J212" s="182" cm="1">
        <f t="array" ref="J212">(_xlfn.IFNA((_xlfn.IFS(Referentieberekening!C33="Nieuwe Situatie",(50),Referentieberekening!C33="Bestaande Situatie",(50))),0)*Referentieberekening!L33)*Referentieberekening!N33</f>
        <v>0</v>
      </c>
      <c r="K212"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12" s="182"/>
      <c r="M212" s="182"/>
      <c r="N212" s="182"/>
      <c r="O212" s="17"/>
      <c r="P212" s="17"/>
      <c r="Q212" s="17"/>
      <c r="R212" s="17"/>
      <c r="S212" s="17"/>
    </row>
    <row r="213" spans="2:22" ht="18" x14ac:dyDescent="0.55000000000000004">
      <c r="B213" s="286" t="str">
        <f>Referentieberekening!B34</f>
        <v xml:space="preserve"> Zand verwerken in cunet, hoogte 1,00 m - overige verharding (vrijgekomen). </v>
      </c>
      <c r="C213" s="67" t="str">
        <f>Referentieberekening!F34</f>
        <v>Zand (hergebruik)</v>
      </c>
      <c r="D213" s="117" cm="1">
        <f t="array" ref="D213">_xlfn.IFNA((_xlfn.IFS(Referentieberekening!C34="Nieuwe Situatie",(50),Referentieberekening!C34="Bestaande Situatie",(0))),0)*Referentieberekening!L34</f>
        <v>106250</v>
      </c>
      <c r="E213" s="122" cm="1">
        <f t="array" ref="E213">(_xlfn.IFNA((_xlfn.IFS(Referentieberekening!C34="Nieuwe Situatie",(50),Referentieberekening!C34="Bestaande Situatie",(50))),0)*Referentieberekening!L34)</f>
        <v>106250</v>
      </c>
      <c r="F213" s="118" t="s">
        <v>347</v>
      </c>
      <c r="G213" s="118" t="s">
        <v>347</v>
      </c>
      <c r="H213"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13" s="182" cm="1">
        <f t="array" ref="I213">_xlfn.IFNA((_xlfn.IFS(Referentieberekening!C34="Nieuwe Situatie",(50),Referentieberekening!C34="Bestaande Situatie",(0))),0)*Referentieberekening!L34*Referentieberekening!N34</f>
        <v>0</v>
      </c>
      <c r="J213" s="182" cm="1">
        <f t="array" ref="J213">(_xlfn.IFNA((_xlfn.IFS(Referentieberekening!C34="Nieuwe Situatie",(50),Referentieberekening!C34="Bestaande Situatie",(50))),0)*Referentieberekening!L34)*Referentieberekening!N34</f>
        <v>0</v>
      </c>
      <c r="K213"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13" s="182"/>
      <c r="M213" s="182"/>
      <c r="N213" s="182"/>
      <c r="O213" s="17"/>
      <c r="P213" s="17"/>
      <c r="Q213" s="17"/>
      <c r="R213" s="17"/>
      <c r="S213" s="17"/>
    </row>
    <row r="214" spans="2:22" ht="18.5" thickBot="1" x14ac:dyDescent="0.6">
      <c r="B214" s="286" t="str">
        <f>Referentieberekening!B35</f>
        <v xml:space="preserve"> Aanvullen sleuf ten behoeve van hoofdriolering. </v>
      </c>
      <c r="C214" s="67" t="str">
        <f>Referentieberekening!F35</f>
        <v>Zand (hergebruik)</v>
      </c>
      <c r="D214" s="117" cm="1">
        <f t="array" ref="D214">_xlfn.IFNA((_xlfn.IFS(Referentieberekening!C35="Nieuwe Situatie",(50),Referentieberekening!C35="Bestaande Situatie",(0))),0)*Referentieberekening!L35</f>
        <v>165750</v>
      </c>
      <c r="E214" s="122" cm="1">
        <f t="array" ref="E214">(_xlfn.IFNA((_xlfn.IFS(Referentieberekening!C35="Nieuwe Situatie",(50),Referentieberekening!C35="Bestaande Situatie",(50))),0)*Referentieberekening!L35)</f>
        <v>165750</v>
      </c>
      <c r="F214" s="118" t="s">
        <v>347</v>
      </c>
      <c r="G214" s="118" t="s">
        <v>347</v>
      </c>
      <c r="H214" s="160">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214" s="182" cm="1">
        <f t="array" ref="I214">_xlfn.IFNA((_xlfn.IFS(Referentieberekening!C35="Nieuwe Situatie",(50),Referentieberekening!C35="Bestaande Situatie",(0))),0)*Referentieberekening!L35*Referentieberekening!N35</f>
        <v>0</v>
      </c>
      <c r="J214" s="182" cm="1">
        <f t="array" ref="J214">(_xlfn.IFNA((_xlfn.IFS(Referentieberekening!C35="Nieuwe Situatie",(50),Referentieberekening!C35="Bestaande Situatie",(50))),0)*Referentieberekening!L35)*Referentieberekening!N35</f>
        <v>0</v>
      </c>
      <c r="K214" s="182">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214" s="182"/>
      <c r="M214" s="182"/>
      <c r="N214" s="182"/>
      <c r="O214" s="17"/>
      <c r="P214" s="17"/>
      <c r="Q214" s="17"/>
      <c r="R214" s="17"/>
      <c r="S214" s="17"/>
    </row>
    <row r="215" spans="2:22" ht="18.5" thickTop="1" x14ac:dyDescent="0.55000000000000004">
      <c r="B215" s="68" t="s">
        <v>16</v>
      </c>
      <c r="C215" s="69"/>
      <c r="D215" s="97">
        <f>SUBTOTAL(109,Referentie_Transport_Totaal[Transport naar bouwplaats '[tkm']])</f>
        <v>1324054.5</v>
      </c>
      <c r="E215" s="97">
        <f>SUBTOTAL(109,Referentie_Transport_Totaal[Transport naar verwerker '[tkm']])</f>
        <v>2244213.0750000002</v>
      </c>
      <c r="F215" s="97">
        <f>SUBTOTAL(109,Referentie_Transport_Totaal[Emissieloos Transport naar bouwplaats?])</f>
        <v>0</v>
      </c>
      <c r="G215" s="97">
        <f>SUBTOTAL(109,Referentie_Transport_Totaal[Emissieloos Transport naar verwerker?])</f>
        <v>0</v>
      </c>
      <c r="H215" s="231">
        <f>SUBTOTAL(109,Referentie_Transport_Totaal[Emissieloos Transport])</f>
        <v>0</v>
      </c>
      <c r="I215" s="97">
        <f>SUBTOTAL(109,Referentie_Transport_Totaal[Transport naar bouwplaats Vervangingen '[tkm']])</f>
        <v>0</v>
      </c>
      <c r="J215" s="97">
        <f>SUBTOTAL(109,Referentie_Transport_Totaal[Transport naar verwerker Vervangingen '[tkm']])</f>
        <v>0</v>
      </c>
      <c r="K215" s="179">
        <f>SUBTOTAL(109,Referentie_Transport_Totaal[Emissieloos Transport Vervangingen])</f>
        <v>0</v>
      </c>
      <c r="L215" s="97"/>
      <c r="M215" s="97"/>
      <c r="N215" s="97"/>
      <c r="O215" s="17"/>
      <c r="P215" s="17"/>
      <c r="Q215" s="17"/>
      <c r="R215" s="17"/>
      <c r="S215" s="17"/>
    </row>
    <row r="216" spans="2:22" ht="18" x14ac:dyDescent="0.55000000000000004">
      <c r="B216" s="17"/>
      <c r="C216" s="17"/>
      <c r="D216" s="17"/>
      <c r="E216" s="17"/>
      <c r="F216" s="17"/>
      <c r="G216" s="17"/>
      <c r="H216" s="17"/>
      <c r="I216" s="17"/>
      <c r="J216" s="17"/>
      <c r="K216" s="17"/>
      <c r="L216" s="17"/>
      <c r="M216" s="17"/>
      <c r="N216" s="17"/>
      <c r="O216" s="17"/>
      <c r="P216" s="17"/>
    </row>
    <row r="217" spans="2:22" ht="18" x14ac:dyDescent="0.55000000000000004">
      <c r="B217" s="17"/>
      <c r="C217" s="17"/>
      <c r="D217" s="17"/>
      <c r="E217" s="17"/>
      <c r="F217" s="17"/>
      <c r="G217" s="17"/>
      <c r="H217" s="17"/>
      <c r="I217" s="17"/>
      <c r="J217" s="17"/>
      <c r="K217" s="17"/>
      <c r="L217" s="17"/>
      <c r="M217" s="17"/>
      <c r="N217" s="17"/>
      <c r="O217" s="17"/>
      <c r="P217" s="17"/>
    </row>
    <row r="218" spans="2:22" ht="22" x14ac:dyDescent="0.65">
      <c r="B218" s="134" t="s">
        <v>350</v>
      </c>
      <c r="C218" s="134"/>
      <c r="D218" s="134"/>
      <c r="E218" s="17"/>
      <c r="F218" s="17"/>
      <c r="G218" s="17"/>
      <c r="H218" s="17"/>
      <c r="I218" s="17"/>
      <c r="J218" s="17"/>
      <c r="K218" s="17"/>
      <c r="L218" s="17"/>
      <c r="M218" s="17"/>
      <c r="N218" s="17"/>
      <c r="O218" s="17"/>
      <c r="P218" s="17"/>
    </row>
    <row r="219" spans="2:22" ht="18.5" thickBot="1" x14ac:dyDescent="0.6">
      <c r="B219" s="65" t="s">
        <v>55</v>
      </c>
      <c r="C219" s="66" t="s">
        <v>4</v>
      </c>
      <c r="D219" s="74" t="s">
        <v>352</v>
      </c>
      <c r="E219" s="75" t="s">
        <v>351</v>
      </c>
      <c r="F219" s="75" t="s">
        <v>353</v>
      </c>
      <c r="G219" s="75" t="s">
        <v>355</v>
      </c>
      <c r="H219" s="75" t="s">
        <v>354</v>
      </c>
      <c r="I219" s="74" t="s">
        <v>482</v>
      </c>
      <c r="J219" s="75" t="s">
        <v>483</v>
      </c>
      <c r="K219" s="75" t="s">
        <v>485</v>
      </c>
      <c r="L219" s="195" t="s">
        <v>499</v>
      </c>
      <c r="M219" s="195" t="s">
        <v>500</v>
      </c>
      <c r="N219" s="195" t="s">
        <v>501</v>
      </c>
      <c r="O219" s="17"/>
      <c r="P219" s="17"/>
      <c r="Q219" s="17"/>
      <c r="R219" s="17"/>
      <c r="S219" s="17"/>
      <c r="T219" s="17"/>
      <c r="U219" s="17"/>
      <c r="V219" s="17"/>
    </row>
    <row r="220" spans="2:22" ht="18.5" thickTop="1" x14ac:dyDescent="0.55000000000000004">
      <c r="B220" s="286" t="str">
        <f>Referentieberekening!B5</f>
        <v xml:space="preserve"> Opbreken betonstraatstenen. </v>
      </c>
      <c r="C220" s="67" t="str">
        <f>Referentieberekening!F5</f>
        <v>Betonstraatsteen 210x105x80</v>
      </c>
      <c r="D220" s="183" cm="1">
        <f t="array" ref="D220">_xlfn.IFNA((_xlfn.IFS(Referentieberekening!C5="Bestaande situatie",0,Referentieberekening!E5="Funderingslagen",(Referentieberekening!K5/60),Referentieberekening!E5="Grondwerken",(Referentieberekening!K5/60),Referentieberekening!E5="Bitumineuze_verhardingen",(Referentieberekening!L5/(1000/8)))),0)</f>
        <v>0</v>
      </c>
      <c r="E220" s="184" cm="1">
        <f t="array" ref="E220">_xlfn.IFNA((_xlfn.IFS(Referentieberekening!E5="Funderingslagen",(Referentieberekening!K5/60),Referentieberekening!E5="Grondwerken",(Referentieberekening!K5/60),Referentieberekening!E5="Bitumineuze_verhardingen",(Referentieberekening!L5/(1000/8)))),0)</f>
        <v>0</v>
      </c>
      <c r="F220" s="118" t="s">
        <v>347</v>
      </c>
      <c r="G220" s="118" t="s">
        <v>347</v>
      </c>
      <c r="H220" s="160">
        <f>IF(Referentie_Bouwplaats_Totaal[[#This Row],[Emissieloos Bouwmaterieel]]="JA",Referentie_Bouwplaats_Totaal[[#This Row],[Draaiuren Bouw]],0)+IF(Referentie_Bouwplaats_Totaal[[#This Row],[Emissieloos Sloopmaterieel]]="JA",Referentie_Bouwplaats_Totaal[[#This Row],[Draaiuren Sloop]],0)</f>
        <v>0</v>
      </c>
      <c r="I220" s="181" cm="1">
        <f t="array" ref="I220">_xlfn.IFNA((_xlfn.IFS(Referentieberekening!C5="Bestaande situatie",0,Referentieberekening!E5="Funderingslagen",(Referentieberekening!K5/60),Referentieberekening!E5="Grondwerken",(Referentieberekening!K5/60),Referentieberekening!E5="Bitumineuze_verhardingen",(Referentieberekening!L5/(1000/8)))),0)*Referentieberekening!N5</f>
        <v>0</v>
      </c>
      <c r="J220" s="181" cm="1">
        <f t="array" ref="J220">_xlfn.IFNA((_xlfn.IFS(Referentieberekening!E5="Funderingslagen",(Referentieberekening!K5/60),Referentieberekening!E5="Grondwerken",(Referentieberekening!K5/60),Referentieberekening!E5="Bitumineuze_verhardingen",(Referentieberekening!L5/(1000/8)))),0)*Referentieberekening!N5</f>
        <v>0</v>
      </c>
      <c r="K220"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0" s="181">
        <f>Referentie_Bouwplaats_Totaal[[#This Row],[Emissieloos bouwplaats]]+Referentie_Bouwplaats_Totaal[[#This Row],[Emissieloos bouwplaats Vervangingen]]</f>
        <v>0</v>
      </c>
      <c r="M220"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20" s="181">
        <f>Referentie_Bouwplaats_Totaal[[#This Row],[Totaal Emissieloos Bouwplaats]]+Referentie_Bouwplaats_Totaal[[#This Row],[Totaal Niet Emissieloos Bouwplaats]]</f>
        <v>0</v>
      </c>
      <c r="O220" s="17"/>
      <c r="P220" s="17"/>
      <c r="Q220" s="17"/>
      <c r="R220" s="17"/>
      <c r="S220" s="17"/>
      <c r="T220" s="17"/>
      <c r="U220" s="17"/>
      <c r="V220" s="17"/>
    </row>
    <row r="221" spans="2:22" ht="18" x14ac:dyDescent="0.55000000000000004">
      <c r="B221" s="286" t="str">
        <f>Referentieberekening!B6</f>
        <v>Aanbrengen band 280x300x260 mm, betonrug.</v>
      </c>
      <c r="C221" s="67" t="str">
        <f>Referentieberekening!F6</f>
        <v>Trottoirband 280x300</v>
      </c>
      <c r="D221" s="183" cm="1">
        <f t="array" ref="D221">_xlfn.IFNA((_xlfn.IFS(Referentieberekening!C6="Bestaande situatie",0,Referentieberekening!E6="Funderingslagen",(Referentieberekening!K6/60),Referentieberekening!E6="Grondwerken",(Referentieberekening!K6/60),Referentieberekening!E6="Bitumineuze_verhardingen",(Referentieberekening!L6/(1000/8)))),0)</f>
        <v>0</v>
      </c>
      <c r="E221" s="184" cm="1">
        <f t="array" ref="E221">_xlfn.IFNA((_xlfn.IFS(Referentieberekening!E6="Funderingslagen",(Referentieberekening!K6/60),Referentieberekening!E6="Grondwerken",(Referentieberekening!K6/60),Referentieberekening!E6="Bitumineuze_verhardingen",(Referentieberekening!L6/(1000/8)))),0)</f>
        <v>0</v>
      </c>
      <c r="F221" s="118" t="s">
        <v>347</v>
      </c>
      <c r="G221" s="118" t="s">
        <v>347</v>
      </c>
      <c r="H221" s="160">
        <f>IF(Referentie_Bouwplaats_Totaal[[#This Row],[Emissieloos Bouwmaterieel]]="JA",Referentie_Bouwplaats_Totaal[[#This Row],[Draaiuren Bouw]],0)+IF(Referentie_Bouwplaats_Totaal[[#This Row],[Emissieloos Sloopmaterieel]]="JA",Referentie_Bouwplaats_Totaal[[#This Row],[Draaiuren Sloop]],0)</f>
        <v>0</v>
      </c>
      <c r="I221" s="181" cm="1">
        <f t="array" ref="I221">_xlfn.IFNA((_xlfn.IFS(Referentieberekening!C6="Bestaande situatie",0,Referentieberekening!E6="Funderingslagen",(Referentieberekening!K6/60),Referentieberekening!E6="Grondwerken",(Referentieberekening!K6/60),Referentieberekening!E6="Bitumineuze_verhardingen",(Referentieberekening!L6/(1000/8)))),0)*Referentieberekening!N6</f>
        <v>0</v>
      </c>
      <c r="J221" s="181" cm="1">
        <f t="array" ref="J221">_xlfn.IFNA((_xlfn.IFS(Referentieberekening!E6="Funderingslagen",(Referentieberekening!K6/60),Referentieberekening!E6="Grondwerken",(Referentieberekening!K6/60),Referentieberekening!E6="Bitumineuze_verhardingen",(Referentieberekening!L6/(1000/8)))),0)*Referentieberekening!N6</f>
        <v>0</v>
      </c>
      <c r="K221"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1" s="181">
        <f>Referentie_Bouwplaats_Totaal[[#This Row],[Emissieloos bouwplaats]]+Referentie_Bouwplaats_Totaal[[#This Row],[Emissieloos bouwplaats Vervangingen]]</f>
        <v>0</v>
      </c>
      <c r="M221"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21" s="181">
        <f>Referentie_Bouwplaats_Totaal[[#This Row],[Totaal Emissieloos Bouwplaats]]+Referentie_Bouwplaats_Totaal[[#This Row],[Totaal Niet Emissieloos Bouwplaats]]</f>
        <v>0</v>
      </c>
      <c r="O221" s="17"/>
      <c r="P221" s="17"/>
      <c r="Q221" s="17"/>
      <c r="R221" s="17"/>
      <c r="S221" s="17"/>
      <c r="T221" s="17"/>
      <c r="U221" s="17"/>
      <c r="V221" s="17"/>
    </row>
    <row r="222" spans="2:22" ht="18" x14ac:dyDescent="0.55000000000000004">
      <c r="B222" s="286" t="str">
        <f>Referentieberekening!B7</f>
        <v>Aanbrengen opsluitband 100x200mm.</v>
      </c>
      <c r="C222" s="67" t="str">
        <f>Referentieberekening!F7</f>
        <v>Opsluitband 100x200</v>
      </c>
      <c r="D222" s="183" cm="1">
        <f t="array" ref="D222">_xlfn.IFNA((_xlfn.IFS(Referentieberekening!C7="Bestaande situatie",0,Referentieberekening!E7="Funderingslagen",(Referentieberekening!K7/60),Referentieberekening!E7="Grondwerken",(Referentieberekening!K7/60),Referentieberekening!E7="Bitumineuze_verhardingen",(Referentieberekening!L7/(1000/8)))),0)</f>
        <v>0</v>
      </c>
      <c r="E222" s="184" cm="1">
        <f t="array" ref="E222">_xlfn.IFNA((_xlfn.IFS(Referentieberekening!E7="Funderingslagen",(Referentieberekening!K7/60),Referentieberekening!E7="Grondwerken",(Referentieberekening!K7/60),Referentieberekening!E7="Bitumineuze_verhardingen",(Referentieberekening!L7/(1000/8)))),0)</f>
        <v>0</v>
      </c>
      <c r="F222" s="118" t="s">
        <v>347</v>
      </c>
      <c r="G222" s="118" t="s">
        <v>347</v>
      </c>
      <c r="H222" s="160">
        <f>IF(Referentie_Bouwplaats_Totaal[[#This Row],[Emissieloos Bouwmaterieel]]="JA",Referentie_Bouwplaats_Totaal[[#This Row],[Draaiuren Bouw]],0)+IF(Referentie_Bouwplaats_Totaal[[#This Row],[Emissieloos Sloopmaterieel]]="JA",Referentie_Bouwplaats_Totaal[[#This Row],[Draaiuren Sloop]],0)</f>
        <v>0</v>
      </c>
      <c r="I222" s="181" cm="1">
        <f t="array" ref="I222">_xlfn.IFNA((_xlfn.IFS(Referentieberekening!C7="Bestaande situatie",0,Referentieberekening!E7="Funderingslagen",(Referentieberekening!K7/60),Referentieberekening!E7="Grondwerken",(Referentieberekening!K7/60),Referentieberekening!E7="Bitumineuze_verhardingen",(Referentieberekening!L7/(1000/8)))),0)*Referentieberekening!N7</f>
        <v>0</v>
      </c>
      <c r="J222" s="181" cm="1">
        <f t="array" ref="J222">_xlfn.IFNA((_xlfn.IFS(Referentieberekening!E7="Funderingslagen",(Referentieberekening!K7/60),Referentieberekening!E7="Grondwerken",(Referentieberekening!K7/60),Referentieberekening!E7="Bitumineuze_verhardingen",(Referentieberekening!L7/(1000/8)))),0)*Referentieberekening!N7</f>
        <v>0</v>
      </c>
      <c r="K222"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2" s="181">
        <f>Referentie_Bouwplaats_Totaal[[#This Row],[Emissieloos bouwplaats]]+Referentie_Bouwplaats_Totaal[[#This Row],[Emissieloos bouwplaats Vervangingen]]</f>
        <v>0</v>
      </c>
      <c r="M222"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22" s="181">
        <f>Referentie_Bouwplaats_Totaal[[#This Row],[Totaal Emissieloos Bouwplaats]]+Referentie_Bouwplaats_Totaal[[#This Row],[Totaal Niet Emissieloos Bouwplaats]]</f>
        <v>0</v>
      </c>
      <c r="O222" s="17"/>
      <c r="P222" s="17"/>
      <c r="Q222" s="17"/>
      <c r="R222" s="17"/>
      <c r="S222" s="17"/>
      <c r="T222" s="17"/>
      <c r="U222" s="17"/>
      <c r="V222" s="17"/>
    </row>
    <row r="223" spans="2:22" ht="18" x14ac:dyDescent="0.55000000000000004">
      <c r="B223" s="286" t="str">
        <f>Referentieberekening!B8</f>
        <v>Aanbrengen straatlaag van straatzand dik 50 mm.</v>
      </c>
      <c r="C223" s="67" t="str">
        <f>Referentieberekening!F8</f>
        <v>Straatzand</v>
      </c>
      <c r="D223" s="183" cm="1">
        <f t="array" ref="D223">_xlfn.IFNA((_xlfn.IFS(Referentieberekening!C8="Bestaande situatie",0,Referentieberekening!E8="Funderingslagen",(Referentieberekening!K8/60),Referentieberekening!E8="Grondwerken",(Referentieberekening!K8/60),Referentieberekening!E8="Bitumineuze_verhardingen",(Referentieberekening!L8/(1000/8)))),0)</f>
        <v>0.6</v>
      </c>
      <c r="E223" s="184" cm="1">
        <f t="array" ref="E223">_xlfn.IFNA((_xlfn.IFS(Referentieberekening!E8="Funderingslagen",(Referentieberekening!K8/60),Referentieberekening!E8="Grondwerken",(Referentieberekening!K8/60),Referentieberekening!E8="Bitumineuze_verhardingen",(Referentieberekening!L8/(1000/8)))),0)</f>
        <v>0.6</v>
      </c>
      <c r="F223" s="118" t="s">
        <v>347</v>
      </c>
      <c r="G223" s="118" t="s">
        <v>347</v>
      </c>
      <c r="H223" s="160">
        <f>IF(Referentie_Bouwplaats_Totaal[[#This Row],[Emissieloos Bouwmaterieel]]="JA",Referentie_Bouwplaats_Totaal[[#This Row],[Draaiuren Bouw]],0)+IF(Referentie_Bouwplaats_Totaal[[#This Row],[Emissieloos Sloopmaterieel]]="JA",Referentie_Bouwplaats_Totaal[[#This Row],[Draaiuren Sloop]],0)</f>
        <v>0</v>
      </c>
      <c r="I223" s="181" cm="1">
        <f t="array" ref="I223">_xlfn.IFNA((_xlfn.IFS(Referentieberekening!C8="Bestaande situatie",0,Referentieberekening!E8="Funderingslagen",(Referentieberekening!K8/60),Referentieberekening!E8="Grondwerken",(Referentieberekening!K8/60),Referentieberekening!E8="Bitumineuze_verhardingen",(Referentieberekening!L8/(1000/8)))),0)*Referentieberekening!N8</f>
        <v>0</v>
      </c>
      <c r="J223" s="181" cm="1">
        <f t="array" ref="J223">_xlfn.IFNA((_xlfn.IFS(Referentieberekening!E8="Funderingslagen",(Referentieberekening!K8/60),Referentieberekening!E8="Grondwerken",(Referentieberekening!K8/60),Referentieberekening!E8="Bitumineuze_verhardingen",(Referentieberekening!L8/(1000/8)))),0)*Referentieberekening!N8</f>
        <v>0</v>
      </c>
      <c r="K223"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3" s="181">
        <f>Referentie_Bouwplaats_Totaal[[#This Row],[Emissieloos bouwplaats]]+Referentie_Bouwplaats_Totaal[[#This Row],[Emissieloos bouwplaats Vervangingen]]</f>
        <v>0</v>
      </c>
      <c r="M223"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1.2</v>
      </c>
      <c r="N223" s="181">
        <f>Referentie_Bouwplaats_Totaal[[#This Row],[Totaal Emissieloos Bouwplaats]]+Referentie_Bouwplaats_Totaal[[#This Row],[Totaal Niet Emissieloos Bouwplaats]]</f>
        <v>1.2</v>
      </c>
      <c r="O223" s="17"/>
      <c r="P223" s="17"/>
      <c r="Q223" s="17"/>
      <c r="R223" s="17"/>
      <c r="S223" s="17"/>
      <c r="T223" s="17"/>
      <c r="U223" s="17"/>
      <c r="V223" s="17"/>
    </row>
    <row r="224" spans="2:22" ht="18" x14ac:dyDescent="0.55000000000000004">
      <c r="B224" s="286" t="str">
        <f>Referentieberekening!B9</f>
        <v>Aanbrengen betontegels 300x300x45 mm.</v>
      </c>
      <c r="C224" s="67" t="str">
        <f>Referentieberekening!F9</f>
        <v>Betontegel 300x300x45</v>
      </c>
      <c r="D224" s="183" cm="1">
        <f t="array" ref="D224">_xlfn.IFNA((_xlfn.IFS(Referentieberekening!C9="Bestaande situatie",0,Referentieberekening!E9="Funderingslagen",(Referentieberekening!K9/60),Referentieberekening!E9="Grondwerken",(Referentieberekening!K9/60),Referentieberekening!E9="Bitumineuze_verhardingen",(Referentieberekening!L9/(1000/8)))),0)</f>
        <v>0</v>
      </c>
      <c r="E224" s="184" cm="1">
        <f t="array" ref="E224">_xlfn.IFNA((_xlfn.IFS(Referentieberekening!E9="Funderingslagen",(Referentieberekening!K9/60),Referentieberekening!E9="Grondwerken",(Referentieberekening!K9/60),Referentieberekening!E9="Bitumineuze_verhardingen",(Referentieberekening!L9/(1000/8)))),0)</f>
        <v>0</v>
      </c>
      <c r="F224" s="118" t="s">
        <v>347</v>
      </c>
      <c r="G224" s="118" t="s">
        <v>347</v>
      </c>
      <c r="H224" s="160">
        <f>IF(Referentie_Bouwplaats_Totaal[[#This Row],[Emissieloos Bouwmaterieel]]="JA",Referentie_Bouwplaats_Totaal[[#This Row],[Draaiuren Bouw]],0)+IF(Referentie_Bouwplaats_Totaal[[#This Row],[Emissieloos Sloopmaterieel]]="JA",Referentie_Bouwplaats_Totaal[[#This Row],[Draaiuren Sloop]],0)</f>
        <v>0</v>
      </c>
      <c r="I224" s="181" cm="1">
        <f t="array" ref="I224">_xlfn.IFNA((_xlfn.IFS(Referentieberekening!C9="Bestaande situatie",0,Referentieberekening!E9="Funderingslagen",(Referentieberekening!K9/60),Referentieberekening!E9="Grondwerken",(Referentieberekening!K9/60),Referentieberekening!E9="Bitumineuze_verhardingen",(Referentieberekening!L9/(1000/8)))),0)*Referentieberekening!N9</f>
        <v>0</v>
      </c>
      <c r="J224" s="181" cm="1">
        <f t="array" ref="J224">_xlfn.IFNA((_xlfn.IFS(Referentieberekening!E9="Funderingslagen",(Referentieberekening!K9/60),Referentieberekening!E9="Grondwerken",(Referentieberekening!K9/60),Referentieberekening!E9="Bitumineuze_verhardingen",(Referentieberekening!L9/(1000/8)))),0)*Referentieberekening!N9</f>
        <v>0</v>
      </c>
      <c r="K224"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4" s="181">
        <f>Referentie_Bouwplaats_Totaal[[#This Row],[Emissieloos bouwplaats]]+Referentie_Bouwplaats_Totaal[[#This Row],[Emissieloos bouwplaats Vervangingen]]</f>
        <v>0</v>
      </c>
      <c r="M224"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24" s="181">
        <f>Referentie_Bouwplaats_Totaal[[#This Row],[Totaal Emissieloos Bouwplaats]]+Referentie_Bouwplaats_Totaal[[#This Row],[Totaal Niet Emissieloos Bouwplaats]]</f>
        <v>0</v>
      </c>
      <c r="O224" s="17"/>
      <c r="P224" s="17"/>
      <c r="Q224" s="17"/>
      <c r="R224" s="17"/>
      <c r="S224" s="17"/>
      <c r="T224" s="17"/>
      <c r="U224" s="17"/>
      <c r="V224" s="17"/>
    </row>
    <row r="225" spans="2:22" ht="18" x14ac:dyDescent="0.55000000000000004">
      <c r="B225" s="286" t="str">
        <f>Referentieberekening!B10</f>
        <v xml:space="preserve"> Opbreken asfaltverharding, dik 120 mm. </v>
      </c>
      <c r="C225" s="67" t="str">
        <f>Referentieberekening!F10</f>
        <v>AC bin/base 50% PR - PCR 1.0</v>
      </c>
      <c r="D225" s="183" cm="1">
        <f t="array" ref="D225">_xlfn.IFNA((_xlfn.IFS(Referentieberekening!C10="Bestaande situatie",0,Referentieberekening!E10="Funderingslagen",(Referentieberekening!K10/60),Referentieberekening!E10="Grondwerken",(Referentieberekening!K10/60),Referentieberekening!E10="Bitumineuze_verhardingen",(Referentieberekening!L10/(1000/8)))),0)</f>
        <v>0</v>
      </c>
      <c r="E225" s="184" cm="1">
        <f t="array" ref="E225">_xlfn.IFNA((_xlfn.IFS(Referentieberekening!E10="Funderingslagen",(Referentieberekening!K10/60),Referentieberekening!E10="Grondwerken",(Referentieberekening!K10/60),Referentieberekening!E10="Bitumineuze_verhardingen",(Referentieberekening!L10/(1000/8)))),0)</f>
        <v>0.25027199999999999</v>
      </c>
      <c r="F225" s="118" t="s">
        <v>347</v>
      </c>
      <c r="G225" s="118" t="s">
        <v>347</v>
      </c>
      <c r="H225" s="160">
        <f>IF(Referentie_Bouwplaats_Totaal[[#This Row],[Emissieloos Bouwmaterieel]]="JA",Referentie_Bouwplaats_Totaal[[#This Row],[Draaiuren Bouw]],0)+IF(Referentie_Bouwplaats_Totaal[[#This Row],[Emissieloos Sloopmaterieel]]="JA",Referentie_Bouwplaats_Totaal[[#This Row],[Draaiuren Sloop]],0)</f>
        <v>0</v>
      </c>
      <c r="I225" s="181" cm="1">
        <f t="array" ref="I225">_xlfn.IFNA((_xlfn.IFS(Referentieberekening!C10="Bestaande situatie",0,Referentieberekening!E10="Funderingslagen",(Referentieberekening!K10/60),Referentieberekening!E10="Grondwerken",(Referentieberekening!K10/60),Referentieberekening!E10="Bitumineuze_verhardingen",(Referentieberekening!L10/(1000/8)))),0)*Referentieberekening!N10</f>
        <v>0</v>
      </c>
      <c r="J225" s="181" cm="1">
        <f t="array" ref="J225">_xlfn.IFNA((_xlfn.IFS(Referentieberekening!E10="Funderingslagen",(Referentieberekening!K10/60),Referentieberekening!E10="Grondwerken",(Referentieberekening!K10/60),Referentieberekening!E10="Bitumineuze_verhardingen",(Referentieberekening!L10/(1000/8)))),0)*Referentieberekening!N10</f>
        <v>0</v>
      </c>
      <c r="K225"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5" s="181">
        <f>Referentie_Bouwplaats_Totaal[[#This Row],[Emissieloos bouwplaats]]+Referentie_Bouwplaats_Totaal[[#This Row],[Emissieloos bouwplaats Vervangingen]]</f>
        <v>0</v>
      </c>
      <c r="M225"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0.25027199999999999</v>
      </c>
      <c r="N225" s="181">
        <f>Referentie_Bouwplaats_Totaal[[#This Row],[Totaal Emissieloos Bouwplaats]]+Referentie_Bouwplaats_Totaal[[#This Row],[Totaal Niet Emissieloos Bouwplaats]]</f>
        <v>0.25027199999999999</v>
      </c>
      <c r="O225" s="17"/>
      <c r="P225" s="17"/>
      <c r="Q225" s="17"/>
      <c r="R225" s="17"/>
      <c r="S225" s="17"/>
      <c r="T225" s="17"/>
      <c r="U225" s="17"/>
      <c r="V225" s="17"/>
    </row>
    <row r="226" spans="2:22" ht="18" x14ac:dyDescent="0.55000000000000004">
      <c r="B226" s="286" t="str">
        <f>Referentieberekening!B11</f>
        <v xml:space="preserve"> Frezen asfalt dik 30 mm - fietspad. </v>
      </c>
      <c r="C226" s="67" t="str">
        <f>Referentieberekening!F11</f>
        <v>SMA 8-11 - PCR 1.0</v>
      </c>
      <c r="D226" s="183" cm="1">
        <f t="array" ref="D226">_xlfn.IFNA((_xlfn.IFS(Referentieberekening!C11="Bestaande situatie",0,Referentieberekening!E11="Funderingslagen",(Referentieberekening!K11/60),Referentieberekening!E11="Grondwerken",(Referentieberekening!K11/60),Referentieberekening!E11="Bitumineuze_verhardingen",(Referentieberekening!L11/(1000/8)))),0)</f>
        <v>0</v>
      </c>
      <c r="E226" s="184" cm="1">
        <f t="array" ref="E226">_xlfn.IFNA((_xlfn.IFS(Referentieberekening!E11="Funderingslagen",(Referentieberekening!K11/60),Referentieberekening!E11="Grondwerken",(Referentieberekening!K11/60),Referentieberekening!E11="Bitumineuze_verhardingen",(Referentieberekening!L11/(1000/8)))),0)</f>
        <v>0.15509999999999999</v>
      </c>
      <c r="F226" s="118" t="s">
        <v>347</v>
      </c>
      <c r="G226" s="118" t="s">
        <v>347</v>
      </c>
      <c r="H226" s="160">
        <f>IF(Referentie_Bouwplaats_Totaal[[#This Row],[Emissieloos Bouwmaterieel]]="JA",Referentie_Bouwplaats_Totaal[[#This Row],[Draaiuren Bouw]],0)+IF(Referentie_Bouwplaats_Totaal[[#This Row],[Emissieloos Sloopmaterieel]]="JA",Referentie_Bouwplaats_Totaal[[#This Row],[Draaiuren Sloop]],0)</f>
        <v>0</v>
      </c>
      <c r="I226" s="181" cm="1">
        <f t="array" ref="I226">_xlfn.IFNA((_xlfn.IFS(Referentieberekening!C11="Bestaande situatie",0,Referentieberekening!E11="Funderingslagen",(Referentieberekening!K11/60),Referentieberekening!E11="Grondwerken",(Referentieberekening!K11/60),Referentieberekening!E11="Bitumineuze_verhardingen",(Referentieberekening!L11/(1000/8)))),0)*Referentieberekening!N11</f>
        <v>0</v>
      </c>
      <c r="J226" s="181" cm="1">
        <f t="array" ref="J226">_xlfn.IFNA((_xlfn.IFS(Referentieberekening!E11="Funderingslagen",(Referentieberekening!K11/60),Referentieberekening!E11="Grondwerken",(Referentieberekening!K11/60),Referentieberekening!E11="Bitumineuze_verhardingen",(Referentieberekening!L11/(1000/8)))),0)*Referentieberekening!N11</f>
        <v>0</v>
      </c>
      <c r="K226"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6" s="181">
        <f>Referentie_Bouwplaats_Totaal[[#This Row],[Emissieloos bouwplaats]]+Referentie_Bouwplaats_Totaal[[#This Row],[Emissieloos bouwplaats Vervangingen]]</f>
        <v>0</v>
      </c>
      <c r="M226"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0.15509999999999999</v>
      </c>
      <c r="N226" s="181">
        <f>Referentie_Bouwplaats_Totaal[[#This Row],[Totaal Emissieloos Bouwplaats]]+Referentie_Bouwplaats_Totaal[[#This Row],[Totaal Niet Emissieloos Bouwplaats]]</f>
        <v>0.15509999999999999</v>
      </c>
      <c r="O226" s="17"/>
      <c r="P226" s="17"/>
      <c r="Q226" s="17"/>
      <c r="R226" s="17"/>
      <c r="S226" s="17"/>
      <c r="T226" s="17"/>
      <c r="U226" s="17"/>
      <c r="V226" s="17"/>
    </row>
    <row r="227" spans="2:22" ht="18" x14ac:dyDescent="0.55000000000000004">
      <c r="B227" s="286" t="str">
        <f>Referentieberekening!B12</f>
        <v>Aanbrengen menggranulaat, dik 300 mm - rijweg.</v>
      </c>
      <c r="C227" s="67" t="str">
        <f>Referentieberekening!F12</f>
        <v>Menggranulaat 0/31,5</v>
      </c>
      <c r="D227" s="183" cm="1">
        <f t="array" ref="D227">_xlfn.IFNA((_xlfn.IFS(Referentieberekening!C12="Bestaande situatie",0,Referentieberekening!E12="Funderingslagen",(Referentieberekening!K12/60),Referentieberekening!E12="Grondwerken",(Referentieberekening!K12/60),Referentieberekening!E12="Bitumineuze_verhardingen",(Referentieberekening!L12/(1000/8)))),0)</f>
        <v>35.875</v>
      </c>
      <c r="E227" s="184" cm="1">
        <f t="array" ref="E227">_xlfn.IFNA((_xlfn.IFS(Referentieberekening!E12="Funderingslagen",(Referentieberekening!K12/60),Referentieberekening!E12="Grondwerken",(Referentieberekening!K12/60),Referentieberekening!E12="Bitumineuze_verhardingen",(Referentieberekening!L12/(1000/8)))),0)</f>
        <v>35.875</v>
      </c>
      <c r="F227" s="118" t="s">
        <v>347</v>
      </c>
      <c r="G227" s="118" t="s">
        <v>347</v>
      </c>
      <c r="H227" s="160">
        <f>IF(Referentie_Bouwplaats_Totaal[[#This Row],[Emissieloos Bouwmaterieel]]="JA",Referentie_Bouwplaats_Totaal[[#This Row],[Draaiuren Bouw]],0)+IF(Referentie_Bouwplaats_Totaal[[#This Row],[Emissieloos Sloopmaterieel]]="JA",Referentie_Bouwplaats_Totaal[[#This Row],[Draaiuren Sloop]],0)</f>
        <v>0</v>
      </c>
      <c r="I227" s="181" cm="1">
        <f t="array" ref="I227">_xlfn.IFNA((_xlfn.IFS(Referentieberekening!C12="Bestaande situatie",0,Referentieberekening!E12="Funderingslagen",(Referentieberekening!K12/60),Referentieberekening!E12="Grondwerken",(Referentieberekening!K12/60),Referentieberekening!E12="Bitumineuze_verhardingen",(Referentieberekening!L12/(1000/8)))),0)*Referentieberekening!N12</f>
        <v>0</v>
      </c>
      <c r="J227" s="181" cm="1">
        <f t="array" ref="J227">_xlfn.IFNA((_xlfn.IFS(Referentieberekening!E12="Funderingslagen",(Referentieberekening!K12/60),Referentieberekening!E12="Grondwerken",(Referentieberekening!K12/60),Referentieberekening!E12="Bitumineuze_verhardingen",(Referentieberekening!L12/(1000/8)))),0)*Referentieberekening!N12</f>
        <v>0</v>
      </c>
      <c r="K227"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7" s="181">
        <f>Referentie_Bouwplaats_Totaal[[#This Row],[Emissieloos bouwplaats]]+Referentie_Bouwplaats_Totaal[[#This Row],[Emissieloos bouwplaats Vervangingen]]</f>
        <v>0</v>
      </c>
      <c r="M227"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71.75</v>
      </c>
      <c r="N227" s="181">
        <f>Referentie_Bouwplaats_Totaal[[#This Row],[Totaal Emissieloos Bouwplaats]]+Referentie_Bouwplaats_Totaal[[#This Row],[Totaal Niet Emissieloos Bouwplaats]]</f>
        <v>71.75</v>
      </c>
      <c r="O227" s="17"/>
      <c r="P227" s="17"/>
      <c r="Q227" s="17"/>
      <c r="R227" s="17"/>
      <c r="S227" s="17"/>
      <c r="T227" s="17"/>
      <c r="U227" s="17"/>
      <c r="V227" s="17"/>
    </row>
    <row r="228" spans="2:22" ht="18" x14ac:dyDescent="0.55000000000000004">
      <c r="B228" s="286" t="str">
        <f>Referentieberekening!B13</f>
        <v>Aanbrengen onderlaag AC 22 base, dik 70 mm.</v>
      </c>
      <c r="C228" s="67" t="str">
        <f>Referentieberekening!F13</f>
        <v>AC bin/base 50% PR - PCR 2.0</v>
      </c>
      <c r="D228" s="183" cm="1">
        <f t="array" ref="D228">_xlfn.IFNA((_xlfn.IFS(Referentieberekening!C13="Bestaande situatie",0,Referentieberekening!E13="Funderingslagen",(Referentieberekening!K13/60),Referentieberekening!E13="Grondwerken",(Referentieberekening!K13/60),Referentieberekening!E13="Bitumineuze_verhardingen",(Referentieberekening!L13/(1000/8)))),0)</f>
        <v>8.968</v>
      </c>
      <c r="E228" s="184" cm="1">
        <f t="array" ref="E228">_xlfn.IFNA((_xlfn.IFS(Referentieberekening!E13="Funderingslagen",(Referentieberekening!K13/60),Referentieberekening!E13="Grondwerken",(Referentieberekening!K13/60),Referentieberekening!E13="Bitumineuze_verhardingen",(Referentieberekening!L13/(1000/8)))),0)</f>
        <v>8.968</v>
      </c>
      <c r="F228" s="118" t="s">
        <v>347</v>
      </c>
      <c r="G228" s="118" t="s">
        <v>347</v>
      </c>
      <c r="H228" s="160">
        <f>IF(Referentie_Bouwplaats_Totaal[[#This Row],[Emissieloos Bouwmaterieel]]="JA",Referentie_Bouwplaats_Totaal[[#This Row],[Draaiuren Bouw]],0)+IF(Referentie_Bouwplaats_Totaal[[#This Row],[Emissieloos Sloopmaterieel]]="JA",Referentie_Bouwplaats_Totaal[[#This Row],[Draaiuren Sloop]],0)</f>
        <v>0</v>
      </c>
      <c r="I228" s="181" cm="1">
        <f t="array" ref="I228">_xlfn.IFNA((_xlfn.IFS(Referentieberekening!C13="Bestaande situatie",0,Referentieberekening!E13="Funderingslagen",(Referentieberekening!K13/60),Referentieberekening!E13="Grondwerken",(Referentieberekening!K13/60),Referentieberekening!E13="Bitumineuze_verhardingen",(Referentieberekening!L13/(1000/8)))),0)*Referentieberekening!N13</f>
        <v>0</v>
      </c>
      <c r="J228" s="181" cm="1">
        <f t="array" ref="J228">_xlfn.IFNA((_xlfn.IFS(Referentieberekening!E13="Funderingslagen",(Referentieberekening!K13/60),Referentieberekening!E13="Grondwerken",(Referentieberekening!K13/60),Referentieberekening!E13="Bitumineuze_verhardingen",(Referentieberekening!L13/(1000/8)))),0)*Referentieberekening!N13</f>
        <v>0</v>
      </c>
      <c r="K228"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8" s="181">
        <f>Referentie_Bouwplaats_Totaal[[#This Row],[Emissieloos bouwplaats]]+Referentie_Bouwplaats_Totaal[[#This Row],[Emissieloos bouwplaats Vervangingen]]</f>
        <v>0</v>
      </c>
      <c r="M228"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17.936</v>
      </c>
      <c r="N228" s="181">
        <f>Referentie_Bouwplaats_Totaal[[#This Row],[Totaal Emissieloos Bouwplaats]]+Referentie_Bouwplaats_Totaal[[#This Row],[Totaal Niet Emissieloos Bouwplaats]]</f>
        <v>17.936</v>
      </c>
      <c r="O228" s="17"/>
      <c r="P228" s="17"/>
      <c r="Q228" s="17"/>
      <c r="R228" s="17"/>
      <c r="S228" s="17"/>
      <c r="T228" s="17"/>
      <c r="U228" s="17"/>
      <c r="V228" s="17"/>
    </row>
    <row r="229" spans="2:22" ht="18" x14ac:dyDescent="0.55000000000000004">
      <c r="B229" s="286" t="str">
        <f>Referentieberekening!B14</f>
        <v>Aanbrengen tussenlaag AC16 bind, dik 50 mm</v>
      </c>
      <c r="C229" s="67" t="str">
        <f>Referentieberekening!F14</f>
        <v>AC bin/base 50% PR - PCR 2.0</v>
      </c>
      <c r="D229" s="183" cm="1">
        <f t="array" ref="D229">_xlfn.IFNA((_xlfn.IFS(Referentieberekening!C14="Bestaande situatie",0,Referentieberekening!E14="Funderingslagen",(Referentieberekening!K14/60),Referentieberekening!E14="Grondwerken",(Referentieberekening!K14/60),Referentieberekening!E14="Bitumineuze_verhardingen",(Referentieberekening!L14/(1000/8)))),0)</f>
        <v>6.4080000000000004</v>
      </c>
      <c r="E229" s="184" cm="1">
        <f t="array" ref="E229">_xlfn.IFNA((_xlfn.IFS(Referentieberekening!E14="Funderingslagen",(Referentieberekening!K14/60),Referentieberekening!E14="Grondwerken",(Referentieberekening!K14/60),Referentieberekening!E14="Bitumineuze_verhardingen",(Referentieberekening!L14/(1000/8)))),0)</f>
        <v>6.4080000000000004</v>
      </c>
      <c r="F229" s="118" t="s">
        <v>347</v>
      </c>
      <c r="G229" s="118" t="s">
        <v>347</v>
      </c>
      <c r="H229" s="160">
        <f>IF(Referentie_Bouwplaats_Totaal[[#This Row],[Emissieloos Bouwmaterieel]]="JA",Referentie_Bouwplaats_Totaal[[#This Row],[Draaiuren Bouw]],0)+IF(Referentie_Bouwplaats_Totaal[[#This Row],[Emissieloos Sloopmaterieel]]="JA",Referentie_Bouwplaats_Totaal[[#This Row],[Draaiuren Sloop]],0)</f>
        <v>0</v>
      </c>
      <c r="I229" s="181" cm="1">
        <f t="array" ref="I229">_xlfn.IFNA((_xlfn.IFS(Referentieberekening!C14="Bestaande situatie",0,Referentieberekening!E14="Funderingslagen",(Referentieberekening!K14/60),Referentieberekening!E14="Grondwerken",(Referentieberekening!K14/60),Referentieberekening!E14="Bitumineuze_verhardingen",(Referentieberekening!L14/(1000/8)))),0)*Referentieberekening!N14</f>
        <v>0</v>
      </c>
      <c r="J229" s="181" cm="1">
        <f t="array" ref="J229">_xlfn.IFNA((_xlfn.IFS(Referentieberekening!E14="Funderingslagen",(Referentieberekening!K14/60),Referentieberekening!E14="Grondwerken",(Referentieberekening!K14/60),Referentieberekening!E14="Bitumineuze_verhardingen",(Referentieberekening!L14/(1000/8)))),0)*Referentieberekening!N14</f>
        <v>0</v>
      </c>
      <c r="K229"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29" s="181">
        <f>Referentie_Bouwplaats_Totaal[[#This Row],[Emissieloos bouwplaats]]+Referentie_Bouwplaats_Totaal[[#This Row],[Emissieloos bouwplaats Vervangingen]]</f>
        <v>0</v>
      </c>
      <c r="M229"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12.816000000000001</v>
      </c>
      <c r="N229" s="181">
        <f>Referentie_Bouwplaats_Totaal[[#This Row],[Totaal Emissieloos Bouwplaats]]+Referentie_Bouwplaats_Totaal[[#This Row],[Totaal Niet Emissieloos Bouwplaats]]</f>
        <v>12.816000000000001</v>
      </c>
      <c r="O229" s="17"/>
      <c r="P229" s="17"/>
      <c r="Q229" s="17"/>
      <c r="R229" s="17"/>
      <c r="S229" s="17"/>
      <c r="T229" s="17"/>
      <c r="U229" s="17"/>
      <c r="V229" s="17"/>
    </row>
    <row r="230" spans="2:22" ht="18" x14ac:dyDescent="0.55000000000000004">
      <c r="B230" s="286" t="str">
        <f>Referentieberekening!B15</f>
        <v>Aanbrengen deklaag van SMA-NL 8, dik 30 mm.</v>
      </c>
      <c r="C230" s="67" t="str">
        <f>Referentieberekening!F15</f>
        <v>SMA 8-11 - PCR 2.0</v>
      </c>
      <c r="D230" s="183" cm="1">
        <f t="array" ref="D230">_xlfn.IFNA((_xlfn.IFS(Referentieberekening!C15="Bestaande situatie",0,Referentieberekening!E15="Funderingslagen",(Referentieberekening!K15/60),Referentieberekening!E15="Grondwerken",(Referentieberekening!K15/60),Referentieberekening!E15="Bitumineuze_verhardingen",(Referentieberekening!L15/(1000/8)))),0)</f>
        <v>3.8479999999999999</v>
      </c>
      <c r="E230" s="184" cm="1">
        <f t="array" ref="E230">_xlfn.IFNA((_xlfn.IFS(Referentieberekening!E15="Funderingslagen",(Referentieberekening!K15/60),Referentieberekening!E15="Grondwerken",(Referentieberekening!K15/60),Referentieberekening!E15="Bitumineuze_verhardingen",(Referentieberekening!L15/(1000/8)))),0)</f>
        <v>3.8479999999999999</v>
      </c>
      <c r="F230" s="118" t="s">
        <v>347</v>
      </c>
      <c r="G230" s="118" t="s">
        <v>347</v>
      </c>
      <c r="H230" s="160">
        <f>IF(Referentie_Bouwplaats_Totaal[[#This Row],[Emissieloos Bouwmaterieel]]="JA",Referentie_Bouwplaats_Totaal[[#This Row],[Draaiuren Bouw]],0)+IF(Referentie_Bouwplaats_Totaal[[#This Row],[Emissieloos Sloopmaterieel]]="JA",Referentie_Bouwplaats_Totaal[[#This Row],[Draaiuren Sloop]],0)</f>
        <v>0</v>
      </c>
      <c r="I230" s="181" cm="1">
        <f t="array" ref="I230">_xlfn.IFNA((_xlfn.IFS(Referentieberekening!C15="Bestaande situatie",0,Referentieberekening!E15="Funderingslagen",(Referentieberekening!K15/60),Referentieberekening!E15="Grondwerken",(Referentieberekening!K15/60),Referentieberekening!E15="Bitumineuze_verhardingen",(Referentieberekening!L15/(1000/8)))),0)*Referentieberekening!N15</f>
        <v>0</v>
      </c>
      <c r="J230" s="181" cm="1">
        <f t="array" ref="J230">_xlfn.IFNA((_xlfn.IFS(Referentieberekening!E15="Funderingslagen",(Referentieberekening!K15/60),Referentieberekening!E15="Grondwerken",(Referentieberekening!K15/60),Referentieberekening!E15="Bitumineuze_verhardingen",(Referentieberekening!L15/(1000/8)))),0)*Referentieberekening!N15</f>
        <v>0</v>
      </c>
      <c r="K230"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0" s="181">
        <f>Referentie_Bouwplaats_Totaal[[#This Row],[Emissieloos bouwplaats]]+Referentie_Bouwplaats_Totaal[[#This Row],[Emissieloos bouwplaats Vervangingen]]</f>
        <v>0</v>
      </c>
      <c r="M230"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7.6959999999999997</v>
      </c>
      <c r="N230" s="181">
        <f>Referentie_Bouwplaats_Totaal[[#This Row],[Totaal Emissieloos Bouwplaats]]+Referentie_Bouwplaats_Totaal[[#This Row],[Totaal Niet Emissieloos Bouwplaats]]</f>
        <v>7.6959999999999997</v>
      </c>
      <c r="O230" s="17"/>
      <c r="P230" s="17"/>
      <c r="Q230" s="17"/>
      <c r="R230" s="17"/>
      <c r="S230" s="17"/>
      <c r="T230" s="17"/>
      <c r="U230" s="17"/>
      <c r="V230" s="17"/>
    </row>
    <row r="231" spans="2:22" ht="18" x14ac:dyDescent="0.55000000000000004">
      <c r="B231" s="286" t="str">
        <f>Referentieberekening!B16</f>
        <v>Aanbrengen menggranulaat, dik 200 mm - fietspad.</v>
      </c>
      <c r="C231" s="67" t="str">
        <f>Referentieberekening!F16</f>
        <v>Menggranulaat 0/31,5</v>
      </c>
      <c r="D231" s="183" cm="1">
        <f t="array" ref="D231">_xlfn.IFNA((_xlfn.IFS(Referentieberekening!C16="Bestaande situatie",0,Referentieberekening!E16="Funderingslagen",(Referentieberekening!K16/60),Referentieberekening!E16="Grondwerken",(Referentieberekening!K16/60),Referentieberekening!E16="Bitumineuze_verhardingen",(Referentieberekening!L16/(1000/8)))),0)</f>
        <v>1.6</v>
      </c>
      <c r="E231" s="184" cm="1">
        <f t="array" ref="E231">_xlfn.IFNA((_xlfn.IFS(Referentieberekening!E16="Funderingslagen",(Referentieberekening!K16/60),Referentieberekening!E16="Grondwerken",(Referentieberekening!K16/60),Referentieberekening!E16="Bitumineuze_verhardingen",(Referentieberekening!L16/(1000/8)))),0)</f>
        <v>1.6</v>
      </c>
      <c r="F231" s="118" t="s">
        <v>347</v>
      </c>
      <c r="G231" s="118" t="s">
        <v>347</v>
      </c>
      <c r="H231" s="160">
        <f>IF(Referentie_Bouwplaats_Totaal[[#This Row],[Emissieloos Bouwmaterieel]]="JA",Referentie_Bouwplaats_Totaal[[#This Row],[Draaiuren Bouw]],0)+IF(Referentie_Bouwplaats_Totaal[[#This Row],[Emissieloos Sloopmaterieel]]="JA",Referentie_Bouwplaats_Totaal[[#This Row],[Draaiuren Sloop]],0)</f>
        <v>0</v>
      </c>
      <c r="I231" s="181" cm="1">
        <f t="array" ref="I231">_xlfn.IFNA((_xlfn.IFS(Referentieberekening!C16="Bestaande situatie",0,Referentieberekening!E16="Funderingslagen",(Referentieberekening!K16/60),Referentieberekening!E16="Grondwerken",(Referentieberekening!K16/60),Referentieberekening!E16="Bitumineuze_verhardingen",(Referentieberekening!L16/(1000/8)))),0)*Referentieberekening!N16</f>
        <v>0</v>
      </c>
      <c r="J231" s="181" cm="1">
        <f t="array" ref="J231">_xlfn.IFNA((_xlfn.IFS(Referentieberekening!E16="Funderingslagen",(Referentieberekening!K16/60),Referentieberekening!E16="Grondwerken",(Referentieberekening!K16/60),Referentieberekening!E16="Bitumineuze_verhardingen",(Referentieberekening!L16/(1000/8)))),0)*Referentieberekening!N16</f>
        <v>0</v>
      </c>
      <c r="K231"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1" s="181">
        <f>Referentie_Bouwplaats_Totaal[[#This Row],[Emissieloos bouwplaats]]+Referentie_Bouwplaats_Totaal[[#This Row],[Emissieloos bouwplaats Vervangingen]]</f>
        <v>0</v>
      </c>
      <c r="M231"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3.2</v>
      </c>
      <c r="N231" s="181">
        <f>Referentie_Bouwplaats_Totaal[[#This Row],[Totaal Emissieloos Bouwplaats]]+Referentie_Bouwplaats_Totaal[[#This Row],[Totaal Niet Emissieloos Bouwplaats]]</f>
        <v>3.2</v>
      </c>
      <c r="O231" s="17"/>
      <c r="P231" s="17"/>
      <c r="Q231" s="17"/>
      <c r="R231" s="17"/>
      <c r="S231" s="17"/>
      <c r="T231" s="17"/>
      <c r="U231" s="17"/>
      <c r="V231" s="17"/>
    </row>
    <row r="232" spans="2:22" ht="18" x14ac:dyDescent="0.55000000000000004">
      <c r="B232" s="286" t="str">
        <f>Referentieberekening!B17</f>
        <v>Aanbrengen onderlaag AC 16 base, dik 50 mm 275 m2.</v>
      </c>
      <c r="C232" s="67" t="str">
        <f>Referentieberekening!F17</f>
        <v>AC bin/base 50% PR - PCR 2.0</v>
      </c>
      <c r="D232" s="183" cm="1">
        <f t="array" ref="D232">_xlfn.IFNA((_xlfn.IFS(Referentieberekening!C17="Bestaande situatie",0,Referentieberekening!E17="Funderingslagen",(Referentieberekening!K17/60),Referentieberekening!E17="Grondwerken",(Referentieberekening!K17/60),Referentieberekening!E17="Bitumineuze_verhardingen",(Referentieberekening!L17/(1000/8)))),0)</f>
        <v>0.28000000000000003</v>
      </c>
      <c r="E232" s="184" cm="1">
        <f t="array" ref="E232">_xlfn.IFNA((_xlfn.IFS(Referentieberekening!E17="Funderingslagen",(Referentieberekening!K17/60),Referentieberekening!E17="Grondwerken",(Referentieberekening!K17/60),Referentieberekening!E17="Bitumineuze_verhardingen",(Referentieberekening!L17/(1000/8)))),0)</f>
        <v>0.28000000000000003</v>
      </c>
      <c r="F232" s="118" t="s">
        <v>347</v>
      </c>
      <c r="G232" s="118" t="s">
        <v>347</v>
      </c>
      <c r="H232" s="160">
        <f>IF(Referentie_Bouwplaats_Totaal[[#This Row],[Emissieloos Bouwmaterieel]]="JA",Referentie_Bouwplaats_Totaal[[#This Row],[Draaiuren Bouw]],0)+IF(Referentie_Bouwplaats_Totaal[[#This Row],[Emissieloos Sloopmaterieel]]="JA",Referentie_Bouwplaats_Totaal[[#This Row],[Draaiuren Sloop]],0)</f>
        <v>0</v>
      </c>
      <c r="I232" s="181" cm="1">
        <f t="array" ref="I232">_xlfn.IFNA((_xlfn.IFS(Referentieberekening!C17="Bestaande situatie",0,Referentieberekening!E17="Funderingslagen",(Referentieberekening!K17/60),Referentieberekening!E17="Grondwerken",(Referentieberekening!K17/60),Referentieberekening!E17="Bitumineuze_verhardingen",(Referentieberekening!L17/(1000/8)))),0)*Referentieberekening!N17</f>
        <v>0</v>
      </c>
      <c r="J232" s="181" cm="1">
        <f t="array" ref="J232">_xlfn.IFNA((_xlfn.IFS(Referentieberekening!E17="Funderingslagen",(Referentieberekening!K17/60),Referentieberekening!E17="Grondwerken",(Referentieberekening!K17/60),Referentieberekening!E17="Bitumineuze_verhardingen",(Referentieberekening!L17/(1000/8)))),0)*Referentieberekening!N17</f>
        <v>0</v>
      </c>
      <c r="K232"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2" s="181">
        <f>Referentie_Bouwplaats_Totaal[[#This Row],[Emissieloos bouwplaats]]+Referentie_Bouwplaats_Totaal[[#This Row],[Emissieloos bouwplaats Vervangingen]]</f>
        <v>0</v>
      </c>
      <c r="M232"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0.56000000000000005</v>
      </c>
      <c r="N232" s="181">
        <f>Referentie_Bouwplaats_Totaal[[#This Row],[Totaal Emissieloos Bouwplaats]]+Referentie_Bouwplaats_Totaal[[#This Row],[Totaal Niet Emissieloos Bouwplaats]]</f>
        <v>0.56000000000000005</v>
      </c>
      <c r="O232" s="17"/>
      <c r="P232" s="17"/>
      <c r="Q232" s="17"/>
      <c r="R232" s="17"/>
      <c r="S232" s="17"/>
      <c r="T232" s="17"/>
      <c r="U232" s="17"/>
      <c r="V232" s="17"/>
    </row>
    <row r="233" spans="2:22" ht="18" x14ac:dyDescent="0.55000000000000004">
      <c r="B233" s="286" t="str">
        <f>Referentieberekening!B18</f>
        <v>Aanbrengen deklaag SMA-NL 8, dik 30 mm - 275 m2 (rood)</v>
      </c>
      <c r="C233" s="67" t="str">
        <f>Referentieberekening!F18</f>
        <v>AC surf rood, met blank bindmiddel - PCR 2.0</v>
      </c>
      <c r="D233" s="183" cm="1">
        <f t="array" ref="D233">_xlfn.IFNA((_xlfn.IFS(Referentieberekening!C18="Bestaande situatie",0,Referentieberekening!E18="Funderingslagen",(Referentieberekening!K18/60),Referentieberekening!E18="Grondwerken",(Referentieberekening!K18/60),Referentieberekening!E18="Bitumineuze_verhardingen",(Referentieberekening!L18/(1000/8)))),0)</f>
        <v>0.16800000000000001</v>
      </c>
      <c r="E233" s="184" cm="1">
        <f t="array" ref="E233">_xlfn.IFNA((_xlfn.IFS(Referentieberekening!E18="Funderingslagen",(Referentieberekening!K18/60),Referentieberekening!E18="Grondwerken",(Referentieberekening!K18/60),Referentieberekening!E18="Bitumineuze_verhardingen",(Referentieberekening!L18/(1000/8)))),0)</f>
        <v>0.16800000000000001</v>
      </c>
      <c r="F233" s="118" t="s">
        <v>347</v>
      </c>
      <c r="G233" s="118" t="s">
        <v>347</v>
      </c>
      <c r="H233" s="160">
        <f>IF(Referentie_Bouwplaats_Totaal[[#This Row],[Emissieloos Bouwmaterieel]]="JA",Referentie_Bouwplaats_Totaal[[#This Row],[Draaiuren Bouw]],0)+IF(Referentie_Bouwplaats_Totaal[[#This Row],[Emissieloos Sloopmaterieel]]="JA",Referentie_Bouwplaats_Totaal[[#This Row],[Draaiuren Sloop]],0)</f>
        <v>0</v>
      </c>
      <c r="I233" s="181" cm="1">
        <f t="array" ref="I233">_xlfn.IFNA((_xlfn.IFS(Referentieberekening!C18="Bestaande situatie",0,Referentieberekening!E18="Funderingslagen",(Referentieberekening!K18/60),Referentieberekening!E18="Grondwerken",(Referentieberekening!K18/60),Referentieberekening!E18="Bitumineuze_verhardingen",(Referentieberekening!L18/(1000/8)))),0)*Referentieberekening!N18</f>
        <v>0</v>
      </c>
      <c r="J233" s="181" cm="1">
        <f t="array" ref="J233">_xlfn.IFNA((_xlfn.IFS(Referentieberekening!E18="Funderingslagen",(Referentieberekening!K18/60),Referentieberekening!E18="Grondwerken",(Referentieberekening!K18/60),Referentieberekening!E18="Bitumineuze_verhardingen",(Referentieberekening!L18/(1000/8)))),0)*Referentieberekening!N18</f>
        <v>0</v>
      </c>
      <c r="K233"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3" s="181">
        <f>Referentie_Bouwplaats_Totaal[[#This Row],[Emissieloos bouwplaats]]+Referentie_Bouwplaats_Totaal[[#This Row],[Emissieloos bouwplaats Vervangingen]]</f>
        <v>0</v>
      </c>
      <c r="M233"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0.33600000000000002</v>
      </c>
      <c r="N233" s="181">
        <f>Referentie_Bouwplaats_Totaal[[#This Row],[Totaal Emissieloos Bouwplaats]]+Referentie_Bouwplaats_Totaal[[#This Row],[Totaal Niet Emissieloos Bouwplaats]]</f>
        <v>0.33600000000000002</v>
      </c>
      <c r="O233" s="17"/>
      <c r="P233" s="17"/>
      <c r="Q233" s="17"/>
      <c r="R233" s="17"/>
      <c r="S233" s="17"/>
      <c r="T233" s="17"/>
      <c r="U233" s="17"/>
      <c r="V233" s="17"/>
    </row>
    <row r="234" spans="2:22" ht="18" x14ac:dyDescent="0.55000000000000004">
      <c r="B234" s="286" t="str">
        <f>Referentieberekening!B19</f>
        <v>Aanbrengen deklaag SMA-NL 8, dik 30 mm - 890 m2 (rood)</v>
      </c>
      <c r="C234" s="67" t="str">
        <f>Referentieberekening!F19</f>
        <v>AC surf rood, met blank bindmiddel - PCR 2.0</v>
      </c>
      <c r="D234" s="183" cm="1">
        <f t="array" ref="D234">_xlfn.IFNA((_xlfn.IFS(Referentieberekening!C19="Bestaande situatie",0,Referentieberekening!E19="Funderingslagen",(Referentieberekening!K19/60),Referentieberekening!E19="Grondwerken",(Referentieberekening!K19/60),Referentieberekening!E19="Bitumineuze_verhardingen",(Referentieberekening!L19/(1000/8)))),0)</f>
        <v>0.54400000000000004</v>
      </c>
      <c r="E234" s="184" cm="1">
        <f t="array" ref="E234">_xlfn.IFNA((_xlfn.IFS(Referentieberekening!E19="Funderingslagen",(Referentieberekening!K19/60),Referentieberekening!E19="Grondwerken",(Referentieberekening!K19/60),Referentieberekening!E19="Bitumineuze_verhardingen",(Referentieberekening!L19/(1000/8)))),0)</f>
        <v>0.54400000000000004</v>
      </c>
      <c r="F234" s="118" t="s">
        <v>347</v>
      </c>
      <c r="G234" s="118" t="s">
        <v>347</v>
      </c>
      <c r="H234" s="160">
        <f>IF(Referentie_Bouwplaats_Totaal[[#This Row],[Emissieloos Bouwmaterieel]]="JA",Referentie_Bouwplaats_Totaal[[#This Row],[Draaiuren Bouw]],0)+IF(Referentie_Bouwplaats_Totaal[[#This Row],[Emissieloos Sloopmaterieel]]="JA",Referentie_Bouwplaats_Totaal[[#This Row],[Draaiuren Sloop]],0)</f>
        <v>0</v>
      </c>
      <c r="I234" s="181" cm="1">
        <f t="array" ref="I234">_xlfn.IFNA((_xlfn.IFS(Referentieberekening!C19="Bestaande situatie",0,Referentieberekening!E19="Funderingslagen",(Referentieberekening!K19/60),Referentieberekening!E19="Grondwerken",(Referentieberekening!K19/60),Referentieberekening!E19="Bitumineuze_verhardingen",(Referentieberekening!L19/(1000/8)))),0)*Referentieberekening!N19</f>
        <v>0</v>
      </c>
      <c r="J234" s="181" cm="1">
        <f t="array" ref="J234">_xlfn.IFNA((_xlfn.IFS(Referentieberekening!E19="Funderingslagen",(Referentieberekening!K19/60),Referentieberekening!E19="Grondwerken",(Referentieberekening!K19/60),Referentieberekening!E19="Bitumineuze_verhardingen",(Referentieberekening!L19/(1000/8)))),0)*Referentieberekening!N19</f>
        <v>0</v>
      </c>
      <c r="K234"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4" s="181">
        <f>Referentie_Bouwplaats_Totaal[[#This Row],[Emissieloos bouwplaats]]+Referentie_Bouwplaats_Totaal[[#This Row],[Emissieloos bouwplaats Vervangingen]]</f>
        <v>0</v>
      </c>
      <c r="M234"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1.0880000000000001</v>
      </c>
      <c r="N234" s="181">
        <f>Referentie_Bouwplaats_Totaal[[#This Row],[Totaal Emissieloos Bouwplaats]]+Referentie_Bouwplaats_Totaal[[#This Row],[Totaal Niet Emissieloos Bouwplaats]]</f>
        <v>1.0880000000000001</v>
      </c>
      <c r="O234" s="17"/>
      <c r="P234" s="17"/>
      <c r="Q234" s="17"/>
      <c r="R234" s="17"/>
      <c r="S234" s="17"/>
      <c r="T234" s="17"/>
      <c r="U234" s="17"/>
      <c r="V234" s="17"/>
    </row>
    <row r="235" spans="2:22" ht="18" x14ac:dyDescent="0.55000000000000004">
      <c r="B235" s="286" t="str">
        <f>Referentieberekening!B20</f>
        <v>Aanbrengen betonbuis rond profiel, ø300 mm - HWA.</v>
      </c>
      <c r="C235" s="67" t="str">
        <f>Referentieberekening!F20</f>
        <v>Betonbuis 300 mm</v>
      </c>
      <c r="D235" s="183" cm="1">
        <f t="array" ref="D235">_xlfn.IFNA((_xlfn.IFS(Referentieberekening!C20="Bestaande situatie",0,Referentieberekening!E20="Funderingslagen",(Referentieberekening!K20/60),Referentieberekening!E20="Grondwerken",(Referentieberekening!K20/60),Referentieberekening!E20="Bitumineuze_verhardingen",(Referentieberekening!L20/(1000/8)))),0)</f>
        <v>0</v>
      </c>
      <c r="E235" s="184" cm="1">
        <f t="array" ref="E235">_xlfn.IFNA((_xlfn.IFS(Referentieberekening!E20="Funderingslagen",(Referentieberekening!K20/60),Referentieberekening!E20="Grondwerken",(Referentieberekening!K20/60),Referentieberekening!E20="Bitumineuze_verhardingen",(Referentieberekening!L20/(1000/8)))),0)</f>
        <v>0</v>
      </c>
      <c r="F235" s="118" t="s">
        <v>347</v>
      </c>
      <c r="G235" s="118" t="s">
        <v>347</v>
      </c>
      <c r="H235" s="160">
        <f>IF(Referentie_Bouwplaats_Totaal[[#This Row],[Emissieloos Bouwmaterieel]]="JA",Referentie_Bouwplaats_Totaal[[#This Row],[Draaiuren Bouw]],0)+IF(Referentie_Bouwplaats_Totaal[[#This Row],[Emissieloos Sloopmaterieel]]="JA",Referentie_Bouwplaats_Totaal[[#This Row],[Draaiuren Sloop]],0)</f>
        <v>0</v>
      </c>
      <c r="I235" s="181" cm="1">
        <f t="array" ref="I235">_xlfn.IFNA((_xlfn.IFS(Referentieberekening!C20="Bestaande situatie",0,Referentieberekening!E20="Funderingslagen",(Referentieberekening!K20/60),Referentieberekening!E20="Grondwerken",(Referentieberekening!K20/60),Referentieberekening!E20="Bitumineuze_verhardingen",(Referentieberekening!L20/(1000/8)))),0)*Referentieberekening!N20</f>
        <v>0</v>
      </c>
      <c r="J235" s="181" cm="1">
        <f t="array" ref="J235">_xlfn.IFNA((_xlfn.IFS(Referentieberekening!E20="Funderingslagen",(Referentieberekening!K20/60),Referentieberekening!E20="Grondwerken",(Referentieberekening!K20/60),Referentieberekening!E20="Bitumineuze_verhardingen",(Referentieberekening!L20/(1000/8)))),0)*Referentieberekening!N20</f>
        <v>0</v>
      </c>
      <c r="K235"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5" s="181">
        <f>Referentie_Bouwplaats_Totaal[[#This Row],[Emissieloos bouwplaats]]+Referentie_Bouwplaats_Totaal[[#This Row],[Emissieloos bouwplaats Vervangingen]]</f>
        <v>0</v>
      </c>
      <c r="M235"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35" s="181">
        <f>Referentie_Bouwplaats_Totaal[[#This Row],[Totaal Emissieloos Bouwplaats]]+Referentie_Bouwplaats_Totaal[[#This Row],[Totaal Niet Emissieloos Bouwplaats]]</f>
        <v>0</v>
      </c>
      <c r="O235" s="17"/>
      <c r="P235" s="17"/>
      <c r="Q235" s="17"/>
      <c r="R235" s="17"/>
      <c r="S235" s="17"/>
      <c r="T235" s="17"/>
      <c r="U235" s="17"/>
      <c r="V235" s="17"/>
    </row>
    <row r="236" spans="2:22" ht="18" x14ac:dyDescent="0.55000000000000004">
      <c r="B236" s="286" t="str">
        <f>Referentieberekening!B21</f>
        <v>Aanbrengen betonbuis rond profiel, ø500 mm - HWA.</v>
      </c>
      <c r="C236" s="67" t="str">
        <f>Referentieberekening!F21</f>
        <v>Betonbuis 500 mm</v>
      </c>
      <c r="D236" s="183" cm="1">
        <f t="array" ref="D236">_xlfn.IFNA((_xlfn.IFS(Referentieberekening!C21="Bestaande situatie",0,Referentieberekening!E21="Funderingslagen",(Referentieberekening!K21/60),Referentieberekening!E21="Grondwerken",(Referentieberekening!K21/60),Referentieberekening!E21="Bitumineuze_verhardingen",(Referentieberekening!L21/(1000/8)))),0)</f>
        <v>0</v>
      </c>
      <c r="E236" s="184" cm="1">
        <f t="array" ref="E236">_xlfn.IFNA((_xlfn.IFS(Referentieberekening!E21="Funderingslagen",(Referentieberekening!K21/60),Referentieberekening!E21="Grondwerken",(Referentieberekening!K21/60),Referentieberekening!E21="Bitumineuze_verhardingen",(Referentieberekening!L21/(1000/8)))),0)</f>
        <v>0</v>
      </c>
      <c r="F236" s="118" t="s">
        <v>347</v>
      </c>
      <c r="G236" s="118" t="s">
        <v>347</v>
      </c>
      <c r="H236" s="160">
        <f>IF(Referentie_Bouwplaats_Totaal[[#This Row],[Emissieloos Bouwmaterieel]]="JA",Referentie_Bouwplaats_Totaal[[#This Row],[Draaiuren Bouw]],0)+IF(Referentie_Bouwplaats_Totaal[[#This Row],[Emissieloos Sloopmaterieel]]="JA",Referentie_Bouwplaats_Totaal[[#This Row],[Draaiuren Sloop]],0)</f>
        <v>0</v>
      </c>
      <c r="I236" s="181" cm="1">
        <f t="array" ref="I236">_xlfn.IFNA((_xlfn.IFS(Referentieberekening!C21="Bestaande situatie",0,Referentieberekening!E21="Funderingslagen",(Referentieberekening!K21/60),Referentieberekening!E21="Grondwerken",(Referentieberekening!K21/60),Referentieberekening!E21="Bitumineuze_verhardingen",(Referentieberekening!L21/(1000/8)))),0)*Referentieberekening!N21</f>
        <v>0</v>
      </c>
      <c r="J236" s="181" cm="1">
        <f t="array" ref="J236">_xlfn.IFNA((_xlfn.IFS(Referentieberekening!E21="Funderingslagen",(Referentieberekening!K21/60),Referentieberekening!E21="Grondwerken",(Referentieberekening!K21/60),Referentieberekening!E21="Bitumineuze_verhardingen",(Referentieberekening!L21/(1000/8)))),0)*Referentieberekening!N21</f>
        <v>0</v>
      </c>
      <c r="K236"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6" s="181">
        <f>Referentie_Bouwplaats_Totaal[[#This Row],[Emissieloos bouwplaats]]+Referentie_Bouwplaats_Totaal[[#This Row],[Emissieloos bouwplaats Vervangingen]]</f>
        <v>0</v>
      </c>
      <c r="M236"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36" s="181">
        <f>Referentie_Bouwplaats_Totaal[[#This Row],[Totaal Emissieloos Bouwplaats]]+Referentie_Bouwplaats_Totaal[[#This Row],[Totaal Niet Emissieloos Bouwplaats]]</f>
        <v>0</v>
      </c>
      <c r="O236" s="17"/>
      <c r="P236" s="17"/>
      <c r="Q236" s="17"/>
      <c r="R236" s="17"/>
      <c r="S236" s="17"/>
      <c r="T236" s="17"/>
      <c r="U236" s="17"/>
      <c r="V236" s="17"/>
    </row>
    <row r="237" spans="2:22" ht="18" x14ac:dyDescent="0.55000000000000004">
      <c r="B237" s="286" t="str">
        <f>Referentieberekening!B22</f>
        <v>Aanbrengen betonbuis rond profiel, ø700 mm - HWA.</v>
      </c>
      <c r="C237" s="67" t="str">
        <f>Referentieberekening!F22</f>
        <v>Betonbuis 800 mm</v>
      </c>
      <c r="D237" s="183" cm="1">
        <f t="array" ref="D237">_xlfn.IFNA((_xlfn.IFS(Referentieberekening!C22="Bestaande situatie",0,Referentieberekening!E22="Funderingslagen",(Referentieberekening!K22/60),Referentieberekening!E22="Grondwerken",(Referentieberekening!K22/60),Referentieberekening!E22="Bitumineuze_verhardingen",(Referentieberekening!L22/(1000/8)))),0)</f>
        <v>0</v>
      </c>
      <c r="E237" s="184" cm="1">
        <f t="array" ref="E237">_xlfn.IFNA((_xlfn.IFS(Referentieberekening!E22="Funderingslagen",(Referentieberekening!K22/60),Referentieberekening!E22="Grondwerken",(Referentieberekening!K22/60),Referentieberekening!E22="Bitumineuze_verhardingen",(Referentieberekening!L22/(1000/8)))),0)</f>
        <v>0</v>
      </c>
      <c r="F237" s="118" t="s">
        <v>347</v>
      </c>
      <c r="G237" s="118" t="s">
        <v>347</v>
      </c>
      <c r="H237" s="160">
        <f>IF(Referentie_Bouwplaats_Totaal[[#This Row],[Emissieloos Bouwmaterieel]]="JA",Referentie_Bouwplaats_Totaal[[#This Row],[Draaiuren Bouw]],0)+IF(Referentie_Bouwplaats_Totaal[[#This Row],[Emissieloos Sloopmaterieel]]="JA",Referentie_Bouwplaats_Totaal[[#This Row],[Draaiuren Sloop]],0)</f>
        <v>0</v>
      </c>
      <c r="I237" s="181" cm="1">
        <f t="array" ref="I237">_xlfn.IFNA((_xlfn.IFS(Referentieberekening!C22="Bestaande situatie",0,Referentieberekening!E22="Funderingslagen",(Referentieberekening!K22/60),Referentieberekening!E22="Grondwerken",(Referentieberekening!K22/60),Referentieberekening!E22="Bitumineuze_verhardingen",(Referentieberekening!L22/(1000/8)))),0)*Referentieberekening!N22</f>
        <v>0</v>
      </c>
      <c r="J237" s="181" cm="1">
        <f t="array" ref="J237">_xlfn.IFNA((_xlfn.IFS(Referentieberekening!E22="Funderingslagen",(Referentieberekening!K22/60),Referentieberekening!E22="Grondwerken",(Referentieberekening!K22/60),Referentieberekening!E22="Bitumineuze_verhardingen",(Referentieberekening!L22/(1000/8)))),0)*Referentieberekening!N22</f>
        <v>0</v>
      </c>
      <c r="K237"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7" s="181">
        <f>Referentie_Bouwplaats_Totaal[[#This Row],[Emissieloos bouwplaats]]+Referentie_Bouwplaats_Totaal[[#This Row],[Emissieloos bouwplaats Vervangingen]]</f>
        <v>0</v>
      </c>
      <c r="M237"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37" s="181">
        <f>Referentie_Bouwplaats_Totaal[[#This Row],[Totaal Emissieloos Bouwplaats]]+Referentie_Bouwplaats_Totaal[[#This Row],[Totaal Niet Emissieloos Bouwplaats]]</f>
        <v>0</v>
      </c>
      <c r="O237" s="17"/>
      <c r="P237" s="17"/>
      <c r="Q237" s="17"/>
      <c r="R237" s="17"/>
      <c r="S237" s="17"/>
      <c r="T237" s="17"/>
      <c r="U237" s="17"/>
      <c r="V237" s="17"/>
    </row>
    <row r="238" spans="2:22" ht="18" x14ac:dyDescent="0.55000000000000004">
      <c r="B238" s="286" t="str">
        <f>Referentieberekening!B23</f>
        <v>Aanbrengen betonbuis rond profiel, ø1000 mm - HWA.</v>
      </c>
      <c r="C238" s="67" t="str">
        <f>Referentieberekening!F23</f>
        <v>Betonbuis 1000 mm</v>
      </c>
      <c r="D238" s="183" cm="1">
        <f t="array" ref="D238">_xlfn.IFNA((_xlfn.IFS(Referentieberekening!C23="Bestaande situatie",0,Referentieberekening!E23="Funderingslagen",(Referentieberekening!K23/60),Referentieberekening!E23="Grondwerken",(Referentieberekening!K23/60),Referentieberekening!E23="Bitumineuze_verhardingen",(Referentieberekening!L23/(1000/8)))),0)</f>
        <v>0</v>
      </c>
      <c r="E238" s="184" cm="1">
        <f t="array" ref="E238">_xlfn.IFNA((_xlfn.IFS(Referentieberekening!E23="Funderingslagen",(Referentieberekening!K23/60),Referentieberekening!E23="Grondwerken",(Referentieberekening!K23/60),Referentieberekening!E23="Bitumineuze_verhardingen",(Referentieberekening!L23/(1000/8)))),0)</f>
        <v>0</v>
      </c>
      <c r="F238" s="118" t="s">
        <v>347</v>
      </c>
      <c r="G238" s="118" t="s">
        <v>347</v>
      </c>
      <c r="H238" s="160">
        <f>IF(Referentie_Bouwplaats_Totaal[[#This Row],[Emissieloos Bouwmaterieel]]="JA",Referentie_Bouwplaats_Totaal[[#This Row],[Draaiuren Bouw]],0)+IF(Referentie_Bouwplaats_Totaal[[#This Row],[Emissieloos Sloopmaterieel]]="JA",Referentie_Bouwplaats_Totaal[[#This Row],[Draaiuren Sloop]],0)</f>
        <v>0</v>
      </c>
      <c r="I238" s="181" cm="1">
        <f t="array" ref="I238">_xlfn.IFNA((_xlfn.IFS(Referentieberekening!C23="Bestaande situatie",0,Referentieberekening!E23="Funderingslagen",(Referentieberekening!K23/60),Referentieberekening!E23="Grondwerken",(Referentieberekening!K23/60),Referentieberekening!E23="Bitumineuze_verhardingen",(Referentieberekening!L23/(1000/8)))),0)*Referentieberekening!N23</f>
        <v>0</v>
      </c>
      <c r="J238" s="181" cm="1">
        <f t="array" ref="J238">_xlfn.IFNA((_xlfn.IFS(Referentieberekening!E23="Funderingslagen",(Referentieberekening!K23/60),Referentieberekening!E23="Grondwerken",(Referentieberekening!K23/60),Referentieberekening!E23="Bitumineuze_verhardingen",(Referentieberekening!L23/(1000/8)))),0)*Referentieberekening!N23</f>
        <v>0</v>
      </c>
      <c r="K238"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8" s="181">
        <f>Referentie_Bouwplaats_Totaal[[#This Row],[Emissieloos bouwplaats]]+Referentie_Bouwplaats_Totaal[[#This Row],[Emissieloos bouwplaats Vervangingen]]</f>
        <v>0</v>
      </c>
      <c r="M238"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38" s="181">
        <f>Referentie_Bouwplaats_Totaal[[#This Row],[Totaal Emissieloos Bouwplaats]]+Referentie_Bouwplaats_Totaal[[#This Row],[Totaal Niet Emissieloos Bouwplaats]]</f>
        <v>0</v>
      </c>
      <c r="O238" s="17"/>
      <c r="P238" s="17"/>
      <c r="Q238" s="17"/>
      <c r="R238" s="17"/>
      <c r="S238" s="17"/>
      <c r="T238" s="17"/>
      <c r="U238" s="17"/>
      <c r="V238" s="17"/>
    </row>
    <row r="239" spans="2:22" ht="18" x14ac:dyDescent="0.55000000000000004">
      <c r="B239" s="286" t="str">
        <f>Referentieberekening!B24</f>
        <v>Aanbrengen drainage rioolsleuf PP ø 125 mm.</v>
      </c>
      <c r="C239" s="67" t="str">
        <f>Referentieberekening!F24</f>
        <v>PP Drainbuis 125 mm</v>
      </c>
      <c r="D239" s="183" cm="1">
        <f t="array" ref="D239">_xlfn.IFNA((_xlfn.IFS(Referentieberekening!C24="Bestaande situatie",0,Referentieberekening!E24="Funderingslagen",(Referentieberekening!K24/60),Referentieberekening!E24="Grondwerken",(Referentieberekening!K24/60),Referentieberekening!E24="Bitumineuze_verhardingen",(Referentieberekening!L24/(1000/8)))),0)</f>
        <v>0</v>
      </c>
      <c r="E239" s="184" cm="1">
        <f t="array" ref="E239">_xlfn.IFNA((_xlfn.IFS(Referentieberekening!E24="Funderingslagen",(Referentieberekening!K24/60),Referentieberekening!E24="Grondwerken",(Referentieberekening!K24/60),Referentieberekening!E24="Bitumineuze_verhardingen",(Referentieberekening!L24/(1000/8)))),0)</f>
        <v>0</v>
      </c>
      <c r="F239" s="118" t="s">
        <v>347</v>
      </c>
      <c r="G239" s="118" t="s">
        <v>347</v>
      </c>
      <c r="H239" s="160">
        <f>IF(Referentie_Bouwplaats_Totaal[[#This Row],[Emissieloos Bouwmaterieel]]="JA",Referentie_Bouwplaats_Totaal[[#This Row],[Draaiuren Bouw]],0)+IF(Referentie_Bouwplaats_Totaal[[#This Row],[Emissieloos Sloopmaterieel]]="JA",Referentie_Bouwplaats_Totaal[[#This Row],[Draaiuren Sloop]],0)</f>
        <v>0</v>
      </c>
      <c r="I239" s="181" cm="1">
        <f t="array" ref="I239">_xlfn.IFNA((_xlfn.IFS(Referentieberekening!C24="Bestaande situatie",0,Referentieberekening!E24="Funderingslagen",(Referentieberekening!K24/60),Referentieberekening!E24="Grondwerken",(Referentieberekening!K24/60),Referentieberekening!E24="Bitumineuze_verhardingen",(Referentieberekening!L24/(1000/8)))),0)*Referentieberekening!N24</f>
        <v>0</v>
      </c>
      <c r="J239" s="181" cm="1">
        <f t="array" ref="J239">_xlfn.IFNA((_xlfn.IFS(Referentieberekening!E24="Funderingslagen",(Referentieberekening!K24/60),Referentieberekening!E24="Grondwerken",(Referentieberekening!K24/60),Referentieberekening!E24="Bitumineuze_verhardingen",(Referentieberekening!L24/(1000/8)))),0)*Referentieberekening!N24</f>
        <v>0</v>
      </c>
      <c r="K239"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39" s="181">
        <f>Referentie_Bouwplaats_Totaal[[#This Row],[Emissieloos bouwplaats]]+Referentie_Bouwplaats_Totaal[[#This Row],[Emissieloos bouwplaats Vervangingen]]</f>
        <v>0</v>
      </c>
      <c r="M239"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39" s="181">
        <f>Referentie_Bouwplaats_Totaal[[#This Row],[Totaal Emissieloos Bouwplaats]]+Referentie_Bouwplaats_Totaal[[#This Row],[Totaal Niet Emissieloos Bouwplaats]]</f>
        <v>0</v>
      </c>
      <c r="O239" s="17"/>
      <c r="P239" s="17"/>
      <c r="Q239" s="17"/>
      <c r="R239" s="17"/>
      <c r="S239" s="17"/>
      <c r="T239" s="17"/>
      <c r="U239" s="17"/>
      <c r="V239" s="17"/>
    </row>
    <row r="240" spans="2:22" ht="18" x14ac:dyDescent="0.55000000000000004">
      <c r="B240" s="286" t="str">
        <f>Referentieberekening!B25</f>
        <v>Aanbrengen betonbuis rond profiel, ø300 mm - DWA.</v>
      </c>
      <c r="C240" s="67" t="str">
        <f>Referentieberekening!F25</f>
        <v>Betonbuis 300 mm</v>
      </c>
      <c r="D240" s="183" cm="1">
        <f t="array" ref="D240">_xlfn.IFNA((_xlfn.IFS(Referentieberekening!C25="Bestaande situatie",0,Referentieberekening!E25="Funderingslagen",(Referentieberekening!K25/60),Referentieberekening!E25="Grondwerken",(Referentieberekening!K25/60),Referentieberekening!E25="Bitumineuze_verhardingen",(Referentieberekening!L25/(1000/8)))),0)</f>
        <v>0</v>
      </c>
      <c r="E240" s="184" cm="1">
        <f t="array" ref="E240">_xlfn.IFNA((_xlfn.IFS(Referentieberekening!E25="Funderingslagen",(Referentieberekening!K25/60),Referentieberekening!E25="Grondwerken",(Referentieberekening!K25/60),Referentieberekening!E25="Bitumineuze_verhardingen",(Referentieberekening!L25/(1000/8)))),0)</f>
        <v>0</v>
      </c>
      <c r="F240" s="118" t="s">
        <v>347</v>
      </c>
      <c r="G240" s="118" t="s">
        <v>347</v>
      </c>
      <c r="H240" s="160">
        <f>IF(Referentie_Bouwplaats_Totaal[[#This Row],[Emissieloos Bouwmaterieel]]="JA",Referentie_Bouwplaats_Totaal[[#This Row],[Draaiuren Bouw]],0)+IF(Referentie_Bouwplaats_Totaal[[#This Row],[Emissieloos Sloopmaterieel]]="JA",Referentie_Bouwplaats_Totaal[[#This Row],[Draaiuren Sloop]],0)</f>
        <v>0</v>
      </c>
      <c r="I240" s="181" cm="1">
        <f t="array" ref="I240">_xlfn.IFNA((_xlfn.IFS(Referentieberekening!C25="Bestaande situatie",0,Referentieberekening!E25="Funderingslagen",(Referentieberekening!K25/60),Referentieberekening!E25="Grondwerken",(Referentieberekening!K25/60),Referentieberekening!E25="Bitumineuze_verhardingen",(Referentieberekening!L25/(1000/8)))),0)*Referentieberekening!N25</f>
        <v>0</v>
      </c>
      <c r="J240" s="181" cm="1">
        <f t="array" ref="J240">_xlfn.IFNA((_xlfn.IFS(Referentieberekening!E25="Funderingslagen",(Referentieberekening!K25/60),Referentieberekening!E25="Grondwerken",(Referentieberekening!K25/60),Referentieberekening!E25="Bitumineuze_verhardingen",(Referentieberekening!L25/(1000/8)))),0)*Referentieberekening!N25</f>
        <v>0</v>
      </c>
      <c r="K240"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0" s="181">
        <f>Referentie_Bouwplaats_Totaal[[#This Row],[Emissieloos bouwplaats]]+Referentie_Bouwplaats_Totaal[[#This Row],[Emissieloos bouwplaats Vervangingen]]</f>
        <v>0</v>
      </c>
      <c r="M240"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40" s="181">
        <f>Referentie_Bouwplaats_Totaal[[#This Row],[Totaal Emissieloos Bouwplaats]]+Referentie_Bouwplaats_Totaal[[#This Row],[Totaal Niet Emissieloos Bouwplaats]]</f>
        <v>0</v>
      </c>
      <c r="O240" s="17"/>
      <c r="P240" s="17"/>
      <c r="Q240" s="17"/>
      <c r="R240" s="17"/>
      <c r="S240" s="17"/>
      <c r="T240" s="17"/>
      <c r="U240" s="17"/>
      <c r="V240" s="17"/>
    </row>
    <row r="241" spans="2:22" ht="18" x14ac:dyDescent="0.55000000000000004">
      <c r="B241" s="286" t="str">
        <f>Referentieberekening!B26</f>
        <v>Aanbrengen  PVC 160 mm, incl. grondwerk - HWA.</v>
      </c>
      <c r="C241" s="67" t="str">
        <f>Referentieberekening!F26</f>
        <v>PVC 200 mm</v>
      </c>
      <c r="D241" s="183" cm="1">
        <f t="array" ref="D241">_xlfn.IFNA((_xlfn.IFS(Referentieberekening!C26="Bestaande situatie",0,Referentieberekening!E26="Funderingslagen",(Referentieberekening!K26/60),Referentieberekening!E26="Grondwerken",(Referentieberekening!K26/60),Referentieberekening!E26="Bitumineuze_verhardingen",(Referentieberekening!L26/(1000/8)))),0)</f>
        <v>0</v>
      </c>
      <c r="E241" s="184" cm="1">
        <f t="array" ref="E241">_xlfn.IFNA((_xlfn.IFS(Referentieberekening!E26="Funderingslagen",(Referentieberekening!K26/60),Referentieberekening!E26="Grondwerken",(Referentieberekening!K26/60),Referentieberekening!E26="Bitumineuze_verhardingen",(Referentieberekening!L26/(1000/8)))),0)</f>
        <v>0</v>
      </c>
      <c r="F241" s="118" t="s">
        <v>347</v>
      </c>
      <c r="G241" s="118" t="s">
        <v>347</v>
      </c>
      <c r="H241" s="160">
        <f>IF(Referentie_Bouwplaats_Totaal[[#This Row],[Emissieloos Bouwmaterieel]]="JA",Referentie_Bouwplaats_Totaal[[#This Row],[Draaiuren Bouw]],0)+IF(Referentie_Bouwplaats_Totaal[[#This Row],[Emissieloos Sloopmaterieel]]="JA",Referentie_Bouwplaats_Totaal[[#This Row],[Draaiuren Sloop]],0)</f>
        <v>0</v>
      </c>
      <c r="I241" s="181" cm="1">
        <f t="array" ref="I241">_xlfn.IFNA((_xlfn.IFS(Referentieberekening!C26="Bestaande situatie",0,Referentieberekening!E26="Funderingslagen",(Referentieberekening!K26/60),Referentieberekening!E26="Grondwerken",(Referentieberekening!K26/60),Referentieberekening!E26="Bitumineuze_verhardingen",(Referentieberekening!L26/(1000/8)))),0)*Referentieberekening!N26</f>
        <v>0</v>
      </c>
      <c r="J241" s="181" cm="1">
        <f t="array" ref="J241">_xlfn.IFNA((_xlfn.IFS(Referentieberekening!E26="Funderingslagen",(Referentieberekening!K26/60),Referentieberekening!E26="Grondwerken",(Referentieberekening!K26/60),Referentieberekening!E26="Bitumineuze_verhardingen",(Referentieberekening!L26/(1000/8)))),0)*Referentieberekening!N26</f>
        <v>0</v>
      </c>
      <c r="K241"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1" s="181">
        <f>Referentie_Bouwplaats_Totaal[[#This Row],[Emissieloos bouwplaats]]+Referentie_Bouwplaats_Totaal[[#This Row],[Emissieloos bouwplaats Vervangingen]]</f>
        <v>0</v>
      </c>
      <c r="M241"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41" s="181">
        <f>Referentie_Bouwplaats_Totaal[[#This Row],[Totaal Emissieloos Bouwplaats]]+Referentie_Bouwplaats_Totaal[[#This Row],[Totaal Niet Emissieloos Bouwplaats]]</f>
        <v>0</v>
      </c>
      <c r="O241" s="17"/>
      <c r="P241" s="17"/>
      <c r="Q241" s="17"/>
      <c r="R241" s="17"/>
      <c r="S241" s="17"/>
      <c r="T241" s="17"/>
      <c r="U241" s="17"/>
      <c r="V241" s="17"/>
    </row>
    <row r="242" spans="2:22" ht="18" x14ac:dyDescent="0.55000000000000004">
      <c r="B242" s="286" t="str">
        <f>Referentieberekening!B27</f>
        <v>Aanbrengen  PVC 160 mm, incl. grondwerk - DWA.</v>
      </c>
      <c r="C242" s="67" t="str">
        <f>Referentieberekening!F27</f>
        <v>PVC 200 mm</v>
      </c>
      <c r="D242" s="183" cm="1">
        <f t="array" ref="D242">_xlfn.IFNA((_xlfn.IFS(Referentieberekening!C27="Bestaande situatie",0,Referentieberekening!E27="Funderingslagen",(Referentieberekening!K27/60),Referentieberekening!E27="Grondwerken",(Referentieberekening!K27/60),Referentieberekening!E27="Bitumineuze_verhardingen",(Referentieberekening!L27/(1000/8)))),0)</f>
        <v>0</v>
      </c>
      <c r="E242" s="184" cm="1">
        <f t="array" ref="E242">_xlfn.IFNA((_xlfn.IFS(Referentieberekening!E27="Funderingslagen",(Referentieberekening!K27/60),Referentieberekening!E27="Grondwerken",(Referentieberekening!K27/60),Referentieberekening!E27="Bitumineuze_verhardingen",(Referentieberekening!L27/(1000/8)))),0)</f>
        <v>0</v>
      </c>
      <c r="F242" s="118" t="s">
        <v>347</v>
      </c>
      <c r="G242" s="118" t="s">
        <v>347</v>
      </c>
      <c r="H242" s="160">
        <f>IF(Referentie_Bouwplaats_Totaal[[#This Row],[Emissieloos Bouwmaterieel]]="JA",Referentie_Bouwplaats_Totaal[[#This Row],[Draaiuren Bouw]],0)+IF(Referentie_Bouwplaats_Totaal[[#This Row],[Emissieloos Sloopmaterieel]]="JA",Referentie_Bouwplaats_Totaal[[#This Row],[Draaiuren Sloop]],0)</f>
        <v>0</v>
      </c>
      <c r="I242" s="181" cm="1">
        <f t="array" ref="I242">_xlfn.IFNA((_xlfn.IFS(Referentieberekening!C27="Bestaande situatie",0,Referentieberekening!E27="Funderingslagen",(Referentieberekening!K27/60),Referentieberekening!E27="Grondwerken",(Referentieberekening!K27/60),Referentieberekening!E27="Bitumineuze_verhardingen",(Referentieberekening!L27/(1000/8)))),0)*Referentieberekening!N27</f>
        <v>0</v>
      </c>
      <c r="J242" s="181" cm="1">
        <f t="array" ref="J242">_xlfn.IFNA((_xlfn.IFS(Referentieberekening!E27="Funderingslagen",(Referentieberekening!K27/60),Referentieberekening!E27="Grondwerken",(Referentieberekening!K27/60),Referentieberekening!E27="Bitumineuze_verhardingen",(Referentieberekening!L27/(1000/8)))),0)*Referentieberekening!N27</f>
        <v>0</v>
      </c>
      <c r="K242"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2" s="181">
        <f>Referentie_Bouwplaats_Totaal[[#This Row],[Emissieloos bouwplaats]]+Referentie_Bouwplaats_Totaal[[#This Row],[Emissieloos bouwplaats Vervangingen]]</f>
        <v>0</v>
      </c>
      <c r="M242"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242" s="181">
        <f>Referentie_Bouwplaats_Totaal[[#This Row],[Totaal Emissieloos Bouwplaats]]+Referentie_Bouwplaats_Totaal[[#This Row],[Totaal Niet Emissieloos Bouwplaats]]</f>
        <v>0</v>
      </c>
      <c r="O242" s="17"/>
      <c r="P242" s="17"/>
      <c r="Q242" s="17"/>
      <c r="R242" s="17"/>
      <c r="S242" s="17"/>
      <c r="T242" s="17"/>
      <c r="U242" s="17"/>
      <c r="V242" s="17"/>
    </row>
    <row r="243" spans="2:22" ht="18" x14ac:dyDescent="0.55000000000000004">
      <c r="B243" s="286" t="str">
        <f>Referentieberekening!B28</f>
        <v xml:space="preserve"> Grond ontgraven uit cunet, hoogte 1,0 m - rijweg/ fietspad </v>
      </c>
      <c r="C243" s="67" t="str">
        <f>Referentieberekening!F28</f>
        <v>Grond</v>
      </c>
      <c r="D243" s="183" cm="1">
        <f t="array" ref="D243">_xlfn.IFNA((_xlfn.IFS(Referentieberekening!C28="Bestaande situatie",0,Referentieberekening!E28="Funderingslagen",(Referentieberekening!K28/60),Referentieberekening!E28="Grondwerken",(Referentieberekening!K28/60),Referentieberekening!E28="Bitumineuze_verhardingen",(Referentieberekening!L28/(1000/8)))),0)</f>
        <v>0</v>
      </c>
      <c r="E243" s="184" cm="1">
        <f t="array" ref="E243">_xlfn.IFNA((_xlfn.IFS(Referentieberekening!E28="Funderingslagen",(Referentieberekening!K28/60),Referentieberekening!E28="Grondwerken",(Referentieberekening!K28/60),Referentieberekening!E28="Bitumineuze_verhardingen",(Referentieberekening!L28/(1000/8)))),0)</f>
        <v>126.66666666666667</v>
      </c>
      <c r="F243" s="118" t="s">
        <v>347</v>
      </c>
      <c r="G243" s="118" t="s">
        <v>347</v>
      </c>
      <c r="H243" s="160">
        <f>IF(Referentie_Bouwplaats_Totaal[[#This Row],[Emissieloos Bouwmaterieel]]="JA",Referentie_Bouwplaats_Totaal[[#This Row],[Draaiuren Bouw]],0)+IF(Referentie_Bouwplaats_Totaal[[#This Row],[Emissieloos Sloopmaterieel]]="JA",Referentie_Bouwplaats_Totaal[[#This Row],[Draaiuren Sloop]],0)</f>
        <v>0</v>
      </c>
      <c r="I243" s="181" cm="1">
        <f t="array" ref="I243">_xlfn.IFNA((_xlfn.IFS(Referentieberekening!C28="Bestaande situatie",0,Referentieberekening!E28="Funderingslagen",(Referentieberekening!K28/60),Referentieberekening!E28="Grondwerken",(Referentieberekening!K28/60),Referentieberekening!E28="Bitumineuze_verhardingen",(Referentieberekening!L28/(1000/8)))),0)*Referentieberekening!N28</f>
        <v>0</v>
      </c>
      <c r="J243" s="181" cm="1">
        <f t="array" ref="J243">_xlfn.IFNA((_xlfn.IFS(Referentieberekening!E28="Funderingslagen",(Referentieberekening!K28/60),Referentieberekening!E28="Grondwerken",(Referentieberekening!K28/60),Referentieberekening!E28="Bitumineuze_verhardingen",(Referentieberekening!L28/(1000/8)))),0)*Referentieberekening!N28</f>
        <v>0</v>
      </c>
      <c r="K243"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3" s="181">
        <f>Referentie_Bouwplaats_Totaal[[#This Row],[Emissieloos bouwplaats]]+Referentie_Bouwplaats_Totaal[[#This Row],[Emissieloos bouwplaats Vervangingen]]</f>
        <v>0</v>
      </c>
      <c r="M243"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126.66666666666667</v>
      </c>
      <c r="N243" s="181">
        <f>Referentie_Bouwplaats_Totaal[[#This Row],[Totaal Emissieloos Bouwplaats]]+Referentie_Bouwplaats_Totaal[[#This Row],[Totaal Niet Emissieloos Bouwplaats]]</f>
        <v>126.66666666666667</v>
      </c>
      <c r="O243" s="17"/>
      <c r="P243" s="17"/>
      <c r="Q243" s="17"/>
      <c r="R243" s="17"/>
      <c r="S243" s="17"/>
      <c r="T243" s="17"/>
      <c r="U243" s="17"/>
      <c r="V243" s="17"/>
    </row>
    <row r="244" spans="2:22" ht="18" x14ac:dyDescent="0.55000000000000004">
      <c r="B244" s="286" t="str">
        <f>Referentieberekening!B29</f>
        <v xml:space="preserve"> Grond ontgraven uit cunet, hoogte 0,90 m - voetpad. </v>
      </c>
      <c r="C244" s="67" t="str">
        <f>Referentieberekening!F29</f>
        <v>Grond</v>
      </c>
      <c r="D244" s="183" cm="1">
        <f t="array" ref="D244">_xlfn.IFNA((_xlfn.IFS(Referentieberekening!C29="Bestaande situatie",0,Referentieberekening!E29="Funderingslagen",(Referentieberekening!K29/60),Referentieberekening!E29="Grondwerken",(Referentieberekening!K29/60),Referentieberekening!E29="Bitumineuze_verhardingen",(Referentieberekening!L29/(1000/8)))),0)</f>
        <v>0</v>
      </c>
      <c r="E244" s="184" cm="1">
        <f t="array" ref="E244">_xlfn.IFNA((_xlfn.IFS(Referentieberekening!E29="Funderingslagen",(Referentieberekening!K29/60),Referentieberekening!E29="Grondwerken",(Referentieberekening!K29/60),Referentieberekening!E29="Bitumineuze_verhardingen",(Referentieberekening!L29/(1000/8)))),0)</f>
        <v>10.833333333333334</v>
      </c>
      <c r="F244" s="118" t="s">
        <v>347</v>
      </c>
      <c r="G244" s="118" t="s">
        <v>347</v>
      </c>
      <c r="H244" s="160">
        <f>IF(Referentie_Bouwplaats_Totaal[[#This Row],[Emissieloos Bouwmaterieel]]="JA",Referentie_Bouwplaats_Totaal[[#This Row],[Draaiuren Bouw]],0)+IF(Referentie_Bouwplaats_Totaal[[#This Row],[Emissieloos Sloopmaterieel]]="JA",Referentie_Bouwplaats_Totaal[[#This Row],[Draaiuren Sloop]],0)</f>
        <v>0</v>
      </c>
      <c r="I244" s="181" cm="1">
        <f t="array" ref="I244">_xlfn.IFNA((_xlfn.IFS(Referentieberekening!C29="Bestaande situatie",0,Referentieberekening!E29="Funderingslagen",(Referentieberekening!K29/60),Referentieberekening!E29="Grondwerken",(Referentieberekening!K29/60),Referentieberekening!E29="Bitumineuze_verhardingen",(Referentieberekening!L29/(1000/8)))),0)*Referentieberekening!N29</f>
        <v>0</v>
      </c>
      <c r="J244" s="181" cm="1">
        <f t="array" ref="J244">_xlfn.IFNA((_xlfn.IFS(Referentieberekening!E29="Funderingslagen",(Referentieberekening!K29/60),Referentieberekening!E29="Grondwerken",(Referentieberekening!K29/60),Referentieberekening!E29="Bitumineuze_verhardingen",(Referentieberekening!L29/(1000/8)))),0)*Referentieberekening!N29</f>
        <v>0</v>
      </c>
      <c r="K244"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4" s="181">
        <f>Referentie_Bouwplaats_Totaal[[#This Row],[Emissieloos bouwplaats]]+Referentie_Bouwplaats_Totaal[[#This Row],[Emissieloos bouwplaats Vervangingen]]</f>
        <v>0</v>
      </c>
      <c r="M244"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10.833333333333334</v>
      </c>
      <c r="N244" s="181">
        <f>Referentie_Bouwplaats_Totaal[[#This Row],[Totaal Emissieloos Bouwplaats]]+Referentie_Bouwplaats_Totaal[[#This Row],[Totaal Niet Emissieloos Bouwplaats]]</f>
        <v>10.833333333333334</v>
      </c>
      <c r="O244" s="17"/>
      <c r="P244" s="17"/>
      <c r="Q244" s="17"/>
      <c r="R244" s="17"/>
      <c r="S244" s="17"/>
      <c r="T244" s="17"/>
      <c r="U244" s="17"/>
      <c r="V244" s="17"/>
    </row>
    <row r="245" spans="2:22" ht="18" x14ac:dyDescent="0.55000000000000004">
      <c r="B245" s="286" t="str">
        <f>Referentieberekening!B30</f>
        <v xml:space="preserve"> Grond ontgraven uit cunet, hoogte 0,90 m - overige verharding. </v>
      </c>
      <c r="C245" s="67" t="str">
        <f>Referentieberekening!F30</f>
        <v>Grond</v>
      </c>
      <c r="D245" s="183" cm="1">
        <f t="array" ref="D245">_xlfn.IFNA((_xlfn.IFS(Referentieberekening!C30="Bestaande situatie",0,Referentieberekening!E30="Funderingslagen",(Referentieberekening!K30/60),Referentieberekening!E30="Grondwerken",(Referentieberekening!K30/60),Referentieberekening!E30="Bitumineuze_verhardingen",(Referentieberekening!L30/(1000/8)))),0)</f>
        <v>0</v>
      </c>
      <c r="E245" s="184" cm="1">
        <f t="array" ref="E245">_xlfn.IFNA((_xlfn.IFS(Referentieberekening!E30="Funderingslagen",(Referentieberekening!K30/60),Referentieberekening!E30="Grondwerken",(Referentieberekening!K30/60),Referentieberekening!E30="Bitumineuze_verhardingen",(Referentieberekening!L30/(1000/8)))),0)</f>
        <v>18.333333333333332</v>
      </c>
      <c r="F245" s="118" t="s">
        <v>347</v>
      </c>
      <c r="G245" s="118" t="s">
        <v>347</v>
      </c>
      <c r="H245" s="160">
        <f>IF(Referentie_Bouwplaats_Totaal[[#This Row],[Emissieloos Bouwmaterieel]]="JA",Referentie_Bouwplaats_Totaal[[#This Row],[Draaiuren Bouw]],0)+IF(Referentie_Bouwplaats_Totaal[[#This Row],[Emissieloos Sloopmaterieel]]="JA",Referentie_Bouwplaats_Totaal[[#This Row],[Draaiuren Sloop]],0)</f>
        <v>0</v>
      </c>
      <c r="I245" s="181" cm="1">
        <f t="array" ref="I245">_xlfn.IFNA((_xlfn.IFS(Referentieberekening!C30="Bestaande situatie",0,Referentieberekening!E30="Funderingslagen",(Referentieberekening!K30/60),Referentieberekening!E30="Grondwerken",(Referentieberekening!K30/60),Referentieberekening!E30="Bitumineuze_verhardingen",(Referentieberekening!L30/(1000/8)))),0)*Referentieberekening!N30</f>
        <v>0</v>
      </c>
      <c r="J245" s="181" cm="1">
        <f t="array" ref="J245">_xlfn.IFNA((_xlfn.IFS(Referentieberekening!E30="Funderingslagen",(Referentieberekening!K30/60),Referentieberekening!E30="Grondwerken",(Referentieberekening!K30/60),Referentieberekening!E30="Bitumineuze_verhardingen",(Referentieberekening!L30/(1000/8)))),0)*Referentieberekening!N30</f>
        <v>0</v>
      </c>
      <c r="K245"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5" s="181">
        <f>Referentie_Bouwplaats_Totaal[[#This Row],[Emissieloos bouwplaats]]+Referentie_Bouwplaats_Totaal[[#This Row],[Emissieloos bouwplaats Vervangingen]]</f>
        <v>0</v>
      </c>
      <c r="M245"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18.333333333333332</v>
      </c>
      <c r="N245" s="181">
        <f>Referentie_Bouwplaats_Totaal[[#This Row],[Totaal Emissieloos Bouwplaats]]+Referentie_Bouwplaats_Totaal[[#This Row],[Totaal Niet Emissieloos Bouwplaats]]</f>
        <v>18.333333333333332</v>
      </c>
      <c r="O245" s="17"/>
      <c r="P245" s="17"/>
      <c r="Q245" s="17"/>
      <c r="R245" s="17"/>
      <c r="S245" s="17"/>
      <c r="T245" s="17"/>
      <c r="U245" s="17"/>
      <c r="V245" s="17"/>
    </row>
    <row r="246" spans="2:22" ht="18" x14ac:dyDescent="0.55000000000000004">
      <c r="B246" s="286" t="str">
        <f>Referentieberekening!B31</f>
        <v>Grond ontgraven t.b.v. sleuf hoofdriool.</v>
      </c>
      <c r="C246" s="67" t="str">
        <f>Referentieberekening!F31</f>
        <v>Grond</v>
      </c>
      <c r="D246" s="183" cm="1">
        <f t="array" ref="D246">_xlfn.IFNA((_xlfn.IFS(Referentieberekening!C31="Bestaande situatie",0,Referentieberekening!E31="Funderingslagen",(Referentieberekening!K31/60),Referentieberekening!E31="Grondwerken",(Referentieberekening!K31/60),Referentieberekening!E31="Bitumineuze_verhardingen",(Referentieberekening!L31/(1000/8)))),0)</f>
        <v>0</v>
      </c>
      <c r="E246" s="184" cm="1">
        <f t="array" ref="E246">_xlfn.IFNA((_xlfn.IFS(Referentieberekening!E31="Funderingslagen",(Referentieberekening!K31/60),Referentieberekening!E31="Grondwerken",(Referentieberekening!K31/60),Referentieberekening!E31="Bitumineuze_verhardingen",(Referentieberekening!L31/(1000/8)))),0)</f>
        <v>34.166666666666664</v>
      </c>
      <c r="F246" s="118" t="s">
        <v>347</v>
      </c>
      <c r="G246" s="118" t="s">
        <v>347</v>
      </c>
      <c r="H246" s="160">
        <f>IF(Referentie_Bouwplaats_Totaal[[#This Row],[Emissieloos Bouwmaterieel]]="JA",Referentie_Bouwplaats_Totaal[[#This Row],[Draaiuren Bouw]],0)+IF(Referentie_Bouwplaats_Totaal[[#This Row],[Emissieloos Sloopmaterieel]]="JA",Referentie_Bouwplaats_Totaal[[#This Row],[Draaiuren Sloop]],0)</f>
        <v>0</v>
      </c>
      <c r="I246" s="181" cm="1">
        <f t="array" ref="I246">_xlfn.IFNA((_xlfn.IFS(Referentieberekening!C31="Bestaande situatie",0,Referentieberekening!E31="Funderingslagen",(Referentieberekening!K31/60),Referentieberekening!E31="Grondwerken",(Referentieberekening!K31/60),Referentieberekening!E31="Bitumineuze_verhardingen",(Referentieberekening!L31/(1000/8)))),0)*Referentieberekening!N31</f>
        <v>0</v>
      </c>
      <c r="J246" s="181" cm="1">
        <f t="array" ref="J246">_xlfn.IFNA((_xlfn.IFS(Referentieberekening!E31="Funderingslagen",(Referentieberekening!K31/60),Referentieberekening!E31="Grondwerken",(Referentieberekening!K31/60),Referentieberekening!E31="Bitumineuze_verhardingen",(Referentieberekening!L31/(1000/8)))),0)*Referentieberekening!N31</f>
        <v>0</v>
      </c>
      <c r="K246"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6" s="181">
        <f>Referentie_Bouwplaats_Totaal[[#This Row],[Emissieloos bouwplaats]]+Referentie_Bouwplaats_Totaal[[#This Row],[Emissieloos bouwplaats Vervangingen]]</f>
        <v>0</v>
      </c>
      <c r="M246"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34.166666666666664</v>
      </c>
      <c r="N246" s="181">
        <f>Referentie_Bouwplaats_Totaal[[#This Row],[Totaal Emissieloos Bouwplaats]]+Referentie_Bouwplaats_Totaal[[#This Row],[Totaal Niet Emissieloos Bouwplaats]]</f>
        <v>34.166666666666664</v>
      </c>
      <c r="O246" s="17"/>
      <c r="P246" s="17"/>
      <c r="Q246" s="17"/>
      <c r="R246" s="17"/>
      <c r="S246" s="17"/>
      <c r="T246" s="17"/>
      <c r="U246" s="17"/>
      <c r="V246" s="17"/>
    </row>
    <row r="247" spans="2:22" ht="18" x14ac:dyDescent="0.55000000000000004">
      <c r="B247" s="286" t="str">
        <f>Referentieberekening!B32</f>
        <v xml:space="preserve"> Zand leveren en verwerken in cunet, hoogte 0,70 m - rijweg. </v>
      </c>
      <c r="C247" s="67" t="str">
        <f>Referentieberekening!F32</f>
        <v>Ophoogzand, Cascade-leden</v>
      </c>
      <c r="D247" s="183" cm="1">
        <f t="array" ref="D247">_xlfn.IFNA((_xlfn.IFS(Referentieberekening!C32="Bestaande situatie",0,Referentieberekening!E32="Funderingslagen",(Referentieberekening!K32/60),Referentieberekening!E32="Grondwerken",(Referentieberekening!K32/60),Referentieberekening!E32="Bitumineuze_verhardingen",(Referentieberekening!L32/(1000/8)))),0)</f>
        <v>94.739583333333329</v>
      </c>
      <c r="E247" s="184" cm="1">
        <f t="array" ref="E247">_xlfn.IFNA((_xlfn.IFS(Referentieberekening!E32="Funderingslagen",(Referentieberekening!K32/60),Referentieberekening!E32="Grondwerken",(Referentieberekening!K32/60),Referentieberekening!E32="Bitumineuze_verhardingen",(Referentieberekening!L32/(1000/8)))),0)</f>
        <v>94.739583333333329</v>
      </c>
      <c r="F247" s="118" t="s">
        <v>347</v>
      </c>
      <c r="G247" s="118" t="s">
        <v>347</v>
      </c>
      <c r="H247" s="160">
        <f>IF(Referentie_Bouwplaats_Totaal[[#This Row],[Emissieloos Bouwmaterieel]]="JA",Referentie_Bouwplaats_Totaal[[#This Row],[Draaiuren Bouw]],0)+IF(Referentie_Bouwplaats_Totaal[[#This Row],[Emissieloos Sloopmaterieel]]="JA",Referentie_Bouwplaats_Totaal[[#This Row],[Draaiuren Sloop]],0)</f>
        <v>0</v>
      </c>
      <c r="I247" s="181" cm="1">
        <f t="array" ref="I247">_xlfn.IFNA((_xlfn.IFS(Referentieberekening!C32="Bestaande situatie",0,Referentieberekening!E32="Funderingslagen",(Referentieberekening!K32/60),Referentieberekening!E32="Grondwerken",(Referentieberekening!K32/60),Referentieberekening!E32="Bitumineuze_verhardingen",(Referentieberekening!L32/(1000/8)))),0)*Referentieberekening!N32</f>
        <v>0</v>
      </c>
      <c r="J247" s="181" cm="1">
        <f t="array" ref="J247">_xlfn.IFNA((_xlfn.IFS(Referentieberekening!E32="Funderingslagen",(Referentieberekening!K32/60),Referentieberekening!E32="Grondwerken",(Referentieberekening!K32/60),Referentieberekening!E32="Bitumineuze_verhardingen",(Referentieberekening!L32/(1000/8)))),0)*Referentieberekening!N32</f>
        <v>0</v>
      </c>
      <c r="K247"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7" s="181">
        <f>Referentie_Bouwplaats_Totaal[[#This Row],[Emissieloos bouwplaats]]+Referentie_Bouwplaats_Totaal[[#This Row],[Emissieloos bouwplaats Vervangingen]]</f>
        <v>0</v>
      </c>
      <c r="M247"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189.47916666666666</v>
      </c>
      <c r="N247" s="181">
        <f>Referentie_Bouwplaats_Totaal[[#This Row],[Totaal Emissieloos Bouwplaats]]+Referentie_Bouwplaats_Totaal[[#This Row],[Totaal Niet Emissieloos Bouwplaats]]</f>
        <v>189.47916666666666</v>
      </c>
      <c r="O247" s="17"/>
      <c r="P247" s="17"/>
      <c r="Q247" s="17"/>
      <c r="R247" s="17"/>
      <c r="S247" s="17"/>
      <c r="T247" s="17"/>
      <c r="U247" s="17"/>
      <c r="V247" s="17"/>
    </row>
    <row r="248" spans="2:22" ht="18" x14ac:dyDescent="0.55000000000000004">
      <c r="B248" s="286" t="str">
        <f>Referentieberekening!B33</f>
        <v xml:space="preserve"> Zand verwerken in cunet, hoogte 1,00 m - voetpad (vrijgekomen). </v>
      </c>
      <c r="C248" s="67" t="str">
        <f>Referentieberekening!F33</f>
        <v>Zand (hergebruik)</v>
      </c>
      <c r="D248" s="183" cm="1">
        <f t="array" ref="D248">_xlfn.IFNA((_xlfn.IFS(Referentieberekening!C33="Bestaande situatie",0,Referentieberekening!E33="Funderingslagen",(Referentieberekening!K33/60),Referentieberekening!E33="Grondwerken",(Referentieberekening!K33/60),Referentieberekening!E33="Bitumineuze_verhardingen",(Referentieberekening!L33/(1000/8)))),0)</f>
        <v>13.28125</v>
      </c>
      <c r="E248" s="184" cm="1">
        <f t="array" ref="E248">_xlfn.IFNA((_xlfn.IFS(Referentieberekening!E33="Funderingslagen",(Referentieberekening!K33/60),Referentieberekening!E33="Grondwerken",(Referentieberekening!K33/60),Referentieberekening!E33="Bitumineuze_verhardingen",(Referentieberekening!L33/(1000/8)))),0)</f>
        <v>13.28125</v>
      </c>
      <c r="F248" s="118" t="s">
        <v>347</v>
      </c>
      <c r="G248" s="118" t="s">
        <v>347</v>
      </c>
      <c r="H248" s="160">
        <f>IF(Referentie_Bouwplaats_Totaal[[#This Row],[Emissieloos Bouwmaterieel]]="JA",Referentie_Bouwplaats_Totaal[[#This Row],[Draaiuren Bouw]],0)+IF(Referentie_Bouwplaats_Totaal[[#This Row],[Emissieloos Sloopmaterieel]]="JA",Referentie_Bouwplaats_Totaal[[#This Row],[Draaiuren Sloop]],0)</f>
        <v>0</v>
      </c>
      <c r="I248" s="181" cm="1">
        <f t="array" ref="I248">_xlfn.IFNA((_xlfn.IFS(Referentieberekening!C33="Bestaande situatie",0,Referentieberekening!E33="Funderingslagen",(Referentieberekening!K33/60),Referentieberekening!E33="Grondwerken",(Referentieberekening!K33/60),Referentieberekening!E33="Bitumineuze_verhardingen",(Referentieberekening!L33/(1000/8)))),0)*Referentieberekening!N33</f>
        <v>0</v>
      </c>
      <c r="J248" s="181" cm="1">
        <f t="array" ref="J248">_xlfn.IFNA((_xlfn.IFS(Referentieberekening!E33="Funderingslagen",(Referentieberekening!K33/60),Referentieberekening!E33="Grondwerken",(Referentieberekening!K33/60),Referentieberekening!E33="Bitumineuze_verhardingen",(Referentieberekening!L33/(1000/8)))),0)*Referentieberekening!N33</f>
        <v>0</v>
      </c>
      <c r="K248"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8" s="181">
        <f>Referentie_Bouwplaats_Totaal[[#This Row],[Emissieloos bouwplaats]]+Referentie_Bouwplaats_Totaal[[#This Row],[Emissieloos bouwplaats Vervangingen]]</f>
        <v>0</v>
      </c>
      <c r="M248"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26.5625</v>
      </c>
      <c r="N248" s="181">
        <f>Referentie_Bouwplaats_Totaal[[#This Row],[Totaal Emissieloos Bouwplaats]]+Referentie_Bouwplaats_Totaal[[#This Row],[Totaal Niet Emissieloos Bouwplaats]]</f>
        <v>26.5625</v>
      </c>
      <c r="O248" s="17"/>
      <c r="P248" s="17"/>
      <c r="Q248" s="17"/>
      <c r="R248" s="17"/>
      <c r="S248" s="17"/>
      <c r="T248" s="17"/>
      <c r="U248" s="17"/>
      <c r="V248" s="17"/>
    </row>
    <row r="249" spans="2:22" ht="18" x14ac:dyDescent="0.55000000000000004">
      <c r="B249" s="286" t="str">
        <f>Referentieberekening!B34</f>
        <v xml:space="preserve"> Zand verwerken in cunet, hoogte 1,00 m - overige verharding (vrijgekomen). </v>
      </c>
      <c r="C249" s="67" t="str">
        <f>Referentieberekening!F34</f>
        <v>Zand (hergebruik)</v>
      </c>
      <c r="D249" s="183" cm="1">
        <f t="array" ref="D249">_xlfn.IFNA((_xlfn.IFS(Referentieberekening!C34="Bestaande situatie",0,Referentieberekening!E34="Funderingslagen",(Referentieberekening!K34/60),Referentieberekening!E34="Grondwerken",(Referentieberekening!K34/60),Referentieberekening!E34="Bitumineuze_verhardingen",(Referentieberekening!L34/(1000/8)))),0)</f>
        <v>22.135416666666668</v>
      </c>
      <c r="E249" s="184" cm="1">
        <f t="array" ref="E249">_xlfn.IFNA((_xlfn.IFS(Referentieberekening!E34="Funderingslagen",(Referentieberekening!K34/60),Referentieberekening!E34="Grondwerken",(Referentieberekening!K34/60),Referentieberekening!E34="Bitumineuze_verhardingen",(Referentieberekening!L34/(1000/8)))),0)</f>
        <v>22.135416666666668</v>
      </c>
      <c r="F249" s="118" t="s">
        <v>347</v>
      </c>
      <c r="G249" s="118" t="s">
        <v>347</v>
      </c>
      <c r="H249" s="160">
        <f>IF(Referentie_Bouwplaats_Totaal[[#This Row],[Emissieloos Bouwmaterieel]]="JA",Referentie_Bouwplaats_Totaal[[#This Row],[Draaiuren Bouw]],0)+IF(Referentie_Bouwplaats_Totaal[[#This Row],[Emissieloos Sloopmaterieel]]="JA",Referentie_Bouwplaats_Totaal[[#This Row],[Draaiuren Sloop]],0)</f>
        <v>0</v>
      </c>
      <c r="I249" s="181" cm="1">
        <f t="array" ref="I249">_xlfn.IFNA((_xlfn.IFS(Referentieberekening!C34="Bestaande situatie",0,Referentieberekening!E34="Funderingslagen",(Referentieberekening!K34/60),Referentieberekening!E34="Grondwerken",(Referentieberekening!K34/60),Referentieberekening!E34="Bitumineuze_verhardingen",(Referentieberekening!L34/(1000/8)))),0)*Referentieberekening!N34</f>
        <v>0</v>
      </c>
      <c r="J249" s="181" cm="1">
        <f t="array" ref="J249">_xlfn.IFNA((_xlfn.IFS(Referentieberekening!E34="Funderingslagen",(Referentieberekening!K34/60),Referentieberekening!E34="Grondwerken",(Referentieberekening!K34/60),Referentieberekening!E34="Bitumineuze_verhardingen",(Referentieberekening!L34/(1000/8)))),0)*Referentieberekening!N34</f>
        <v>0</v>
      </c>
      <c r="K249"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49" s="181">
        <f>Referentie_Bouwplaats_Totaal[[#This Row],[Emissieloos bouwplaats]]+Referentie_Bouwplaats_Totaal[[#This Row],[Emissieloos bouwplaats Vervangingen]]</f>
        <v>0</v>
      </c>
      <c r="M249"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44.270833333333336</v>
      </c>
      <c r="N249" s="181">
        <f>Referentie_Bouwplaats_Totaal[[#This Row],[Totaal Emissieloos Bouwplaats]]+Referentie_Bouwplaats_Totaal[[#This Row],[Totaal Niet Emissieloos Bouwplaats]]</f>
        <v>44.270833333333336</v>
      </c>
      <c r="O249" s="17"/>
      <c r="P249" s="17"/>
      <c r="Q249" s="17"/>
      <c r="R249" s="17"/>
      <c r="S249" s="17"/>
      <c r="T249" s="17"/>
      <c r="U249" s="17"/>
      <c r="V249" s="17"/>
    </row>
    <row r="250" spans="2:22" ht="18.5" thickBot="1" x14ac:dyDescent="0.6">
      <c r="B250" s="286" t="str">
        <f>Referentieberekening!B35</f>
        <v xml:space="preserve"> Aanvullen sleuf ten behoeve van hoofdriolering. </v>
      </c>
      <c r="C250" s="67" t="str">
        <f>Referentieberekening!F35</f>
        <v>Zand (hergebruik)</v>
      </c>
      <c r="D250" s="183" cm="1">
        <f t="array" ref="D250">_xlfn.IFNA((_xlfn.IFS(Referentieberekening!C35="Bestaande situatie",0,Referentieberekening!E35="Funderingslagen",(Referentieberekening!K35/60),Referentieberekening!E35="Grondwerken",(Referentieberekening!K35/60),Referentieberekening!E35="Bitumineuze_verhardingen",(Referentieberekening!L35/(1000/8)))),0)</f>
        <v>34.53125</v>
      </c>
      <c r="E250" s="184" cm="1">
        <f t="array" ref="E250">_xlfn.IFNA((_xlfn.IFS(Referentieberekening!E35="Funderingslagen",(Referentieberekening!K35/60),Referentieberekening!E35="Grondwerken",(Referentieberekening!K35/60),Referentieberekening!E35="Bitumineuze_verhardingen",(Referentieberekening!L35/(1000/8)))),0)</f>
        <v>34.53125</v>
      </c>
      <c r="F250" s="118" t="s">
        <v>347</v>
      </c>
      <c r="G250" s="118" t="s">
        <v>347</v>
      </c>
      <c r="H250" s="160">
        <f>IF(Referentie_Bouwplaats_Totaal[[#This Row],[Emissieloos Bouwmaterieel]]="JA",Referentie_Bouwplaats_Totaal[[#This Row],[Draaiuren Bouw]],0)+IF(Referentie_Bouwplaats_Totaal[[#This Row],[Emissieloos Sloopmaterieel]]="JA",Referentie_Bouwplaats_Totaal[[#This Row],[Draaiuren Sloop]],0)</f>
        <v>0</v>
      </c>
      <c r="I250" s="181" cm="1">
        <f t="array" ref="I250">_xlfn.IFNA((_xlfn.IFS(Referentieberekening!C35="Bestaande situatie",0,Referentieberekening!E35="Funderingslagen",(Referentieberekening!K35/60),Referentieberekening!E35="Grondwerken",(Referentieberekening!K35/60),Referentieberekening!E35="Bitumineuze_verhardingen",(Referentieberekening!L35/(1000/8)))),0)*Referentieberekening!N35</f>
        <v>0</v>
      </c>
      <c r="J250" s="181" cm="1">
        <f t="array" ref="J250">_xlfn.IFNA((_xlfn.IFS(Referentieberekening!E35="Funderingslagen",(Referentieberekening!K35/60),Referentieberekening!E35="Grondwerken",(Referentieberekening!K35/60),Referentieberekening!E35="Bitumineuze_verhardingen",(Referentieberekening!L35/(1000/8)))),0)*Referentieberekening!N35</f>
        <v>0</v>
      </c>
      <c r="K250" s="181">
        <f>IF(Referentie_Bouwplaats_Totaal[[#This Row],[Emissieloos Bouwmaterieel]]="JA",Referentie_Bouwplaats_Totaal[[#This Row],[Draaiuren Bouw Vervangingen]],0)+IF(Referentie_Bouwplaats_Totaal[[#This Row],[Emissieloos Sloopmaterieel]]="JA",Referentie_Bouwplaats_Totaal[[#This Row],[Draaiuren Sloop Vervangingen]],0)</f>
        <v>0</v>
      </c>
      <c r="L250" s="181">
        <f>Referentie_Bouwplaats_Totaal[[#This Row],[Emissieloos bouwplaats]]+Referentie_Bouwplaats_Totaal[[#This Row],[Emissieloos bouwplaats Vervangingen]]</f>
        <v>0</v>
      </c>
      <c r="M250" s="181">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69.0625</v>
      </c>
      <c r="N250" s="181">
        <f>Referentie_Bouwplaats_Totaal[[#This Row],[Totaal Emissieloos Bouwplaats]]+Referentie_Bouwplaats_Totaal[[#This Row],[Totaal Niet Emissieloos Bouwplaats]]</f>
        <v>69.0625</v>
      </c>
      <c r="O250" s="17"/>
      <c r="P250" s="17"/>
      <c r="Q250" s="17"/>
      <c r="R250" s="17"/>
      <c r="S250" s="17"/>
      <c r="T250" s="17"/>
      <c r="U250" s="17"/>
      <c r="V250" s="17"/>
    </row>
    <row r="251" spans="2:22" ht="18.5" thickTop="1" x14ac:dyDescent="0.55000000000000004">
      <c r="B251" s="68" t="s">
        <v>16</v>
      </c>
      <c r="C251" s="69"/>
      <c r="D251" s="185">
        <f>SUBTOTAL(109,Referentie_Bouwplaats_Totaal[Draaiuren Bouw])</f>
        <v>222.97849999999997</v>
      </c>
      <c r="E251" s="185">
        <f>SUBTOTAL(109,Referentie_Bouwplaats_Totaal[Draaiuren Sloop])</f>
        <v>413.38387200000005</v>
      </c>
      <c r="F251" s="97">
        <f>SUBTOTAL(109,Referentie_Bouwplaats_Totaal[Emissieloos Bouwmaterieel])</f>
        <v>0</v>
      </c>
      <c r="G251" s="97">
        <f>SUBTOTAL(109,Referentie_Bouwplaats_Totaal[Emissieloos Sloopmaterieel])</f>
        <v>0</v>
      </c>
      <c r="H251" s="231">
        <f>SUBTOTAL(109,Referentie_Bouwplaats_Totaal[Emissieloos bouwplaats])</f>
        <v>0</v>
      </c>
      <c r="I251" s="185">
        <f>SUBTOTAL(109,Referentie_Bouwplaats_Totaal[Draaiuren Bouw Vervangingen])</f>
        <v>0</v>
      </c>
      <c r="J251" s="185">
        <f>SUBTOTAL(109,Referentie_Bouwplaats_Totaal[Draaiuren Sloop Vervangingen])</f>
        <v>0</v>
      </c>
      <c r="K251" s="186">
        <f>SUBTOTAL(109,Referentie_Bouwplaats_Totaal[Emissieloos bouwplaats Vervangingen])</f>
        <v>0</v>
      </c>
      <c r="L251" s="186">
        <f>SUBTOTAL(109,Referentie_Bouwplaats_Totaal[Totaal Emissieloos Bouwplaats])</f>
        <v>0</v>
      </c>
      <c r="M251" s="186">
        <f>SUBTOTAL(109,Referentie_Bouwplaats_Totaal[Totaal Niet Emissieloos Bouwplaats])</f>
        <v>636.36237200000005</v>
      </c>
      <c r="N251" s="186">
        <f>SUBTOTAL(109,Referentie_Bouwplaats_Totaal[Totaal Bouwplaats])</f>
        <v>636.36237200000005</v>
      </c>
      <c r="O251" s="17"/>
      <c r="P251" s="17"/>
      <c r="Q251" s="17"/>
      <c r="R251" s="17"/>
      <c r="S251" s="17"/>
      <c r="T251" s="17"/>
      <c r="U251" s="17"/>
      <c r="V251" s="17"/>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AF28A43-1006-4E9F-B887-6FB32CEBB36E}">
          <x14:formula1>
            <xm:f>Keuzelijst_Producten!$W$2:$W$3</xm:f>
          </x14:formula1>
          <xm:sqref>F184:G214 F220:G250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B939-F2D5-48FD-9E22-1F872C2B7AEE}">
  <sheetPr codeName="Blad21"/>
  <dimension ref="A1:BN762"/>
  <sheetViews>
    <sheetView zoomScale="55" zoomScaleNormal="55" workbookViewId="0">
      <selection activeCell="O6" sqref="O6"/>
    </sheetView>
  </sheetViews>
  <sheetFormatPr defaultColWidth="20.7265625" defaultRowHeight="14.5" x14ac:dyDescent="0.35"/>
  <cols>
    <col min="1" max="1" width="9.453125" style="309" customWidth="1"/>
    <col min="2" max="2" width="14" style="310" customWidth="1"/>
    <col min="3" max="3" width="16.54296875" style="310" bestFit="1" customWidth="1"/>
    <col min="4" max="4" width="12.1796875" style="310" customWidth="1"/>
    <col min="5" max="5" width="28.453125" style="310" bestFit="1" customWidth="1"/>
    <col min="6" max="6" width="31.453125" style="310" customWidth="1"/>
    <col min="7" max="7" width="29.453125" style="310" bestFit="1" customWidth="1"/>
    <col min="8" max="8" width="11" style="310" customWidth="1"/>
    <col min="9" max="9" width="7.81640625" style="310" bestFit="1" customWidth="1"/>
    <col min="10" max="10" width="8.81640625" style="310" bestFit="1" customWidth="1"/>
    <col min="11" max="11" width="15.54296875" style="310" bestFit="1" customWidth="1"/>
    <col min="12" max="13" width="7.81640625" style="310" bestFit="1" customWidth="1"/>
    <col min="14" max="14" width="11.26953125" style="310" customWidth="1"/>
    <col min="15" max="15" width="41" style="310" customWidth="1"/>
    <col min="16" max="16" width="10.26953125" style="310" customWidth="1"/>
    <col min="17" max="17" width="10.26953125" style="310" bestFit="1" customWidth="1"/>
    <col min="18" max="22" width="10.26953125" style="309" bestFit="1" customWidth="1"/>
    <col min="23" max="62" width="20.7265625" style="309"/>
    <col min="63" max="16384" width="20.7265625" style="310"/>
  </cols>
  <sheetData>
    <row r="1" spans="1:66" x14ac:dyDescent="0.35">
      <c r="C1" s="198" t="s">
        <v>515</v>
      </c>
      <c r="D1" s="365" t="s">
        <v>440</v>
      </c>
      <c r="E1" s="365" t="s">
        <v>48</v>
      </c>
      <c r="F1" s="366" t="s">
        <v>441</v>
      </c>
      <c r="G1" s="366" t="s">
        <v>516</v>
      </c>
      <c r="H1" s="366" t="s">
        <v>1286</v>
      </c>
      <c r="I1" s="198" t="s">
        <v>1549</v>
      </c>
    </row>
    <row r="2" spans="1:66" ht="18" x14ac:dyDescent="0.55000000000000004">
      <c r="B2" s="311"/>
      <c r="C2" s="312" t="str">
        <f>Project_ID_Referentie[[#This Row],[Opdrachtgever]]</f>
        <v>Gemeente Amersfoort</v>
      </c>
      <c r="D2" s="312">
        <f>Project_ID_Referentie[[#This Row],[Project ID]]</f>
        <v>0</v>
      </c>
      <c r="E2" s="313">
        <f>Project_ID_Referentie[[#This Row],[Project levensduur]]</f>
        <v>1</v>
      </c>
      <c r="F2" s="342" t="s">
        <v>1554</v>
      </c>
      <c r="G2" s="314">
        <v>44600</v>
      </c>
      <c r="H2" s="167" t="s">
        <v>1329</v>
      </c>
      <c r="I2" s="315">
        <f>Project_ID_Referentie[[#This Row],[Version]]</f>
        <v>1</v>
      </c>
      <c r="K2" s="309"/>
      <c r="L2" s="309"/>
      <c r="M2" s="309"/>
      <c r="N2" s="309"/>
      <c r="O2" s="309"/>
      <c r="P2" s="309"/>
      <c r="Q2" s="309"/>
    </row>
    <row r="3" spans="1:66" x14ac:dyDescent="0.35">
      <c r="B3" s="311" t="s">
        <v>130</v>
      </c>
      <c r="C3" s="309"/>
      <c r="D3" s="309"/>
      <c r="E3" s="309"/>
      <c r="F3" s="309"/>
      <c r="G3" s="309"/>
      <c r="H3" s="309"/>
      <c r="I3" s="309"/>
      <c r="J3" s="309"/>
      <c r="K3" s="309"/>
      <c r="L3" s="309"/>
      <c r="M3" s="309"/>
      <c r="N3" s="309"/>
      <c r="O3" s="309"/>
      <c r="P3" s="309"/>
      <c r="Q3" s="309"/>
    </row>
    <row r="4" spans="1:66" x14ac:dyDescent="0.35">
      <c r="B4" s="311" t="s">
        <v>1324</v>
      </c>
      <c r="C4" s="309"/>
      <c r="D4" s="309"/>
      <c r="E4" s="309"/>
      <c r="F4" s="309"/>
      <c r="G4" s="309"/>
      <c r="H4" s="309"/>
      <c r="I4" s="309"/>
      <c r="J4" s="309"/>
      <c r="K4" s="309"/>
      <c r="L4" s="309"/>
      <c r="M4" s="309"/>
      <c r="N4" s="309"/>
      <c r="O4" s="309"/>
      <c r="P4" s="309"/>
      <c r="Q4" s="309"/>
    </row>
    <row r="5" spans="1:66" ht="169.5" x14ac:dyDescent="0.45">
      <c r="A5" s="316"/>
      <c r="B5" s="317" t="s">
        <v>55</v>
      </c>
      <c r="C5" s="318" t="s">
        <v>157</v>
      </c>
      <c r="D5" s="319" t="s">
        <v>329</v>
      </c>
      <c r="E5" s="320" t="s">
        <v>5</v>
      </c>
      <c r="F5" s="319" t="s">
        <v>4</v>
      </c>
      <c r="G5" s="319" t="s">
        <v>468</v>
      </c>
      <c r="H5" s="319" t="s">
        <v>6</v>
      </c>
      <c r="I5" s="319" t="s">
        <v>0</v>
      </c>
      <c r="J5" s="321" t="s">
        <v>3</v>
      </c>
      <c r="K5" s="319" t="s">
        <v>2</v>
      </c>
      <c r="L5" s="319" t="s">
        <v>1</v>
      </c>
      <c r="M5" s="319" t="s">
        <v>49</v>
      </c>
      <c r="N5" s="319" t="s">
        <v>320</v>
      </c>
      <c r="O5" s="319" t="s">
        <v>321</v>
      </c>
      <c r="P5" s="319" t="s">
        <v>322</v>
      </c>
      <c r="Q5" s="319" t="s">
        <v>323</v>
      </c>
      <c r="R5" s="319" t="s">
        <v>324</v>
      </c>
      <c r="S5" s="319" t="s">
        <v>325</v>
      </c>
      <c r="T5" s="319" t="s">
        <v>326</v>
      </c>
      <c r="U5" s="319" t="s">
        <v>327</v>
      </c>
      <c r="V5" s="319" t="s">
        <v>328</v>
      </c>
      <c r="W5" s="319" t="s">
        <v>121</v>
      </c>
      <c r="BK5" s="309"/>
      <c r="BL5" s="309"/>
      <c r="BM5" s="309"/>
      <c r="BN5" s="309"/>
    </row>
    <row r="6" spans="1:66" ht="18" x14ac:dyDescent="0.55000000000000004">
      <c r="B6" s="252">
        <v>422410</v>
      </c>
      <c r="C6" s="3" t="s">
        <v>160</v>
      </c>
      <c r="D6" s="355"/>
      <c r="E6" s="339" t="s">
        <v>140</v>
      </c>
      <c r="F6" s="356" t="s">
        <v>1436</v>
      </c>
      <c r="G6" s="170" t="s">
        <v>470</v>
      </c>
      <c r="H6" s="323">
        <f>Invoer_Inschrijf[[#This Row],[Hoeveelheid '[m3']]]/Invoer_Inschrijf[[#This Row],[Dikte '[m']]]</f>
        <v>0</v>
      </c>
      <c r="I6" s="323">
        <v>0.2</v>
      </c>
      <c r="J6" s="325">
        <f>_xlfn.IFNA(IF(Invoer_Inschrijf[[#This Row],[Productgroep]]="Categorie_1_LCA_Producten",VLOOKUP(F6,Categorie_1_Producten[#All],5,FALSE),VLOOKUP(F6&amp;", "&amp;"Totaal",Database_Productkaarten[#All],12,FALSE)),0)</f>
        <v>0</v>
      </c>
      <c r="K6" s="3">
        <v>266</v>
      </c>
      <c r="L6" s="326">
        <f>IFERROR(Invoer_Inschrijf[[#This Row],[Hoeveelheid '[ton']]]/Invoer_Inschrijf[[#This Row],[Soortelijk gewicht '[ton / m3']]],0)</f>
        <v>0</v>
      </c>
      <c r="M6" s="327">
        <v>0</v>
      </c>
      <c r="N6" s="340">
        <v>50</v>
      </c>
      <c r="O6" s="341" t="s">
        <v>67</v>
      </c>
      <c r="P6" s="341" t="s">
        <v>114</v>
      </c>
      <c r="Q6" s="325" t="s">
        <v>141</v>
      </c>
      <c r="R6" s="325" t="s">
        <v>114</v>
      </c>
      <c r="S6" s="325"/>
      <c r="T6" s="340">
        <v>50</v>
      </c>
      <c r="U6" s="341" t="s">
        <v>67</v>
      </c>
      <c r="V6" s="325" t="s">
        <v>299</v>
      </c>
      <c r="W6" s="323" t="s">
        <v>1448</v>
      </c>
      <c r="BK6" s="309"/>
      <c r="BL6" s="309"/>
      <c r="BM6" s="309"/>
      <c r="BN6" s="309"/>
    </row>
    <row r="7" spans="1:66" ht="18" x14ac:dyDescent="0.55000000000000004">
      <c r="B7" s="252">
        <v>422510</v>
      </c>
      <c r="C7" s="3" t="s">
        <v>160</v>
      </c>
      <c r="D7" s="355"/>
      <c r="E7" s="339" t="s">
        <v>444</v>
      </c>
      <c r="F7" s="339" t="s">
        <v>1262</v>
      </c>
      <c r="G7" s="170" t="s">
        <v>471</v>
      </c>
      <c r="H7" s="323">
        <f>Invoer_Inschrijf[[#This Row],[Hoeveelheid '[m3']]]/Invoer_Inschrijf[[#This Row],[Dikte '[m']]]</f>
        <v>34.574468085106382</v>
      </c>
      <c r="I7" s="364">
        <v>0.08</v>
      </c>
      <c r="J7" s="325">
        <f>_xlfn.IFNA(IF(Invoer_Inschrijf[[#This Row],[Productgroep]]="Categorie_1_LCA_Producten",VLOOKUP(F7,Categorie_1_Producten[#All],5,FALSE),VLOOKUP(F7&amp;", "&amp;"Totaal",Database_Productkaarten[#All],12,FALSE)),0)</f>
        <v>2.35</v>
      </c>
      <c r="K7" s="3">
        <v>6.5</v>
      </c>
      <c r="L7" s="326">
        <f>IFERROR(Invoer_Inschrijf[[#This Row],[Hoeveelheid '[ton']]]/Invoer_Inschrijf[[#This Row],[Soortelijk gewicht '[ton / m3']]],0)</f>
        <v>2.7659574468085104</v>
      </c>
      <c r="M7" s="327">
        <v>0</v>
      </c>
      <c r="N7" s="340">
        <v>50</v>
      </c>
      <c r="O7" s="341" t="s">
        <v>67</v>
      </c>
      <c r="P7" s="341" t="s">
        <v>114</v>
      </c>
      <c r="Q7" s="325" t="s">
        <v>141</v>
      </c>
      <c r="R7" s="325" t="s">
        <v>114</v>
      </c>
      <c r="S7" s="325"/>
      <c r="T7" s="340">
        <v>50</v>
      </c>
      <c r="U7" s="341" t="s">
        <v>67</v>
      </c>
      <c r="V7" s="325" t="s">
        <v>299</v>
      </c>
      <c r="W7" s="323"/>
      <c r="BK7" s="309"/>
      <c r="BL7" s="309"/>
      <c r="BM7" s="309"/>
      <c r="BN7" s="309"/>
    </row>
    <row r="8" spans="1:66" ht="18" x14ac:dyDescent="0.55000000000000004">
      <c r="B8" s="252">
        <v>422520</v>
      </c>
      <c r="C8" s="3" t="s">
        <v>160</v>
      </c>
      <c r="D8" s="355"/>
      <c r="E8" s="339" t="s">
        <v>140</v>
      </c>
      <c r="F8" s="339" t="s">
        <v>1437</v>
      </c>
      <c r="G8" s="170" t="s">
        <v>472</v>
      </c>
      <c r="H8" s="323">
        <f>Invoer_Inschrijf[[#This Row],[Hoeveelheid '[m3']]]/Invoer_Inschrijf[[#This Row],[Dikte '[m']]]</f>
        <v>0</v>
      </c>
      <c r="I8" s="364">
        <v>0.08</v>
      </c>
      <c r="J8" s="325">
        <f>_xlfn.IFNA(IF(Invoer_Inschrijf[[#This Row],[Productgroep]]="Categorie_1_LCA_Producten",VLOOKUP(F8,Categorie_1_Producten[#All],5,FALSE),VLOOKUP(F8&amp;", "&amp;"Totaal",Database_Productkaarten[#All],12,FALSE)),0)</f>
        <v>0</v>
      </c>
      <c r="K8" s="3">
        <v>1700</v>
      </c>
      <c r="L8" s="326">
        <f>IFERROR(Invoer_Inschrijf[[#This Row],[Hoeveelheid '[ton']]]/Invoer_Inschrijf[[#This Row],[Soortelijk gewicht '[ton / m3']]],0)</f>
        <v>0</v>
      </c>
      <c r="M8" s="327">
        <v>0</v>
      </c>
      <c r="N8" s="340">
        <v>50</v>
      </c>
      <c r="O8" s="341" t="s">
        <v>67</v>
      </c>
      <c r="P8" s="341" t="s">
        <v>114</v>
      </c>
      <c r="Q8" s="325" t="s">
        <v>141</v>
      </c>
      <c r="R8" s="325" t="s">
        <v>114</v>
      </c>
      <c r="S8" s="325"/>
      <c r="T8" s="340">
        <v>50</v>
      </c>
      <c r="U8" s="341" t="s">
        <v>67</v>
      </c>
      <c r="V8" s="325" t="s">
        <v>299</v>
      </c>
      <c r="W8" s="323"/>
      <c r="BK8" s="309"/>
      <c r="BL8" s="309"/>
      <c r="BM8" s="309"/>
      <c r="BN8" s="309"/>
    </row>
    <row r="9" spans="1:66" ht="18" x14ac:dyDescent="0.55000000000000004">
      <c r="B9" s="252">
        <v>601230</v>
      </c>
      <c r="C9" s="3" t="s">
        <v>160</v>
      </c>
      <c r="D9" s="355"/>
      <c r="E9" s="339" t="s">
        <v>140</v>
      </c>
      <c r="F9" s="356" t="s">
        <v>1435</v>
      </c>
      <c r="G9" s="170" t="s">
        <v>470</v>
      </c>
      <c r="H9" s="323">
        <f>Invoer_Inschrijf[[#This Row],[Hoeveelheid '[m3']]]/Invoer_Inschrijf[[#This Row],[Dikte '[m']]]</f>
        <v>0</v>
      </c>
      <c r="I9" s="364">
        <v>0.3</v>
      </c>
      <c r="J9" s="325">
        <f>_xlfn.IFNA(IF(Invoer_Inschrijf[[#This Row],[Productgroep]]="Categorie_1_LCA_Producten",VLOOKUP(F9,Categorie_1_Producten[#All],5,FALSE),VLOOKUP(F9&amp;", "&amp;"Totaal",Database_Productkaarten[#All],12,FALSE)),0)</f>
        <v>0</v>
      </c>
      <c r="K9" s="3">
        <v>1.3</v>
      </c>
      <c r="L9" s="326">
        <f>IFERROR(Invoer_Inschrijf[[#This Row],[Hoeveelheid '[ton']]]/Invoer_Inschrijf[[#This Row],[Soortelijk gewicht '[ton / m3']]],0)</f>
        <v>0</v>
      </c>
      <c r="M9" s="327">
        <v>0</v>
      </c>
      <c r="N9" s="340">
        <v>50</v>
      </c>
      <c r="O9" s="341" t="s">
        <v>67</v>
      </c>
      <c r="P9" s="341" t="s">
        <v>114</v>
      </c>
      <c r="Q9" s="325" t="s">
        <v>141</v>
      </c>
      <c r="R9" s="325" t="s">
        <v>114</v>
      </c>
      <c r="S9" s="325"/>
      <c r="T9" s="340">
        <v>50</v>
      </c>
      <c r="U9" s="341" t="s">
        <v>67</v>
      </c>
      <c r="V9" s="325" t="s">
        <v>299</v>
      </c>
      <c r="W9" s="323"/>
      <c r="BK9" s="309"/>
      <c r="BL9" s="309"/>
      <c r="BM9" s="309"/>
      <c r="BN9" s="309"/>
    </row>
    <row r="10" spans="1:66" ht="18" x14ac:dyDescent="0.55000000000000004">
      <c r="B10" s="252">
        <v>601240</v>
      </c>
      <c r="C10" s="3" t="s">
        <v>160</v>
      </c>
      <c r="D10" s="355"/>
      <c r="E10" s="339" t="s">
        <v>140</v>
      </c>
      <c r="F10" s="356" t="s">
        <v>1435</v>
      </c>
      <c r="G10" s="170" t="s">
        <v>470</v>
      </c>
      <c r="H10" s="323">
        <f>Invoer_Inschrijf[[#This Row],[Hoeveelheid '[m3']]]/Invoer_Inschrijf[[#This Row],[Dikte '[m']]]</f>
        <v>0</v>
      </c>
      <c r="I10" s="364">
        <v>0.4</v>
      </c>
      <c r="J10" s="325">
        <f>_xlfn.IFNA(IF(Invoer_Inschrijf[[#This Row],[Productgroep]]="Categorie_1_LCA_Producten",VLOOKUP(F10,Categorie_1_Producten[#All],5,FALSE),VLOOKUP(F10&amp;", "&amp;"Totaal",Database_Productkaarten[#All],12,FALSE)),0)</f>
        <v>0</v>
      </c>
      <c r="K10" s="3">
        <v>13</v>
      </c>
      <c r="L10" s="326">
        <f>IFERROR(Invoer_Inschrijf[[#This Row],[Hoeveelheid '[ton']]]/Invoer_Inschrijf[[#This Row],[Soortelijk gewicht '[ton / m3']]],0)</f>
        <v>0</v>
      </c>
      <c r="M10" s="327">
        <v>0</v>
      </c>
      <c r="N10" s="340">
        <v>50</v>
      </c>
      <c r="O10" s="341" t="s">
        <v>67</v>
      </c>
      <c r="P10" s="341" t="s">
        <v>114</v>
      </c>
      <c r="Q10" s="325" t="s">
        <v>141</v>
      </c>
      <c r="R10" s="325" t="s">
        <v>114</v>
      </c>
      <c r="S10" s="325"/>
      <c r="T10" s="340">
        <v>50</v>
      </c>
      <c r="U10" s="341" t="s">
        <v>67</v>
      </c>
      <c r="V10" s="325" t="s">
        <v>299</v>
      </c>
      <c r="W10" s="323"/>
      <c r="BK10" s="309"/>
      <c r="BL10" s="309"/>
      <c r="BM10" s="309"/>
      <c r="BN10" s="309"/>
    </row>
    <row r="11" spans="1:66" ht="18" x14ac:dyDescent="0.55000000000000004">
      <c r="B11" s="252">
        <v>601250</v>
      </c>
      <c r="C11" s="3" t="s">
        <v>160</v>
      </c>
      <c r="D11" s="355"/>
      <c r="E11" s="339" t="s">
        <v>140</v>
      </c>
      <c r="F11" s="356" t="s">
        <v>1436</v>
      </c>
      <c r="G11" s="170" t="s">
        <v>470</v>
      </c>
      <c r="H11" s="323">
        <f>Invoer_Inschrijf[[#This Row],[Hoeveelheid '[m3']]]/Invoer_Inschrijf[[#This Row],[Dikte '[m']]]</f>
        <v>0</v>
      </c>
      <c r="I11" s="364">
        <v>0.3</v>
      </c>
      <c r="J11" s="325">
        <f>_xlfn.IFNA(IF(Invoer_Inschrijf[[#This Row],[Productgroep]]="Categorie_1_LCA_Producten",VLOOKUP(F11,Categorie_1_Producten[#All],5,FALSE),VLOOKUP(F11&amp;", "&amp;"Totaal",Database_Productkaarten[#All],12,FALSE)),0)</f>
        <v>0</v>
      </c>
      <c r="K11" s="3">
        <v>23</v>
      </c>
      <c r="L11" s="326">
        <f>IFERROR(Invoer_Inschrijf[[#This Row],[Hoeveelheid '[ton']]]/Invoer_Inschrijf[[#This Row],[Soortelijk gewicht '[ton / m3']]],0)</f>
        <v>0</v>
      </c>
      <c r="M11" s="327">
        <v>0</v>
      </c>
      <c r="N11" s="340">
        <v>50</v>
      </c>
      <c r="O11" s="341" t="s">
        <v>67</v>
      </c>
      <c r="P11" s="341" t="s">
        <v>114</v>
      </c>
      <c r="Q11" s="325" t="s">
        <v>141</v>
      </c>
      <c r="R11" s="325" t="s">
        <v>114</v>
      </c>
      <c r="S11" s="325"/>
      <c r="T11" s="340">
        <v>50</v>
      </c>
      <c r="U11" s="341" t="s">
        <v>67</v>
      </c>
      <c r="V11" s="325" t="s">
        <v>299</v>
      </c>
      <c r="W11" s="323"/>
      <c r="BK11" s="309"/>
      <c r="BL11" s="309"/>
      <c r="BM11" s="309"/>
      <c r="BN11" s="309"/>
    </row>
    <row r="12" spans="1:66" ht="18" x14ac:dyDescent="0.55000000000000004">
      <c r="B12" s="252">
        <v>601260</v>
      </c>
      <c r="C12" s="3" t="s">
        <v>160</v>
      </c>
      <c r="D12" s="355"/>
      <c r="E12" s="339" t="s">
        <v>140</v>
      </c>
      <c r="F12" s="339" t="s">
        <v>1437</v>
      </c>
      <c r="G12" s="170" t="s">
        <v>472</v>
      </c>
      <c r="H12" s="323">
        <f>Invoer_Inschrijf[[#This Row],[Hoeveelheid '[m3']]]/Invoer_Inschrijf[[#This Row],[Dikte '[m']]]</f>
        <v>0</v>
      </c>
      <c r="I12" s="364">
        <v>0.08</v>
      </c>
      <c r="J12" s="325">
        <f>_xlfn.IFNA(IF(Invoer_Inschrijf[[#This Row],[Productgroep]]="Categorie_1_LCA_Producten",VLOOKUP(F12,Categorie_1_Producten[#All],5,FALSE),VLOOKUP(F12&amp;", "&amp;"Totaal",Database_Productkaarten[#All],12,FALSE)),0)</f>
        <v>0</v>
      </c>
      <c r="K12" s="3">
        <v>21</v>
      </c>
      <c r="L12" s="326">
        <f>IFERROR(Invoer_Inschrijf[[#This Row],[Hoeveelheid '[ton']]]/Invoer_Inschrijf[[#This Row],[Soortelijk gewicht '[ton / m3']]],0)</f>
        <v>0</v>
      </c>
      <c r="M12" s="327">
        <v>0</v>
      </c>
      <c r="N12" s="340">
        <v>50</v>
      </c>
      <c r="O12" s="341" t="s">
        <v>67</v>
      </c>
      <c r="P12" s="341" t="s">
        <v>114</v>
      </c>
      <c r="Q12" s="325" t="s">
        <v>141</v>
      </c>
      <c r="R12" s="325" t="s">
        <v>114</v>
      </c>
      <c r="S12" s="325"/>
      <c r="T12" s="340">
        <v>50</v>
      </c>
      <c r="U12" s="341" t="s">
        <v>67</v>
      </c>
      <c r="V12" s="325" t="s">
        <v>299</v>
      </c>
      <c r="W12" s="323"/>
      <c r="BK12" s="309"/>
      <c r="BL12" s="309"/>
      <c r="BM12" s="309"/>
      <c r="BN12" s="309"/>
    </row>
    <row r="13" spans="1:66" ht="18" x14ac:dyDescent="0.55000000000000004">
      <c r="B13" s="252">
        <v>601270</v>
      </c>
      <c r="C13" s="3" t="s">
        <v>160</v>
      </c>
      <c r="D13" s="355"/>
      <c r="E13" s="339" t="s">
        <v>140</v>
      </c>
      <c r="F13" s="339" t="s">
        <v>1437</v>
      </c>
      <c r="G13" s="170" t="s">
        <v>472</v>
      </c>
      <c r="H13" s="323">
        <f>Invoer_Inschrijf[[#This Row],[Hoeveelheid '[m3']]]/Invoer_Inschrijf[[#This Row],[Dikte '[m']]]</f>
        <v>0</v>
      </c>
      <c r="I13" s="364">
        <v>0.08</v>
      </c>
      <c r="J13" s="325">
        <f>_xlfn.IFNA(IF(Invoer_Inschrijf[[#This Row],[Productgroep]]="Categorie_1_LCA_Producten",VLOOKUP(F13,Categorie_1_Producten[#All],5,FALSE),VLOOKUP(F13&amp;", "&amp;"Totaal",Database_Productkaarten[#All],12,FALSE)),0)</f>
        <v>0</v>
      </c>
      <c r="K13" s="3">
        <v>18</v>
      </c>
      <c r="L13" s="326">
        <f>IFERROR(Invoer_Inschrijf[[#This Row],[Hoeveelheid '[ton']]]/Invoer_Inschrijf[[#This Row],[Soortelijk gewicht '[ton / m3']]],0)</f>
        <v>0</v>
      </c>
      <c r="M13" s="327">
        <v>0</v>
      </c>
      <c r="N13" s="340">
        <v>50</v>
      </c>
      <c r="O13" s="341" t="s">
        <v>67</v>
      </c>
      <c r="P13" s="341" t="s">
        <v>114</v>
      </c>
      <c r="Q13" s="325" t="s">
        <v>141</v>
      </c>
      <c r="R13" s="325" t="s">
        <v>114</v>
      </c>
      <c r="S13" s="325"/>
      <c r="T13" s="340">
        <v>50</v>
      </c>
      <c r="U13" s="341" t="s">
        <v>67</v>
      </c>
      <c r="V13" s="325" t="s">
        <v>299</v>
      </c>
      <c r="W13" s="323"/>
      <c r="BK13" s="309"/>
      <c r="BL13" s="309"/>
      <c r="BM13" s="309"/>
      <c r="BN13" s="309"/>
    </row>
    <row r="14" spans="1:66" ht="18" x14ac:dyDescent="0.55000000000000004">
      <c r="B14" s="252"/>
      <c r="C14" s="3"/>
      <c r="D14" s="355"/>
      <c r="E14" s="1"/>
      <c r="F14" s="1"/>
      <c r="G14" s="170"/>
      <c r="H14" s="323"/>
      <c r="I14" s="364"/>
      <c r="J14" s="325"/>
      <c r="K14" s="5"/>
      <c r="L14" s="326"/>
      <c r="M14" s="327"/>
      <c r="N14" s="340"/>
      <c r="O14" s="341"/>
      <c r="P14" s="341"/>
      <c r="Q14" s="325"/>
      <c r="R14" s="325"/>
      <c r="S14" s="325"/>
      <c r="T14" s="340"/>
      <c r="U14" s="341"/>
      <c r="V14" s="325"/>
      <c r="W14" s="323"/>
      <c r="BK14" s="309"/>
      <c r="BL14" s="309"/>
      <c r="BM14" s="309"/>
      <c r="BN14" s="309"/>
    </row>
    <row r="15" spans="1:66" ht="18" x14ac:dyDescent="0.55000000000000004">
      <c r="B15" s="252"/>
      <c r="C15" s="3"/>
      <c r="D15" s="355"/>
      <c r="E15" s="1"/>
      <c r="F15" s="1"/>
      <c r="G15" s="170"/>
      <c r="H15" s="323"/>
      <c r="I15" s="364"/>
      <c r="J15" s="325"/>
      <c r="K15" s="5"/>
      <c r="L15" s="326"/>
      <c r="M15" s="327"/>
      <c r="N15" s="340"/>
      <c r="O15" s="341"/>
      <c r="P15" s="341"/>
      <c r="Q15" s="325"/>
      <c r="R15" s="325"/>
      <c r="S15" s="325"/>
      <c r="T15" s="340"/>
      <c r="U15" s="341"/>
      <c r="V15" s="325"/>
      <c r="W15" s="323"/>
      <c r="BK15" s="309"/>
      <c r="BL15" s="309"/>
      <c r="BM15" s="309"/>
      <c r="BN15" s="309"/>
    </row>
    <row r="16" spans="1:66" ht="18" x14ac:dyDescent="0.55000000000000004">
      <c r="B16" s="322"/>
      <c r="C16" s="323"/>
      <c r="D16" s="355"/>
      <c r="E16" s="339"/>
      <c r="F16" s="339"/>
      <c r="G16" s="324"/>
      <c r="H16" s="323"/>
      <c r="I16" s="364"/>
      <c r="J16" s="325"/>
      <c r="K16" s="323"/>
      <c r="L16" s="326"/>
      <c r="M16" s="327"/>
      <c r="N16" s="340"/>
      <c r="O16" s="341"/>
      <c r="P16" s="341"/>
      <c r="Q16" s="325"/>
      <c r="R16" s="325"/>
      <c r="S16" s="325"/>
      <c r="T16" s="325"/>
      <c r="U16" s="325"/>
      <c r="V16" s="325"/>
      <c r="W16" s="323"/>
      <c r="BK16" s="309"/>
      <c r="BL16" s="309"/>
      <c r="BM16" s="309"/>
      <c r="BN16" s="309"/>
    </row>
    <row r="17" spans="2:66" ht="18" x14ac:dyDescent="0.55000000000000004">
      <c r="B17" s="322"/>
      <c r="C17" s="323"/>
      <c r="D17" s="355"/>
      <c r="E17" s="339"/>
      <c r="F17" s="339"/>
      <c r="G17" s="324"/>
      <c r="H17" s="323"/>
      <c r="I17" s="364"/>
      <c r="J17" s="325"/>
      <c r="K17" s="323"/>
      <c r="L17" s="326"/>
      <c r="M17" s="327"/>
      <c r="N17" s="340"/>
      <c r="O17" s="341"/>
      <c r="P17" s="341"/>
      <c r="Q17" s="325"/>
      <c r="R17" s="325"/>
      <c r="S17" s="325"/>
      <c r="T17" s="325"/>
      <c r="U17" s="325"/>
      <c r="V17" s="325"/>
      <c r="W17" s="323"/>
      <c r="BK17" s="309"/>
      <c r="BL17" s="309"/>
      <c r="BM17" s="309"/>
      <c r="BN17" s="309"/>
    </row>
    <row r="18" spans="2:66" x14ac:dyDescent="0.35">
      <c r="B18" s="309"/>
      <c r="C18" s="309"/>
      <c r="D18" s="309"/>
      <c r="E18" s="309"/>
      <c r="F18" s="309"/>
      <c r="G18" s="309"/>
      <c r="H18" s="309"/>
      <c r="I18" s="309"/>
      <c r="J18" s="309"/>
      <c r="K18" s="309"/>
      <c r="L18" s="309"/>
      <c r="M18" s="309"/>
      <c r="N18" s="309"/>
      <c r="O18" s="309"/>
      <c r="P18" s="309"/>
      <c r="Q18" s="309"/>
      <c r="BK18" s="309"/>
      <c r="BL18" s="309"/>
      <c r="BM18" s="309"/>
      <c r="BN18" s="309"/>
    </row>
    <row r="19" spans="2:66" x14ac:dyDescent="0.35">
      <c r="B19" s="309"/>
      <c r="C19" s="309"/>
      <c r="D19" s="309"/>
      <c r="E19" s="309"/>
      <c r="F19" s="309"/>
      <c r="G19" s="309"/>
      <c r="H19" s="309"/>
      <c r="I19" s="309"/>
      <c r="J19" s="309"/>
      <c r="K19" s="309"/>
      <c r="L19" s="309"/>
      <c r="M19" s="309"/>
      <c r="N19" s="309"/>
      <c r="O19" s="309"/>
      <c r="P19" s="309"/>
      <c r="Q19" s="309"/>
      <c r="BK19" s="309"/>
      <c r="BL19" s="309"/>
      <c r="BM19" s="309"/>
      <c r="BN19" s="309"/>
    </row>
    <row r="20" spans="2:66" x14ac:dyDescent="0.35">
      <c r="B20" s="309"/>
      <c r="C20" s="309"/>
      <c r="D20" s="309"/>
      <c r="E20" s="309"/>
      <c r="F20" s="309"/>
      <c r="G20" s="309"/>
      <c r="H20" s="309"/>
      <c r="I20" s="309"/>
      <c r="J20" s="309"/>
      <c r="K20" s="309"/>
      <c r="L20" s="309"/>
      <c r="M20" s="309"/>
      <c r="N20" s="309"/>
      <c r="O20" s="309"/>
      <c r="P20" s="309"/>
      <c r="Q20" s="309"/>
      <c r="BK20" s="309"/>
      <c r="BL20" s="309"/>
      <c r="BM20" s="309"/>
      <c r="BN20" s="309"/>
    </row>
    <row r="21" spans="2:66" s="309" customFormat="1" x14ac:dyDescent="0.35"/>
    <row r="22" spans="2:66" s="309" customFormat="1" x14ac:dyDescent="0.35"/>
    <row r="23" spans="2:66" x14ac:dyDescent="0.35">
      <c r="B23" s="309"/>
      <c r="C23" s="309"/>
      <c r="D23" s="309"/>
      <c r="E23" s="309"/>
      <c r="F23" s="309"/>
      <c r="G23" s="309"/>
      <c r="H23" s="309"/>
      <c r="I23" s="309"/>
      <c r="J23" s="309"/>
      <c r="K23" s="309"/>
      <c r="L23" s="309"/>
      <c r="M23" s="309"/>
      <c r="N23" s="309"/>
      <c r="O23" s="309"/>
      <c r="P23" s="309"/>
      <c r="Q23" s="309"/>
    </row>
    <row r="24" spans="2:66" x14ac:dyDescent="0.35">
      <c r="B24" s="309"/>
      <c r="C24" s="309"/>
      <c r="D24" s="309"/>
      <c r="E24" s="309"/>
      <c r="F24" s="309"/>
      <c r="G24" s="309"/>
      <c r="H24" s="309"/>
      <c r="I24" s="309"/>
      <c r="J24" s="309"/>
      <c r="K24" s="309"/>
      <c r="L24" s="309"/>
      <c r="M24" s="309"/>
      <c r="N24" s="309"/>
      <c r="O24" s="309"/>
      <c r="P24" s="309"/>
      <c r="Q24" s="309"/>
    </row>
    <row r="25" spans="2:66" ht="22.5" thickBot="1" x14ac:dyDescent="0.7">
      <c r="B25" s="309"/>
      <c r="C25" s="309"/>
      <c r="D25" s="395" t="s">
        <v>53</v>
      </c>
      <c r="E25" s="395"/>
      <c r="F25" s="395"/>
      <c r="G25" s="309"/>
      <c r="H25" s="309"/>
      <c r="I25" s="309"/>
      <c r="J25" s="309"/>
      <c r="K25" s="309"/>
      <c r="L25" s="309"/>
      <c r="M25" s="309"/>
      <c r="N25" s="309"/>
      <c r="O25" s="309"/>
      <c r="P25" s="309"/>
      <c r="Q25" s="309"/>
    </row>
    <row r="26" spans="2:66" ht="22.5" thickBot="1" x14ac:dyDescent="0.4">
      <c r="B26" s="309"/>
      <c r="C26" s="309"/>
      <c r="D26" s="396">
        <f>SUM(Inschrijf_MKI_Totaal[[#Totals],[A1]:[D2]])</f>
        <v>2879.4719521088518</v>
      </c>
      <c r="E26" s="397"/>
      <c r="F26" s="398"/>
      <c r="G26" s="309"/>
      <c r="H26" s="309"/>
      <c r="I26" s="309"/>
      <c r="J26" s="309"/>
      <c r="K26" s="309"/>
      <c r="L26" s="309"/>
      <c r="M26" s="309"/>
      <c r="N26" s="309"/>
      <c r="O26" s="309"/>
      <c r="P26" s="309"/>
      <c r="Q26" s="309"/>
    </row>
    <row r="27" spans="2:66" ht="22.5" thickBot="1" x14ac:dyDescent="0.4">
      <c r="B27" s="309"/>
      <c r="C27" s="309"/>
      <c r="D27" s="328"/>
      <c r="E27" s="328"/>
      <c r="F27" s="328"/>
      <c r="G27" s="309"/>
      <c r="H27" s="309"/>
      <c r="I27" s="309"/>
      <c r="J27" s="309"/>
      <c r="K27" s="309"/>
      <c r="L27" s="309"/>
      <c r="M27" s="309"/>
      <c r="N27" s="309"/>
      <c r="O27" s="309"/>
      <c r="P27" s="309"/>
      <c r="Q27" s="309"/>
    </row>
    <row r="28" spans="2:66" ht="22.5" thickBot="1" x14ac:dyDescent="0.7">
      <c r="B28" s="329" t="s">
        <v>122</v>
      </c>
      <c r="C28" s="329"/>
      <c r="D28" s="399">
        <f>Referentieberekening!D44</f>
        <v>53360.561128251524</v>
      </c>
      <c r="E28" s="400"/>
      <c r="F28" s="401"/>
      <c r="G28" s="309"/>
      <c r="H28" s="309"/>
      <c r="I28" s="309"/>
      <c r="J28" s="309"/>
      <c r="K28" s="309"/>
      <c r="L28" s="309"/>
      <c r="M28" s="309"/>
      <c r="N28" s="309"/>
      <c r="O28" s="309"/>
      <c r="P28" s="309"/>
      <c r="Q28" s="309"/>
    </row>
    <row r="29" spans="2:66" ht="22.5" thickBot="1" x14ac:dyDescent="0.7">
      <c r="B29" s="329" t="s">
        <v>123</v>
      </c>
      <c r="C29" s="329"/>
      <c r="D29" s="399">
        <v>11933</v>
      </c>
      <c r="E29" s="400"/>
      <c r="F29" s="401"/>
      <c r="G29" s="309"/>
      <c r="H29" s="309"/>
      <c r="I29" s="309"/>
      <c r="J29" s="309"/>
      <c r="K29" s="309"/>
      <c r="L29" s="309"/>
      <c r="M29" s="309"/>
      <c r="N29" s="309"/>
      <c r="O29" s="309"/>
      <c r="P29" s="309"/>
      <c r="Q29" s="309"/>
    </row>
    <row r="30" spans="2:66" ht="22.5" thickBot="1" x14ac:dyDescent="0.7">
      <c r="B30" s="329" t="s">
        <v>124</v>
      </c>
      <c r="C30" s="329"/>
      <c r="D30" s="399">
        <v>119330</v>
      </c>
      <c r="E30" s="400"/>
      <c r="F30" s="401"/>
      <c r="G30" s="309"/>
      <c r="H30" s="309"/>
      <c r="I30" s="309"/>
      <c r="J30" s="309"/>
      <c r="K30" s="309"/>
      <c r="L30" s="309"/>
      <c r="M30" s="309"/>
      <c r="N30" s="309"/>
      <c r="O30" s="309"/>
      <c r="P30" s="309"/>
      <c r="Q30" s="309"/>
    </row>
    <row r="31" spans="2:66" ht="22.5" thickBot="1" x14ac:dyDescent="0.7">
      <c r="B31" s="329" t="s">
        <v>125</v>
      </c>
      <c r="C31" s="329"/>
      <c r="D31" s="402">
        <f>IF(D28*D29*D30=0,"",D30/(D28-D29))</f>
        <v>2.8804495545991218</v>
      </c>
      <c r="E31" s="403"/>
      <c r="F31" s="404"/>
      <c r="G31" s="309"/>
      <c r="H31" s="309"/>
      <c r="I31" s="309"/>
      <c r="J31" s="309"/>
      <c r="K31" s="309"/>
      <c r="L31" s="309"/>
      <c r="M31" s="309"/>
      <c r="N31" s="309"/>
      <c r="O31" s="309"/>
      <c r="P31" s="309"/>
      <c r="Q31" s="309"/>
    </row>
    <row r="32" spans="2:66" ht="22.5" thickBot="1" x14ac:dyDescent="0.7">
      <c r="B32" s="329" t="s">
        <v>126</v>
      </c>
      <c r="C32" s="329"/>
      <c r="D32" s="405">
        <f>D26</f>
        <v>2879.4719521088518</v>
      </c>
      <c r="E32" s="406"/>
      <c r="F32" s="407"/>
      <c r="G32" s="309"/>
      <c r="H32" s="309"/>
      <c r="I32" s="309"/>
      <c r="J32" s="309"/>
      <c r="K32" s="309"/>
      <c r="L32" s="309"/>
      <c r="M32" s="309"/>
      <c r="N32" s="309"/>
      <c r="O32" s="309"/>
      <c r="P32" s="309"/>
      <c r="Q32" s="309"/>
    </row>
    <row r="33" spans="2:17" ht="22.5" thickBot="1" x14ac:dyDescent="0.7">
      <c r="B33" s="329" t="s">
        <v>127</v>
      </c>
      <c r="C33" s="329"/>
      <c r="D33" s="408">
        <f>IF(D28*D29*D30=0,"",IF(D32&lt;D29,D30,IF(D32&gt;D28,"MKI te hoog",(D28-D32)*D31)))</f>
        <v>119330</v>
      </c>
      <c r="E33" s="409"/>
      <c r="F33" s="410"/>
      <c r="G33" s="309"/>
      <c r="H33" s="309"/>
      <c r="I33" s="309"/>
      <c r="J33" s="309"/>
      <c r="K33" s="309"/>
      <c r="L33" s="309"/>
      <c r="M33" s="309"/>
      <c r="N33" s="309"/>
      <c r="O33" s="309"/>
      <c r="P33" s="309"/>
      <c r="Q33" s="309"/>
    </row>
    <row r="34" spans="2:17" x14ac:dyDescent="0.35">
      <c r="B34" s="330"/>
      <c r="C34" s="309"/>
      <c r="D34" s="309"/>
      <c r="E34" s="309"/>
      <c r="F34" s="309"/>
      <c r="G34" s="309"/>
      <c r="H34" s="309"/>
      <c r="I34" s="309"/>
      <c r="J34" s="309"/>
      <c r="K34" s="309"/>
      <c r="L34" s="309"/>
      <c r="M34" s="309"/>
      <c r="N34" s="309"/>
      <c r="O34" s="309"/>
      <c r="P34" s="309"/>
      <c r="Q34" s="309"/>
    </row>
    <row r="35" spans="2:17" x14ac:dyDescent="0.35">
      <c r="B35" s="330"/>
      <c r="C35" s="309"/>
      <c r="D35" s="309"/>
      <c r="E35" s="309"/>
      <c r="F35" s="309"/>
      <c r="G35" s="309"/>
      <c r="H35" s="309"/>
      <c r="I35" s="309"/>
      <c r="J35" s="309"/>
      <c r="K35" s="309"/>
      <c r="L35" s="309"/>
      <c r="M35" s="309"/>
      <c r="N35" s="309"/>
      <c r="O35" s="309"/>
      <c r="P35" s="309"/>
      <c r="Q35" s="309"/>
    </row>
    <row r="36" spans="2:17" x14ac:dyDescent="0.35">
      <c r="B36" s="330"/>
      <c r="C36" s="309"/>
      <c r="D36" s="309"/>
      <c r="E36" s="309"/>
      <c r="F36" s="309"/>
      <c r="G36" s="309"/>
      <c r="H36" s="309"/>
      <c r="I36" s="309"/>
      <c r="J36" s="309"/>
      <c r="K36" s="309"/>
      <c r="L36" s="309"/>
      <c r="M36" s="309"/>
      <c r="N36" s="309"/>
      <c r="O36" s="309"/>
      <c r="P36" s="309"/>
      <c r="Q36" s="309"/>
    </row>
    <row r="37" spans="2:17" ht="22.5" thickBot="1" x14ac:dyDescent="0.7">
      <c r="B37" s="330"/>
      <c r="C37" s="309"/>
      <c r="D37" s="391" t="s">
        <v>356</v>
      </c>
      <c r="E37" s="391"/>
      <c r="F37" s="391"/>
      <c r="G37" s="331"/>
      <c r="H37" s="309"/>
      <c r="I37" s="309"/>
      <c r="J37" s="309"/>
      <c r="K37" s="309"/>
      <c r="L37" s="309"/>
      <c r="M37" s="309"/>
      <c r="N37" s="309"/>
      <c r="O37" s="309"/>
      <c r="P37" s="309"/>
      <c r="Q37" s="309"/>
    </row>
    <row r="38" spans="2:17" ht="22.5" thickBot="1" x14ac:dyDescent="0.4">
      <c r="B38" s="330"/>
      <c r="C38" s="309"/>
      <c r="D38" s="392">
        <f>SUM(Inschrijf_CO2_Totaal[[#Totals],[A1]:[A3]])/1000</f>
        <v>41.886923839055832</v>
      </c>
      <c r="E38" s="393"/>
      <c r="F38" s="394"/>
      <c r="G38" s="331"/>
      <c r="H38" s="309"/>
      <c r="I38" s="309"/>
      <c r="J38" s="309"/>
      <c r="K38" s="309"/>
      <c r="L38" s="309"/>
      <c r="M38" s="309"/>
      <c r="N38" s="309"/>
      <c r="O38" s="309"/>
      <c r="P38" s="309"/>
      <c r="Q38" s="309"/>
    </row>
    <row r="39" spans="2:17" ht="22" x14ac:dyDescent="0.35">
      <c r="B39" s="330"/>
      <c r="C39" s="309"/>
      <c r="D39" s="332"/>
      <c r="E39" s="332"/>
      <c r="F39" s="332"/>
      <c r="G39" s="331"/>
      <c r="H39" s="309"/>
      <c r="I39" s="309"/>
      <c r="J39" s="309"/>
      <c r="K39" s="309"/>
      <c r="L39" s="309"/>
      <c r="M39" s="309"/>
      <c r="N39" s="309"/>
      <c r="O39" s="309"/>
      <c r="P39" s="309"/>
      <c r="Q39" s="309"/>
    </row>
    <row r="40" spans="2:17" ht="18" x14ac:dyDescent="0.55000000000000004">
      <c r="B40" s="330"/>
      <c r="C40" s="309"/>
      <c r="D40" s="333"/>
      <c r="E40" s="333"/>
      <c r="F40" s="333"/>
      <c r="G40" s="309"/>
      <c r="H40" s="309"/>
      <c r="I40" s="309"/>
      <c r="J40" s="309"/>
      <c r="K40" s="309"/>
      <c r="L40" s="309"/>
      <c r="M40" s="309"/>
      <c r="N40" s="309"/>
      <c r="O40" s="309"/>
      <c r="P40" s="309"/>
      <c r="Q40" s="309"/>
    </row>
    <row r="41" spans="2:17" ht="22.5" thickBot="1" x14ac:dyDescent="0.7">
      <c r="B41" s="334"/>
      <c r="C41" s="309"/>
      <c r="D41" s="391" t="s">
        <v>314</v>
      </c>
      <c r="E41" s="391"/>
      <c r="F41" s="391"/>
      <c r="G41" s="331"/>
      <c r="H41" s="309"/>
      <c r="I41" s="309"/>
      <c r="J41" s="309"/>
      <c r="K41" s="309"/>
      <c r="L41" s="309"/>
      <c r="M41" s="309"/>
      <c r="N41" s="309"/>
      <c r="O41" s="309"/>
      <c r="P41" s="309"/>
      <c r="Q41" s="309"/>
    </row>
    <row r="42" spans="2:17" ht="22.5" thickBot="1" x14ac:dyDescent="0.7">
      <c r="B42" s="330"/>
      <c r="C42" s="309"/>
      <c r="D42" s="392">
        <f>Inschrijf_Materiaal_Totaal[[#Totals],[Primair materiaalverbruik]]+Inschrijf_Materiaal_Totaal[[#Totals],[Primair materiaalverbruik Vervangingen]]</f>
        <v>2048.8000000000002</v>
      </c>
      <c r="E42" s="393"/>
      <c r="F42" s="394"/>
      <c r="G42" s="335" t="s">
        <v>308</v>
      </c>
      <c r="H42" s="309"/>
      <c r="I42" s="309"/>
      <c r="J42" s="309"/>
      <c r="K42" s="71" t="s">
        <v>308</v>
      </c>
      <c r="L42" s="347"/>
      <c r="M42" s="347"/>
      <c r="N42" s="309"/>
      <c r="O42" s="309"/>
      <c r="P42" s="309"/>
      <c r="Q42" s="309"/>
    </row>
    <row r="43" spans="2:17" ht="22.5" thickBot="1" x14ac:dyDescent="0.6">
      <c r="B43" s="309"/>
      <c r="C43" s="309"/>
      <c r="D43" s="392">
        <f>Inschrijf_Materiaal_Totaal[[#Totals],[Secundair Materiaalverbruik]]+Inschrijf_Materiaal_Totaal[[#Totals],[Secundair Materiaalverbruik Vervangingen]]</f>
        <v>0</v>
      </c>
      <c r="E43" s="393"/>
      <c r="F43" s="394"/>
      <c r="G43" s="335" t="s">
        <v>309</v>
      </c>
      <c r="H43" s="309"/>
      <c r="I43" s="309"/>
      <c r="J43" s="309"/>
      <c r="K43" s="71" t="s">
        <v>309</v>
      </c>
      <c r="L43" s="309"/>
      <c r="M43" s="309"/>
      <c r="N43" s="309"/>
      <c r="O43" s="309"/>
      <c r="P43" s="309"/>
      <c r="Q43" s="309"/>
    </row>
    <row r="44" spans="2:17" ht="22.5" thickBot="1" x14ac:dyDescent="0.6">
      <c r="B44" s="309"/>
      <c r="C44" s="309"/>
      <c r="D44" s="388">
        <f>D42+D43</f>
        <v>2048.8000000000002</v>
      </c>
      <c r="E44" s="389"/>
      <c r="F44" s="390"/>
      <c r="G44" s="335" t="s">
        <v>16</v>
      </c>
      <c r="H44" s="309"/>
      <c r="I44" s="309"/>
      <c r="J44" s="309"/>
      <c r="K44" s="71" t="s">
        <v>16</v>
      </c>
      <c r="L44" s="309"/>
      <c r="M44" s="309"/>
      <c r="N44" s="309"/>
      <c r="O44" s="309"/>
      <c r="P44" s="309"/>
      <c r="Q44" s="309"/>
    </row>
    <row r="45" spans="2:17" ht="22" x14ac:dyDescent="0.55000000000000004">
      <c r="B45" s="309"/>
      <c r="C45" s="309"/>
      <c r="D45" s="336"/>
      <c r="E45" s="336"/>
      <c r="F45" s="336"/>
      <c r="G45" s="335"/>
      <c r="H45" s="309"/>
      <c r="I45" s="309"/>
      <c r="J45" s="309"/>
      <c r="K45" s="17"/>
      <c r="L45" s="309"/>
      <c r="M45" s="309"/>
      <c r="N45" s="309"/>
      <c r="O45" s="309"/>
      <c r="P45" s="309"/>
      <c r="Q45" s="309"/>
    </row>
    <row r="46" spans="2:17" ht="18" x14ac:dyDescent="0.55000000000000004">
      <c r="B46" s="309"/>
      <c r="C46" s="309"/>
      <c r="D46" s="333"/>
      <c r="E46" s="333"/>
      <c r="F46" s="333"/>
      <c r="G46" s="333"/>
      <c r="H46" s="309"/>
      <c r="I46" s="309"/>
      <c r="J46" s="309"/>
      <c r="K46" s="17"/>
      <c r="L46" s="309"/>
      <c r="M46" s="309"/>
      <c r="N46" s="309"/>
      <c r="O46" s="309"/>
      <c r="P46" s="309"/>
      <c r="Q46" s="309"/>
    </row>
    <row r="47" spans="2:17" ht="22.5" thickBot="1" x14ac:dyDescent="0.7">
      <c r="B47" s="309"/>
      <c r="C47" s="309"/>
      <c r="D47" s="391" t="s">
        <v>369</v>
      </c>
      <c r="E47" s="391"/>
      <c r="F47" s="391"/>
      <c r="G47" s="333"/>
      <c r="H47" s="309"/>
      <c r="I47" s="309"/>
      <c r="J47" s="309"/>
      <c r="L47" s="309"/>
      <c r="M47" s="309"/>
      <c r="N47" s="309"/>
      <c r="O47" s="309"/>
      <c r="P47" s="309"/>
      <c r="Q47" s="309"/>
    </row>
    <row r="48" spans="2:17" ht="22.5" thickBot="1" x14ac:dyDescent="0.6">
      <c r="B48" s="309"/>
      <c r="C48" s="309"/>
      <c r="D48" s="388">
        <f>SUM(Inschrijf_Hernieuwbare_Energie_Totaal[[#Totals],[A1]:[A3]])/1000</f>
        <v>0.51476339803897109</v>
      </c>
      <c r="E48" s="389"/>
      <c r="F48" s="390"/>
      <c r="G48" s="335" t="s">
        <v>316</v>
      </c>
      <c r="H48" s="309"/>
      <c r="I48" s="309"/>
      <c r="J48" s="309"/>
      <c r="K48" s="71" t="s">
        <v>340</v>
      </c>
      <c r="L48" s="309"/>
      <c r="M48" s="309"/>
      <c r="N48" s="309"/>
      <c r="O48" s="309"/>
      <c r="P48" s="309"/>
      <c r="Q48" s="309"/>
    </row>
    <row r="49" spans="2:17" ht="22.5" thickBot="1" x14ac:dyDescent="0.6">
      <c r="B49" s="309"/>
      <c r="C49" s="309"/>
      <c r="D49" s="388">
        <f>SUM(Inschrijf_Fossiele_Energie_Totaal[[#Totals],[A1]:[A3]])/1000</f>
        <v>39.89366062224849</v>
      </c>
      <c r="E49" s="389"/>
      <c r="F49" s="390"/>
      <c r="G49" s="335" t="s">
        <v>337</v>
      </c>
      <c r="H49" s="309"/>
      <c r="I49" s="309"/>
      <c r="J49" s="309"/>
      <c r="K49" s="71" t="s">
        <v>341</v>
      </c>
      <c r="L49" s="309"/>
      <c r="M49" s="309"/>
      <c r="N49" s="309"/>
      <c r="O49" s="309"/>
      <c r="P49" s="309"/>
      <c r="Q49" s="309"/>
    </row>
    <row r="50" spans="2:17" ht="22.5" thickBot="1" x14ac:dyDescent="0.6">
      <c r="B50" s="309"/>
      <c r="C50" s="309"/>
      <c r="D50" s="388">
        <f>D48+D49</f>
        <v>40.408424020287462</v>
      </c>
      <c r="E50" s="389"/>
      <c r="F50" s="390"/>
      <c r="G50" s="335" t="s">
        <v>317</v>
      </c>
      <c r="H50" s="309"/>
      <c r="I50" s="309"/>
      <c r="J50" s="309"/>
      <c r="K50" s="71" t="s">
        <v>16</v>
      </c>
      <c r="L50" s="309"/>
      <c r="M50" s="309"/>
      <c r="N50" s="309"/>
      <c r="O50" s="309"/>
      <c r="P50" s="309"/>
      <c r="Q50" s="309"/>
    </row>
    <row r="51" spans="2:17" ht="18" x14ac:dyDescent="0.55000000000000004">
      <c r="B51" s="309"/>
      <c r="C51" s="309"/>
      <c r="D51" s="309"/>
      <c r="E51" s="309"/>
      <c r="F51" s="309"/>
      <c r="G51" s="309"/>
      <c r="H51" s="309"/>
      <c r="I51" s="309"/>
      <c r="J51" s="309"/>
      <c r="K51" s="71"/>
      <c r="L51" s="309"/>
      <c r="M51" s="309"/>
      <c r="N51" s="309"/>
      <c r="O51" s="309"/>
      <c r="P51" s="309"/>
      <c r="Q51" s="309"/>
    </row>
    <row r="52" spans="2:17" ht="18" x14ac:dyDescent="0.55000000000000004">
      <c r="B52" s="309"/>
      <c r="C52" s="309"/>
      <c r="D52" s="309"/>
      <c r="E52" s="309"/>
      <c r="F52" s="309"/>
      <c r="G52" s="309"/>
      <c r="H52" s="309"/>
      <c r="I52" s="309"/>
      <c r="J52" s="309"/>
      <c r="K52" s="71"/>
      <c r="L52" s="309"/>
      <c r="M52" s="309"/>
      <c r="N52" s="309"/>
      <c r="O52" s="309"/>
      <c r="P52" s="309"/>
      <c r="Q52" s="309"/>
    </row>
    <row r="53" spans="2:17" x14ac:dyDescent="0.35">
      <c r="B53" s="309"/>
      <c r="C53" s="309"/>
      <c r="D53" s="309"/>
      <c r="E53" s="309"/>
      <c r="F53" s="309"/>
      <c r="G53" s="309"/>
      <c r="H53" s="309"/>
      <c r="I53" s="309"/>
      <c r="J53" s="309"/>
      <c r="L53" s="309"/>
      <c r="M53" s="309"/>
      <c r="N53" s="309"/>
      <c r="O53" s="309"/>
      <c r="P53" s="309"/>
      <c r="Q53" s="309"/>
    </row>
    <row r="54" spans="2:17" ht="22.5" thickBot="1" x14ac:dyDescent="0.7">
      <c r="B54" s="309"/>
      <c r="C54" s="309"/>
      <c r="D54" s="391" t="s">
        <v>1425</v>
      </c>
      <c r="E54" s="391"/>
      <c r="F54" s="391"/>
      <c r="G54" s="309"/>
      <c r="H54" s="309"/>
      <c r="I54" s="309"/>
      <c r="J54" s="309"/>
      <c r="L54" s="309"/>
      <c r="M54" s="309"/>
      <c r="N54" s="309"/>
      <c r="O54" s="309"/>
      <c r="P54" s="309"/>
      <c r="Q54" s="309"/>
    </row>
    <row r="55" spans="2:17" ht="22.5" thickBot="1" x14ac:dyDescent="0.6">
      <c r="B55" s="309"/>
      <c r="C55" s="309"/>
      <c r="D55" s="388">
        <f>Inschrijf_Transport_Totaal[[#Totals],[Emissieloos Transport]]+Inschrijf_Transport_Totaal[[#Totals],[Emissieloos Transport Vervangingen]]</f>
        <v>0</v>
      </c>
      <c r="E55" s="389"/>
      <c r="F55" s="390"/>
      <c r="G55" s="335" t="s">
        <v>361</v>
      </c>
      <c r="H55" s="309"/>
      <c r="I55" s="309"/>
      <c r="J55" s="309"/>
      <c r="K55" s="71" t="s">
        <v>1285</v>
      </c>
      <c r="L55" s="309"/>
      <c r="M55" s="309"/>
      <c r="N55" s="309"/>
      <c r="O55" s="309"/>
      <c r="P55" s="309"/>
      <c r="Q55" s="309"/>
    </row>
    <row r="56" spans="2:17" ht="22.5" thickBot="1" x14ac:dyDescent="0.6">
      <c r="B56" s="309"/>
      <c r="C56" s="309"/>
      <c r="D56" s="388">
        <f>D57-D55</f>
        <v>204880</v>
      </c>
      <c r="E56" s="389"/>
      <c r="F56" s="390"/>
      <c r="G56" s="335" t="s">
        <v>439</v>
      </c>
      <c r="H56" s="309"/>
      <c r="I56" s="309"/>
      <c r="J56" s="309"/>
      <c r="K56" s="71" t="s">
        <v>1424</v>
      </c>
      <c r="L56" s="309"/>
      <c r="M56" s="309"/>
      <c r="N56" s="309"/>
      <c r="O56" s="309"/>
      <c r="P56" s="309"/>
      <c r="Q56" s="309"/>
    </row>
    <row r="57" spans="2:17" ht="22.5" thickBot="1" x14ac:dyDescent="0.6">
      <c r="B57" s="309"/>
      <c r="C57" s="309"/>
      <c r="D57" s="388">
        <f>SUM(Inschrijf_Transport_Totaal[[#Totals],[Transport naar bouwplaats '[tkm']]:[Transport naar verwerker '[tkm']]])+SUM(Inschrijf_Transport_Totaal[[#Totals],[Transport naar bouwplaats Vervangingen '[tkm']]:[Transport naar verwerker Vervangingen '[tkm']]])</f>
        <v>204880</v>
      </c>
      <c r="E57" s="389"/>
      <c r="F57" s="390"/>
      <c r="G57" s="335" t="s">
        <v>360</v>
      </c>
      <c r="H57" s="309"/>
      <c r="I57" s="309"/>
      <c r="J57" s="309"/>
      <c r="K57" s="71" t="s">
        <v>16</v>
      </c>
      <c r="L57" s="309"/>
      <c r="M57" s="309"/>
      <c r="N57" s="309"/>
      <c r="O57" s="309"/>
      <c r="P57" s="309"/>
      <c r="Q57" s="309"/>
    </row>
    <row r="58" spans="2:17" ht="21" customHeight="1" x14ac:dyDescent="0.55000000000000004">
      <c r="B58" s="309"/>
      <c r="C58" s="309"/>
      <c r="D58" s="337"/>
      <c r="E58" s="337"/>
      <c r="F58" s="337"/>
      <c r="G58" s="309"/>
      <c r="H58" s="309"/>
      <c r="I58" s="309"/>
      <c r="J58" s="309"/>
      <c r="K58" s="71"/>
      <c r="L58" s="309"/>
      <c r="M58" s="309"/>
      <c r="N58" s="309"/>
      <c r="O58" s="309"/>
      <c r="P58" s="309"/>
      <c r="Q58" s="309"/>
    </row>
    <row r="59" spans="2:17" ht="21" customHeight="1" x14ac:dyDescent="0.55000000000000004">
      <c r="B59" s="309"/>
      <c r="C59" s="309"/>
      <c r="D59" s="338"/>
      <c r="E59" s="338"/>
      <c r="F59" s="338"/>
      <c r="G59" s="309"/>
      <c r="H59" s="309"/>
      <c r="I59" s="309"/>
      <c r="J59" s="309"/>
      <c r="K59" s="71"/>
      <c r="L59" s="309"/>
      <c r="M59" s="309"/>
      <c r="N59" s="309"/>
      <c r="O59" s="309"/>
      <c r="P59" s="309"/>
      <c r="Q59" s="309"/>
    </row>
    <row r="60" spans="2:17" ht="22.5" thickBot="1" x14ac:dyDescent="0.7">
      <c r="B60" s="309"/>
      <c r="C60" s="309"/>
      <c r="D60" s="391" t="s">
        <v>1426</v>
      </c>
      <c r="E60" s="391"/>
      <c r="F60" s="391"/>
      <c r="G60" s="309"/>
      <c r="H60" s="309"/>
      <c r="I60" s="309"/>
      <c r="J60" s="309"/>
      <c r="L60" s="309"/>
      <c r="M60" s="309"/>
      <c r="N60" s="309"/>
      <c r="O60" s="309"/>
      <c r="P60" s="309"/>
      <c r="Q60" s="309"/>
    </row>
    <row r="61" spans="2:17" ht="22.5" thickBot="1" x14ac:dyDescent="0.6">
      <c r="B61" s="309"/>
      <c r="C61" s="309"/>
      <c r="D61" s="388">
        <f>Inschrijf_Bouwplaats_Totaal[[#Totals],[Emissieloos bouwplaats]]+Inschrijf_Bouwplaats_Totaal[[#Totals],[Emissieloos bouwplaats Vervangingen]]</f>
        <v>0</v>
      </c>
      <c r="E61" s="389"/>
      <c r="F61" s="390"/>
      <c r="G61" s="335" t="s">
        <v>364</v>
      </c>
      <c r="H61" s="309"/>
      <c r="I61" s="309"/>
      <c r="J61" s="309"/>
      <c r="K61" s="71" t="s">
        <v>1285</v>
      </c>
      <c r="L61" s="309"/>
      <c r="M61" s="309"/>
      <c r="N61" s="309"/>
      <c r="O61" s="309"/>
      <c r="P61" s="309"/>
      <c r="Q61" s="309"/>
    </row>
    <row r="62" spans="2:17" ht="22.5" thickBot="1" x14ac:dyDescent="0.6">
      <c r="B62" s="309"/>
      <c r="C62" s="309"/>
      <c r="D62" s="388">
        <f>D63-D61</f>
        <v>0.26</v>
      </c>
      <c r="E62" s="389"/>
      <c r="F62" s="390"/>
      <c r="G62" s="335" t="s">
        <v>438</v>
      </c>
      <c r="H62" s="309"/>
      <c r="I62" s="309"/>
      <c r="J62" s="309"/>
      <c r="K62" s="71" t="s">
        <v>1424</v>
      </c>
      <c r="L62" s="309"/>
      <c r="M62" s="309"/>
      <c r="N62" s="309"/>
      <c r="O62" s="309"/>
      <c r="P62" s="309"/>
      <c r="Q62" s="309"/>
    </row>
    <row r="63" spans="2:17" ht="22.5" thickBot="1" x14ac:dyDescent="0.6">
      <c r="B63" s="309"/>
      <c r="C63" s="309"/>
      <c r="D63" s="388">
        <f>SUM(Inschrijf_Backlog!D139:G139)+SUM(Inschrijf_Backlog!M139:P139)</f>
        <v>0.26</v>
      </c>
      <c r="E63" s="389"/>
      <c r="F63" s="390"/>
      <c r="G63" s="335" t="s">
        <v>365</v>
      </c>
      <c r="H63" s="309"/>
      <c r="I63" s="309"/>
      <c r="J63" s="309"/>
      <c r="K63" s="71" t="s">
        <v>16</v>
      </c>
      <c r="L63" s="309"/>
      <c r="M63" s="309"/>
      <c r="N63" s="309"/>
      <c r="O63" s="309"/>
      <c r="P63" s="309"/>
      <c r="Q63" s="309"/>
    </row>
    <row r="64" spans="2:17" x14ac:dyDescent="0.35">
      <c r="B64" s="309"/>
      <c r="C64" s="309"/>
      <c r="D64" s="309"/>
      <c r="E64" s="309"/>
      <c r="F64" s="309"/>
      <c r="G64" s="309"/>
      <c r="H64" s="309"/>
      <c r="I64" s="309"/>
      <c r="J64" s="309"/>
      <c r="K64" s="309"/>
      <c r="L64" s="309"/>
      <c r="M64" s="309"/>
      <c r="N64" s="309"/>
      <c r="O64" s="309"/>
      <c r="P64" s="309"/>
      <c r="Q64" s="309"/>
    </row>
    <row r="65" spans="2:17" x14ac:dyDescent="0.35">
      <c r="B65" s="309"/>
      <c r="C65" s="309"/>
      <c r="D65" s="309"/>
      <c r="E65" s="309"/>
      <c r="F65" s="309"/>
      <c r="G65" s="309"/>
      <c r="H65" s="309"/>
      <c r="I65" s="309"/>
      <c r="J65" s="309"/>
      <c r="K65" s="309"/>
      <c r="L65" s="309"/>
      <c r="M65" s="309"/>
      <c r="N65" s="309"/>
      <c r="O65" s="309"/>
      <c r="P65" s="309"/>
      <c r="Q65" s="309"/>
    </row>
    <row r="66" spans="2:17" x14ac:dyDescent="0.35">
      <c r="B66" s="309"/>
      <c r="C66" s="309"/>
      <c r="D66" s="309"/>
      <c r="E66" s="309"/>
      <c r="F66" s="309"/>
      <c r="G66" s="309"/>
      <c r="H66" s="309"/>
      <c r="I66" s="309"/>
      <c r="J66" s="309"/>
      <c r="K66" s="309"/>
      <c r="L66" s="309"/>
      <c r="M66" s="309"/>
      <c r="N66" s="309"/>
      <c r="O66" s="309"/>
      <c r="P66" s="309"/>
      <c r="Q66" s="309"/>
    </row>
    <row r="67" spans="2:17" x14ac:dyDescent="0.35">
      <c r="B67" s="309"/>
      <c r="C67" s="309"/>
      <c r="D67" s="309"/>
      <c r="E67" s="309"/>
      <c r="F67" s="309"/>
      <c r="G67" s="309"/>
      <c r="H67" s="309"/>
      <c r="I67" s="309"/>
      <c r="J67" s="309"/>
      <c r="K67" s="309"/>
      <c r="L67" s="309"/>
      <c r="M67" s="309"/>
      <c r="N67" s="309"/>
      <c r="O67" s="309"/>
      <c r="P67" s="309"/>
      <c r="Q67" s="309"/>
    </row>
    <row r="68" spans="2:17" x14ac:dyDescent="0.35">
      <c r="B68" s="309"/>
      <c r="C68" s="309"/>
      <c r="D68" s="309"/>
      <c r="E68" s="309"/>
      <c r="F68" s="309"/>
      <c r="G68" s="309"/>
      <c r="H68" s="309"/>
      <c r="I68" s="309"/>
      <c r="J68" s="309"/>
      <c r="K68" s="309"/>
      <c r="L68" s="309"/>
      <c r="M68" s="309"/>
      <c r="N68" s="309"/>
      <c r="O68" s="309"/>
      <c r="P68" s="309"/>
      <c r="Q68" s="309"/>
    </row>
    <row r="69" spans="2:17" x14ac:dyDescent="0.35">
      <c r="B69" s="309"/>
      <c r="C69" s="309"/>
      <c r="D69" s="309"/>
      <c r="E69" s="309"/>
      <c r="F69" s="309"/>
      <c r="G69" s="309"/>
      <c r="H69" s="309"/>
      <c r="I69" s="309"/>
      <c r="J69" s="309"/>
      <c r="K69" s="309"/>
      <c r="L69" s="309"/>
      <c r="M69" s="309"/>
      <c r="N69" s="309"/>
      <c r="O69" s="309"/>
      <c r="P69" s="309"/>
      <c r="Q69" s="309"/>
    </row>
    <row r="70" spans="2:17" x14ac:dyDescent="0.35">
      <c r="B70" s="309"/>
      <c r="C70" s="309"/>
      <c r="D70" s="309"/>
      <c r="E70" s="309"/>
      <c r="F70" s="309"/>
      <c r="G70" s="309"/>
      <c r="H70" s="309"/>
      <c r="I70" s="309"/>
      <c r="J70" s="309"/>
      <c r="K70" s="309"/>
      <c r="L70" s="309"/>
      <c r="M70" s="309"/>
      <c r="N70" s="309"/>
      <c r="O70" s="309"/>
      <c r="P70" s="309"/>
      <c r="Q70" s="309"/>
    </row>
    <row r="71" spans="2:17" x14ac:dyDescent="0.35">
      <c r="B71" s="309"/>
      <c r="C71" s="309"/>
      <c r="D71" s="309"/>
      <c r="E71" s="309"/>
      <c r="F71" s="309"/>
      <c r="G71" s="309"/>
      <c r="H71" s="309"/>
      <c r="I71" s="309"/>
      <c r="J71" s="309"/>
      <c r="K71" s="309"/>
      <c r="L71" s="309"/>
      <c r="M71" s="309"/>
      <c r="N71" s="309"/>
      <c r="O71" s="309"/>
      <c r="P71" s="309"/>
      <c r="Q71" s="309"/>
    </row>
    <row r="72" spans="2:17" x14ac:dyDescent="0.35">
      <c r="B72" s="309"/>
      <c r="C72" s="309"/>
      <c r="D72" s="309"/>
      <c r="E72" s="309"/>
      <c r="F72" s="309"/>
      <c r="G72" s="309"/>
      <c r="H72" s="309"/>
      <c r="I72" s="309"/>
      <c r="J72" s="309"/>
      <c r="K72" s="309"/>
      <c r="L72" s="309"/>
      <c r="M72" s="309"/>
      <c r="N72" s="309"/>
      <c r="O72" s="309"/>
      <c r="P72" s="309"/>
      <c r="Q72" s="309"/>
    </row>
    <row r="73" spans="2:17" x14ac:dyDescent="0.35">
      <c r="B73" s="309"/>
      <c r="C73" s="309"/>
      <c r="D73" s="309"/>
      <c r="E73" s="309"/>
      <c r="F73" s="309"/>
      <c r="G73" s="309"/>
      <c r="H73" s="309"/>
      <c r="I73" s="309"/>
      <c r="J73" s="309"/>
      <c r="K73" s="309"/>
      <c r="L73" s="309"/>
      <c r="M73" s="309"/>
      <c r="N73" s="309"/>
      <c r="O73" s="309"/>
      <c r="P73" s="309"/>
      <c r="Q73" s="309"/>
    </row>
    <row r="74" spans="2:17" x14ac:dyDescent="0.35">
      <c r="B74" s="309"/>
      <c r="C74" s="309"/>
      <c r="D74" s="309"/>
      <c r="E74" s="309"/>
      <c r="F74" s="309"/>
      <c r="G74" s="309"/>
      <c r="H74" s="309"/>
      <c r="I74" s="309"/>
      <c r="J74" s="309"/>
      <c r="K74" s="309"/>
      <c r="L74" s="309"/>
      <c r="M74" s="309"/>
      <c r="N74" s="309"/>
      <c r="O74" s="309"/>
      <c r="P74" s="309"/>
      <c r="Q74" s="309"/>
    </row>
    <row r="75" spans="2:17" x14ac:dyDescent="0.35">
      <c r="B75" s="309"/>
      <c r="C75" s="309"/>
      <c r="D75" s="309"/>
      <c r="E75" s="309"/>
      <c r="F75" s="309"/>
      <c r="G75" s="309"/>
      <c r="H75" s="309"/>
      <c r="I75" s="309"/>
      <c r="J75" s="309"/>
      <c r="K75" s="309"/>
      <c r="L75" s="309"/>
      <c r="M75" s="309"/>
      <c r="N75" s="309"/>
      <c r="O75" s="309"/>
      <c r="P75" s="309"/>
      <c r="Q75" s="309"/>
    </row>
    <row r="76" spans="2:17" x14ac:dyDescent="0.35">
      <c r="B76" s="309"/>
      <c r="C76" s="309"/>
      <c r="D76" s="309"/>
      <c r="E76" s="309"/>
      <c r="F76" s="309"/>
      <c r="G76" s="309"/>
      <c r="H76" s="309"/>
      <c r="I76" s="309"/>
      <c r="J76" s="309"/>
      <c r="K76" s="309"/>
      <c r="L76" s="309"/>
      <c r="M76" s="309"/>
      <c r="N76" s="309"/>
      <c r="O76" s="309"/>
      <c r="P76" s="309"/>
      <c r="Q76" s="309"/>
    </row>
    <row r="77" spans="2:17" x14ac:dyDescent="0.35">
      <c r="B77" s="309"/>
      <c r="C77" s="309"/>
      <c r="D77" s="309"/>
      <c r="E77" s="309"/>
      <c r="F77" s="309"/>
      <c r="G77" s="309"/>
      <c r="H77" s="309"/>
      <c r="I77" s="309"/>
      <c r="J77" s="309"/>
      <c r="K77" s="309"/>
      <c r="L77" s="309"/>
      <c r="M77" s="309"/>
      <c r="N77" s="309"/>
      <c r="O77" s="309"/>
      <c r="P77" s="309"/>
      <c r="Q77" s="309"/>
    </row>
    <row r="78" spans="2:17" x14ac:dyDescent="0.35">
      <c r="B78" s="309"/>
      <c r="C78" s="309"/>
      <c r="D78" s="309"/>
      <c r="E78" s="309"/>
      <c r="F78" s="309"/>
      <c r="G78" s="309"/>
      <c r="H78" s="309"/>
      <c r="I78" s="309"/>
      <c r="J78" s="309"/>
      <c r="K78" s="309"/>
      <c r="L78" s="309"/>
      <c r="M78" s="309"/>
      <c r="N78" s="309"/>
      <c r="O78" s="309"/>
      <c r="P78" s="309"/>
      <c r="Q78" s="309"/>
    </row>
    <row r="79" spans="2:17" x14ac:dyDescent="0.35">
      <c r="B79" s="309"/>
      <c r="C79" s="309"/>
      <c r="D79" s="309"/>
      <c r="E79" s="309"/>
      <c r="F79" s="309"/>
      <c r="G79" s="309"/>
      <c r="H79" s="309"/>
      <c r="I79" s="309"/>
      <c r="J79" s="309"/>
      <c r="K79" s="309"/>
      <c r="L79" s="309"/>
      <c r="M79" s="309"/>
      <c r="N79" s="309"/>
      <c r="O79" s="309"/>
      <c r="P79" s="309"/>
      <c r="Q79" s="309"/>
    </row>
    <row r="80" spans="2:17" x14ac:dyDescent="0.35">
      <c r="B80" s="309"/>
      <c r="C80" s="309"/>
      <c r="D80" s="309"/>
      <c r="E80" s="309"/>
      <c r="F80" s="309"/>
      <c r="G80" s="309"/>
      <c r="H80" s="309"/>
      <c r="I80" s="309"/>
      <c r="J80" s="309"/>
      <c r="K80" s="309"/>
      <c r="L80" s="309"/>
      <c r="M80" s="309"/>
      <c r="N80" s="309"/>
      <c r="O80" s="309"/>
      <c r="P80" s="309"/>
      <c r="Q80" s="309"/>
    </row>
    <row r="81" spans="2:17" x14ac:dyDescent="0.35">
      <c r="B81" s="309"/>
      <c r="C81" s="309"/>
      <c r="D81" s="309"/>
      <c r="E81" s="309"/>
      <c r="F81" s="309"/>
      <c r="G81" s="309"/>
      <c r="H81" s="309"/>
      <c r="I81" s="309"/>
      <c r="J81" s="309"/>
      <c r="K81" s="309"/>
      <c r="L81" s="309"/>
      <c r="M81" s="309"/>
      <c r="N81" s="309"/>
      <c r="O81" s="309"/>
      <c r="P81" s="309"/>
      <c r="Q81" s="309"/>
    </row>
    <row r="82" spans="2:17" x14ac:dyDescent="0.35">
      <c r="B82" s="309"/>
      <c r="C82" s="309"/>
      <c r="D82" s="309"/>
      <c r="E82" s="309"/>
      <c r="F82" s="309"/>
      <c r="G82" s="309"/>
      <c r="H82" s="309"/>
      <c r="I82" s="309"/>
      <c r="J82" s="309"/>
      <c r="K82" s="309"/>
      <c r="L82" s="309"/>
      <c r="M82" s="309"/>
      <c r="N82" s="309"/>
      <c r="O82" s="309"/>
      <c r="P82" s="309"/>
      <c r="Q82" s="309"/>
    </row>
    <row r="83" spans="2:17" x14ac:dyDescent="0.35">
      <c r="B83" s="309"/>
      <c r="C83" s="309"/>
      <c r="D83" s="309"/>
      <c r="E83" s="309"/>
      <c r="F83" s="309"/>
      <c r="G83" s="309"/>
      <c r="H83" s="309"/>
      <c r="I83" s="309"/>
      <c r="J83" s="309"/>
      <c r="K83" s="309"/>
      <c r="L83" s="309"/>
      <c r="M83" s="309"/>
      <c r="N83" s="309"/>
      <c r="O83" s="309"/>
      <c r="P83" s="309"/>
      <c r="Q83" s="309"/>
    </row>
    <row r="84" spans="2:17" x14ac:dyDescent="0.35">
      <c r="B84" s="309"/>
      <c r="C84" s="309"/>
      <c r="D84" s="309"/>
      <c r="E84" s="309"/>
      <c r="F84" s="309"/>
      <c r="G84" s="309"/>
      <c r="H84" s="309"/>
      <c r="I84" s="309"/>
      <c r="J84" s="309"/>
      <c r="K84" s="309"/>
      <c r="L84" s="309"/>
      <c r="M84" s="309"/>
      <c r="N84" s="309"/>
      <c r="O84" s="309"/>
      <c r="P84" s="309"/>
      <c r="Q84" s="309"/>
    </row>
    <row r="85" spans="2:17" x14ac:dyDescent="0.35">
      <c r="B85" s="309"/>
      <c r="C85" s="309"/>
      <c r="D85" s="309"/>
      <c r="E85" s="309"/>
      <c r="F85" s="309"/>
      <c r="G85" s="309"/>
      <c r="H85" s="309"/>
      <c r="I85" s="309"/>
      <c r="J85" s="309"/>
      <c r="K85" s="309"/>
      <c r="L85" s="309"/>
      <c r="M85" s="309"/>
      <c r="N85" s="309"/>
      <c r="O85" s="309"/>
      <c r="P85" s="309"/>
      <c r="Q85" s="309"/>
    </row>
    <row r="86" spans="2:17" x14ac:dyDescent="0.35">
      <c r="B86" s="309"/>
      <c r="C86" s="309"/>
      <c r="D86" s="309"/>
      <c r="E86" s="309"/>
      <c r="F86" s="309"/>
      <c r="G86" s="309"/>
      <c r="H86" s="309"/>
      <c r="I86" s="309"/>
      <c r="J86" s="309"/>
      <c r="K86" s="309"/>
      <c r="L86" s="309"/>
      <c r="M86" s="309"/>
      <c r="N86" s="309"/>
      <c r="O86" s="309"/>
      <c r="P86" s="309"/>
      <c r="Q86" s="309"/>
    </row>
    <row r="87" spans="2:17" x14ac:dyDescent="0.35">
      <c r="B87" s="309"/>
      <c r="C87" s="309"/>
      <c r="D87" s="309"/>
      <c r="E87" s="309"/>
      <c r="F87" s="309"/>
      <c r="G87" s="309"/>
      <c r="H87" s="309"/>
      <c r="I87" s="309"/>
      <c r="J87" s="309"/>
      <c r="K87" s="309"/>
      <c r="L87" s="309"/>
      <c r="M87" s="309"/>
      <c r="N87" s="309"/>
      <c r="O87" s="309"/>
      <c r="P87" s="309"/>
      <c r="Q87" s="309"/>
    </row>
    <row r="88" spans="2:17" x14ac:dyDescent="0.35">
      <c r="B88" s="309"/>
      <c r="C88" s="309"/>
      <c r="D88" s="309"/>
      <c r="E88" s="309"/>
      <c r="F88" s="309"/>
      <c r="G88" s="309"/>
      <c r="H88" s="309"/>
      <c r="I88" s="309"/>
      <c r="J88" s="309"/>
      <c r="K88" s="309"/>
      <c r="L88" s="309"/>
      <c r="M88" s="309"/>
      <c r="N88" s="309"/>
      <c r="O88" s="309"/>
      <c r="P88" s="309"/>
      <c r="Q88" s="309"/>
    </row>
    <row r="89" spans="2:17" x14ac:dyDescent="0.35">
      <c r="B89" s="309"/>
      <c r="C89" s="309"/>
      <c r="D89" s="309"/>
      <c r="E89" s="309"/>
      <c r="F89" s="309"/>
      <c r="G89" s="309"/>
      <c r="H89" s="309"/>
      <c r="I89" s="309"/>
      <c r="J89" s="309"/>
      <c r="K89" s="309"/>
      <c r="L89" s="309"/>
      <c r="M89" s="309"/>
      <c r="N89" s="309"/>
      <c r="O89" s="309"/>
      <c r="P89" s="309"/>
      <c r="Q89" s="309"/>
    </row>
    <row r="90" spans="2:17" x14ac:dyDescent="0.35">
      <c r="B90" s="309"/>
      <c r="C90" s="309"/>
      <c r="D90" s="309"/>
      <c r="E90" s="309"/>
      <c r="F90" s="309"/>
      <c r="G90" s="309"/>
      <c r="H90" s="309"/>
      <c r="I90" s="309"/>
      <c r="J90" s="309"/>
      <c r="K90" s="309"/>
      <c r="L90" s="309"/>
      <c r="M90" s="309"/>
      <c r="N90" s="309"/>
      <c r="O90" s="309"/>
      <c r="P90" s="309"/>
      <c r="Q90" s="309"/>
    </row>
    <row r="91" spans="2:17" x14ac:dyDescent="0.35">
      <c r="B91" s="309"/>
      <c r="C91" s="309"/>
      <c r="D91" s="309"/>
      <c r="E91" s="309"/>
      <c r="F91" s="309"/>
      <c r="G91" s="309"/>
      <c r="H91" s="309"/>
      <c r="I91" s="309"/>
      <c r="J91" s="309"/>
      <c r="K91" s="309"/>
      <c r="L91" s="309"/>
      <c r="M91" s="309"/>
      <c r="N91" s="309"/>
      <c r="O91" s="309"/>
      <c r="P91" s="309"/>
      <c r="Q91" s="309"/>
    </row>
    <row r="92" spans="2:17" x14ac:dyDescent="0.35">
      <c r="B92" s="309"/>
      <c r="C92" s="309"/>
      <c r="D92" s="309"/>
      <c r="E92" s="309"/>
      <c r="F92" s="309"/>
      <c r="G92" s="309"/>
      <c r="H92" s="309"/>
      <c r="I92" s="309"/>
      <c r="J92" s="309"/>
      <c r="K92" s="309"/>
      <c r="L92" s="309"/>
      <c r="M92" s="309"/>
      <c r="N92" s="309"/>
      <c r="O92" s="309"/>
      <c r="P92" s="309"/>
      <c r="Q92" s="309"/>
    </row>
    <row r="93" spans="2:17" x14ac:dyDescent="0.35">
      <c r="B93" s="309"/>
      <c r="C93" s="309"/>
      <c r="D93" s="309"/>
      <c r="E93" s="309"/>
      <c r="F93" s="309"/>
      <c r="G93" s="309"/>
      <c r="H93" s="309"/>
      <c r="I93" s="309"/>
      <c r="J93" s="309"/>
      <c r="K93" s="309"/>
      <c r="L93" s="309"/>
      <c r="M93" s="309"/>
      <c r="N93" s="309"/>
      <c r="O93" s="309"/>
      <c r="P93" s="309"/>
      <c r="Q93" s="309"/>
    </row>
    <row r="94" spans="2:17" x14ac:dyDescent="0.35">
      <c r="B94" s="309"/>
      <c r="C94" s="309"/>
      <c r="D94" s="309"/>
      <c r="E94" s="309"/>
      <c r="F94" s="309"/>
      <c r="G94" s="309"/>
      <c r="H94" s="309"/>
      <c r="I94" s="309"/>
      <c r="J94" s="309"/>
      <c r="K94" s="309"/>
      <c r="L94" s="309"/>
      <c r="M94" s="309"/>
      <c r="N94" s="309"/>
      <c r="O94" s="309"/>
      <c r="P94" s="309"/>
      <c r="Q94" s="309"/>
    </row>
    <row r="95" spans="2:17" x14ac:dyDescent="0.35">
      <c r="B95" s="309"/>
      <c r="C95" s="309"/>
      <c r="D95" s="309"/>
      <c r="E95" s="309"/>
      <c r="F95" s="309"/>
      <c r="G95" s="309"/>
      <c r="H95" s="309"/>
      <c r="I95" s="309"/>
      <c r="J95" s="309"/>
      <c r="K95" s="309"/>
      <c r="L95" s="309"/>
      <c r="M95" s="309"/>
      <c r="N95" s="309"/>
      <c r="O95" s="309"/>
      <c r="P95" s="309"/>
      <c r="Q95" s="309"/>
    </row>
    <row r="96" spans="2:17" x14ac:dyDescent="0.35">
      <c r="B96" s="309"/>
      <c r="C96" s="309"/>
      <c r="D96" s="309"/>
      <c r="E96" s="309"/>
      <c r="F96" s="309"/>
      <c r="G96" s="309"/>
      <c r="H96" s="309"/>
      <c r="I96" s="309"/>
      <c r="J96" s="309"/>
      <c r="K96" s="309"/>
      <c r="L96" s="309"/>
      <c r="M96" s="309"/>
      <c r="N96" s="309"/>
      <c r="O96" s="309"/>
      <c r="P96" s="309"/>
      <c r="Q96" s="309"/>
    </row>
    <row r="97" spans="2:17" x14ac:dyDescent="0.35">
      <c r="B97" s="309"/>
      <c r="C97" s="309"/>
      <c r="D97" s="309"/>
      <c r="E97" s="309"/>
      <c r="F97" s="309"/>
      <c r="G97" s="309"/>
      <c r="H97" s="309"/>
      <c r="I97" s="309"/>
      <c r="J97" s="309"/>
      <c r="K97" s="309"/>
      <c r="L97" s="309"/>
      <c r="M97" s="309"/>
      <c r="N97" s="309"/>
      <c r="O97" s="309"/>
      <c r="P97" s="309"/>
      <c r="Q97" s="309"/>
    </row>
    <row r="98" spans="2:17" x14ac:dyDescent="0.35">
      <c r="B98" s="309"/>
      <c r="C98" s="309"/>
      <c r="D98" s="309"/>
      <c r="E98" s="309"/>
      <c r="F98" s="309"/>
      <c r="G98" s="309"/>
      <c r="H98" s="309"/>
      <c r="I98" s="309"/>
      <c r="J98" s="309"/>
      <c r="K98" s="309"/>
      <c r="L98" s="309"/>
      <c r="M98" s="309"/>
      <c r="N98" s="309"/>
      <c r="O98" s="309"/>
      <c r="P98" s="309"/>
      <c r="Q98" s="309"/>
    </row>
    <row r="99" spans="2:17" x14ac:dyDescent="0.35">
      <c r="B99" s="309"/>
      <c r="C99" s="309"/>
      <c r="D99" s="309"/>
      <c r="E99" s="309"/>
      <c r="F99" s="309"/>
      <c r="G99" s="309"/>
      <c r="H99" s="309"/>
      <c r="I99" s="309"/>
      <c r="J99" s="309"/>
      <c r="K99" s="309"/>
      <c r="L99" s="309"/>
      <c r="M99" s="309"/>
      <c r="N99" s="309"/>
      <c r="O99" s="309"/>
      <c r="P99" s="309"/>
      <c r="Q99" s="309"/>
    </row>
    <row r="100" spans="2:17" x14ac:dyDescent="0.35">
      <c r="B100" s="309"/>
      <c r="C100" s="309"/>
      <c r="D100" s="309"/>
      <c r="E100" s="309"/>
      <c r="F100" s="309"/>
      <c r="G100" s="309"/>
      <c r="H100" s="309"/>
      <c r="I100" s="309"/>
      <c r="J100" s="309"/>
      <c r="K100" s="309"/>
      <c r="L100" s="309"/>
      <c r="M100" s="309"/>
      <c r="N100" s="309"/>
      <c r="O100" s="309"/>
      <c r="P100" s="309"/>
      <c r="Q100" s="309"/>
    </row>
    <row r="101" spans="2:17" x14ac:dyDescent="0.35">
      <c r="B101" s="309"/>
      <c r="C101" s="309"/>
      <c r="D101" s="309"/>
      <c r="E101" s="309"/>
      <c r="F101" s="309"/>
      <c r="G101" s="309"/>
      <c r="H101" s="309"/>
      <c r="I101" s="309"/>
      <c r="J101" s="309"/>
      <c r="K101" s="309"/>
      <c r="L101" s="309"/>
      <c r="M101" s="309"/>
      <c r="N101" s="309"/>
      <c r="O101" s="309"/>
      <c r="P101" s="309"/>
      <c r="Q101" s="309"/>
    </row>
    <row r="102" spans="2:17" x14ac:dyDescent="0.35">
      <c r="B102" s="309"/>
      <c r="C102" s="309"/>
      <c r="D102" s="309"/>
      <c r="E102" s="309"/>
      <c r="F102" s="309"/>
      <c r="G102" s="309"/>
      <c r="H102" s="309"/>
      <c r="I102" s="309"/>
      <c r="J102" s="309"/>
      <c r="K102" s="309"/>
      <c r="L102" s="309"/>
      <c r="M102" s="309"/>
      <c r="N102" s="309"/>
      <c r="O102" s="309"/>
      <c r="P102" s="309"/>
      <c r="Q102" s="309"/>
    </row>
    <row r="103" spans="2:17" x14ac:dyDescent="0.35">
      <c r="B103" s="309"/>
      <c r="C103" s="309"/>
      <c r="D103" s="309"/>
      <c r="E103" s="309"/>
      <c r="F103" s="309"/>
      <c r="G103" s="309"/>
      <c r="H103" s="309"/>
      <c r="I103" s="309"/>
      <c r="J103" s="309"/>
      <c r="K103" s="309"/>
      <c r="L103" s="309"/>
      <c r="M103" s="309"/>
      <c r="N103" s="309"/>
      <c r="O103" s="309"/>
      <c r="P103" s="309"/>
      <c r="Q103" s="309"/>
    </row>
    <row r="104" spans="2:17" x14ac:dyDescent="0.35">
      <c r="B104" s="309"/>
      <c r="C104" s="309"/>
      <c r="D104" s="309"/>
      <c r="E104" s="309"/>
      <c r="F104" s="309"/>
      <c r="G104" s="309"/>
      <c r="H104" s="309"/>
      <c r="I104" s="309"/>
      <c r="J104" s="309"/>
      <c r="K104" s="309"/>
      <c r="L104" s="309"/>
      <c r="M104" s="309"/>
      <c r="N104" s="309"/>
      <c r="O104" s="309"/>
      <c r="P104" s="309"/>
      <c r="Q104" s="309"/>
    </row>
    <row r="105" spans="2:17" x14ac:dyDescent="0.35">
      <c r="B105" s="309"/>
      <c r="C105" s="309"/>
      <c r="D105" s="309"/>
      <c r="E105" s="309"/>
      <c r="F105" s="309"/>
      <c r="G105" s="309"/>
      <c r="H105" s="309"/>
      <c r="I105" s="309"/>
      <c r="J105" s="309"/>
      <c r="K105" s="309"/>
      <c r="L105" s="309"/>
      <c r="M105" s="309"/>
      <c r="N105" s="309"/>
      <c r="O105" s="309"/>
      <c r="P105" s="309"/>
      <c r="Q105" s="309"/>
    </row>
    <row r="106" spans="2:17" x14ac:dyDescent="0.35">
      <c r="B106" s="309"/>
      <c r="C106" s="309"/>
      <c r="D106" s="309"/>
      <c r="E106" s="309"/>
      <c r="F106" s="309"/>
      <c r="G106" s="309"/>
      <c r="H106" s="309"/>
      <c r="I106" s="309"/>
      <c r="J106" s="309"/>
      <c r="K106" s="309"/>
      <c r="L106" s="309"/>
      <c r="M106" s="309"/>
      <c r="N106" s="309"/>
      <c r="O106" s="309"/>
      <c r="P106" s="309"/>
      <c r="Q106" s="309"/>
    </row>
    <row r="107" spans="2:17" x14ac:dyDescent="0.35">
      <c r="B107" s="309"/>
      <c r="C107" s="309"/>
      <c r="D107" s="309"/>
      <c r="E107" s="309"/>
      <c r="F107" s="309"/>
      <c r="G107" s="309"/>
      <c r="H107" s="309"/>
      <c r="I107" s="309"/>
      <c r="J107" s="309"/>
      <c r="K107" s="309"/>
      <c r="L107" s="309"/>
      <c r="M107" s="309"/>
      <c r="N107" s="309"/>
      <c r="O107" s="309"/>
      <c r="P107" s="309"/>
      <c r="Q107" s="309"/>
    </row>
    <row r="108" spans="2:17" x14ac:dyDescent="0.35">
      <c r="B108" s="309"/>
      <c r="C108" s="309"/>
      <c r="D108" s="309"/>
      <c r="E108" s="309"/>
      <c r="F108" s="309"/>
      <c r="G108" s="309"/>
      <c r="H108" s="309"/>
      <c r="I108" s="309"/>
      <c r="J108" s="309"/>
      <c r="K108" s="309"/>
      <c r="L108" s="309"/>
      <c r="M108" s="309"/>
      <c r="N108" s="309"/>
      <c r="O108" s="309"/>
      <c r="P108" s="309"/>
      <c r="Q108" s="309"/>
    </row>
    <row r="109" spans="2:17" x14ac:dyDescent="0.35">
      <c r="B109" s="309"/>
      <c r="C109" s="309"/>
      <c r="D109" s="309"/>
      <c r="E109" s="309"/>
      <c r="F109" s="309"/>
      <c r="G109" s="309"/>
      <c r="H109" s="309"/>
      <c r="I109" s="309"/>
      <c r="J109" s="309"/>
      <c r="K109" s="309"/>
      <c r="L109" s="309"/>
      <c r="M109" s="309"/>
      <c r="N109" s="309"/>
      <c r="O109" s="309"/>
      <c r="P109" s="309"/>
      <c r="Q109" s="309"/>
    </row>
    <row r="110" spans="2:17" x14ac:dyDescent="0.35">
      <c r="B110" s="309"/>
      <c r="C110" s="309"/>
      <c r="D110" s="309"/>
      <c r="E110" s="309"/>
      <c r="F110" s="309"/>
      <c r="G110" s="309"/>
      <c r="H110" s="309"/>
      <c r="I110" s="309"/>
      <c r="J110" s="309"/>
      <c r="K110" s="309"/>
      <c r="L110" s="309"/>
      <c r="M110" s="309"/>
      <c r="N110" s="309"/>
      <c r="O110" s="309"/>
      <c r="P110" s="309"/>
      <c r="Q110" s="309"/>
    </row>
    <row r="111" spans="2:17" x14ac:dyDescent="0.35">
      <c r="B111" s="309"/>
      <c r="C111" s="309"/>
      <c r="D111" s="309"/>
      <c r="E111" s="309"/>
      <c r="F111" s="309"/>
      <c r="G111" s="309"/>
      <c r="H111" s="309"/>
      <c r="I111" s="309"/>
      <c r="J111" s="309"/>
      <c r="K111" s="309"/>
      <c r="L111" s="309"/>
      <c r="M111" s="309"/>
      <c r="N111" s="309"/>
      <c r="O111" s="309"/>
      <c r="P111" s="309"/>
      <c r="Q111" s="309"/>
    </row>
    <row r="112" spans="2:17" x14ac:dyDescent="0.35">
      <c r="B112" s="309"/>
      <c r="C112" s="309"/>
      <c r="D112" s="309"/>
      <c r="E112" s="309"/>
      <c r="F112" s="309"/>
      <c r="G112" s="309"/>
      <c r="H112" s="309"/>
      <c r="I112" s="309"/>
      <c r="J112" s="309"/>
      <c r="K112" s="309"/>
      <c r="L112" s="309"/>
      <c r="M112" s="309"/>
      <c r="N112" s="309"/>
      <c r="O112" s="309"/>
      <c r="P112" s="309"/>
      <c r="Q112" s="309"/>
    </row>
    <row r="113" spans="2:17" x14ac:dyDescent="0.35">
      <c r="B113" s="309"/>
      <c r="C113" s="309"/>
      <c r="D113" s="309"/>
      <c r="E113" s="309"/>
      <c r="F113" s="309"/>
      <c r="G113" s="309"/>
      <c r="H113" s="309"/>
      <c r="I113" s="309"/>
      <c r="J113" s="309"/>
      <c r="K113" s="309"/>
      <c r="L113" s="309"/>
      <c r="M113" s="309"/>
      <c r="N113" s="309"/>
      <c r="O113" s="309"/>
      <c r="P113" s="309"/>
      <c r="Q113" s="309"/>
    </row>
    <row r="114" spans="2:17" x14ac:dyDescent="0.35">
      <c r="B114" s="309"/>
      <c r="C114" s="309"/>
      <c r="D114" s="309"/>
      <c r="E114" s="309"/>
      <c r="F114" s="309"/>
      <c r="G114" s="309"/>
      <c r="H114" s="309"/>
      <c r="I114" s="309"/>
      <c r="J114" s="309"/>
      <c r="K114" s="309"/>
      <c r="L114" s="309"/>
      <c r="M114" s="309"/>
      <c r="N114" s="309"/>
      <c r="O114" s="309"/>
      <c r="P114" s="309"/>
      <c r="Q114" s="309"/>
    </row>
    <row r="115" spans="2:17" x14ac:dyDescent="0.35">
      <c r="B115" s="309"/>
      <c r="C115" s="309"/>
      <c r="D115" s="309"/>
      <c r="E115" s="309"/>
      <c r="F115" s="309"/>
      <c r="G115" s="309"/>
      <c r="H115" s="309"/>
      <c r="I115" s="309"/>
      <c r="J115" s="309"/>
      <c r="K115" s="309"/>
      <c r="L115" s="309"/>
      <c r="M115" s="309"/>
      <c r="N115" s="309"/>
      <c r="O115" s="309"/>
      <c r="P115" s="309"/>
      <c r="Q115" s="309"/>
    </row>
    <row r="116" spans="2:17" x14ac:dyDescent="0.35">
      <c r="B116" s="309"/>
      <c r="C116" s="309"/>
      <c r="D116" s="309"/>
      <c r="E116" s="309"/>
      <c r="F116" s="309"/>
      <c r="G116" s="309"/>
      <c r="H116" s="309"/>
      <c r="I116" s="309"/>
      <c r="J116" s="309"/>
      <c r="K116" s="309"/>
      <c r="L116" s="309"/>
      <c r="M116" s="309"/>
      <c r="N116" s="309"/>
      <c r="O116" s="309"/>
      <c r="P116" s="309"/>
      <c r="Q116" s="309"/>
    </row>
    <row r="117" spans="2:17" x14ac:dyDescent="0.35">
      <c r="B117" s="309"/>
      <c r="C117" s="309"/>
      <c r="D117" s="309"/>
      <c r="E117" s="309"/>
      <c r="F117" s="309"/>
      <c r="G117" s="309"/>
      <c r="H117" s="309"/>
      <c r="I117" s="309"/>
      <c r="J117" s="309"/>
      <c r="K117" s="309"/>
      <c r="L117" s="309"/>
      <c r="M117" s="309"/>
      <c r="N117" s="309"/>
      <c r="O117" s="309"/>
      <c r="P117" s="309"/>
      <c r="Q117" s="309"/>
    </row>
    <row r="118" spans="2:17" x14ac:dyDescent="0.35">
      <c r="B118" s="309"/>
      <c r="C118" s="309"/>
      <c r="D118" s="309"/>
      <c r="E118" s="309"/>
      <c r="F118" s="309"/>
      <c r="G118" s="309"/>
      <c r="H118" s="309"/>
      <c r="I118" s="309"/>
      <c r="J118" s="309"/>
      <c r="K118" s="309"/>
      <c r="L118" s="309"/>
      <c r="M118" s="309"/>
      <c r="N118" s="309"/>
      <c r="O118" s="309"/>
      <c r="P118" s="309"/>
      <c r="Q118" s="309"/>
    </row>
    <row r="119" spans="2:17" x14ac:dyDescent="0.35">
      <c r="B119" s="309"/>
      <c r="C119" s="309"/>
      <c r="D119" s="309"/>
      <c r="E119" s="309"/>
      <c r="F119" s="309"/>
      <c r="G119" s="309"/>
      <c r="H119" s="309"/>
      <c r="I119" s="309"/>
      <c r="J119" s="309"/>
      <c r="K119" s="309"/>
      <c r="L119" s="309"/>
      <c r="M119" s="309"/>
      <c r="N119" s="309"/>
      <c r="O119" s="309"/>
      <c r="P119" s="309"/>
      <c r="Q119" s="309"/>
    </row>
    <row r="120" spans="2:17" x14ac:dyDescent="0.35">
      <c r="B120" s="309"/>
      <c r="C120" s="309"/>
      <c r="D120" s="309"/>
      <c r="E120" s="309"/>
      <c r="F120" s="309"/>
      <c r="G120" s="309"/>
      <c r="H120" s="309"/>
      <c r="I120" s="309"/>
      <c r="J120" s="309"/>
      <c r="K120" s="309"/>
      <c r="L120" s="309"/>
      <c r="M120" s="309"/>
      <c r="N120" s="309"/>
      <c r="O120" s="309"/>
      <c r="P120" s="309"/>
      <c r="Q120" s="309"/>
    </row>
    <row r="121" spans="2:17" x14ac:dyDescent="0.35">
      <c r="B121" s="309"/>
      <c r="C121" s="309"/>
      <c r="D121" s="309"/>
      <c r="E121" s="309"/>
      <c r="F121" s="309"/>
      <c r="G121" s="309"/>
      <c r="H121" s="309"/>
      <c r="I121" s="309"/>
      <c r="J121" s="309"/>
      <c r="K121" s="309"/>
      <c r="L121" s="309"/>
      <c r="M121" s="309"/>
      <c r="N121" s="309"/>
      <c r="O121" s="309"/>
      <c r="P121" s="309"/>
      <c r="Q121" s="309"/>
    </row>
    <row r="122" spans="2:17" x14ac:dyDescent="0.35">
      <c r="B122" s="309"/>
      <c r="C122" s="309"/>
      <c r="D122" s="309"/>
      <c r="E122" s="309"/>
      <c r="F122" s="309"/>
      <c r="G122" s="309"/>
      <c r="H122" s="309"/>
      <c r="I122" s="309"/>
      <c r="J122" s="309"/>
      <c r="K122" s="309"/>
      <c r="L122" s="309"/>
      <c r="M122" s="309"/>
      <c r="N122" s="309"/>
      <c r="O122" s="309"/>
      <c r="P122" s="309"/>
      <c r="Q122" s="309"/>
    </row>
    <row r="123" spans="2:17" x14ac:dyDescent="0.35">
      <c r="B123" s="309"/>
      <c r="C123" s="309"/>
      <c r="D123" s="309"/>
      <c r="E123" s="309"/>
      <c r="F123" s="309"/>
      <c r="G123" s="309"/>
      <c r="H123" s="309"/>
      <c r="I123" s="309"/>
      <c r="J123" s="309"/>
      <c r="K123" s="309"/>
      <c r="L123" s="309"/>
      <c r="M123" s="309"/>
      <c r="N123" s="309"/>
      <c r="O123" s="309"/>
      <c r="P123" s="309"/>
      <c r="Q123" s="309"/>
    </row>
    <row r="124" spans="2:17" x14ac:dyDescent="0.35">
      <c r="B124" s="309"/>
      <c r="C124" s="309"/>
      <c r="D124" s="309"/>
      <c r="E124" s="309"/>
      <c r="F124" s="309"/>
      <c r="G124" s="309"/>
      <c r="H124" s="309"/>
      <c r="I124" s="309"/>
      <c r="J124" s="309"/>
      <c r="K124" s="309"/>
      <c r="L124" s="309"/>
      <c r="M124" s="309"/>
      <c r="N124" s="309"/>
      <c r="O124" s="309"/>
      <c r="P124" s="309"/>
      <c r="Q124" s="309"/>
    </row>
    <row r="125" spans="2:17" x14ac:dyDescent="0.35">
      <c r="B125" s="309"/>
      <c r="C125" s="309"/>
      <c r="D125" s="309"/>
      <c r="E125" s="309"/>
      <c r="F125" s="309"/>
      <c r="G125" s="309"/>
      <c r="H125" s="309"/>
      <c r="I125" s="309"/>
      <c r="J125" s="309"/>
      <c r="K125" s="309"/>
      <c r="L125" s="309"/>
      <c r="M125" s="309"/>
      <c r="N125" s="309"/>
      <c r="O125" s="309"/>
      <c r="P125" s="309"/>
      <c r="Q125" s="309"/>
    </row>
    <row r="126" spans="2:17" x14ac:dyDescent="0.35">
      <c r="B126" s="309"/>
      <c r="C126" s="309"/>
      <c r="D126" s="309"/>
      <c r="E126" s="309"/>
      <c r="F126" s="309"/>
      <c r="G126" s="309"/>
      <c r="H126" s="309"/>
      <c r="I126" s="309"/>
      <c r="J126" s="309"/>
      <c r="K126" s="309"/>
      <c r="L126" s="309"/>
      <c r="M126" s="309"/>
      <c r="N126" s="309"/>
      <c r="O126" s="309"/>
      <c r="P126" s="309"/>
      <c r="Q126" s="309"/>
    </row>
    <row r="127" spans="2:17" x14ac:dyDescent="0.35">
      <c r="B127" s="309"/>
      <c r="C127" s="309"/>
      <c r="D127" s="309"/>
      <c r="E127" s="309"/>
      <c r="F127" s="309"/>
      <c r="G127" s="309"/>
      <c r="H127" s="309"/>
      <c r="I127" s="309"/>
      <c r="J127" s="309"/>
      <c r="K127" s="309"/>
      <c r="L127" s="309"/>
      <c r="M127" s="309"/>
      <c r="N127" s="309"/>
      <c r="O127" s="309"/>
      <c r="P127" s="309"/>
      <c r="Q127" s="309"/>
    </row>
    <row r="128" spans="2:17" x14ac:dyDescent="0.35">
      <c r="B128" s="309"/>
      <c r="C128" s="309"/>
      <c r="D128" s="309"/>
      <c r="E128" s="309"/>
      <c r="F128" s="309"/>
      <c r="G128" s="309"/>
      <c r="H128" s="309"/>
      <c r="I128" s="309"/>
      <c r="J128" s="309"/>
      <c r="K128" s="309"/>
      <c r="L128" s="309"/>
      <c r="M128" s="309"/>
      <c r="N128" s="309"/>
      <c r="O128" s="309"/>
      <c r="P128" s="309"/>
      <c r="Q128" s="309"/>
    </row>
    <row r="129" spans="2:17" x14ac:dyDescent="0.35">
      <c r="B129" s="309"/>
      <c r="C129" s="309"/>
      <c r="D129" s="309"/>
      <c r="E129" s="309"/>
      <c r="F129" s="309"/>
      <c r="G129" s="309"/>
      <c r="H129" s="309"/>
      <c r="I129" s="309"/>
      <c r="J129" s="309"/>
      <c r="K129" s="309"/>
      <c r="L129" s="309"/>
      <c r="M129" s="309"/>
      <c r="N129" s="309"/>
      <c r="O129" s="309"/>
      <c r="P129" s="309"/>
      <c r="Q129" s="309"/>
    </row>
    <row r="130" spans="2:17" x14ac:dyDescent="0.35">
      <c r="B130" s="309"/>
      <c r="C130" s="309"/>
      <c r="D130" s="309"/>
      <c r="E130" s="309"/>
      <c r="F130" s="309"/>
      <c r="G130" s="309"/>
      <c r="H130" s="309"/>
      <c r="I130" s="309"/>
      <c r="J130" s="309"/>
      <c r="K130" s="309"/>
      <c r="L130" s="309"/>
      <c r="M130" s="309"/>
      <c r="N130" s="309"/>
      <c r="O130" s="309"/>
      <c r="P130" s="309"/>
      <c r="Q130" s="309"/>
    </row>
    <row r="131" spans="2:17" x14ac:dyDescent="0.35">
      <c r="B131" s="309"/>
      <c r="C131" s="309"/>
      <c r="D131" s="309"/>
      <c r="E131" s="309"/>
      <c r="F131" s="309"/>
      <c r="G131" s="309"/>
      <c r="H131" s="309"/>
      <c r="I131" s="309"/>
      <c r="J131" s="309"/>
      <c r="K131" s="309"/>
      <c r="L131" s="309"/>
      <c r="M131" s="309"/>
      <c r="N131" s="309"/>
      <c r="O131" s="309"/>
      <c r="P131" s="309"/>
      <c r="Q131" s="309"/>
    </row>
    <row r="132" spans="2:17" x14ac:dyDescent="0.35">
      <c r="B132" s="309"/>
      <c r="C132" s="309"/>
      <c r="D132" s="309"/>
      <c r="E132" s="309"/>
      <c r="F132" s="309"/>
      <c r="G132" s="309"/>
      <c r="H132" s="309"/>
      <c r="I132" s="309"/>
      <c r="J132" s="309"/>
      <c r="K132" s="309"/>
      <c r="L132" s="309"/>
      <c r="M132" s="309"/>
      <c r="N132" s="309"/>
      <c r="O132" s="309"/>
      <c r="P132" s="309"/>
      <c r="Q132" s="309"/>
    </row>
    <row r="133" spans="2:17" x14ac:dyDescent="0.35">
      <c r="B133" s="309"/>
      <c r="C133" s="309"/>
      <c r="D133" s="309"/>
      <c r="E133" s="309"/>
      <c r="F133" s="309"/>
      <c r="G133" s="309"/>
      <c r="H133" s="309"/>
      <c r="I133" s="309"/>
      <c r="J133" s="309"/>
      <c r="K133" s="309"/>
      <c r="L133" s="309"/>
      <c r="M133" s="309"/>
      <c r="N133" s="309"/>
      <c r="O133" s="309"/>
      <c r="P133" s="309"/>
      <c r="Q133" s="309"/>
    </row>
    <row r="134" spans="2:17" x14ac:dyDescent="0.35">
      <c r="B134" s="309"/>
      <c r="C134" s="309"/>
      <c r="D134" s="309"/>
      <c r="E134" s="309"/>
      <c r="F134" s="309"/>
      <c r="G134" s="309"/>
      <c r="H134" s="309"/>
      <c r="I134" s="309"/>
      <c r="J134" s="309"/>
      <c r="K134" s="309"/>
      <c r="L134" s="309"/>
      <c r="M134" s="309"/>
      <c r="N134" s="309"/>
      <c r="O134" s="309"/>
      <c r="P134" s="309"/>
      <c r="Q134" s="309"/>
    </row>
    <row r="135" spans="2:17" x14ac:dyDescent="0.35">
      <c r="B135" s="309"/>
      <c r="C135" s="309"/>
      <c r="D135" s="309"/>
      <c r="E135" s="309"/>
      <c r="F135" s="309"/>
      <c r="G135" s="309"/>
      <c r="H135" s="309"/>
      <c r="I135" s="309"/>
      <c r="J135" s="309"/>
      <c r="K135" s="309"/>
      <c r="L135" s="309"/>
      <c r="M135" s="309"/>
      <c r="N135" s="309"/>
      <c r="O135" s="309"/>
      <c r="P135" s="309"/>
      <c r="Q135" s="309"/>
    </row>
    <row r="136" spans="2:17" x14ac:dyDescent="0.35">
      <c r="B136" s="309"/>
      <c r="C136" s="309"/>
      <c r="D136" s="309"/>
      <c r="E136" s="309"/>
      <c r="F136" s="309"/>
      <c r="G136" s="309"/>
      <c r="H136" s="309"/>
      <c r="I136" s="309"/>
      <c r="J136" s="309"/>
      <c r="K136" s="309"/>
      <c r="L136" s="309"/>
      <c r="M136" s="309"/>
      <c r="N136" s="309"/>
      <c r="O136" s="309"/>
      <c r="P136" s="309"/>
      <c r="Q136" s="309"/>
    </row>
    <row r="137" spans="2:17" x14ac:dyDescent="0.35">
      <c r="B137" s="309"/>
      <c r="C137" s="309"/>
      <c r="D137" s="309"/>
      <c r="E137" s="309"/>
      <c r="F137" s="309"/>
      <c r="G137" s="309"/>
      <c r="H137" s="309"/>
      <c r="I137" s="309"/>
      <c r="J137" s="309"/>
      <c r="K137" s="309"/>
      <c r="L137" s="309"/>
      <c r="M137" s="309"/>
      <c r="N137" s="309"/>
      <c r="O137" s="309"/>
      <c r="P137" s="309"/>
      <c r="Q137" s="309"/>
    </row>
    <row r="138" spans="2:17" x14ac:dyDescent="0.35">
      <c r="B138" s="309"/>
      <c r="C138" s="309"/>
      <c r="D138" s="309"/>
      <c r="E138" s="309"/>
      <c r="F138" s="309"/>
      <c r="G138" s="309"/>
      <c r="H138" s="309"/>
      <c r="I138" s="309"/>
      <c r="J138" s="309"/>
      <c r="K138" s="309"/>
      <c r="L138" s="309"/>
      <c r="M138" s="309"/>
      <c r="N138" s="309"/>
      <c r="O138" s="309"/>
      <c r="P138" s="309"/>
      <c r="Q138" s="309"/>
    </row>
    <row r="139" spans="2:17" x14ac:dyDescent="0.35">
      <c r="B139" s="309"/>
      <c r="C139" s="309"/>
      <c r="D139" s="309"/>
      <c r="E139" s="309"/>
      <c r="F139" s="309"/>
      <c r="G139" s="309"/>
      <c r="H139" s="309"/>
      <c r="I139" s="309"/>
      <c r="J139" s="309"/>
      <c r="K139" s="309"/>
      <c r="L139" s="309"/>
      <c r="M139" s="309"/>
      <c r="N139" s="309"/>
      <c r="O139" s="309"/>
      <c r="P139" s="309"/>
      <c r="Q139" s="309"/>
    </row>
    <row r="140" spans="2:17" x14ac:dyDescent="0.35">
      <c r="B140" s="309"/>
      <c r="C140" s="309"/>
      <c r="D140" s="309"/>
      <c r="E140" s="309"/>
      <c r="F140" s="309"/>
      <c r="G140" s="309"/>
      <c r="H140" s="309"/>
      <c r="I140" s="309"/>
      <c r="J140" s="309"/>
      <c r="K140" s="309"/>
      <c r="L140" s="309"/>
      <c r="M140" s="309"/>
      <c r="N140" s="309"/>
      <c r="O140" s="309"/>
      <c r="P140" s="309"/>
      <c r="Q140" s="309"/>
    </row>
    <row r="141" spans="2:17" x14ac:dyDescent="0.35">
      <c r="B141" s="309"/>
      <c r="C141" s="309"/>
      <c r="D141" s="309"/>
      <c r="E141" s="309"/>
      <c r="F141" s="309"/>
      <c r="G141" s="309"/>
      <c r="H141" s="309"/>
      <c r="I141" s="309"/>
      <c r="J141" s="309"/>
      <c r="K141" s="309"/>
      <c r="L141" s="309"/>
      <c r="M141" s="309"/>
      <c r="N141" s="309"/>
      <c r="O141" s="309"/>
      <c r="P141" s="309"/>
      <c r="Q141" s="309"/>
    </row>
    <row r="142" spans="2:17" x14ac:dyDescent="0.35">
      <c r="B142" s="309"/>
      <c r="C142" s="309"/>
      <c r="D142" s="309"/>
      <c r="E142" s="309"/>
      <c r="F142" s="309"/>
      <c r="G142" s="309"/>
      <c r="H142" s="309"/>
      <c r="I142" s="309"/>
      <c r="J142" s="309"/>
      <c r="K142" s="309"/>
      <c r="L142" s="309"/>
      <c r="M142" s="309"/>
      <c r="N142" s="309"/>
      <c r="O142" s="309"/>
      <c r="P142" s="309"/>
      <c r="Q142" s="309"/>
    </row>
    <row r="143" spans="2:17" x14ac:dyDescent="0.35">
      <c r="B143" s="309"/>
      <c r="C143" s="309"/>
      <c r="D143" s="309"/>
      <c r="E143" s="309"/>
      <c r="F143" s="309"/>
      <c r="G143" s="309"/>
      <c r="H143" s="309"/>
      <c r="I143" s="309"/>
      <c r="J143" s="309"/>
      <c r="K143" s="309"/>
      <c r="L143" s="309"/>
      <c r="M143" s="309"/>
      <c r="N143" s="309"/>
      <c r="O143" s="309"/>
      <c r="P143" s="309"/>
      <c r="Q143" s="309"/>
    </row>
    <row r="144" spans="2:17" x14ac:dyDescent="0.35">
      <c r="B144" s="309"/>
      <c r="C144" s="309"/>
      <c r="D144" s="309"/>
      <c r="E144" s="309"/>
      <c r="F144" s="309"/>
      <c r="G144" s="309"/>
      <c r="H144" s="309"/>
      <c r="I144" s="309"/>
      <c r="J144" s="309"/>
      <c r="K144" s="309"/>
      <c r="L144" s="309"/>
      <c r="M144" s="309"/>
      <c r="N144" s="309"/>
      <c r="O144" s="309"/>
      <c r="P144" s="309"/>
      <c r="Q144" s="309"/>
    </row>
    <row r="145" spans="2:17" x14ac:dyDescent="0.35">
      <c r="B145" s="309"/>
      <c r="C145" s="309"/>
      <c r="D145" s="309"/>
      <c r="E145" s="309"/>
      <c r="F145" s="309"/>
      <c r="G145" s="309"/>
      <c r="H145" s="309"/>
      <c r="I145" s="309"/>
      <c r="J145" s="309"/>
      <c r="K145" s="309"/>
      <c r="L145" s="309"/>
      <c r="M145" s="309"/>
      <c r="N145" s="309"/>
      <c r="O145" s="309"/>
      <c r="P145" s="309"/>
      <c r="Q145" s="309"/>
    </row>
    <row r="146" spans="2:17" x14ac:dyDescent="0.35">
      <c r="B146" s="309"/>
      <c r="C146" s="309"/>
      <c r="D146" s="309"/>
      <c r="E146" s="309"/>
      <c r="F146" s="309"/>
      <c r="G146" s="309"/>
      <c r="H146" s="309"/>
      <c r="I146" s="309"/>
      <c r="J146" s="309"/>
      <c r="K146" s="309"/>
      <c r="L146" s="309"/>
      <c r="M146" s="309"/>
      <c r="N146" s="309"/>
      <c r="O146" s="309"/>
      <c r="P146" s="309"/>
      <c r="Q146" s="309"/>
    </row>
    <row r="147" spans="2:17" x14ac:dyDescent="0.35">
      <c r="B147" s="309"/>
      <c r="C147" s="309"/>
      <c r="D147" s="309"/>
      <c r="E147" s="309"/>
      <c r="F147" s="309"/>
      <c r="G147" s="309"/>
      <c r="H147" s="309"/>
      <c r="I147" s="309"/>
      <c r="J147" s="309"/>
      <c r="K147" s="309"/>
      <c r="L147" s="309"/>
      <c r="M147" s="309"/>
      <c r="N147" s="309"/>
      <c r="O147" s="309"/>
      <c r="P147" s="309"/>
      <c r="Q147" s="309"/>
    </row>
    <row r="148" spans="2:17" x14ac:dyDescent="0.35">
      <c r="B148" s="309"/>
      <c r="C148" s="309"/>
      <c r="D148" s="309"/>
      <c r="E148" s="309"/>
      <c r="F148" s="309"/>
      <c r="G148" s="309"/>
      <c r="H148" s="309"/>
      <c r="I148" s="309"/>
      <c r="J148" s="309"/>
      <c r="K148" s="309"/>
      <c r="L148" s="309"/>
      <c r="M148" s="309"/>
      <c r="N148" s="309"/>
      <c r="O148" s="309"/>
      <c r="P148" s="309"/>
      <c r="Q148" s="309"/>
    </row>
    <row r="149" spans="2:17" x14ac:dyDescent="0.35">
      <c r="B149" s="309"/>
      <c r="C149" s="309"/>
      <c r="D149" s="309"/>
      <c r="E149" s="309"/>
      <c r="F149" s="309"/>
      <c r="G149" s="309"/>
      <c r="H149" s="309"/>
      <c r="I149" s="309"/>
      <c r="J149" s="309"/>
      <c r="K149" s="309"/>
      <c r="L149" s="309"/>
      <c r="M149" s="309"/>
      <c r="N149" s="309"/>
      <c r="O149" s="309"/>
      <c r="P149" s="309"/>
      <c r="Q149" s="309"/>
    </row>
    <row r="150" spans="2:17" x14ac:dyDescent="0.35">
      <c r="B150" s="309"/>
      <c r="C150" s="309"/>
      <c r="D150" s="309"/>
      <c r="E150" s="309"/>
      <c r="F150" s="309"/>
      <c r="G150" s="309"/>
      <c r="H150" s="309"/>
      <c r="I150" s="309"/>
      <c r="J150" s="309"/>
      <c r="K150" s="309"/>
      <c r="L150" s="309"/>
      <c r="M150" s="309"/>
      <c r="N150" s="309"/>
      <c r="O150" s="309"/>
      <c r="P150" s="309"/>
      <c r="Q150" s="309"/>
    </row>
    <row r="151" spans="2:17" x14ac:dyDescent="0.35">
      <c r="B151" s="309"/>
      <c r="C151" s="309"/>
      <c r="D151" s="309"/>
      <c r="E151" s="309"/>
      <c r="F151" s="309"/>
      <c r="G151" s="309"/>
      <c r="H151" s="309"/>
      <c r="I151" s="309"/>
      <c r="J151" s="309"/>
      <c r="K151" s="309"/>
      <c r="L151" s="309"/>
      <c r="M151" s="309"/>
      <c r="N151" s="309"/>
      <c r="O151" s="309"/>
      <c r="P151" s="309"/>
      <c r="Q151" s="309"/>
    </row>
    <row r="152" spans="2:17" x14ac:dyDescent="0.35">
      <c r="B152" s="309"/>
      <c r="C152" s="309"/>
      <c r="D152" s="309"/>
      <c r="E152" s="309"/>
      <c r="F152" s="309"/>
      <c r="G152" s="309"/>
      <c r="H152" s="309"/>
      <c r="I152" s="309"/>
      <c r="J152" s="309"/>
      <c r="K152" s="309"/>
      <c r="L152" s="309"/>
      <c r="M152" s="309"/>
      <c r="N152" s="309"/>
      <c r="O152" s="309"/>
      <c r="P152" s="309"/>
      <c r="Q152" s="309"/>
    </row>
    <row r="153" spans="2:17" x14ac:dyDescent="0.35">
      <c r="B153" s="309"/>
      <c r="C153" s="309"/>
      <c r="D153" s="309"/>
      <c r="E153" s="309"/>
      <c r="F153" s="309"/>
      <c r="G153" s="309"/>
      <c r="H153" s="309"/>
      <c r="I153" s="309"/>
      <c r="J153" s="309"/>
      <c r="K153" s="309"/>
      <c r="L153" s="309"/>
      <c r="M153" s="309"/>
      <c r="N153" s="309"/>
      <c r="O153" s="309"/>
      <c r="P153" s="309"/>
      <c r="Q153" s="309"/>
    </row>
    <row r="154" spans="2:17" x14ac:dyDescent="0.35">
      <c r="B154" s="309"/>
      <c r="C154" s="309"/>
      <c r="D154" s="309"/>
      <c r="E154" s="309"/>
      <c r="F154" s="309"/>
      <c r="G154" s="309"/>
      <c r="H154" s="309"/>
      <c r="I154" s="309"/>
      <c r="J154" s="309"/>
      <c r="K154" s="309"/>
      <c r="L154" s="309"/>
      <c r="M154" s="309"/>
      <c r="N154" s="309"/>
      <c r="O154" s="309"/>
      <c r="P154" s="309"/>
      <c r="Q154" s="309"/>
    </row>
    <row r="155" spans="2:17" x14ac:dyDescent="0.35">
      <c r="B155" s="309"/>
      <c r="C155" s="309"/>
      <c r="D155" s="309"/>
      <c r="E155" s="309"/>
      <c r="F155" s="309"/>
      <c r="G155" s="309"/>
      <c r="H155" s="309"/>
      <c r="I155" s="309"/>
      <c r="J155" s="309"/>
      <c r="K155" s="309"/>
      <c r="L155" s="309"/>
      <c r="M155" s="309"/>
      <c r="N155" s="309"/>
      <c r="O155" s="309"/>
      <c r="P155" s="309"/>
      <c r="Q155" s="309"/>
    </row>
    <row r="156" spans="2:17" x14ac:dyDescent="0.35">
      <c r="B156" s="309"/>
      <c r="C156" s="309"/>
      <c r="D156" s="309"/>
      <c r="E156" s="309"/>
      <c r="F156" s="309"/>
      <c r="G156" s="309"/>
      <c r="H156" s="309"/>
      <c r="I156" s="309"/>
      <c r="J156" s="309"/>
      <c r="K156" s="309"/>
      <c r="L156" s="309"/>
      <c r="M156" s="309"/>
      <c r="N156" s="309"/>
      <c r="O156" s="309"/>
      <c r="P156" s="309"/>
      <c r="Q156" s="309"/>
    </row>
    <row r="157" spans="2:17" x14ac:dyDescent="0.35">
      <c r="B157" s="309"/>
      <c r="C157" s="309"/>
      <c r="D157" s="309"/>
      <c r="E157" s="309"/>
      <c r="F157" s="309"/>
      <c r="G157" s="309"/>
      <c r="H157" s="309"/>
      <c r="I157" s="309"/>
      <c r="J157" s="309"/>
      <c r="K157" s="309"/>
      <c r="L157" s="309"/>
      <c r="M157" s="309"/>
      <c r="N157" s="309"/>
      <c r="O157" s="309"/>
      <c r="P157" s="309"/>
      <c r="Q157" s="309"/>
    </row>
    <row r="158" spans="2:17" x14ac:dyDescent="0.35">
      <c r="B158" s="309"/>
      <c r="C158" s="309"/>
      <c r="D158" s="309"/>
      <c r="E158" s="309"/>
      <c r="F158" s="309"/>
      <c r="G158" s="309"/>
      <c r="H158" s="309"/>
      <c r="I158" s="309"/>
      <c r="J158" s="309"/>
      <c r="K158" s="309"/>
      <c r="L158" s="309"/>
      <c r="M158" s="309"/>
      <c r="N158" s="309"/>
      <c r="O158" s="309"/>
      <c r="P158" s="309"/>
      <c r="Q158" s="309"/>
    </row>
    <row r="159" spans="2:17" x14ac:dyDescent="0.35">
      <c r="B159" s="309"/>
      <c r="C159" s="309"/>
      <c r="D159" s="309"/>
      <c r="E159" s="309"/>
      <c r="F159" s="309"/>
      <c r="G159" s="309"/>
      <c r="H159" s="309"/>
      <c r="I159" s="309"/>
      <c r="J159" s="309"/>
      <c r="K159" s="309"/>
      <c r="L159" s="309"/>
      <c r="M159" s="309"/>
      <c r="N159" s="309"/>
      <c r="O159" s="309"/>
      <c r="P159" s="309"/>
      <c r="Q159" s="309"/>
    </row>
    <row r="160" spans="2:17" x14ac:dyDescent="0.35">
      <c r="B160" s="309"/>
      <c r="C160" s="309"/>
      <c r="D160" s="309"/>
      <c r="E160" s="309"/>
      <c r="F160" s="309"/>
      <c r="G160" s="309"/>
      <c r="H160" s="309"/>
      <c r="I160" s="309"/>
      <c r="J160" s="309"/>
      <c r="K160" s="309"/>
      <c r="L160" s="309"/>
      <c r="M160" s="309"/>
      <c r="N160" s="309"/>
      <c r="O160" s="309"/>
      <c r="P160" s="309"/>
      <c r="Q160" s="309"/>
    </row>
    <row r="161" spans="2:17" x14ac:dyDescent="0.35">
      <c r="B161" s="309"/>
      <c r="C161" s="309"/>
      <c r="D161" s="309"/>
      <c r="E161" s="309"/>
      <c r="F161" s="309"/>
      <c r="G161" s="309"/>
      <c r="H161" s="309"/>
      <c r="I161" s="309"/>
      <c r="J161" s="309"/>
      <c r="K161" s="309"/>
      <c r="L161" s="309"/>
      <c r="M161" s="309"/>
      <c r="N161" s="309"/>
      <c r="O161" s="309"/>
      <c r="P161" s="309"/>
      <c r="Q161" s="309"/>
    </row>
    <row r="162" spans="2:17" x14ac:dyDescent="0.35">
      <c r="B162" s="309"/>
      <c r="C162" s="309"/>
      <c r="D162" s="309"/>
      <c r="E162" s="309"/>
      <c r="F162" s="309"/>
      <c r="G162" s="309"/>
      <c r="H162" s="309"/>
      <c r="I162" s="309"/>
      <c r="J162" s="309"/>
      <c r="K162" s="309"/>
      <c r="L162" s="309"/>
      <c r="M162" s="309"/>
      <c r="N162" s="309"/>
      <c r="O162" s="309"/>
      <c r="P162" s="309"/>
      <c r="Q162" s="309"/>
    </row>
    <row r="163" spans="2:17" x14ac:dyDescent="0.35">
      <c r="B163" s="309"/>
      <c r="C163" s="309"/>
      <c r="D163" s="309"/>
      <c r="E163" s="309"/>
      <c r="F163" s="309"/>
      <c r="G163" s="309"/>
      <c r="H163" s="309"/>
      <c r="I163" s="309"/>
      <c r="J163" s="309"/>
      <c r="K163" s="309"/>
      <c r="L163" s="309"/>
      <c r="M163" s="309"/>
      <c r="N163" s="309"/>
      <c r="O163" s="309"/>
      <c r="P163" s="309"/>
      <c r="Q163" s="309"/>
    </row>
    <row r="164" spans="2:17" x14ac:dyDescent="0.35">
      <c r="B164" s="309"/>
      <c r="C164" s="309"/>
      <c r="D164" s="309"/>
      <c r="E164" s="309"/>
      <c r="F164" s="309"/>
      <c r="G164" s="309"/>
      <c r="H164" s="309"/>
      <c r="I164" s="309"/>
      <c r="J164" s="309"/>
      <c r="K164" s="309"/>
      <c r="L164" s="309"/>
      <c r="M164" s="309"/>
      <c r="N164" s="309"/>
      <c r="O164" s="309"/>
      <c r="P164" s="309"/>
      <c r="Q164" s="309"/>
    </row>
    <row r="165" spans="2:17" x14ac:dyDescent="0.35">
      <c r="B165" s="309"/>
      <c r="C165" s="309"/>
      <c r="D165" s="309"/>
      <c r="E165" s="309"/>
      <c r="F165" s="309"/>
      <c r="G165" s="309"/>
      <c r="H165" s="309"/>
      <c r="I165" s="309"/>
      <c r="J165" s="309"/>
      <c r="K165" s="309"/>
      <c r="L165" s="309"/>
      <c r="M165" s="309"/>
      <c r="N165" s="309"/>
      <c r="O165" s="309"/>
      <c r="P165" s="309"/>
      <c r="Q165" s="309"/>
    </row>
    <row r="166" spans="2:17" x14ac:dyDescent="0.35">
      <c r="B166" s="309"/>
      <c r="C166" s="309"/>
      <c r="D166" s="309"/>
      <c r="E166" s="309"/>
      <c r="F166" s="309"/>
      <c r="G166" s="309"/>
      <c r="H166" s="309"/>
      <c r="I166" s="309"/>
      <c r="J166" s="309"/>
      <c r="K166" s="309"/>
      <c r="L166" s="309"/>
      <c r="M166" s="309"/>
      <c r="N166" s="309"/>
      <c r="O166" s="309"/>
      <c r="P166" s="309"/>
      <c r="Q166" s="309"/>
    </row>
    <row r="167" spans="2:17" x14ac:dyDescent="0.35">
      <c r="B167" s="309"/>
      <c r="C167" s="309"/>
      <c r="D167" s="309"/>
      <c r="E167" s="309"/>
      <c r="F167" s="309"/>
      <c r="G167" s="309"/>
      <c r="H167" s="309"/>
      <c r="I167" s="309"/>
      <c r="J167" s="309"/>
      <c r="K167" s="309"/>
      <c r="L167" s="309"/>
      <c r="M167" s="309"/>
      <c r="N167" s="309"/>
      <c r="O167" s="309"/>
      <c r="P167" s="309"/>
      <c r="Q167" s="309"/>
    </row>
    <row r="168" spans="2:17" x14ac:dyDescent="0.35">
      <c r="B168" s="309"/>
      <c r="C168" s="309"/>
      <c r="D168" s="309"/>
      <c r="E168" s="309"/>
      <c r="F168" s="309"/>
      <c r="G168" s="309"/>
      <c r="H168" s="309"/>
      <c r="I168" s="309"/>
      <c r="J168" s="309"/>
      <c r="K168" s="309"/>
      <c r="L168" s="309"/>
      <c r="M168" s="309"/>
      <c r="N168" s="309"/>
      <c r="O168" s="309"/>
      <c r="P168" s="309"/>
      <c r="Q168" s="309"/>
    </row>
    <row r="169" spans="2:17" x14ac:dyDescent="0.35">
      <c r="B169" s="309"/>
      <c r="C169" s="309"/>
      <c r="D169" s="309"/>
      <c r="E169" s="309"/>
      <c r="F169" s="309"/>
      <c r="G169" s="309"/>
      <c r="H169" s="309"/>
      <c r="I169" s="309"/>
      <c r="J169" s="309"/>
      <c r="K169" s="309"/>
      <c r="L169" s="309"/>
      <c r="M169" s="309"/>
      <c r="N169" s="309"/>
      <c r="O169" s="309"/>
      <c r="P169" s="309"/>
      <c r="Q169" s="309"/>
    </row>
    <row r="170" spans="2:17" x14ac:dyDescent="0.35">
      <c r="B170" s="309"/>
      <c r="C170" s="309"/>
      <c r="D170" s="309"/>
      <c r="E170" s="309"/>
      <c r="F170" s="309"/>
      <c r="G170" s="309"/>
      <c r="H170" s="309"/>
      <c r="I170" s="309"/>
      <c r="J170" s="309"/>
      <c r="K170" s="309"/>
      <c r="L170" s="309"/>
      <c r="M170" s="309"/>
      <c r="N170" s="309"/>
      <c r="O170" s="309"/>
      <c r="P170" s="309"/>
      <c r="Q170" s="309"/>
    </row>
    <row r="171" spans="2:17" x14ac:dyDescent="0.35">
      <c r="B171" s="309"/>
      <c r="C171" s="309"/>
      <c r="D171" s="309"/>
      <c r="E171" s="309"/>
      <c r="F171" s="309"/>
      <c r="G171" s="309"/>
      <c r="H171" s="309"/>
      <c r="I171" s="309"/>
      <c r="J171" s="309"/>
      <c r="K171" s="309"/>
      <c r="L171" s="309"/>
      <c r="M171" s="309"/>
      <c r="N171" s="309"/>
      <c r="O171" s="309"/>
      <c r="P171" s="309"/>
      <c r="Q171" s="309"/>
    </row>
    <row r="172" spans="2:17" x14ac:dyDescent="0.35">
      <c r="B172" s="309"/>
      <c r="C172" s="309"/>
      <c r="D172" s="309"/>
      <c r="E172" s="309"/>
      <c r="F172" s="309"/>
      <c r="G172" s="309"/>
      <c r="H172" s="309"/>
      <c r="I172" s="309"/>
      <c r="J172" s="309"/>
      <c r="K172" s="309"/>
      <c r="L172" s="309"/>
      <c r="M172" s="309"/>
      <c r="N172" s="309"/>
      <c r="O172" s="309"/>
      <c r="P172" s="309"/>
      <c r="Q172" s="309"/>
    </row>
    <row r="173" spans="2:17" x14ac:dyDescent="0.35">
      <c r="B173" s="309"/>
      <c r="C173" s="309"/>
      <c r="D173" s="309"/>
      <c r="E173" s="309"/>
      <c r="F173" s="309"/>
      <c r="G173" s="309"/>
      <c r="H173" s="309"/>
      <c r="I173" s="309"/>
      <c r="J173" s="309"/>
      <c r="K173" s="309"/>
      <c r="L173" s="309"/>
      <c r="M173" s="309"/>
      <c r="N173" s="309"/>
      <c r="O173" s="309"/>
      <c r="P173" s="309"/>
      <c r="Q173" s="309"/>
    </row>
    <row r="174" spans="2:17" x14ac:dyDescent="0.35">
      <c r="B174" s="309"/>
      <c r="C174" s="309"/>
      <c r="D174" s="309"/>
      <c r="E174" s="309"/>
      <c r="F174" s="309"/>
      <c r="G174" s="309"/>
      <c r="H174" s="309"/>
      <c r="I174" s="309"/>
      <c r="J174" s="309"/>
      <c r="K174" s="309"/>
      <c r="L174" s="309"/>
      <c r="M174" s="309"/>
      <c r="N174" s="309"/>
      <c r="O174" s="309"/>
      <c r="P174" s="309"/>
      <c r="Q174" s="309"/>
    </row>
    <row r="175" spans="2:17" x14ac:dyDescent="0.35">
      <c r="B175" s="309"/>
      <c r="C175" s="309"/>
      <c r="D175" s="309"/>
      <c r="E175" s="309"/>
      <c r="F175" s="309"/>
      <c r="G175" s="309"/>
      <c r="H175" s="309"/>
      <c r="I175" s="309"/>
      <c r="J175" s="309"/>
      <c r="K175" s="309"/>
      <c r="L175" s="309"/>
      <c r="M175" s="309"/>
      <c r="N175" s="309"/>
      <c r="O175" s="309"/>
      <c r="P175" s="309"/>
      <c r="Q175" s="309"/>
    </row>
    <row r="176" spans="2:17" x14ac:dyDescent="0.35">
      <c r="B176" s="309"/>
      <c r="C176" s="309"/>
      <c r="D176" s="309"/>
      <c r="E176" s="309"/>
      <c r="F176" s="309"/>
      <c r="G176" s="309"/>
      <c r="H176" s="309"/>
      <c r="I176" s="309"/>
      <c r="J176" s="309"/>
      <c r="K176" s="309"/>
      <c r="L176" s="309"/>
      <c r="M176" s="309"/>
      <c r="N176" s="309"/>
      <c r="O176" s="309"/>
      <c r="P176" s="309"/>
      <c r="Q176" s="309"/>
    </row>
    <row r="177" spans="2:17" x14ac:dyDescent="0.35">
      <c r="B177" s="309"/>
      <c r="C177" s="309"/>
      <c r="D177" s="309"/>
      <c r="E177" s="309"/>
      <c r="F177" s="309"/>
      <c r="G177" s="309"/>
      <c r="H177" s="309"/>
      <c r="I177" s="309"/>
      <c r="J177" s="309"/>
      <c r="K177" s="309"/>
      <c r="L177" s="309"/>
      <c r="M177" s="309"/>
      <c r="N177" s="309"/>
      <c r="O177" s="309"/>
      <c r="P177" s="309"/>
      <c r="Q177" s="309"/>
    </row>
    <row r="178" spans="2:17" x14ac:dyDescent="0.35">
      <c r="B178" s="309"/>
      <c r="C178" s="309"/>
      <c r="D178" s="309"/>
      <c r="E178" s="309"/>
      <c r="F178" s="309"/>
      <c r="G178" s="309"/>
      <c r="H178" s="309"/>
      <c r="I178" s="309"/>
      <c r="J178" s="309"/>
      <c r="K178" s="309"/>
      <c r="L178" s="309"/>
      <c r="M178" s="309"/>
      <c r="N178" s="309"/>
      <c r="O178" s="309"/>
      <c r="P178" s="309"/>
      <c r="Q178" s="309"/>
    </row>
    <row r="179" spans="2:17" x14ac:dyDescent="0.35">
      <c r="B179" s="309"/>
      <c r="C179" s="309"/>
      <c r="D179" s="309"/>
      <c r="E179" s="309"/>
      <c r="F179" s="309"/>
      <c r="G179" s="309"/>
      <c r="H179" s="309"/>
      <c r="I179" s="309"/>
      <c r="J179" s="309"/>
      <c r="K179" s="309"/>
      <c r="L179" s="309"/>
      <c r="M179" s="309"/>
      <c r="N179" s="309"/>
      <c r="O179" s="309"/>
      <c r="P179" s="309"/>
      <c r="Q179" s="309"/>
    </row>
    <row r="180" spans="2:17" x14ac:dyDescent="0.35">
      <c r="B180" s="309"/>
      <c r="C180" s="309"/>
      <c r="D180" s="309"/>
      <c r="E180" s="309"/>
      <c r="F180" s="309"/>
      <c r="G180" s="309"/>
      <c r="H180" s="309"/>
      <c r="I180" s="309"/>
      <c r="J180" s="309"/>
      <c r="K180" s="309"/>
      <c r="L180" s="309"/>
      <c r="M180" s="309"/>
      <c r="N180" s="309"/>
      <c r="O180" s="309"/>
      <c r="P180" s="309"/>
      <c r="Q180" s="309"/>
    </row>
    <row r="181" spans="2:17" x14ac:dyDescent="0.35">
      <c r="B181" s="309"/>
      <c r="C181" s="309"/>
      <c r="D181" s="309"/>
      <c r="E181" s="309"/>
      <c r="F181" s="309"/>
      <c r="G181" s="309"/>
      <c r="H181" s="309"/>
      <c r="I181" s="309"/>
      <c r="J181" s="309"/>
      <c r="K181" s="309"/>
      <c r="L181" s="309"/>
      <c r="M181" s="309"/>
      <c r="N181" s="309"/>
      <c r="O181" s="309"/>
      <c r="P181" s="309"/>
      <c r="Q181" s="309"/>
    </row>
    <row r="182" spans="2:17" x14ac:dyDescent="0.35">
      <c r="B182" s="309"/>
      <c r="C182" s="309"/>
      <c r="D182" s="309"/>
      <c r="E182" s="309"/>
      <c r="F182" s="309"/>
      <c r="G182" s="309"/>
      <c r="H182" s="309"/>
      <c r="I182" s="309"/>
      <c r="J182" s="309"/>
      <c r="K182" s="309"/>
      <c r="L182" s="309"/>
      <c r="M182" s="309"/>
      <c r="N182" s="309"/>
      <c r="O182" s="309"/>
      <c r="P182" s="309"/>
      <c r="Q182" s="309"/>
    </row>
    <row r="183" spans="2:17" x14ac:dyDescent="0.35">
      <c r="B183" s="309"/>
      <c r="C183" s="309"/>
      <c r="D183" s="309"/>
      <c r="E183" s="309"/>
      <c r="F183" s="309"/>
      <c r="G183" s="309"/>
      <c r="H183" s="309"/>
      <c r="I183" s="309"/>
      <c r="J183" s="309"/>
      <c r="K183" s="309"/>
      <c r="L183" s="309"/>
      <c r="M183" s="309"/>
      <c r="N183" s="309"/>
      <c r="O183" s="309"/>
      <c r="P183" s="309"/>
      <c r="Q183" s="309"/>
    </row>
    <row r="184" spans="2:17" x14ac:dyDescent="0.35">
      <c r="B184" s="309"/>
      <c r="C184" s="309"/>
      <c r="D184" s="309"/>
      <c r="E184" s="309"/>
      <c r="F184" s="309"/>
      <c r="G184" s="309"/>
      <c r="H184" s="309"/>
      <c r="I184" s="309"/>
      <c r="J184" s="309"/>
      <c r="K184" s="309"/>
      <c r="L184" s="309"/>
      <c r="M184" s="309"/>
      <c r="N184" s="309"/>
      <c r="O184" s="309"/>
      <c r="P184" s="309"/>
      <c r="Q184" s="309"/>
    </row>
    <row r="185" spans="2:17" x14ac:dyDescent="0.35">
      <c r="B185" s="309"/>
      <c r="C185" s="309"/>
      <c r="D185" s="309"/>
      <c r="E185" s="309"/>
      <c r="F185" s="309"/>
      <c r="G185" s="309"/>
      <c r="H185" s="309"/>
      <c r="I185" s="309"/>
      <c r="J185" s="309"/>
      <c r="K185" s="309"/>
      <c r="L185" s="309"/>
      <c r="M185" s="309"/>
      <c r="N185" s="309"/>
      <c r="O185" s="309"/>
      <c r="P185" s="309"/>
      <c r="Q185" s="309"/>
    </row>
    <row r="186" spans="2:17" x14ac:dyDescent="0.35">
      <c r="B186" s="309"/>
      <c r="C186" s="309"/>
      <c r="D186" s="309"/>
      <c r="E186" s="309"/>
      <c r="F186" s="309"/>
      <c r="G186" s="309"/>
      <c r="H186" s="309"/>
      <c r="I186" s="309"/>
      <c r="J186" s="309"/>
      <c r="K186" s="309"/>
      <c r="L186" s="309"/>
      <c r="M186" s="309"/>
      <c r="N186" s="309"/>
      <c r="O186" s="309"/>
      <c r="P186" s="309"/>
      <c r="Q186" s="309"/>
    </row>
    <row r="187" spans="2:17" x14ac:dyDescent="0.35">
      <c r="B187" s="309"/>
      <c r="C187" s="309"/>
      <c r="D187" s="309"/>
      <c r="E187" s="309"/>
      <c r="F187" s="309"/>
      <c r="G187" s="309"/>
      <c r="H187" s="309"/>
      <c r="I187" s="309"/>
      <c r="J187" s="309"/>
      <c r="K187" s="309"/>
      <c r="L187" s="309"/>
      <c r="M187" s="309"/>
      <c r="N187" s="309"/>
      <c r="O187" s="309"/>
      <c r="P187" s="309"/>
      <c r="Q187" s="309"/>
    </row>
    <row r="188" spans="2:17" x14ac:dyDescent="0.35">
      <c r="B188" s="309"/>
      <c r="C188" s="309"/>
      <c r="D188" s="309"/>
      <c r="E188" s="309"/>
      <c r="F188" s="309"/>
      <c r="G188" s="309"/>
      <c r="H188" s="309"/>
      <c r="I188" s="309"/>
      <c r="J188" s="309"/>
      <c r="K188" s="309"/>
      <c r="L188" s="309"/>
      <c r="M188" s="309"/>
      <c r="N188" s="309"/>
      <c r="O188" s="309"/>
      <c r="P188" s="309"/>
      <c r="Q188" s="309"/>
    </row>
    <row r="189" spans="2:17" x14ac:dyDescent="0.35">
      <c r="B189" s="309"/>
      <c r="C189" s="309"/>
      <c r="D189" s="309"/>
      <c r="E189" s="309"/>
      <c r="F189" s="309"/>
      <c r="G189" s="309"/>
      <c r="H189" s="309"/>
      <c r="I189" s="309"/>
      <c r="J189" s="309"/>
      <c r="K189" s="309"/>
      <c r="L189" s="309"/>
      <c r="M189" s="309"/>
      <c r="N189" s="309"/>
      <c r="O189" s="309"/>
      <c r="P189" s="309"/>
      <c r="Q189" s="309"/>
    </row>
    <row r="190" spans="2:17" x14ac:dyDescent="0.35">
      <c r="B190" s="309"/>
      <c r="C190" s="309"/>
      <c r="D190" s="309"/>
      <c r="E190" s="309"/>
      <c r="F190" s="309"/>
      <c r="G190" s="309"/>
      <c r="H190" s="309"/>
      <c r="I190" s="309"/>
      <c r="J190" s="309"/>
      <c r="K190" s="309"/>
      <c r="L190" s="309"/>
      <c r="M190" s="309"/>
      <c r="N190" s="309"/>
      <c r="O190" s="309"/>
      <c r="P190" s="309"/>
      <c r="Q190" s="309"/>
    </row>
    <row r="191" spans="2:17" x14ac:dyDescent="0.35">
      <c r="B191" s="309"/>
      <c r="C191" s="309"/>
      <c r="D191" s="309"/>
      <c r="E191" s="309"/>
      <c r="F191" s="309"/>
      <c r="G191" s="309"/>
      <c r="H191" s="309"/>
      <c r="I191" s="309"/>
      <c r="J191" s="309"/>
      <c r="K191" s="309"/>
      <c r="L191" s="309"/>
      <c r="M191" s="309"/>
      <c r="N191" s="309"/>
      <c r="O191" s="309"/>
      <c r="P191" s="309"/>
      <c r="Q191" s="309"/>
    </row>
    <row r="192" spans="2:17" x14ac:dyDescent="0.35">
      <c r="B192" s="309"/>
      <c r="C192" s="309"/>
      <c r="D192" s="309"/>
      <c r="E192" s="309"/>
      <c r="F192" s="309"/>
      <c r="G192" s="309"/>
      <c r="H192" s="309"/>
      <c r="I192" s="309"/>
      <c r="J192" s="309"/>
      <c r="K192" s="309"/>
      <c r="L192" s="309"/>
      <c r="M192" s="309"/>
      <c r="N192" s="309"/>
      <c r="O192" s="309"/>
      <c r="P192" s="309"/>
      <c r="Q192" s="309"/>
    </row>
    <row r="193" spans="2:17" x14ac:dyDescent="0.35">
      <c r="B193" s="309"/>
      <c r="C193" s="309"/>
      <c r="D193" s="309"/>
      <c r="E193" s="309"/>
      <c r="F193" s="309"/>
      <c r="G193" s="309"/>
      <c r="H193" s="309"/>
      <c r="I193" s="309"/>
      <c r="J193" s="309"/>
      <c r="K193" s="309"/>
      <c r="L193" s="309"/>
      <c r="M193" s="309"/>
      <c r="N193" s="309"/>
      <c r="O193" s="309"/>
      <c r="P193" s="309"/>
      <c r="Q193" s="309"/>
    </row>
    <row r="194" spans="2:17" x14ac:dyDescent="0.35">
      <c r="B194" s="309"/>
      <c r="C194" s="309"/>
      <c r="D194" s="309"/>
      <c r="E194" s="309"/>
      <c r="F194" s="309"/>
      <c r="G194" s="309"/>
      <c r="H194" s="309"/>
      <c r="I194" s="309"/>
      <c r="J194" s="309"/>
      <c r="K194" s="309"/>
      <c r="L194" s="309"/>
      <c r="M194" s="309"/>
      <c r="N194" s="309"/>
      <c r="O194" s="309"/>
      <c r="P194" s="309"/>
      <c r="Q194" s="309"/>
    </row>
    <row r="195" spans="2:17" x14ac:dyDescent="0.35">
      <c r="B195" s="309"/>
      <c r="C195" s="309"/>
      <c r="D195" s="309"/>
      <c r="E195" s="309"/>
      <c r="F195" s="309"/>
      <c r="G195" s="309"/>
      <c r="H195" s="309"/>
      <c r="I195" s="309"/>
      <c r="J195" s="309"/>
      <c r="K195" s="309"/>
      <c r="L195" s="309"/>
      <c r="M195" s="309"/>
      <c r="N195" s="309"/>
      <c r="O195" s="309"/>
      <c r="P195" s="309"/>
      <c r="Q195" s="309"/>
    </row>
    <row r="196" spans="2:17" x14ac:dyDescent="0.35">
      <c r="B196" s="309"/>
      <c r="C196" s="309"/>
      <c r="D196" s="309"/>
      <c r="E196" s="309"/>
      <c r="F196" s="309"/>
      <c r="G196" s="309"/>
      <c r="H196" s="309"/>
      <c r="I196" s="309"/>
      <c r="J196" s="309"/>
      <c r="K196" s="309"/>
      <c r="L196" s="309"/>
      <c r="M196" s="309"/>
      <c r="N196" s="309"/>
      <c r="O196" s="309"/>
      <c r="P196" s="309"/>
      <c r="Q196" s="309"/>
    </row>
    <row r="197" spans="2:17" x14ac:dyDescent="0.35">
      <c r="B197" s="309"/>
      <c r="C197" s="309"/>
      <c r="D197" s="309"/>
      <c r="E197" s="309"/>
      <c r="F197" s="309"/>
      <c r="G197" s="309"/>
      <c r="H197" s="309"/>
      <c r="I197" s="309"/>
      <c r="J197" s="309"/>
      <c r="K197" s="309"/>
      <c r="L197" s="309"/>
      <c r="M197" s="309"/>
      <c r="N197" s="309"/>
      <c r="O197" s="309"/>
      <c r="P197" s="309"/>
      <c r="Q197" s="309"/>
    </row>
    <row r="198" spans="2:17" x14ac:dyDescent="0.35">
      <c r="B198" s="309"/>
      <c r="C198" s="309"/>
      <c r="D198" s="309"/>
      <c r="E198" s="309"/>
      <c r="F198" s="309"/>
      <c r="G198" s="309"/>
      <c r="H198" s="309"/>
      <c r="I198" s="309"/>
      <c r="J198" s="309"/>
      <c r="K198" s="309"/>
      <c r="L198" s="309"/>
      <c r="M198" s="309"/>
      <c r="N198" s="309"/>
      <c r="O198" s="309"/>
      <c r="P198" s="309"/>
      <c r="Q198" s="309"/>
    </row>
    <row r="199" spans="2:17" x14ac:dyDescent="0.35">
      <c r="B199" s="309"/>
      <c r="C199" s="309"/>
      <c r="D199" s="309"/>
      <c r="E199" s="309"/>
      <c r="F199" s="309"/>
      <c r="G199" s="309"/>
      <c r="H199" s="309"/>
      <c r="I199" s="309"/>
      <c r="J199" s="309"/>
      <c r="K199" s="309"/>
      <c r="L199" s="309"/>
      <c r="M199" s="309"/>
      <c r="N199" s="309"/>
      <c r="O199" s="309"/>
      <c r="P199" s="309"/>
      <c r="Q199" s="309"/>
    </row>
    <row r="200" spans="2:17" x14ac:dyDescent="0.35">
      <c r="B200" s="309"/>
      <c r="C200" s="309"/>
      <c r="D200" s="309"/>
      <c r="E200" s="309"/>
      <c r="F200" s="309"/>
      <c r="G200" s="309"/>
      <c r="H200" s="309"/>
      <c r="I200" s="309"/>
      <c r="J200" s="309"/>
      <c r="K200" s="309"/>
      <c r="L200" s="309"/>
      <c r="M200" s="309"/>
      <c r="N200" s="309"/>
      <c r="O200" s="309"/>
      <c r="P200" s="309"/>
      <c r="Q200" s="309"/>
    </row>
    <row r="201" spans="2:17" x14ac:dyDescent="0.35">
      <c r="B201" s="309"/>
      <c r="C201" s="309"/>
      <c r="D201" s="309"/>
      <c r="E201" s="309"/>
      <c r="F201" s="309"/>
      <c r="G201" s="309"/>
      <c r="H201" s="309"/>
      <c r="I201" s="309"/>
      <c r="J201" s="309"/>
      <c r="K201" s="309"/>
      <c r="L201" s="309"/>
      <c r="M201" s="309"/>
      <c r="N201" s="309"/>
      <c r="O201" s="309"/>
      <c r="P201" s="309"/>
      <c r="Q201" s="309"/>
    </row>
    <row r="202" spans="2:17" x14ac:dyDescent="0.35">
      <c r="B202" s="309"/>
      <c r="C202" s="309"/>
      <c r="D202" s="309"/>
      <c r="E202" s="309"/>
      <c r="F202" s="309"/>
      <c r="G202" s="309"/>
      <c r="H202" s="309"/>
      <c r="I202" s="309"/>
      <c r="J202" s="309"/>
      <c r="K202" s="309"/>
      <c r="L202" s="309"/>
      <c r="M202" s="309"/>
      <c r="N202" s="309"/>
      <c r="O202" s="309"/>
      <c r="P202" s="309"/>
      <c r="Q202" s="309"/>
    </row>
    <row r="203" spans="2:17" x14ac:dyDescent="0.35">
      <c r="B203" s="309"/>
      <c r="C203" s="309"/>
      <c r="D203" s="309"/>
      <c r="E203" s="309"/>
      <c r="F203" s="309"/>
      <c r="G203" s="309"/>
      <c r="H203" s="309"/>
      <c r="I203" s="309"/>
      <c r="J203" s="309"/>
      <c r="K203" s="309"/>
      <c r="L203" s="309"/>
      <c r="M203" s="309"/>
      <c r="N203" s="309"/>
      <c r="O203" s="309"/>
      <c r="P203" s="309"/>
      <c r="Q203" s="309"/>
    </row>
    <row r="204" spans="2:17" x14ac:dyDescent="0.35">
      <c r="B204" s="309"/>
      <c r="C204" s="309"/>
      <c r="D204" s="309"/>
      <c r="E204" s="309"/>
      <c r="F204" s="309"/>
      <c r="G204" s="309"/>
      <c r="H204" s="309"/>
      <c r="I204" s="309"/>
      <c r="J204" s="309"/>
      <c r="K204" s="309"/>
      <c r="L204" s="309"/>
      <c r="M204" s="309"/>
      <c r="N204" s="309"/>
      <c r="O204" s="309"/>
      <c r="P204" s="309"/>
      <c r="Q204" s="309"/>
    </row>
    <row r="205" spans="2:17" x14ac:dyDescent="0.35">
      <c r="B205" s="309"/>
      <c r="C205" s="309"/>
      <c r="D205" s="309"/>
      <c r="E205" s="309"/>
      <c r="F205" s="309"/>
      <c r="G205" s="309"/>
      <c r="H205" s="309"/>
      <c r="I205" s="309"/>
      <c r="J205" s="309"/>
      <c r="K205" s="309"/>
      <c r="L205" s="309"/>
      <c r="M205" s="309"/>
      <c r="N205" s="309"/>
      <c r="O205" s="309"/>
      <c r="P205" s="309"/>
      <c r="Q205" s="309"/>
    </row>
    <row r="206" spans="2:17" x14ac:dyDescent="0.35">
      <c r="B206" s="309"/>
      <c r="C206" s="309"/>
      <c r="D206" s="309"/>
      <c r="E206" s="309"/>
      <c r="F206" s="309"/>
      <c r="G206" s="309"/>
      <c r="H206" s="309"/>
      <c r="I206" s="309"/>
      <c r="J206" s="309"/>
      <c r="K206" s="309"/>
      <c r="L206" s="309"/>
      <c r="M206" s="309"/>
      <c r="N206" s="309"/>
      <c r="O206" s="309"/>
      <c r="P206" s="309"/>
      <c r="Q206" s="309"/>
    </row>
    <row r="207" spans="2:17" x14ac:dyDescent="0.35">
      <c r="B207" s="309"/>
      <c r="C207" s="309"/>
      <c r="D207" s="309"/>
      <c r="E207" s="309"/>
      <c r="F207" s="309"/>
      <c r="G207" s="309"/>
      <c r="H207" s="309"/>
      <c r="I207" s="309"/>
      <c r="J207" s="309"/>
      <c r="K207" s="309"/>
      <c r="L207" s="309"/>
      <c r="M207" s="309"/>
      <c r="N207" s="309"/>
      <c r="O207" s="309"/>
      <c r="P207" s="309"/>
      <c r="Q207" s="309"/>
    </row>
    <row r="208" spans="2:17" x14ac:dyDescent="0.35">
      <c r="B208" s="309"/>
      <c r="C208" s="309"/>
      <c r="D208" s="309"/>
      <c r="E208" s="309"/>
      <c r="F208" s="309"/>
      <c r="G208" s="309"/>
      <c r="H208" s="309"/>
      <c r="I208" s="309"/>
      <c r="J208" s="309"/>
      <c r="K208" s="309"/>
      <c r="L208" s="309"/>
      <c r="M208" s="309"/>
      <c r="N208" s="309"/>
      <c r="O208" s="309"/>
      <c r="P208" s="309"/>
      <c r="Q208" s="309"/>
    </row>
    <row r="209" spans="2:17" x14ac:dyDescent="0.35">
      <c r="B209" s="309"/>
      <c r="C209" s="309"/>
      <c r="D209" s="309"/>
      <c r="E209" s="309"/>
      <c r="F209" s="309"/>
      <c r="G209" s="309"/>
      <c r="H209" s="309"/>
      <c r="I209" s="309"/>
      <c r="J209" s="309"/>
      <c r="K209" s="309"/>
      <c r="L209" s="309"/>
      <c r="M209" s="309"/>
      <c r="N209" s="309"/>
      <c r="O209" s="309"/>
      <c r="P209" s="309"/>
      <c r="Q209" s="309"/>
    </row>
    <row r="210" spans="2:17" x14ac:dyDescent="0.35">
      <c r="B210" s="309"/>
      <c r="C210" s="309"/>
      <c r="D210" s="309"/>
      <c r="E210" s="309"/>
      <c r="F210" s="309"/>
      <c r="G210" s="309"/>
      <c r="H210" s="309"/>
      <c r="I210" s="309"/>
      <c r="J210" s="309"/>
      <c r="K210" s="309"/>
      <c r="L210" s="309"/>
      <c r="M210" s="309"/>
      <c r="N210" s="309"/>
      <c r="O210" s="309"/>
      <c r="P210" s="309"/>
      <c r="Q210" s="309"/>
    </row>
    <row r="211" spans="2:17" x14ac:dyDescent="0.35">
      <c r="B211" s="309"/>
      <c r="C211" s="309"/>
      <c r="D211" s="309"/>
      <c r="E211" s="309"/>
      <c r="F211" s="309"/>
      <c r="G211" s="309"/>
      <c r="H211" s="309"/>
      <c r="I211" s="309"/>
      <c r="J211" s="309"/>
      <c r="K211" s="309"/>
      <c r="L211" s="309"/>
      <c r="M211" s="309"/>
      <c r="N211" s="309"/>
      <c r="O211" s="309"/>
      <c r="P211" s="309"/>
      <c r="Q211" s="309"/>
    </row>
    <row r="212" spans="2:17" x14ac:dyDescent="0.35">
      <c r="B212" s="309"/>
      <c r="C212" s="309"/>
      <c r="D212" s="309"/>
      <c r="E212" s="309"/>
      <c r="F212" s="309"/>
      <c r="G212" s="309"/>
      <c r="H212" s="309"/>
      <c r="I212" s="309"/>
      <c r="J212" s="309"/>
      <c r="K212" s="309"/>
      <c r="L212" s="309"/>
      <c r="M212" s="309"/>
      <c r="N212" s="309"/>
      <c r="O212" s="309"/>
      <c r="P212" s="309"/>
      <c r="Q212" s="309"/>
    </row>
    <row r="213" spans="2:17" x14ac:dyDescent="0.35">
      <c r="B213" s="309"/>
      <c r="C213" s="309"/>
      <c r="D213" s="309"/>
      <c r="E213" s="309"/>
      <c r="F213" s="309"/>
      <c r="G213" s="309"/>
      <c r="H213" s="309"/>
      <c r="I213" s="309"/>
      <c r="J213" s="309"/>
      <c r="K213" s="309"/>
      <c r="L213" s="309"/>
      <c r="M213" s="309"/>
      <c r="N213" s="309"/>
      <c r="O213" s="309"/>
      <c r="P213" s="309"/>
      <c r="Q213" s="309"/>
    </row>
    <row r="214" spans="2:17" x14ac:dyDescent="0.35">
      <c r="B214" s="309"/>
      <c r="C214" s="309"/>
      <c r="D214" s="309"/>
      <c r="E214" s="309"/>
      <c r="F214" s="309"/>
      <c r="G214" s="309"/>
      <c r="H214" s="309"/>
      <c r="I214" s="309"/>
      <c r="J214" s="309"/>
      <c r="K214" s="309"/>
      <c r="L214" s="309"/>
      <c r="M214" s="309"/>
      <c r="N214" s="309"/>
      <c r="O214" s="309"/>
      <c r="P214" s="309"/>
      <c r="Q214" s="309"/>
    </row>
    <row r="215" spans="2:17" x14ac:dyDescent="0.35">
      <c r="B215" s="309"/>
      <c r="C215" s="309"/>
      <c r="D215" s="309"/>
      <c r="E215" s="309"/>
      <c r="F215" s="309"/>
      <c r="G215" s="309"/>
      <c r="H215" s="309"/>
      <c r="I215" s="309"/>
      <c r="J215" s="309"/>
      <c r="K215" s="309"/>
      <c r="L215" s="309"/>
      <c r="M215" s="309"/>
      <c r="N215" s="309"/>
      <c r="O215" s="309"/>
      <c r="P215" s="309"/>
      <c r="Q215" s="309"/>
    </row>
    <row r="216" spans="2:17" x14ac:dyDescent="0.35">
      <c r="B216" s="309"/>
      <c r="C216" s="309"/>
      <c r="D216" s="309"/>
      <c r="E216" s="309"/>
      <c r="F216" s="309"/>
      <c r="G216" s="309"/>
      <c r="H216" s="309"/>
      <c r="I216" s="309"/>
      <c r="J216" s="309"/>
      <c r="K216" s="309"/>
      <c r="L216" s="309"/>
      <c r="M216" s="309"/>
      <c r="N216" s="309"/>
      <c r="O216" s="309"/>
      <c r="P216" s="309"/>
      <c r="Q216" s="309"/>
    </row>
    <row r="217" spans="2:17" x14ac:dyDescent="0.35">
      <c r="B217" s="309"/>
      <c r="C217" s="309"/>
      <c r="D217" s="309"/>
      <c r="E217" s="309"/>
      <c r="F217" s="309"/>
      <c r="G217" s="309"/>
      <c r="H217" s="309"/>
      <c r="I217" s="309"/>
      <c r="J217" s="309"/>
      <c r="K217" s="309"/>
      <c r="L217" s="309"/>
      <c r="M217" s="309"/>
      <c r="N217" s="309"/>
      <c r="O217" s="309"/>
      <c r="P217" s="309"/>
      <c r="Q217" s="309"/>
    </row>
    <row r="218" spans="2:17" x14ac:dyDescent="0.35">
      <c r="B218" s="309"/>
      <c r="C218" s="309"/>
      <c r="D218" s="309"/>
      <c r="E218" s="309"/>
      <c r="F218" s="309"/>
      <c r="G218" s="309"/>
      <c r="H218" s="309"/>
      <c r="I218" s="309"/>
      <c r="J218" s="309"/>
      <c r="K218" s="309"/>
      <c r="L218" s="309"/>
      <c r="M218" s="309"/>
      <c r="N218" s="309"/>
      <c r="O218" s="309"/>
      <c r="P218" s="309"/>
      <c r="Q218" s="309"/>
    </row>
    <row r="219" spans="2:17" x14ac:dyDescent="0.35">
      <c r="B219" s="309"/>
      <c r="C219" s="309"/>
      <c r="D219" s="309"/>
      <c r="E219" s="309"/>
      <c r="F219" s="309"/>
      <c r="G219" s="309"/>
      <c r="H219" s="309"/>
      <c r="I219" s="309"/>
      <c r="J219" s="309"/>
      <c r="K219" s="309"/>
      <c r="L219" s="309"/>
      <c r="M219" s="309"/>
      <c r="N219" s="309"/>
      <c r="O219" s="309"/>
      <c r="P219" s="309"/>
      <c r="Q219" s="309"/>
    </row>
    <row r="220" spans="2:17" x14ac:dyDescent="0.35">
      <c r="B220" s="309"/>
      <c r="C220" s="309"/>
      <c r="D220" s="309"/>
      <c r="E220" s="309"/>
      <c r="F220" s="309"/>
      <c r="G220" s="309"/>
      <c r="H220" s="309"/>
      <c r="I220" s="309"/>
      <c r="J220" s="309"/>
      <c r="K220" s="309"/>
      <c r="L220" s="309"/>
      <c r="M220" s="309"/>
      <c r="N220" s="309"/>
      <c r="O220" s="309"/>
      <c r="P220" s="309"/>
      <c r="Q220" s="309"/>
    </row>
    <row r="221" spans="2:17" x14ac:dyDescent="0.35">
      <c r="B221" s="309"/>
      <c r="C221" s="309"/>
      <c r="D221" s="309"/>
      <c r="E221" s="309"/>
      <c r="F221" s="309"/>
      <c r="G221" s="309"/>
      <c r="H221" s="309"/>
      <c r="I221" s="309"/>
      <c r="J221" s="309"/>
      <c r="K221" s="309"/>
      <c r="L221" s="309"/>
      <c r="M221" s="309"/>
      <c r="N221" s="309"/>
      <c r="O221" s="309"/>
      <c r="P221" s="309"/>
      <c r="Q221" s="309"/>
    </row>
    <row r="222" spans="2:17" x14ac:dyDescent="0.35">
      <c r="B222" s="309"/>
      <c r="C222" s="309"/>
      <c r="D222" s="309"/>
      <c r="E222" s="309"/>
      <c r="F222" s="309"/>
      <c r="G222" s="309"/>
      <c r="H222" s="309"/>
      <c r="I222" s="309"/>
      <c r="J222" s="309"/>
      <c r="K222" s="309"/>
      <c r="L222" s="309"/>
      <c r="M222" s="309"/>
      <c r="N222" s="309"/>
      <c r="O222" s="309"/>
      <c r="P222" s="309"/>
      <c r="Q222" s="309"/>
    </row>
    <row r="223" spans="2:17" x14ac:dyDescent="0.35">
      <c r="B223" s="309"/>
      <c r="C223" s="309"/>
      <c r="D223" s="309"/>
      <c r="E223" s="309"/>
      <c r="F223" s="309"/>
      <c r="G223" s="309"/>
      <c r="H223" s="309"/>
      <c r="I223" s="309"/>
      <c r="J223" s="309"/>
      <c r="K223" s="309"/>
      <c r="L223" s="309"/>
      <c r="M223" s="309"/>
      <c r="N223" s="309"/>
      <c r="O223" s="309"/>
      <c r="P223" s="309"/>
      <c r="Q223" s="309"/>
    </row>
    <row r="224" spans="2:17" x14ac:dyDescent="0.35">
      <c r="B224" s="309"/>
      <c r="C224" s="309"/>
      <c r="D224" s="309"/>
      <c r="E224" s="309"/>
      <c r="F224" s="309"/>
      <c r="G224" s="309"/>
      <c r="H224" s="309"/>
      <c r="I224" s="309"/>
      <c r="J224" s="309"/>
      <c r="K224" s="309"/>
      <c r="L224" s="309"/>
      <c r="M224" s="309"/>
      <c r="N224" s="309"/>
      <c r="O224" s="309"/>
      <c r="P224" s="309"/>
      <c r="Q224" s="309"/>
    </row>
    <row r="225" spans="2:17" x14ac:dyDescent="0.35">
      <c r="B225" s="309"/>
      <c r="C225" s="309"/>
      <c r="D225" s="309"/>
      <c r="E225" s="309"/>
      <c r="F225" s="309"/>
      <c r="G225" s="309"/>
      <c r="H225" s="309"/>
      <c r="I225" s="309"/>
      <c r="J225" s="309"/>
      <c r="K225" s="309"/>
      <c r="L225" s="309"/>
      <c r="M225" s="309"/>
      <c r="N225" s="309"/>
      <c r="O225" s="309"/>
      <c r="P225" s="309"/>
      <c r="Q225" s="309"/>
    </row>
    <row r="226" spans="2:17" x14ac:dyDescent="0.35">
      <c r="B226" s="309"/>
      <c r="C226" s="309"/>
      <c r="D226" s="309"/>
      <c r="E226" s="309"/>
      <c r="F226" s="309"/>
      <c r="G226" s="309"/>
      <c r="H226" s="309"/>
      <c r="I226" s="309"/>
      <c r="J226" s="309"/>
      <c r="K226" s="309"/>
      <c r="L226" s="309"/>
      <c r="M226" s="309"/>
      <c r="N226" s="309"/>
      <c r="O226" s="309"/>
      <c r="P226" s="309"/>
      <c r="Q226" s="309"/>
    </row>
    <row r="227" spans="2:17" x14ac:dyDescent="0.35">
      <c r="B227" s="309"/>
      <c r="C227" s="309"/>
      <c r="D227" s="309"/>
      <c r="E227" s="309"/>
      <c r="F227" s="309"/>
      <c r="G227" s="309"/>
      <c r="H227" s="309"/>
      <c r="I227" s="309"/>
      <c r="J227" s="309"/>
      <c r="K227" s="309"/>
      <c r="L227" s="309"/>
      <c r="M227" s="309"/>
      <c r="N227" s="309"/>
      <c r="O227" s="309"/>
      <c r="P227" s="309"/>
      <c r="Q227" s="309"/>
    </row>
    <row r="228" spans="2:17" x14ac:dyDescent="0.35">
      <c r="B228" s="309"/>
      <c r="C228" s="309"/>
      <c r="D228" s="309"/>
      <c r="E228" s="309"/>
      <c r="F228" s="309"/>
      <c r="G228" s="309"/>
      <c r="H228" s="309"/>
      <c r="I228" s="309"/>
      <c r="J228" s="309"/>
      <c r="K228" s="309"/>
      <c r="L228" s="309"/>
      <c r="M228" s="309"/>
      <c r="N228" s="309"/>
      <c r="O228" s="309"/>
      <c r="P228" s="309"/>
      <c r="Q228" s="309"/>
    </row>
    <row r="229" spans="2:17" x14ac:dyDescent="0.35">
      <c r="B229" s="309"/>
      <c r="C229" s="309"/>
      <c r="D229" s="309"/>
      <c r="E229" s="309"/>
      <c r="F229" s="309"/>
      <c r="G229" s="309"/>
      <c r="H229" s="309"/>
      <c r="I229" s="309"/>
      <c r="J229" s="309"/>
      <c r="K229" s="309"/>
      <c r="L229" s="309"/>
      <c r="M229" s="309"/>
      <c r="N229" s="309"/>
      <c r="O229" s="309"/>
      <c r="P229" s="309"/>
      <c r="Q229" s="309"/>
    </row>
    <row r="230" spans="2:17" x14ac:dyDescent="0.35">
      <c r="B230" s="309"/>
      <c r="C230" s="309"/>
      <c r="D230" s="309"/>
      <c r="E230" s="309"/>
      <c r="F230" s="309"/>
      <c r="G230" s="309"/>
      <c r="H230" s="309"/>
      <c r="I230" s="309"/>
      <c r="J230" s="309"/>
      <c r="K230" s="309"/>
      <c r="L230" s="309"/>
      <c r="M230" s="309"/>
      <c r="N230" s="309"/>
      <c r="O230" s="309"/>
      <c r="P230" s="309"/>
      <c r="Q230" s="309"/>
    </row>
    <row r="231" spans="2:17" x14ac:dyDescent="0.35">
      <c r="B231" s="309"/>
      <c r="C231" s="309"/>
      <c r="D231" s="309"/>
      <c r="E231" s="309"/>
      <c r="F231" s="309"/>
      <c r="G231" s="309"/>
      <c r="H231" s="309"/>
      <c r="I231" s="309"/>
      <c r="J231" s="309"/>
      <c r="K231" s="309"/>
      <c r="L231" s="309"/>
      <c r="M231" s="309"/>
      <c r="N231" s="309"/>
      <c r="O231" s="309"/>
      <c r="P231" s="309"/>
      <c r="Q231" s="309"/>
    </row>
    <row r="232" spans="2:17" x14ac:dyDescent="0.35">
      <c r="B232" s="309"/>
      <c r="C232" s="309"/>
      <c r="D232" s="309"/>
      <c r="E232" s="309"/>
      <c r="F232" s="309"/>
      <c r="G232" s="309"/>
      <c r="H232" s="309"/>
      <c r="I232" s="309"/>
      <c r="J232" s="309"/>
      <c r="K232" s="309"/>
      <c r="L232" s="309"/>
      <c r="M232" s="309"/>
      <c r="N232" s="309"/>
      <c r="O232" s="309"/>
      <c r="P232" s="309"/>
      <c r="Q232" s="309"/>
    </row>
    <row r="233" spans="2:17" x14ac:dyDescent="0.35">
      <c r="B233" s="309"/>
      <c r="C233" s="309"/>
      <c r="D233" s="309"/>
      <c r="E233" s="309"/>
      <c r="F233" s="309"/>
      <c r="G233" s="309"/>
      <c r="H233" s="309"/>
      <c r="I233" s="309"/>
      <c r="J233" s="309"/>
      <c r="K233" s="309"/>
      <c r="L233" s="309"/>
      <c r="M233" s="309"/>
      <c r="N233" s="309"/>
      <c r="O233" s="309"/>
      <c r="P233" s="309"/>
      <c r="Q233" s="309"/>
    </row>
    <row r="234" spans="2:17" x14ac:dyDescent="0.35">
      <c r="B234" s="309"/>
      <c r="C234" s="309"/>
      <c r="D234" s="309"/>
      <c r="E234" s="309"/>
      <c r="F234" s="309"/>
      <c r="G234" s="309"/>
      <c r="H234" s="309"/>
      <c r="I234" s="309"/>
      <c r="J234" s="309"/>
      <c r="K234" s="309"/>
      <c r="L234" s="309"/>
      <c r="M234" s="309"/>
      <c r="N234" s="309"/>
      <c r="O234" s="309"/>
      <c r="P234" s="309"/>
      <c r="Q234" s="309"/>
    </row>
    <row r="235" spans="2:17" x14ac:dyDescent="0.35">
      <c r="B235" s="309"/>
      <c r="C235" s="309"/>
      <c r="D235" s="309"/>
      <c r="E235" s="309"/>
      <c r="F235" s="309"/>
      <c r="G235" s="309"/>
      <c r="H235" s="309"/>
      <c r="I235" s="309"/>
      <c r="J235" s="309"/>
      <c r="K235" s="309"/>
      <c r="L235" s="309"/>
      <c r="M235" s="309"/>
      <c r="N235" s="309"/>
      <c r="O235" s="309"/>
      <c r="P235" s="309"/>
      <c r="Q235" s="309"/>
    </row>
    <row r="236" spans="2:17" x14ac:dyDescent="0.35">
      <c r="B236" s="309"/>
      <c r="C236" s="309"/>
      <c r="D236" s="309"/>
      <c r="E236" s="309"/>
      <c r="F236" s="309"/>
      <c r="G236" s="309"/>
      <c r="H236" s="309"/>
      <c r="I236" s="309"/>
      <c r="J236" s="309"/>
      <c r="K236" s="309"/>
      <c r="L236" s="309"/>
      <c r="M236" s="309"/>
      <c r="N236" s="309"/>
      <c r="O236" s="309"/>
      <c r="P236" s="309"/>
      <c r="Q236" s="309"/>
    </row>
    <row r="237" spans="2:17" x14ac:dyDescent="0.35">
      <c r="B237" s="309"/>
      <c r="C237" s="309"/>
      <c r="D237" s="309"/>
      <c r="E237" s="309"/>
      <c r="F237" s="309"/>
      <c r="G237" s="309"/>
      <c r="H237" s="309"/>
      <c r="I237" s="309"/>
      <c r="J237" s="309"/>
      <c r="K237" s="309"/>
      <c r="L237" s="309"/>
      <c r="M237" s="309"/>
      <c r="N237" s="309"/>
      <c r="O237" s="309"/>
      <c r="P237" s="309"/>
      <c r="Q237" s="309"/>
    </row>
    <row r="238" spans="2:17" x14ac:dyDescent="0.35">
      <c r="B238" s="309"/>
      <c r="C238" s="309"/>
      <c r="D238" s="309"/>
      <c r="E238" s="309"/>
      <c r="F238" s="309"/>
      <c r="G238" s="309"/>
      <c r="H238" s="309"/>
      <c r="I238" s="309"/>
      <c r="J238" s="309"/>
      <c r="K238" s="309"/>
      <c r="L238" s="309"/>
      <c r="M238" s="309"/>
      <c r="N238" s="309"/>
      <c r="O238" s="309"/>
      <c r="P238" s="309"/>
      <c r="Q238" s="309"/>
    </row>
    <row r="239" spans="2:17" x14ac:dyDescent="0.35">
      <c r="B239" s="309"/>
      <c r="C239" s="309"/>
      <c r="D239" s="309"/>
      <c r="E239" s="309"/>
      <c r="F239" s="309"/>
      <c r="G239" s="309"/>
      <c r="H239" s="309"/>
      <c r="I239" s="309"/>
      <c r="J239" s="309"/>
      <c r="K239" s="309"/>
      <c r="L239" s="309"/>
      <c r="M239" s="309"/>
      <c r="N239" s="309"/>
      <c r="O239" s="309"/>
      <c r="P239" s="309"/>
      <c r="Q239" s="309"/>
    </row>
    <row r="240" spans="2:17" x14ac:dyDescent="0.35">
      <c r="B240" s="309"/>
      <c r="C240" s="309"/>
      <c r="D240" s="309"/>
      <c r="E240" s="309"/>
      <c r="F240" s="309"/>
      <c r="G240" s="309"/>
      <c r="H240" s="309"/>
      <c r="I240" s="309"/>
      <c r="J240" s="309"/>
      <c r="K240" s="309"/>
      <c r="L240" s="309"/>
      <c r="M240" s="309"/>
      <c r="N240" s="309"/>
      <c r="O240" s="309"/>
      <c r="P240" s="309"/>
      <c r="Q240" s="309"/>
    </row>
    <row r="241" spans="2:17" x14ac:dyDescent="0.35">
      <c r="B241" s="309"/>
      <c r="C241" s="309"/>
      <c r="D241" s="309"/>
      <c r="E241" s="309"/>
      <c r="F241" s="309"/>
      <c r="G241" s="309"/>
      <c r="H241" s="309"/>
      <c r="I241" s="309"/>
      <c r="J241" s="309"/>
      <c r="K241" s="309"/>
      <c r="L241" s="309"/>
      <c r="M241" s="309"/>
      <c r="N241" s="309"/>
      <c r="O241" s="309"/>
      <c r="P241" s="309"/>
      <c r="Q241" s="309"/>
    </row>
    <row r="242" spans="2:17" x14ac:dyDescent="0.35">
      <c r="B242" s="309"/>
      <c r="C242" s="309"/>
      <c r="D242" s="309"/>
      <c r="E242" s="309"/>
      <c r="F242" s="309"/>
      <c r="G242" s="309"/>
      <c r="H242" s="309"/>
      <c r="I242" s="309"/>
      <c r="J242" s="309"/>
      <c r="K242" s="309"/>
      <c r="L242" s="309"/>
      <c r="M242" s="309"/>
      <c r="N242" s="309"/>
      <c r="O242" s="309"/>
      <c r="P242" s="309"/>
      <c r="Q242" s="309"/>
    </row>
    <row r="243" spans="2:17" x14ac:dyDescent="0.35">
      <c r="B243" s="309"/>
      <c r="C243" s="309"/>
      <c r="D243" s="309"/>
      <c r="E243" s="309"/>
      <c r="F243" s="309"/>
      <c r="G243" s="309"/>
      <c r="H243" s="309"/>
      <c r="I243" s="309"/>
      <c r="J243" s="309"/>
      <c r="K243" s="309"/>
      <c r="L243" s="309"/>
      <c r="M243" s="309"/>
      <c r="N243" s="309"/>
      <c r="O243" s="309"/>
      <c r="P243" s="309"/>
      <c r="Q243" s="309"/>
    </row>
    <row r="244" spans="2:17" x14ac:dyDescent="0.35">
      <c r="B244" s="309"/>
      <c r="C244" s="309"/>
      <c r="D244" s="309"/>
      <c r="E244" s="309"/>
      <c r="F244" s="309"/>
      <c r="G244" s="309"/>
      <c r="H244" s="309"/>
      <c r="I244" s="309"/>
      <c r="J244" s="309"/>
      <c r="K244" s="309"/>
      <c r="L244" s="309"/>
      <c r="M244" s="309"/>
      <c r="N244" s="309"/>
      <c r="O244" s="309"/>
      <c r="P244" s="309"/>
      <c r="Q244" s="309"/>
    </row>
    <row r="245" spans="2:17" x14ac:dyDescent="0.35">
      <c r="B245" s="309"/>
      <c r="C245" s="309"/>
      <c r="D245" s="309"/>
      <c r="E245" s="309"/>
      <c r="F245" s="309"/>
      <c r="G245" s="309"/>
      <c r="H245" s="309"/>
      <c r="I245" s="309"/>
      <c r="J245" s="309"/>
      <c r="K245" s="309"/>
      <c r="L245" s="309"/>
      <c r="M245" s="309"/>
      <c r="N245" s="309"/>
      <c r="O245" s="309"/>
      <c r="P245" s="309"/>
      <c r="Q245" s="309"/>
    </row>
    <row r="246" spans="2:17" x14ac:dyDescent="0.35">
      <c r="B246" s="309"/>
      <c r="C246" s="309"/>
      <c r="D246" s="309"/>
      <c r="E246" s="309"/>
      <c r="F246" s="309"/>
      <c r="G246" s="309"/>
      <c r="H246" s="309"/>
      <c r="I246" s="309"/>
      <c r="J246" s="309"/>
      <c r="K246" s="309"/>
      <c r="L246" s="309"/>
      <c r="M246" s="309"/>
      <c r="N246" s="309"/>
      <c r="O246" s="309"/>
      <c r="P246" s="309"/>
      <c r="Q246" s="309"/>
    </row>
    <row r="247" spans="2:17" x14ac:dyDescent="0.35">
      <c r="B247" s="309"/>
      <c r="C247" s="309"/>
      <c r="D247" s="309"/>
      <c r="E247" s="309"/>
      <c r="F247" s="309"/>
      <c r="G247" s="309"/>
      <c r="H247" s="309"/>
      <c r="I247" s="309"/>
      <c r="J247" s="309"/>
      <c r="K247" s="309"/>
      <c r="L247" s="309"/>
      <c r="M247" s="309"/>
      <c r="N247" s="309"/>
      <c r="O247" s="309"/>
      <c r="P247" s="309"/>
      <c r="Q247" s="309"/>
    </row>
    <row r="248" spans="2:17" x14ac:dyDescent="0.35">
      <c r="B248" s="309"/>
      <c r="C248" s="309"/>
      <c r="D248" s="309"/>
      <c r="E248" s="309"/>
      <c r="F248" s="309"/>
      <c r="G248" s="309"/>
      <c r="H248" s="309"/>
      <c r="I248" s="309"/>
      <c r="J248" s="309"/>
      <c r="K248" s="309"/>
      <c r="L248" s="309"/>
      <c r="M248" s="309"/>
      <c r="N248" s="309"/>
      <c r="O248" s="309"/>
      <c r="P248" s="309"/>
      <c r="Q248" s="309"/>
    </row>
    <row r="249" spans="2:17" x14ac:dyDescent="0.35">
      <c r="B249" s="309"/>
      <c r="C249" s="309"/>
      <c r="D249" s="309"/>
      <c r="E249" s="309"/>
      <c r="F249" s="309"/>
      <c r="G249" s="309"/>
      <c r="H249" s="309"/>
      <c r="I249" s="309"/>
      <c r="J249" s="309"/>
      <c r="K249" s="309"/>
      <c r="L249" s="309"/>
      <c r="M249" s="309"/>
      <c r="N249" s="309"/>
      <c r="O249" s="309"/>
      <c r="P249" s="309"/>
      <c r="Q249" s="309"/>
    </row>
    <row r="250" spans="2:17" x14ac:dyDescent="0.35">
      <c r="B250" s="309"/>
      <c r="C250" s="309"/>
      <c r="D250" s="309"/>
      <c r="E250" s="309"/>
      <c r="F250" s="309"/>
      <c r="G250" s="309"/>
      <c r="H250" s="309"/>
      <c r="I250" s="309"/>
      <c r="J250" s="309"/>
      <c r="K250" s="309"/>
      <c r="L250" s="309"/>
      <c r="M250" s="309"/>
      <c r="N250" s="309"/>
      <c r="O250" s="309"/>
      <c r="P250" s="309"/>
      <c r="Q250" s="309"/>
    </row>
    <row r="251" spans="2:17" x14ac:dyDescent="0.35">
      <c r="B251" s="309"/>
      <c r="C251" s="309"/>
      <c r="D251" s="309"/>
      <c r="E251" s="309"/>
      <c r="F251" s="309"/>
      <c r="G251" s="309"/>
      <c r="H251" s="309"/>
      <c r="I251" s="309"/>
      <c r="J251" s="309"/>
      <c r="K251" s="309"/>
      <c r="L251" s="309"/>
      <c r="M251" s="309"/>
      <c r="N251" s="309"/>
      <c r="O251" s="309"/>
      <c r="P251" s="309"/>
      <c r="Q251" s="309"/>
    </row>
    <row r="252" spans="2:17" x14ac:dyDescent="0.35">
      <c r="B252" s="309"/>
      <c r="C252" s="309"/>
      <c r="D252" s="309"/>
      <c r="E252" s="309"/>
      <c r="F252" s="309"/>
      <c r="G252" s="309"/>
      <c r="H252" s="309"/>
      <c r="I252" s="309"/>
      <c r="J252" s="309"/>
      <c r="K252" s="309"/>
      <c r="L252" s="309"/>
      <c r="M252" s="309"/>
      <c r="N252" s="309"/>
      <c r="O252" s="309"/>
      <c r="P252" s="309"/>
      <c r="Q252" s="309"/>
    </row>
    <row r="253" spans="2:17" x14ac:dyDescent="0.35">
      <c r="B253" s="309"/>
      <c r="C253" s="309"/>
      <c r="D253" s="309"/>
      <c r="E253" s="309"/>
      <c r="F253" s="309"/>
      <c r="G253" s="309"/>
      <c r="H253" s="309"/>
      <c r="I253" s="309"/>
      <c r="J253" s="309"/>
      <c r="K253" s="309"/>
      <c r="L253" s="309"/>
      <c r="M253" s="309"/>
      <c r="N253" s="309"/>
      <c r="O253" s="309"/>
      <c r="P253" s="309"/>
      <c r="Q253" s="309"/>
    </row>
    <row r="254" spans="2:17" x14ac:dyDescent="0.35">
      <c r="B254" s="309"/>
      <c r="C254" s="309"/>
      <c r="D254" s="309"/>
      <c r="E254" s="309"/>
      <c r="F254" s="309"/>
      <c r="G254" s="309"/>
      <c r="H254" s="309"/>
      <c r="I254" s="309"/>
      <c r="J254" s="309"/>
      <c r="K254" s="309"/>
      <c r="L254" s="309"/>
      <c r="M254" s="309"/>
      <c r="N254" s="309"/>
      <c r="O254" s="309"/>
      <c r="P254" s="309"/>
      <c r="Q254" s="309"/>
    </row>
    <row r="255" spans="2:17" x14ac:dyDescent="0.35">
      <c r="B255" s="309"/>
      <c r="C255" s="309"/>
      <c r="D255" s="309"/>
      <c r="E255" s="309"/>
      <c r="F255" s="309"/>
      <c r="G255" s="309"/>
      <c r="H255" s="309"/>
      <c r="I255" s="309"/>
      <c r="J255" s="309"/>
      <c r="K255" s="309"/>
      <c r="L255" s="309"/>
      <c r="M255" s="309"/>
      <c r="N255" s="309"/>
      <c r="O255" s="309"/>
      <c r="P255" s="309"/>
      <c r="Q255" s="309"/>
    </row>
    <row r="256" spans="2:17" x14ac:dyDescent="0.35">
      <c r="B256" s="309"/>
      <c r="C256" s="309"/>
      <c r="D256" s="309"/>
      <c r="E256" s="309"/>
      <c r="F256" s="309"/>
      <c r="G256" s="309"/>
      <c r="H256" s="309"/>
      <c r="I256" s="309"/>
      <c r="J256" s="309"/>
      <c r="K256" s="309"/>
      <c r="L256" s="309"/>
      <c r="M256" s="309"/>
      <c r="N256" s="309"/>
      <c r="O256" s="309"/>
      <c r="P256" s="309"/>
      <c r="Q256" s="309"/>
    </row>
    <row r="257" spans="2:17" x14ac:dyDescent="0.35">
      <c r="B257" s="309"/>
      <c r="C257" s="309"/>
      <c r="D257" s="309"/>
      <c r="E257" s="309"/>
      <c r="F257" s="309"/>
      <c r="G257" s="309"/>
      <c r="H257" s="309"/>
      <c r="I257" s="309"/>
      <c r="J257" s="309"/>
      <c r="K257" s="309"/>
      <c r="L257" s="309"/>
      <c r="M257" s="309"/>
      <c r="N257" s="309"/>
      <c r="O257" s="309"/>
      <c r="P257" s="309"/>
      <c r="Q257" s="309"/>
    </row>
    <row r="258" spans="2:17" x14ac:dyDescent="0.35">
      <c r="B258" s="309"/>
      <c r="C258" s="309"/>
      <c r="D258" s="309"/>
      <c r="E258" s="309"/>
      <c r="F258" s="309"/>
      <c r="G258" s="309"/>
      <c r="H258" s="309"/>
      <c r="I258" s="309"/>
      <c r="J258" s="309"/>
      <c r="K258" s="309"/>
      <c r="L258" s="309"/>
      <c r="M258" s="309"/>
      <c r="N258" s="309"/>
      <c r="O258" s="309"/>
      <c r="P258" s="309"/>
      <c r="Q258" s="309"/>
    </row>
    <row r="259" spans="2:17" x14ac:dyDescent="0.35">
      <c r="B259" s="309"/>
      <c r="C259" s="309"/>
      <c r="D259" s="309"/>
      <c r="E259" s="309"/>
      <c r="F259" s="309"/>
      <c r="G259" s="309"/>
      <c r="H259" s="309"/>
      <c r="I259" s="309"/>
      <c r="J259" s="309"/>
      <c r="K259" s="309"/>
      <c r="L259" s="309"/>
      <c r="M259" s="309"/>
      <c r="N259" s="309"/>
      <c r="O259" s="309"/>
      <c r="P259" s="309"/>
      <c r="Q259" s="309"/>
    </row>
    <row r="260" spans="2:17" x14ac:dyDescent="0.35">
      <c r="B260" s="309"/>
      <c r="C260" s="309"/>
      <c r="D260" s="309"/>
      <c r="E260" s="309"/>
      <c r="F260" s="309"/>
      <c r="G260" s="309"/>
      <c r="H260" s="309"/>
      <c r="I260" s="309"/>
      <c r="J260" s="309"/>
      <c r="K260" s="309"/>
      <c r="L260" s="309"/>
      <c r="M260" s="309"/>
      <c r="N260" s="309"/>
      <c r="O260" s="309"/>
      <c r="P260" s="309"/>
      <c r="Q260" s="309"/>
    </row>
    <row r="261" spans="2:17" x14ac:dyDescent="0.35">
      <c r="B261" s="309"/>
      <c r="C261" s="309"/>
      <c r="D261" s="309"/>
      <c r="E261" s="309"/>
      <c r="F261" s="309"/>
      <c r="G261" s="309"/>
      <c r="H261" s="309"/>
      <c r="I261" s="309"/>
      <c r="J261" s="309"/>
      <c r="K261" s="309"/>
      <c r="L261" s="309"/>
      <c r="M261" s="309"/>
      <c r="N261" s="309"/>
      <c r="O261" s="309"/>
      <c r="P261" s="309"/>
      <c r="Q261" s="309"/>
    </row>
    <row r="262" spans="2:17" x14ac:dyDescent="0.35">
      <c r="B262" s="309"/>
      <c r="C262" s="309"/>
      <c r="D262" s="309"/>
      <c r="E262" s="309"/>
      <c r="F262" s="309"/>
      <c r="G262" s="309"/>
      <c r="H262" s="309"/>
      <c r="I262" s="309"/>
      <c r="J262" s="309"/>
      <c r="K262" s="309"/>
      <c r="L262" s="309"/>
      <c r="M262" s="309"/>
      <c r="N262" s="309"/>
      <c r="O262" s="309"/>
      <c r="P262" s="309"/>
      <c r="Q262" s="309"/>
    </row>
    <row r="263" spans="2:17" x14ac:dyDescent="0.35">
      <c r="B263" s="309"/>
      <c r="C263" s="309"/>
      <c r="D263" s="309"/>
      <c r="E263" s="309"/>
      <c r="F263" s="309"/>
      <c r="G263" s="309"/>
      <c r="H263" s="309"/>
      <c r="I263" s="309"/>
      <c r="J263" s="309"/>
      <c r="K263" s="309"/>
      <c r="L263" s="309"/>
      <c r="M263" s="309"/>
      <c r="N263" s="309"/>
      <c r="O263" s="309"/>
      <c r="P263" s="309"/>
      <c r="Q263" s="309"/>
    </row>
    <row r="264" spans="2:17" x14ac:dyDescent="0.35">
      <c r="B264" s="309"/>
      <c r="C264" s="309"/>
      <c r="D264" s="309"/>
      <c r="E264" s="309"/>
      <c r="F264" s="309"/>
      <c r="G264" s="309"/>
      <c r="H264" s="309"/>
      <c r="I264" s="309"/>
      <c r="J264" s="309"/>
      <c r="K264" s="309"/>
      <c r="L264" s="309"/>
      <c r="M264" s="309"/>
      <c r="N264" s="309"/>
      <c r="O264" s="309"/>
      <c r="P264" s="309"/>
      <c r="Q264" s="309"/>
    </row>
    <row r="265" spans="2:17" x14ac:dyDescent="0.35">
      <c r="B265" s="309"/>
      <c r="C265" s="309"/>
      <c r="D265" s="309"/>
      <c r="E265" s="309"/>
      <c r="F265" s="309"/>
      <c r="G265" s="309"/>
      <c r="H265" s="309"/>
      <c r="I265" s="309"/>
      <c r="J265" s="309"/>
      <c r="K265" s="309"/>
      <c r="L265" s="309"/>
      <c r="M265" s="309"/>
      <c r="N265" s="309"/>
      <c r="O265" s="309"/>
      <c r="P265" s="309"/>
      <c r="Q265" s="309"/>
    </row>
    <row r="266" spans="2:17" x14ac:dyDescent="0.35">
      <c r="B266" s="309"/>
      <c r="C266" s="309"/>
      <c r="D266" s="309"/>
      <c r="E266" s="309"/>
      <c r="F266" s="309"/>
      <c r="G266" s="309"/>
      <c r="H266" s="309"/>
      <c r="I266" s="309"/>
      <c r="J266" s="309"/>
      <c r="K266" s="309"/>
      <c r="L266" s="309"/>
      <c r="M266" s="309"/>
      <c r="N266" s="309"/>
      <c r="O266" s="309"/>
      <c r="P266" s="309"/>
      <c r="Q266" s="309"/>
    </row>
    <row r="267" spans="2:17" x14ac:dyDescent="0.35">
      <c r="B267" s="309"/>
      <c r="C267" s="309"/>
      <c r="D267" s="309"/>
      <c r="E267" s="309"/>
      <c r="F267" s="309"/>
      <c r="G267" s="309"/>
      <c r="H267" s="309"/>
      <c r="I267" s="309"/>
      <c r="J267" s="309"/>
      <c r="K267" s="309"/>
      <c r="L267" s="309"/>
      <c r="M267" s="309"/>
      <c r="N267" s="309"/>
      <c r="O267" s="309"/>
      <c r="P267" s="309"/>
      <c r="Q267" s="309"/>
    </row>
    <row r="268" spans="2:17" x14ac:dyDescent="0.35">
      <c r="B268" s="309"/>
      <c r="C268" s="309"/>
      <c r="D268" s="309"/>
      <c r="E268" s="309"/>
      <c r="F268" s="309"/>
      <c r="G268" s="309"/>
      <c r="H268" s="309"/>
      <c r="I268" s="309"/>
      <c r="J268" s="309"/>
      <c r="K268" s="309"/>
      <c r="L268" s="309"/>
      <c r="M268" s="309"/>
      <c r="N268" s="309"/>
      <c r="O268" s="309"/>
      <c r="P268" s="309"/>
      <c r="Q268" s="309"/>
    </row>
    <row r="269" spans="2:17" x14ac:dyDescent="0.35">
      <c r="B269" s="309"/>
      <c r="C269" s="309"/>
      <c r="D269" s="309"/>
      <c r="E269" s="309"/>
      <c r="F269" s="309"/>
      <c r="G269" s="309"/>
      <c r="H269" s="309"/>
      <c r="I269" s="309"/>
      <c r="J269" s="309"/>
      <c r="K269" s="309"/>
      <c r="L269" s="309"/>
      <c r="M269" s="309"/>
      <c r="N269" s="309"/>
      <c r="O269" s="309"/>
      <c r="P269" s="309"/>
      <c r="Q269" s="309"/>
    </row>
    <row r="270" spans="2:17" x14ac:dyDescent="0.35">
      <c r="B270" s="309"/>
      <c r="C270" s="309"/>
      <c r="D270" s="309"/>
      <c r="E270" s="309"/>
      <c r="F270" s="309"/>
      <c r="G270" s="309"/>
      <c r="H270" s="309"/>
      <c r="I270" s="309"/>
      <c r="J270" s="309"/>
      <c r="K270" s="309"/>
      <c r="L270" s="309"/>
      <c r="M270" s="309"/>
      <c r="N270" s="309"/>
      <c r="O270" s="309"/>
      <c r="P270" s="309"/>
      <c r="Q270" s="309"/>
    </row>
    <row r="271" spans="2:17" x14ac:dyDescent="0.35">
      <c r="B271" s="309"/>
      <c r="C271" s="309"/>
      <c r="D271" s="309"/>
      <c r="E271" s="309"/>
      <c r="F271" s="309"/>
      <c r="G271" s="309"/>
      <c r="H271" s="309"/>
      <c r="I271" s="309"/>
      <c r="J271" s="309"/>
      <c r="K271" s="309"/>
      <c r="L271" s="309"/>
      <c r="M271" s="309"/>
      <c r="N271" s="309"/>
      <c r="O271" s="309"/>
      <c r="P271" s="309"/>
      <c r="Q271" s="309"/>
    </row>
    <row r="272" spans="2:17" x14ac:dyDescent="0.35">
      <c r="B272" s="309"/>
      <c r="C272" s="309"/>
      <c r="D272" s="309"/>
      <c r="E272" s="309"/>
      <c r="F272" s="309"/>
      <c r="G272" s="309"/>
      <c r="H272" s="309"/>
      <c r="I272" s="309"/>
      <c r="J272" s="309"/>
      <c r="K272" s="309"/>
      <c r="L272" s="309"/>
      <c r="M272" s="309"/>
      <c r="N272" s="309"/>
      <c r="O272" s="309"/>
      <c r="P272" s="309"/>
      <c r="Q272" s="309"/>
    </row>
    <row r="273" spans="2:17" x14ac:dyDescent="0.35">
      <c r="B273" s="309"/>
      <c r="C273" s="309"/>
      <c r="D273" s="309"/>
      <c r="E273" s="309"/>
      <c r="F273" s="309"/>
      <c r="G273" s="309"/>
      <c r="H273" s="309"/>
      <c r="I273" s="309"/>
      <c r="J273" s="309"/>
      <c r="K273" s="309"/>
      <c r="L273" s="309"/>
      <c r="M273" s="309"/>
      <c r="N273" s="309"/>
      <c r="O273" s="309"/>
      <c r="P273" s="309"/>
      <c r="Q273" s="309"/>
    </row>
    <row r="274" spans="2:17" x14ac:dyDescent="0.35">
      <c r="B274" s="309"/>
      <c r="C274" s="309"/>
      <c r="D274" s="309"/>
      <c r="E274" s="309"/>
      <c r="F274" s="309"/>
      <c r="G274" s="309"/>
      <c r="H274" s="309"/>
      <c r="I274" s="309"/>
      <c r="J274" s="309"/>
      <c r="K274" s="309"/>
      <c r="L274" s="309"/>
      <c r="M274" s="309"/>
      <c r="N274" s="309"/>
      <c r="O274" s="309"/>
      <c r="P274" s="309"/>
      <c r="Q274" s="309"/>
    </row>
    <row r="275" spans="2:17" x14ac:dyDescent="0.35">
      <c r="B275" s="309"/>
      <c r="C275" s="309"/>
      <c r="D275" s="309"/>
      <c r="E275" s="309"/>
      <c r="F275" s="309"/>
      <c r="G275" s="309"/>
      <c r="H275" s="309"/>
      <c r="I275" s="309"/>
      <c r="J275" s="309"/>
      <c r="K275" s="309"/>
      <c r="L275" s="309"/>
      <c r="M275" s="309"/>
      <c r="N275" s="309"/>
      <c r="O275" s="309"/>
      <c r="P275" s="309"/>
      <c r="Q275" s="309"/>
    </row>
    <row r="276" spans="2:17" x14ac:dyDescent="0.35">
      <c r="B276" s="309"/>
      <c r="C276" s="309"/>
      <c r="D276" s="309"/>
      <c r="E276" s="309"/>
      <c r="F276" s="309"/>
      <c r="G276" s="309"/>
      <c r="H276" s="309"/>
      <c r="I276" s="309"/>
      <c r="J276" s="309"/>
      <c r="K276" s="309"/>
      <c r="L276" s="309"/>
      <c r="M276" s="309"/>
      <c r="N276" s="309"/>
      <c r="O276" s="309"/>
      <c r="P276" s="309"/>
      <c r="Q276" s="309"/>
    </row>
    <row r="277" spans="2:17" x14ac:dyDescent="0.35">
      <c r="B277" s="309"/>
      <c r="C277" s="309"/>
      <c r="D277" s="309"/>
      <c r="E277" s="309"/>
      <c r="F277" s="309"/>
      <c r="G277" s="309"/>
      <c r="H277" s="309"/>
      <c r="I277" s="309"/>
      <c r="J277" s="309"/>
      <c r="K277" s="309"/>
      <c r="L277" s="309"/>
      <c r="M277" s="309"/>
      <c r="N277" s="309"/>
      <c r="O277" s="309"/>
      <c r="P277" s="309"/>
      <c r="Q277" s="309"/>
    </row>
    <row r="278" spans="2:17" x14ac:dyDescent="0.35">
      <c r="B278" s="309"/>
      <c r="C278" s="309"/>
      <c r="D278" s="309"/>
      <c r="E278" s="309"/>
      <c r="F278" s="309"/>
      <c r="G278" s="309"/>
      <c r="H278" s="309"/>
      <c r="I278" s="309"/>
      <c r="J278" s="309"/>
      <c r="K278" s="309"/>
      <c r="L278" s="309"/>
      <c r="M278" s="309"/>
      <c r="N278" s="309"/>
      <c r="O278" s="309"/>
      <c r="P278" s="309"/>
      <c r="Q278" s="309"/>
    </row>
    <row r="279" spans="2:17" x14ac:dyDescent="0.35">
      <c r="B279" s="309"/>
      <c r="C279" s="309"/>
      <c r="D279" s="309"/>
      <c r="E279" s="309"/>
      <c r="F279" s="309"/>
      <c r="G279" s="309"/>
      <c r="H279" s="309"/>
      <c r="I279" s="309"/>
      <c r="J279" s="309"/>
      <c r="K279" s="309"/>
      <c r="L279" s="309"/>
      <c r="M279" s="309"/>
      <c r="N279" s="309"/>
      <c r="O279" s="309"/>
      <c r="P279" s="309"/>
      <c r="Q279" s="309"/>
    </row>
    <row r="280" spans="2:17" x14ac:dyDescent="0.35">
      <c r="B280" s="309"/>
      <c r="C280" s="309"/>
      <c r="D280" s="309"/>
      <c r="E280" s="309"/>
      <c r="F280" s="309"/>
      <c r="G280" s="309"/>
      <c r="H280" s="309"/>
      <c r="I280" s="309"/>
      <c r="J280" s="309"/>
      <c r="K280" s="309"/>
      <c r="L280" s="309"/>
      <c r="M280" s="309"/>
      <c r="N280" s="309"/>
      <c r="O280" s="309"/>
      <c r="P280" s="309"/>
      <c r="Q280" s="309"/>
    </row>
    <row r="281" spans="2:17" x14ac:dyDescent="0.35">
      <c r="B281" s="309"/>
      <c r="C281" s="309"/>
      <c r="D281" s="309"/>
      <c r="E281" s="309"/>
      <c r="F281" s="309"/>
      <c r="G281" s="309"/>
      <c r="H281" s="309"/>
      <c r="I281" s="309"/>
      <c r="J281" s="309"/>
      <c r="K281" s="309"/>
      <c r="L281" s="309"/>
      <c r="M281" s="309"/>
      <c r="N281" s="309"/>
      <c r="O281" s="309"/>
      <c r="P281" s="309"/>
      <c r="Q281" s="309"/>
    </row>
    <row r="282" spans="2:17" x14ac:dyDescent="0.35">
      <c r="B282" s="309"/>
      <c r="C282" s="309"/>
      <c r="D282" s="309"/>
      <c r="E282" s="309"/>
      <c r="F282" s="309"/>
      <c r="G282" s="309"/>
      <c r="H282" s="309"/>
      <c r="I282" s="309"/>
      <c r="J282" s="309"/>
      <c r="K282" s="309"/>
      <c r="L282" s="309"/>
      <c r="M282" s="309"/>
      <c r="N282" s="309"/>
      <c r="O282" s="309"/>
      <c r="P282" s="309"/>
      <c r="Q282" s="309"/>
    </row>
    <row r="283" spans="2:17" x14ac:dyDescent="0.35">
      <c r="B283" s="309"/>
      <c r="C283" s="309"/>
      <c r="D283" s="309"/>
      <c r="E283" s="309"/>
      <c r="F283" s="309"/>
      <c r="G283" s="309"/>
      <c r="H283" s="309"/>
      <c r="I283" s="309"/>
      <c r="J283" s="309"/>
      <c r="K283" s="309"/>
      <c r="L283" s="309"/>
      <c r="M283" s="309"/>
      <c r="N283" s="309"/>
      <c r="O283" s="309"/>
      <c r="P283" s="309"/>
      <c r="Q283" s="309"/>
    </row>
    <row r="284" spans="2:17" x14ac:dyDescent="0.35">
      <c r="B284" s="309"/>
      <c r="C284" s="309"/>
      <c r="D284" s="309"/>
      <c r="E284" s="309"/>
      <c r="F284" s="309"/>
      <c r="G284" s="309"/>
      <c r="H284" s="309"/>
      <c r="I284" s="309"/>
      <c r="J284" s="309"/>
      <c r="K284" s="309"/>
      <c r="L284" s="309"/>
      <c r="M284" s="309"/>
      <c r="N284" s="309"/>
      <c r="O284" s="309"/>
      <c r="P284" s="309"/>
      <c r="Q284" s="309"/>
    </row>
    <row r="285" spans="2:17" x14ac:dyDescent="0.35">
      <c r="B285" s="309"/>
      <c r="C285" s="309"/>
      <c r="D285" s="309"/>
      <c r="E285" s="309"/>
      <c r="F285" s="309"/>
      <c r="G285" s="309"/>
      <c r="H285" s="309"/>
      <c r="I285" s="309"/>
      <c r="J285" s="309"/>
      <c r="K285" s="309"/>
      <c r="L285" s="309"/>
      <c r="M285" s="309"/>
      <c r="N285" s="309"/>
      <c r="O285" s="309"/>
      <c r="P285" s="309"/>
      <c r="Q285" s="309"/>
    </row>
    <row r="286" spans="2:17" x14ac:dyDescent="0.35">
      <c r="B286" s="309"/>
      <c r="C286" s="309"/>
      <c r="D286" s="309"/>
      <c r="E286" s="309"/>
      <c r="F286" s="309"/>
      <c r="G286" s="309"/>
      <c r="H286" s="309"/>
      <c r="I286" s="309"/>
      <c r="J286" s="309"/>
      <c r="K286" s="309"/>
      <c r="L286" s="309"/>
      <c r="M286" s="309"/>
      <c r="N286" s="309"/>
      <c r="O286" s="309"/>
      <c r="P286" s="309"/>
      <c r="Q286" s="309"/>
    </row>
    <row r="287" spans="2:17" x14ac:dyDescent="0.35">
      <c r="B287" s="309"/>
      <c r="C287" s="309"/>
      <c r="D287" s="309"/>
      <c r="E287" s="309"/>
      <c r="F287" s="309"/>
      <c r="G287" s="309"/>
      <c r="H287" s="309"/>
      <c r="I287" s="309"/>
      <c r="J287" s="309"/>
      <c r="K287" s="309"/>
      <c r="L287" s="309"/>
      <c r="M287" s="309"/>
      <c r="N287" s="309"/>
      <c r="O287" s="309"/>
      <c r="P287" s="309"/>
      <c r="Q287" s="309"/>
    </row>
    <row r="288" spans="2:17" x14ac:dyDescent="0.35">
      <c r="B288" s="309"/>
      <c r="C288" s="309"/>
      <c r="D288" s="309"/>
      <c r="E288" s="309"/>
      <c r="F288" s="309"/>
      <c r="G288" s="309"/>
      <c r="H288" s="309"/>
      <c r="I288" s="309"/>
      <c r="J288" s="309"/>
      <c r="K288" s="309"/>
      <c r="L288" s="309"/>
      <c r="M288" s="309"/>
      <c r="N288" s="309"/>
      <c r="O288" s="309"/>
      <c r="P288" s="309"/>
      <c r="Q288" s="309"/>
    </row>
    <row r="289" spans="2:17" x14ac:dyDescent="0.35">
      <c r="B289" s="309"/>
      <c r="C289" s="309"/>
      <c r="D289" s="309"/>
      <c r="E289" s="309"/>
      <c r="F289" s="309"/>
      <c r="G289" s="309"/>
      <c r="H289" s="309"/>
      <c r="I289" s="309"/>
      <c r="J289" s="309"/>
      <c r="K289" s="309"/>
      <c r="L289" s="309"/>
      <c r="M289" s="309"/>
      <c r="N289" s="309"/>
      <c r="O289" s="309"/>
      <c r="P289" s="309"/>
      <c r="Q289" s="309"/>
    </row>
    <row r="290" spans="2:17" x14ac:dyDescent="0.35">
      <c r="B290" s="309"/>
      <c r="C290" s="309"/>
      <c r="D290" s="309"/>
      <c r="E290" s="309"/>
      <c r="F290" s="309"/>
      <c r="G290" s="309"/>
      <c r="H290" s="309"/>
      <c r="I290" s="309"/>
      <c r="J290" s="309"/>
      <c r="K290" s="309"/>
      <c r="L290" s="309"/>
      <c r="M290" s="309"/>
      <c r="N290" s="309"/>
      <c r="O290" s="309"/>
      <c r="P290" s="309"/>
      <c r="Q290" s="309"/>
    </row>
    <row r="291" spans="2:17" x14ac:dyDescent="0.35">
      <c r="B291" s="309"/>
      <c r="C291" s="309"/>
      <c r="D291" s="309"/>
      <c r="E291" s="309"/>
      <c r="F291" s="309"/>
      <c r="G291" s="309"/>
      <c r="H291" s="309"/>
      <c r="I291" s="309"/>
      <c r="J291" s="309"/>
      <c r="K291" s="309"/>
      <c r="L291" s="309"/>
      <c r="M291" s="309"/>
      <c r="N291" s="309"/>
      <c r="O291" s="309"/>
      <c r="P291" s="309"/>
      <c r="Q291" s="309"/>
    </row>
    <row r="292" spans="2:17" x14ac:dyDescent="0.35">
      <c r="B292" s="309"/>
      <c r="C292" s="309"/>
      <c r="D292" s="309"/>
      <c r="E292" s="309"/>
      <c r="F292" s="309"/>
      <c r="G292" s="309"/>
      <c r="H292" s="309"/>
      <c r="I292" s="309"/>
      <c r="J292" s="309"/>
      <c r="K292" s="309"/>
      <c r="L292" s="309"/>
      <c r="M292" s="309"/>
      <c r="N292" s="309"/>
      <c r="O292" s="309"/>
      <c r="P292" s="309"/>
      <c r="Q292" s="309"/>
    </row>
    <row r="293" spans="2:17" x14ac:dyDescent="0.35">
      <c r="B293" s="309"/>
      <c r="C293" s="309"/>
      <c r="D293" s="309"/>
      <c r="E293" s="309"/>
      <c r="F293" s="309"/>
      <c r="G293" s="309"/>
      <c r="H293" s="309"/>
      <c r="I293" s="309"/>
      <c r="J293" s="309"/>
      <c r="K293" s="309"/>
      <c r="L293" s="309"/>
      <c r="M293" s="309"/>
      <c r="N293" s="309"/>
      <c r="O293" s="309"/>
      <c r="P293" s="309"/>
      <c r="Q293" s="309"/>
    </row>
    <row r="294" spans="2:17" x14ac:dyDescent="0.35">
      <c r="B294" s="309"/>
      <c r="C294" s="309"/>
      <c r="D294" s="309"/>
      <c r="E294" s="309"/>
      <c r="F294" s="309"/>
      <c r="G294" s="309"/>
      <c r="H294" s="309"/>
      <c r="I294" s="309"/>
      <c r="J294" s="309"/>
      <c r="K294" s="309"/>
      <c r="L294" s="309"/>
      <c r="M294" s="309"/>
      <c r="N294" s="309"/>
      <c r="O294" s="309"/>
      <c r="P294" s="309"/>
      <c r="Q294" s="309"/>
    </row>
    <row r="295" spans="2:17" x14ac:dyDescent="0.35">
      <c r="B295" s="309"/>
      <c r="C295" s="309"/>
      <c r="D295" s="309"/>
      <c r="E295" s="309"/>
      <c r="F295" s="309"/>
      <c r="G295" s="309"/>
      <c r="H295" s="309"/>
      <c r="I295" s="309"/>
      <c r="J295" s="309"/>
      <c r="K295" s="309"/>
      <c r="L295" s="309"/>
      <c r="M295" s="309"/>
      <c r="N295" s="309"/>
      <c r="O295" s="309"/>
      <c r="P295" s="309"/>
      <c r="Q295" s="309"/>
    </row>
    <row r="296" spans="2:17" x14ac:dyDescent="0.35">
      <c r="B296" s="309"/>
      <c r="C296" s="309"/>
      <c r="D296" s="309"/>
      <c r="E296" s="309"/>
      <c r="F296" s="309"/>
      <c r="G296" s="309"/>
      <c r="H296" s="309"/>
      <c r="I296" s="309"/>
      <c r="J296" s="309"/>
      <c r="K296" s="309"/>
      <c r="L296" s="309"/>
      <c r="M296" s="309"/>
      <c r="N296" s="309"/>
      <c r="O296" s="309"/>
      <c r="P296" s="309"/>
      <c r="Q296" s="309"/>
    </row>
    <row r="297" spans="2:17" x14ac:dyDescent="0.35">
      <c r="B297" s="309"/>
      <c r="C297" s="309"/>
      <c r="D297" s="309"/>
      <c r="E297" s="309"/>
      <c r="F297" s="309"/>
      <c r="G297" s="309"/>
      <c r="H297" s="309"/>
      <c r="I297" s="309"/>
      <c r="J297" s="309"/>
      <c r="K297" s="309"/>
      <c r="L297" s="309"/>
      <c r="M297" s="309"/>
      <c r="N297" s="309"/>
      <c r="O297" s="309"/>
      <c r="P297" s="309"/>
      <c r="Q297" s="309"/>
    </row>
    <row r="298" spans="2:17" x14ac:dyDescent="0.35">
      <c r="B298" s="309"/>
      <c r="C298" s="309"/>
      <c r="D298" s="309"/>
      <c r="E298" s="309"/>
      <c r="F298" s="309"/>
      <c r="G298" s="309"/>
      <c r="H298" s="309"/>
      <c r="I298" s="309"/>
      <c r="J298" s="309"/>
      <c r="K298" s="309"/>
      <c r="L298" s="309"/>
      <c r="M298" s="309"/>
      <c r="N298" s="309"/>
      <c r="O298" s="309"/>
      <c r="P298" s="309"/>
      <c r="Q298" s="309"/>
    </row>
    <row r="299" spans="2:17" x14ac:dyDescent="0.35">
      <c r="B299" s="309"/>
      <c r="C299" s="309"/>
      <c r="D299" s="309"/>
      <c r="E299" s="309"/>
      <c r="F299" s="309"/>
      <c r="G299" s="309"/>
      <c r="H299" s="309"/>
      <c r="I299" s="309"/>
      <c r="J299" s="309"/>
      <c r="K299" s="309"/>
      <c r="L299" s="309"/>
      <c r="M299" s="309"/>
      <c r="N299" s="309"/>
      <c r="O299" s="309"/>
      <c r="P299" s="309"/>
      <c r="Q299" s="309"/>
    </row>
    <row r="300" spans="2:17" x14ac:dyDescent="0.35">
      <c r="B300" s="309"/>
      <c r="C300" s="309"/>
      <c r="D300" s="309"/>
      <c r="E300" s="309"/>
      <c r="F300" s="309"/>
      <c r="G300" s="309"/>
      <c r="H300" s="309"/>
      <c r="I300" s="309"/>
      <c r="J300" s="309"/>
      <c r="K300" s="309"/>
      <c r="L300" s="309"/>
      <c r="M300" s="309"/>
      <c r="N300" s="309"/>
      <c r="O300" s="309"/>
      <c r="P300" s="309"/>
      <c r="Q300" s="309"/>
    </row>
    <row r="301" spans="2:17" x14ac:dyDescent="0.35">
      <c r="B301" s="309"/>
      <c r="C301" s="309"/>
      <c r="D301" s="309"/>
      <c r="E301" s="309"/>
      <c r="F301" s="309"/>
      <c r="G301" s="309"/>
      <c r="H301" s="309"/>
      <c r="I301" s="309"/>
      <c r="J301" s="309"/>
      <c r="K301" s="309"/>
      <c r="L301" s="309"/>
      <c r="M301" s="309"/>
      <c r="N301" s="309"/>
      <c r="O301" s="309"/>
      <c r="P301" s="309"/>
      <c r="Q301" s="309"/>
    </row>
    <row r="302" spans="2:17" x14ac:dyDescent="0.35">
      <c r="B302" s="309"/>
      <c r="C302" s="309"/>
      <c r="D302" s="309"/>
      <c r="E302" s="309"/>
      <c r="F302" s="309"/>
      <c r="G302" s="309"/>
      <c r="H302" s="309"/>
      <c r="I302" s="309"/>
      <c r="J302" s="309"/>
      <c r="K302" s="309"/>
      <c r="L302" s="309"/>
      <c r="M302" s="309"/>
      <c r="N302" s="309"/>
      <c r="O302" s="309"/>
      <c r="P302" s="309"/>
      <c r="Q302" s="309"/>
    </row>
    <row r="303" spans="2:17" x14ac:dyDescent="0.35">
      <c r="B303" s="309"/>
      <c r="C303" s="309"/>
      <c r="D303" s="309"/>
      <c r="E303" s="309"/>
      <c r="F303" s="309"/>
      <c r="G303" s="309"/>
      <c r="H303" s="309"/>
      <c r="I303" s="309"/>
      <c r="J303" s="309"/>
      <c r="K303" s="309"/>
      <c r="L303" s="309"/>
      <c r="M303" s="309"/>
      <c r="N303" s="309"/>
      <c r="O303" s="309"/>
      <c r="P303" s="309"/>
      <c r="Q303" s="309"/>
    </row>
    <row r="304" spans="2:17" x14ac:dyDescent="0.35">
      <c r="B304" s="309"/>
      <c r="C304" s="309"/>
      <c r="D304" s="309"/>
      <c r="E304" s="309"/>
      <c r="F304" s="309"/>
      <c r="G304" s="309"/>
      <c r="H304" s="309"/>
      <c r="I304" s="309"/>
      <c r="J304" s="309"/>
      <c r="K304" s="309"/>
      <c r="L304" s="309"/>
      <c r="M304" s="309"/>
      <c r="N304" s="309"/>
      <c r="O304" s="309"/>
      <c r="P304" s="309"/>
      <c r="Q304" s="309"/>
    </row>
    <row r="305" spans="2:17" x14ac:dyDescent="0.35">
      <c r="B305" s="309"/>
      <c r="C305" s="309"/>
      <c r="D305" s="309"/>
      <c r="E305" s="309"/>
      <c r="F305" s="309"/>
      <c r="G305" s="309"/>
      <c r="H305" s="309"/>
      <c r="I305" s="309"/>
      <c r="J305" s="309"/>
      <c r="K305" s="309"/>
      <c r="L305" s="309"/>
      <c r="M305" s="309"/>
      <c r="N305" s="309"/>
      <c r="O305" s="309"/>
      <c r="P305" s="309"/>
      <c r="Q305" s="309"/>
    </row>
    <row r="306" spans="2:17" x14ac:dyDescent="0.35">
      <c r="B306" s="309"/>
      <c r="C306" s="309"/>
      <c r="D306" s="309"/>
      <c r="E306" s="309"/>
      <c r="F306" s="309"/>
      <c r="G306" s="309"/>
      <c r="H306" s="309"/>
      <c r="I306" s="309"/>
      <c r="J306" s="309"/>
      <c r="K306" s="309"/>
      <c r="L306" s="309"/>
      <c r="M306" s="309"/>
      <c r="N306" s="309"/>
      <c r="O306" s="309"/>
      <c r="P306" s="309"/>
      <c r="Q306" s="309"/>
    </row>
    <row r="307" spans="2:17" x14ac:dyDescent="0.35">
      <c r="B307" s="309"/>
      <c r="C307" s="309"/>
      <c r="D307" s="309"/>
      <c r="E307" s="309"/>
      <c r="F307" s="309"/>
      <c r="G307" s="309"/>
      <c r="H307" s="309"/>
      <c r="I307" s="309"/>
      <c r="J307" s="309"/>
      <c r="K307" s="309"/>
      <c r="L307" s="309"/>
      <c r="M307" s="309"/>
      <c r="N307" s="309"/>
      <c r="O307" s="309"/>
      <c r="P307" s="309"/>
      <c r="Q307" s="309"/>
    </row>
    <row r="308" spans="2:17" x14ac:dyDescent="0.35">
      <c r="B308" s="309"/>
      <c r="C308" s="309"/>
      <c r="D308" s="309"/>
      <c r="E308" s="309"/>
      <c r="F308" s="309"/>
      <c r="G308" s="309"/>
      <c r="H308" s="309"/>
      <c r="I308" s="309"/>
      <c r="J308" s="309"/>
      <c r="K308" s="309"/>
      <c r="L308" s="309"/>
      <c r="M308" s="309"/>
      <c r="N308" s="309"/>
      <c r="O308" s="309"/>
      <c r="P308" s="309"/>
      <c r="Q308" s="309"/>
    </row>
    <row r="309" spans="2:17" x14ac:dyDescent="0.35">
      <c r="B309" s="309"/>
      <c r="C309" s="309"/>
      <c r="D309" s="309"/>
      <c r="E309" s="309"/>
      <c r="F309" s="309"/>
      <c r="G309" s="309"/>
      <c r="H309" s="309"/>
      <c r="I309" s="309"/>
      <c r="J309" s="309"/>
      <c r="K309" s="309"/>
      <c r="L309" s="309"/>
      <c r="M309" s="309"/>
      <c r="N309" s="309"/>
      <c r="O309" s="309"/>
      <c r="P309" s="309"/>
      <c r="Q309" s="309"/>
    </row>
    <row r="310" spans="2:17" x14ac:dyDescent="0.35">
      <c r="B310" s="309"/>
      <c r="C310" s="309"/>
      <c r="D310" s="309"/>
      <c r="E310" s="309"/>
      <c r="F310" s="309"/>
      <c r="G310" s="309"/>
      <c r="H310" s="309"/>
      <c r="I310" s="309"/>
      <c r="J310" s="309"/>
      <c r="K310" s="309"/>
      <c r="L310" s="309"/>
      <c r="M310" s="309"/>
      <c r="N310" s="309"/>
      <c r="O310" s="309"/>
      <c r="P310" s="309"/>
      <c r="Q310" s="309"/>
    </row>
    <row r="311" spans="2:17" x14ac:dyDescent="0.35">
      <c r="B311" s="309"/>
      <c r="C311" s="309"/>
      <c r="D311" s="309"/>
      <c r="E311" s="309"/>
      <c r="F311" s="309"/>
      <c r="G311" s="309"/>
      <c r="H311" s="309"/>
      <c r="I311" s="309"/>
      <c r="J311" s="309"/>
      <c r="K311" s="309"/>
      <c r="L311" s="309"/>
      <c r="M311" s="309"/>
      <c r="N311" s="309"/>
      <c r="O311" s="309"/>
      <c r="P311" s="309"/>
      <c r="Q311" s="309"/>
    </row>
    <row r="312" spans="2:17" x14ac:dyDescent="0.35">
      <c r="B312" s="309"/>
      <c r="C312" s="309"/>
      <c r="D312" s="309"/>
      <c r="E312" s="309"/>
      <c r="F312" s="309"/>
      <c r="G312" s="309"/>
      <c r="H312" s="309"/>
      <c r="I312" s="309"/>
      <c r="J312" s="309"/>
      <c r="K312" s="309"/>
      <c r="L312" s="309"/>
      <c r="M312" s="309"/>
      <c r="N312" s="309"/>
      <c r="O312" s="309"/>
      <c r="P312" s="309"/>
      <c r="Q312" s="309"/>
    </row>
    <row r="313" spans="2:17" x14ac:dyDescent="0.35">
      <c r="B313" s="309"/>
      <c r="C313" s="309"/>
      <c r="D313" s="309"/>
      <c r="E313" s="309"/>
      <c r="F313" s="309"/>
      <c r="G313" s="309"/>
      <c r="H313" s="309"/>
      <c r="I313" s="309"/>
      <c r="J313" s="309"/>
      <c r="K313" s="309"/>
      <c r="L313" s="309"/>
      <c r="M313" s="309"/>
      <c r="N313" s="309"/>
      <c r="O313" s="309"/>
      <c r="P313" s="309"/>
      <c r="Q313" s="309"/>
    </row>
    <row r="314" spans="2:17" x14ac:dyDescent="0.35">
      <c r="B314" s="309"/>
      <c r="C314" s="309"/>
      <c r="D314" s="309"/>
      <c r="E314" s="309"/>
      <c r="F314" s="309"/>
      <c r="G314" s="309"/>
      <c r="H314" s="309"/>
      <c r="I314" s="309"/>
      <c r="J314" s="309"/>
      <c r="K314" s="309"/>
      <c r="L314" s="309"/>
      <c r="M314" s="309"/>
      <c r="N314" s="309"/>
      <c r="O314" s="309"/>
      <c r="P314" s="309"/>
      <c r="Q314" s="309"/>
    </row>
    <row r="315" spans="2:17" x14ac:dyDescent="0.35">
      <c r="B315" s="309"/>
      <c r="C315" s="309"/>
      <c r="D315" s="309"/>
      <c r="E315" s="309"/>
      <c r="F315" s="309"/>
      <c r="G315" s="309"/>
      <c r="H315" s="309"/>
      <c r="I315" s="309"/>
      <c r="J315" s="309"/>
      <c r="K315" s="309"/>
      <c r="L315" s="309"/>
      <c r="M315" s="309"/>
      <c r="N315" s="309"/>
      <c r="O315" s="309"/>
      <c r="P315" s="309"/>
      <c r="Q315" s="309"/>
    </row>
    <row r="316" spans="2:17" x14ac:dyDescent="0.35">
      <c r="B316" s="309"/>
      <c r="C316" s="309"/>
      <c r="D316" s="309"/>
      <c r="E316" s="309"/>
      <c r="F316" s="309"/>
      <c r="G316" s="309"/>
      <c r="H316" s="309"/>
      <c r="I316" s="309"/>
      <c r="J316" s="309"/>
      <c r="K316" s="309"/>
      <c r="L316" s="309"/>
      <c r="M316" s="309"/>
      <c r="N316" s="309"/>
      <c r="O316" s="309"/>
      <c r="P316" s="309"/>
      <c r="Q316" s="309"/>
    </row>
    <row r="317" spans="2:17" x14ac:dyDescent="0.35">
      <c r="B317" s="309"/>
      <c r="C317" s="309"/>
      <c r="D317" s="309"/>
      <c r="E317" s="309"/>
      <c r="F317" s="309"/>
      <c r="G317" s="309"/>
      <c r="H317" s="309"/>
      <c r="I317" s="309"/>
      <c r="J317" s="309"/>
      <c r="K317" s="309"/>
      <c r="L317" s="309"/>
      <c r="M317" s="309"/>
      <c r="N317" s="309"/>
      <c r="O317" s="309"/>
      <c r="P317" s="309"/>
      <c r="Q317" s="309"/>
    </row>
    <row r="318" spans="2:17" x14ac:dyDescent="0.35">
      <c r="B318" s="309"/>
      <c r="C318" s="309"/>
      <c r="D318" s="309"/>
      <c r="E318" s="309"/>
      <c r="F318" s="309"/>
      <c r="G318" s="309"/>
      <c r="H318" s="309"/>
      <c r="I318" s="309"/>
      <c r="J318" s="309"/>
      <c r="K318" s="309"/>
      <c r="L318" s="309"/>
      <c r="M318" s="309"/>
      <c r="N318" s="309"/>
      <c r="O318" s="309"/>
      <c r="P318" s="309"/>
      <c r="Q318" s="309"/>
    </row>
    <row r="319" spans="2:17" x14ac:dyDescent="0.35">
      <c r="B319" s="309"/>
      <c r="C319" s="309"/>
      <c r="D319" s="309"/>
      <c r="E319" s="309"/>
      <c r="F319" s="309"/>
      <c r="G319" s="309"/>
      <c r="H319" s="309"/>
      <c r="I319" s="309"/>
      <c r="J319" s="309"/>
      <c r="K319" s="309"/>
      <c r="L319" s="309"/>
      <c r="M319" s="309"/>
      <c r="N319" s="309"/>
      <c r="O319" s="309"/>
      <c r="P319" s="309"/>
      <c r="Q319" s="309"/>
    </row>
    <row r="320" spans="2:17" x14ac:dyDescent="0.35">
      <c r="B320" s="309"/>
      <c r="C320" s="309"/>
      <c r="D320" s="309"/>
      <c r="E320" s="309"/>
      <c r="F320" s="309"/>
      <c r="G320" s="309"/>
      <c r="H320" s="309"/>
      <c r="I320" s="309"/>
      <c r="J320" s="309"/>
      <c r="K320" s="309"/>
      <c r="L320" s="309"/>
      <c r="M320" s="309"/>
      <c r="N320" s="309"/>
      <c r="O320" s="309"/>
      <c r="P320" s="309"/>
      <c r="Q320" s="309"/>
    </row>
    <row r="321" spans="2:17" x14ac:dyDescent="0.35">
      <c r="B321" s="309"/>
      <c r="C321" s="309"/>
      <c r="D321" s="309"/>
      <c r="E321" s="309"/>
      <c r="F321" s="309"/>
      <c r="G321" s="309"/>
      <c r="H321" s="309"/>
      <c r="I321" s="309"/>
      <c r="J321" s="309"/>
      <c r="K321" s="309"/>
      <c r="L321" s="309"/>
      <c r="M321" s="309"/>
      <c r="N321" s="309"/>
      <c r="O321" s="309"/>
      <c r="P321" s="309"/>
      <c r="Q321" s="309"/>
    </row>
    <row r="322" spans="2:17" x14ac:dyDescent="0.35">
      <c r="B322" s="309"/>
      <c r="C322" s="309"/>
      <c r="D322" s="309"/>
      <c r="E322" s="309"/>
      <c r="F322" s="309"/>
      <c r="G322" s="309"/>
      <c r="H322" s="309"/>
      <c r="I322" s="309"/>
      <c r="J322" s="309"/>
      <c r="K322" s="309"/>
      <c r="L322" s="309"/>
      <c r="M322" s="309"/>
      <c r="N322" s="309"/>
      <c r="O322" s="309"/>
      <c r="P322" s="309"/>
      <c r="Q322" s="309"/>
    </row>
    <row r="323" spans="2:17" x14ac:dyDescent="0.35">
      <c r="B323" s="309"/>
      <c r="C323" s="309"/>
      <c r="D323" s="309"/>
      <c r="E323" s="309"/>
      <c r="F323" s="309"/>
      <c r="G323" s="309"/>
      <c r="H323" s="309"/>
      <c r="I323" s="309"/>
      <c r="J323" s="309"/>
      <c r="K323" s="309"/>
      <c r="L323" s="309"/>
      <c r="M323" s="309"/>
      <c r="N323" s="309"/>
      <c r="O323" s="309"/>
      <c r="P323" s="309"/>
      <c r="Q323" s="309"/>
    </row>
    <row r="324" spans="2:17" x14ac:dyDescent="0.35">
      <c r="B324" s="309"/>
      <c r="C324" s="309"/>
      <c r="D324" s="309"/>
      <c r="E324" s="309"/>
      <c r="F324" s="309"/>
      <c r="G324" s="309"/>
      <c r="H324" s="309"/>
      <c r="I324" s="309"/>
      <c r="J324" s="309"/>
      <c r="K324" s="309"/>
      <c r="L324" s="309"/>
      <c r="M324" s="309"/>
      <c r="N324" s="309"/>
      <c r="O324" s="309"/>
      <c r="P324" s="309"/>
      <c r="Q324" s="309"/>
    </row>
    <row r="325" spans="2:17" x14ac:dyDescent="0.35">
      <c r="B325" s="309"/>
      <c r="C325" s="309"/>
      <c r="D325" s="309"/>
      <c r="E325" s="309"/>
      <c r="F325" s="309"/>
      <c r="G325" s="309"/>
      <c r="H325" s="309"/>
      <c r="I325" s="309"/>
      <c r="J325" s="309"/>
      <c r="K325" s="309"/>
      <c r="L325" s="309"/>
      <c r="M325" s="309"/>
      <c r="N325" s="309"/>
      <c r="O325" s="309"/>
      <c r="P325" s="309"/>
      <c r="Q325" s="309"/>
    </row>
    <row r="326" spans="2:17" x14ac:dyDescent="0.35">
      <c r="B326" s="309"/>
      <c r="C326" s="309"/>
      <c r="D326" s="309"/>
      <c r="E326" s="309"/>
      <c r="F326" s="309"/>
      <c r="G326" s="309"/>
      <c r="H326" s="309"/>
      <c r="I326" s="309"/>
      <c r="J326" s="309"/>
      <c r="K326" s="309"/>
      <c r="L326" s="309"/>
      <c r="M326" s="309"/>
      <c r="N326" s="309"/>
      <c r="O326" s="309"/>
      <c r="P326" s="309"/>
      <c r="Q326" s="309"/>
    </row>
    <row r="327" spans="2:17" x14ac:dyDescent="0.35">
      <c r="B327" s="309"/>
      <c r="C327" s="309"/>
      <c r="D327" s="309"/>
      <c r="E327" s="309"/>
      <c r="F327" s="309"/>
      <c r="G327" s="309"/>
      <c r="H327" s="309"/>
      <c r="I327" s="309"/>
      <c r="J327" s="309"/>
      <c r="K327" s="309"/>
      <c r="L327" s="309"/>
      <c r="M327" s="309"/>
      <c r="N327" s="309"/>
      <c r="O327" s="309"/>
      <c r="P327" s="309"/>
      <c r="Q327" s="309"/>
    </row>
    <row r="328" spans="2:17" x14ac:dyDescent="0.35">
      <c r="B328" s="309"/>
      <c r="C328" s="309"/>
      <c r="D328" s="309"/>
      <c r="E328" s="309"/>
      <c r="F328" s="309"/>
      <c r="G328" s="309"/>
      <c r="H328" s="309"/>
      <c r="I328" s="309"/>
      <c r="J328" s="309"/>
      <c r="K328" s="309"/>
      <c r="L328" s="309"/>
      <c r="M328" s="309"/>
      <c r="N328" s="309"/>
      <c r="O328" s="309"/>
      <c r="P328" s="309"/>
      <c r="Q328" s="309"/>
    </row>
    <row r="329" spans="2:17" x14ac:dyDescent="0.35">
      <c r="B329" s="309"/>
      <c r="C329" s="309"/>
      <c r="D329" s="309"/>
      <c r="E329" s="309"/>
      <c r="F329" s="309"/>
      <c r="G329" s="309"/>
      <c r="H329" s="309"/>
      <c r="I329" s="309"/>
      <c r="J329" s="309"/>
      <c r="K329" s="309"/>
      <c r="L329" s="309"/>
      <c r="M329" s="309"/>
      <c r="N329" s="309"/>
      <c r="O329" s="309"/>
      <c r="P329" s="309"/>
      <c r="Q329" s="309"/>
    </row>
    <row r="330" spans="2:17" x14ac:dyDescent="0.35">
      <c r="B330" s="309"/>
      <c r="C330" s="309"/>
      <c r="D330" s="309"/>
      <c r="E330" s="309"/>
      <c r="F330" s="309"/>
      <c r="G330" s="309"/>
      <c r="H330" s="309"/>
      <c r="I330" s="309"/>
      <c r="J330" s="309"/>
      <c r="K330" s="309"/>
      <c r="L330" s="309"/>
      <c r="M330" s="309"/>
      <c r="N330" s="309"/>
      <c r="O330" s="309"/>
      <c r="P330" s="309"/>
      <c r="Q330" s="309"/>
    </row>
    <row r="331" spans="2:17" x14ac:dyDescent="0.35">
      <c r="B331" s="309"/>
      <c r="C331" s="309"/>
      <c r="D331" s="309"/>
      <c r="E331" s="309"/>
      <c r="F331" s="309"/>
      <c r="G331" s="309"/>
      <c r="H331" s="309"/>
      <c r="I331" s="309"/>
      <c r="J331" s="309"/>
      <c r="K331" s="309"/>
      <c r="L331" s="309"/>
      <c r="M331" s="309"/>
      <c r="N331" s="309"/>
      <c r="O331" s="309"/>
      <c r="P331" s="309"/>
      <c r="Q331" s="309"/>
    </row>
    <row r="332" spans="2:17" x14ac:dyDescent="0.35">
      <c r="B332" s="309"/>
      <c r="C332" s="309"/>
      <c r="D332" s="309"/>
      <c r="E332" s="309"/>
      <c r="F332" s="309"/>
      <c r="G332" s="309"/>
      <c r="H332" s="309"/>
      <c r="I332" s="309"/>
      <c r="J332" s="309"/>
      <c r="K332" s="309"/>
      <c r="L332" s="309"/>
      <c r="M332" s="309"/>
      <c r="N332" s="309"/>
      <c r="O332" s="309"/>
      <c r="P332" s="309"/>
      <c r="Q332" s="309"/>
    </row>
    <row r="333" spans="2:17" x14ac:dyDescent="0.35">
      <c r="B333" s="309"/>
      <c r="C333" s="309"/>
      <c r="D333" s="309"/>
      <c r="E333" s="309"/>
      <c r="F333" s="309"/>
      <c r="G333" s="309"/>
      <c r="H333" s="309"/>
      <c r="I333" s="309"/>
      <c r="J333" s="309"/>
      <c r="K333" s="309"/>
      <c r="L333" s="309"/>
      <c r="M333" s="309"/>
      <c r="N333" s="309"/>
      <c r="O333" s="309"/>
      <c r="P333" s="309"/>
      <c r="Q333" s="309"/>
    </row>
    <row r="334" spans="2:17" x14ac:dyDescent="0.35">
      <c r="B334" s="309"/>
      <c r="C334" s="309"/>
      <c r="D334" s="309"/>
      <c r="E334" s="309"/>
      <c r="F334" s="309"/>
      <c r="G334" s="309"/>
      <c r="H334" s="309"/>
      <c r="I334" s="309"/>
      <c r="J334" s="309"/>
      <c r="K334" s="309"/>
      <c r="L334" s="309"/>
      <c r="M334" s="309"/>
      <c r="N334" s="309"/>
      <c r="O334" s="309"/>
      <c r="P334" s="309"/>
      <c r="Q334" s="309"/>
    </row>
    <row r="335" spans="2:17" x14ac:dyDescent="0.35">
      <c r="B335" s="309"/>
      <c r="C335" s="309"/>
      <c r="D335" s="309"/>
      <c r="E335" s="309"/>
      <c r="F335" s="309"/>
      <c r="G335" s="309"/>
      <c r="H335" s="309"/>
      <c r="I335" s="309"/>
      <c r="J335" s="309"/>
      <c r="K335" s="309"/>
      <c r="L335" s="309"/>
      <c r="M335" s="309"/>
      <c r="N335" s="309"/>
      <c r="O335" s="309"/>
      <c r="P335" s="309"/>
      <c r="Q335" s="309"/>
    </row>
    <row r="336" spans="2:17" x14ac:dyDescent="0.35">
      <c r="B336" s="309"/>
      <c r="C336" s="309"/>
      <c r="D336" s="309"/>
      <c r="E336" s="309"/>
      <c r="F336" s="309"/>
      <c r="G336" s="309"/>
      <c r="H336" s="309"/>
      <c r="I336" s="309"/>
      <c r="J336" s="309"/>
      <c r="K336" s="309"/>
      <c r="L336" s="309"/>
      <c r="M336" s="309"/>
      <c r="N336" s="309"/>
      <c r="O336" s="309"/>
      <c r="P336" s="309"/>
      <c r="Q336" s="309"/>
    </row>
    <row r="337" spans="2:17" x14ac:dyDescent="0.35">
      <c r="B337" s="309"/>
      <c r="C337" s="309"/>
      <c r="D337" s="309"/>
      <c r="E337" s="309"/>
      <c r="F337" s="309"/>
      <c r="G337" s="309"/>
      <c r="H337" s="309"/>
      <c r="I337" s="309"/>
      <c r="J337" s="309"/>
      <c r="K337" s="309"/>
      <c r="L337" s="309"/>
      <c r="M337" s="309"/>
      <c r="N337" s="309"/>
      <c r="O337" s="309"/>
      <c r="P337" s="309"/>
      <c r="Q337" s="309"/>
    </row>
    <row r="338" spans="2:17" x14ac:dyDescent="0.35">
      <c r="B338" s="309"/>
      <c r="C338" s="309"/>
      <c r="D338" s="309"/>
      <c r="E338" s="309"/>
      <c r="F338" s="309"/>
      <c r="G338" s="309"/>
      <c r="H338" s="309"/>
      <c r="I338" s="309"/>
      <c r="J338" s="309"/>
      <c r="K338" s="309"/>
      <c r="L338" s="309"/>
      <c r="M338" s="309"/>
      <c r="N338" s="309"/>
      <c r="O338" s="309"/>
      <c r="P338" s="309"/>
      <c r="Q338" s="309"/>
    </row>
    <row r="339" spans="2:17" x14ac:dyDescent="0.35">
      <c r="B339" s="309"/>
      <c r="C339" s="309"/>
      <c r="D339" s="309"/>
      <c r="E339" s="309"/>
      <c r="F339" s="309"/>
      <c r="G339" s="309"/>
      <c r="H339" s="309"/>
      <c r="I339" s="309"/>
      <c r="J339" s="309"/>
      <c r="K339" s="309"/>
      <c r="L339" s="309"/>
      <c r="M339" s="309"/>
      <c r="N339" s="309"/>
      <c r="O339" s="309"/>
      <c r="P339" s="309"/>
      <c r="Q339" s="309"/>
    </row>
    <row r="340" spans="2:17" x14ac:dyDescent="0.35">
      <c r="B340" s="309"/>
      <c r="C340" s="309"/>
      <c r="D340" s="309"/>
      <c r="E340" s="309"/>
      <c r="F340" s="309"/>
      <c r="G340" s="309"/>
      <c r="H340" s="309"/>
      <c r="I340" s="309"/>
      <c r="J340" s="309"/>
      <c r="K340" s="309"/>
      <c r="L340" s="309"/>
      <c r="M340" s="309"/>
      <c r="N340" s="309"/>
      <c r="O340" s="309"/>
      <c r="P340" s="309"/>
      <c r="Q340" s="309"/>
    </row>
    <row r="341" spans="2:17" x14ac:dyDescent="0.35">
      <c r="B341" s="309"/>
      <c r="C341" s="309"/>
      <c r="D341" s="309"/>
      <c r="E341" s="309"/>
      <c r="F341" s="309"/>
      <c r="G341" s="309"/>
      <c r="H341" s="309"/>
      <c r="I341" s="309"/>
      <c r="J341" s="309"/>
      <c r="K341" s="309"/>
      <c r="L341" s="309"/>
      <c r="M341" s="309"/>
      <c r="N341" s="309"/>
      <c r="O341" s="309"/>
      <c r="P341" s="309"/>
      <c r="Q341" s="309"/>
    </row>
    <row r="342" spans="2:17" x14ac:dyDescent="0.35">
      <c r="B342" s="309"/>
      <c r="C342" s="309"/>
      <c r="D342" s="309"/>
      <c r="E342" s="309"/>
      <c r="F342" s="309"/>
      <c r="G342" s="309"/>
      <c r="H342" s="309"/>
      <c r="I342" s="309"/>
      <c r="J342" s="309"/>
      <c r="K342" s="309"/>
      <c r="L342" s="309"/>
      <c r="M342" s="309"/>
      <c r="N342" s="309"/>
      <c r="O342" s="309"/>
      <c r="P342" s="309"/>
      <c r="Q342" s="309"/>
    </row>
    <row r="343" spans="2:17" x14ac:dyDescent="0.35">
      <c r="B343" s="309"/>
      <c r="C343" s="309"/>
      <c r="D343" s="309"/>
      <c r="E343" s="309"/>
      <c r="F343" s="309"/>
      <c r="G343" s="309"/>
      <c r="H343" s="309"/>
      <c r="I343" s="309"/>
      <c r="J343" s="309"/>
      <c r="K343" s="309"/>
      <c r="L343" s="309"/>
      <c r="M343" s="309"/>
      <c r="N343" s="309"/>
      <c r="O343" s="309"/>
      <c r="P343" s="309"/>
      <c r="Q343" s="309"/>
    </row>
    <row r="344" spans="2:17" x14ac:dyDescent="0.35">
      <c r="B344" s="309"/>
      <c r="C344" s="309"/>
      <c r="D344" s="309"/>
      <c r="E344" s="309"/>
      <c r="F344" s="309"/>
      <c r="G344" s="309"/>
      <c r="H344" s="309"/>
      <c r="I344" s="309"/>
      <c r="J344" s="309"/>
      <c r="K344" s="309"/>
      <c r="L344" s="309"/>
      <c r="M344" s="309"/>
      <c r="N344" s="309"/>
      <c r="O344" s="309"/>
      <c r="P344" s="309"/>
      <c r="Q344" s="309"/>
    </row>
    <row r="345" spans="2:17" x14ac:dyDescent="0.35">
      <c r="B345" s="309"/>
      <c r="C345" s="309"/>
      <c r="D345" s="309"/>
      <c r="E345" s="309"/>
      <c r="F345" s="309"/>
      <c r="G345" s="309"/>
      <c r="H345" s="309"/>
      <c r="I345" s="309"/>
      <c r="J345" s="309"/>
      <c r="K345" s="309"/>
      <c r="L345" s="309"/>
      <c r="M345" s="309"/>
      <c r="N345" s="309"/>
      <c r="O345" s="309"/>
      <c r="P345" s="309"/>
      <c r="Q345" s="309"/>
    </row>
    <row r="346" spans="2:17" x14ac:dyDescent="0.35">
      <c r="B346" s="309"/>
      <c r="C346" s="309"/>
      <c r="D346" s="309"/>
      <c r="E346" s="309"/>
      <c r="F346" s="309"/>
      <c r="G346" s="309"/>
      <c r="H346" s="309"/>
      <c r="I346" s="309"/>
      <c r="J346" s="309"/>
      <c r="K346" s="309"/>
      <c r="L346" s="309"/>
      <c r="M346" s="309"/>
      <c r="N346" s="309"/>
      <c r="O346" s="309"/>
      <c r="P346" s="309"/>
      <c r="Q346" s="309"/>
    </row>
    <row r="347" spans="2:17" x14ac:dyDescent="0.35">
      <c r="B347" s="309"/>
      <c r="C347" s="309"/>
      <c r="D347" s="309"/>
      <c r="E347" s="309"/>
      <c r="F347" s="309"/>
      <c r="G347" s="309"/>
      <c r="H347" s="309"/>
      <c r="I347" s="309"/>
      <c r="J347" s="309"/>
      <c r="K347" s="309"/>
      <c r="L347" s="309"/>
      <c r="M347" s="309"/>
      <c r="N347" s="309"/>
      <c r="O347" s="309"/>
      <c r="P347" s="309"/>
      <c r="Q347" s="309"/>
    </row>
    <row r="348" spans="2:17" x14ac:dyDescent="0.35">
      <c r="B348" s="309"/>
      <c r="C348" s="309"/>
      <c r="D348" s="309"/>
      <c r="E348" s="309"/>
      <c r="F348" s="309"/>
      <c r="G348" s="309"/>
      <c r="H348" s="309"/>
      <c r="I348" s="309"/>
      <c r="J348" s="309"/>
      <c r="K348" s="309"/>
      <c r="L348" s="309"/>
      <c r="M348" s="309"/>
      <c r="N348" s="309"/>
      <c r="O348" s="309"/>
      <c r="P348" s="309"/>
      <c r="Q348" s="309"/>
    </row>
    <row r="349" spans="2:17" x14ac:dyDescent="0.35">
      <c r="B349" s="309"/>
      <c r="C349" s="309"/>
      <c r="D349" s="309"/>
      <c r="E349" s="309"/>
      <c r="F349" s="309"/>
      <c r="G349" s="309"/>
      <c r="H349" s="309"/>
      <c r="I349" s="309"/>
      <c r="J349" s="309"/>
      <c r="K349" s="309"/>
      <c r="L349" s="309"/>
      <c r="M349" s="309"/>
      <c r="N349" s="309"/>
      <c r="O349" s="309"/>
      <c r="P349" s="309"/>
      <c r="Q349" s="309"/>
    </row>
    <row r="350" spans="2:17" x14ac:dyDescent="0.35">
      <c r="B350" s="309"/>
      <c r="C350" s="309"/>
      <c r="D350" s="309"/>
      <c r="E350" s="309"/>
      <c r="F350" s="309"/>
      <c r="G350" s="309"/>
      <c r="H350" s="309"/>
      <c r="I350" s="309"/>
      <c r="J350" s="309"/>
      <c r="K350" s="309"/>
      <c r="L350" s="309"/>
      <c r="M350" s="309"/>
      <c r="N350" s="309"/>
      <c r="O350" s="309"/>
      <c r="P350" s="309"/>
      <c r="Q350" s="309"/>
    </row>
    <row r="351" spans="2:17" x14ac:dyDescent="0.35">
      <c r="B351" s="309"/>
      <c r="C351" s="309"/>
      <c r="D351" s="309"/>
      <c r="E351" s="309"/>
      <c r="F351" s="309"/>
      <c r="G351" s="309"/>
      <c r="H351" s="309"/>
      <c r="I351" s="309"/>
      <c r="J351" s="309"/>
      <c r="K351" s="309"/>
      <c r="L351" s="309"/>
      <c r="M351" s="309"/>
      <c r="N351" s="309"/>
      <c r="O351" s="309"/>
      <c r="P351" s="309"/>
      <c r="Q351" s="309"/>
    </row>
    <row r="352" spans="2:17" x14ac:dyDescent="0.35">
      <c r="B352" s="309"/>
      <c r="C352" s="309"/>
      <c r="D352" s="309"/>
      <c r="E352" s="309"/>
      <c r="F352" s="309"/>
      <c r="G352" s="309"/>
      <c r="H352" s="309"/>
      <c r="I352" s="309"/>
      <c r="J352" s="309"/>
      <c r="K352" s="309"/>
      <c r="L352" s="309"/>
      <c r="M352" s="309"/>
      <c r="N352" s="309"/>
      <c r="O352" s="309"/>
      <c r="P352" s="309"/>
      <c r="Q352" s="309"/>
    </row>
    <row r="353" spans="2:17" x14ac:dyDescent="0.35">
      <c r="B353" s="309"/>
      <c r="C353" s="309"/>
      <c r="D353" s="309"/>
      <c r="E353" s="309"/>
      <c r="F353" s="309"/>
      <c r="G353" s="309"/>
      <c r="H353" s="309"/>
      <c r="I353" s="309"/>
      <c r="J353" s="309"/>
      <c r="K353" s="309"/>
      <c r="L353" s="309"/>
      <c r="M353" s="309"/>
      <c r="N353" s="309"/>
      <c r="O353" s="309"/>
      <c r="P353" s="309"/>
      <c r="Q353" s="309"/>
    </row>
    <row r="354" spans="2:17" x14ac:dyDescent="0.35">
      <c r="B354" s="309"/>
      <c r="C354" s="309"/>
      <c r="D354" s="309"/>
      <c r="E354" s="309"/>
      <c r="F354" s="309"/>
      <c r="G354" s="309"/>
      <c r="H354" s="309"/>
      <c r="I354" s="309"/>
      <c r="J354" s="309"/>
      <c r="K354" s="309"/>
      <c r="L354" s="309"/>
      <c r="M354" s="309"/>
      <c r="N354" s="309"/>
      <c r="O354" s="309"/>
      <c r="P354" s="309"/>
      <c r="Q354" s="309"/>
    </row>
    <row r="355" spans="2:17" x14ac:dyDescent="0.35">
      <c r="B355" s="309"/>
      <c r="C355" s="309"/>
      <c r="D355" s="309"/>
      <c r="E355" s="309"/>
      <c r="F355" s="309"/>
      <c r="G355" s="309"/>
      <c r="H355" s="309"/>
      <c r="I355" s="309"/>
      <c r="J355" s="309"/>
      <c r="K355" s="309"/>
      <c r="L355" s="309"/>
      <c r="M355" s="309"/>
      <c r="N355" s="309"/>
      <c r="O355" s="309"/>
      <c r="P355" s="309"/>
      <c r="Q355" s="309"/>
    </row>
    <row r="356" spans="2:17" x14ac:dyDescent="0.35">
      <c r="B356" s="309"/>
      <c r="C356" s="309"/>
      <c r="D356" s="309"/>
      <c r="E356" s="309"/>
      <c r="F356" s="309"/>
      <c r="G356" s="309"/>
      <c r="H356" s="309"/>
      <c r="I356" s="309"/>
      <c r="J356" s="309"/>
      <c r="K356" s="309"/>
      <c r="L356" s="309"/>
      <c r="M356" s="309"/>
      <c r="N356" s="309"/>
      <c r="O356" s="309"/>
      <c r="P356" s="309"/>
      <c r="Q356" s="309"/>
    </row>
    <row r="357" spans="2:17" x14ac:dyDescent="0.35">
      <c r="B357" s="309"/>
      <c r="C357" s="309"/>
      <c r="D357" s="309"/>
      <c r="E357" s="309"/>
      <c r="F357" s="309"/>
      <c r="G357" s="309"/>
      <c r="H357" s="309"/>
      <c r="I357" s="309"/>
      <c r="J357" s="309"/>
      <c r="K357" s="309"/>
      <c r="L357" s="309"/>
      <c r="M357" s="309"/>
      <c r="N357" s="309"/>
      <c r="O357" s="309"/>
      <c r="P357" s="309"/>
      <c r="Q357" s="309"/>
    </row>
    <row r="358" spans="2:17" x14ac:dyDescent="0.35">
      <c r="B358" s="309"/>
      <c r="C358" s="309"/>
      <c r="D358" s="309"/>
      <c r="E358" s="309"/>
      <c r="F358" s="309"/>
      <c r="G358" s="309"/>
      <c r="H358" s="309"/>
      <c r="I358" s="309"/>
      <c r="J358" s="309"/>
      <c r="K358" s="309"/>
      <c r="L358" s="309"/>
      <c r="M358" s="309"/>
      <c r="N358" s="309"/>
      <c r="O358" s="309"/>
      <c r="P358" s="309"/>
      <c r="Q358" s="309"/>
    </row>
    <row r="359" spans="2:17" x14ac:dyDescent="0.35">
      <c r="B359" s="309"/>
      <c r="C359" s="309"/>
      <c r="D359" s="309"/>
      <c r="E359" s="309"/>
      <c r="F359" s="309"/>
      <c r="G359" s="309"/>
      <c r="H359" s="309"/>
      <c r="I359" s="309"/>
      <c r="J359" s="309"/>
      <c r="K359" s="309"/>
      <c r="L359" s="309"/>
      <c r="M359" s="309"/>
      <c r="N359" s="309"/>
      <c r="O359" s="309"/>
      <c r="P359" s="309"/>
      <c r="Q359" s="309"/>
    </row>
    <row r="360" spans="2:17" x14ac:dyDescent="0.35">
      <c r="B360" s="309"/>
      <c r="C360" s="309"/>
      <c r="D360" s="309"/>
      <c r="E360" s="309"/>
      <c r="F360" s="309"/>
      <c r="G360" s="309"/>
      <c r="H360" s="309"/>
      <c r="I360" s="309"/>
      <c r="J360" s="309"/>
      <c r="K360" s="309"/>
      <c r="L360" s="309"/>
      <c r="M360" s="309"/>
      <c r="N360" s="309"/>
      <c r="O360" s="309"/>
      <c r="P360" s="309"/>
      <c r="Q360" s="309"/>
    </row>
    <row r="361" spans="2:17" x14ac:dyDescent="0.35">
      <c r="B361" s="309"/>
      <c r="C361" s="309"/>
      <c r="D361" s="309"/>
      <c r="E361" s="309"/>
      <c r="F361" s="309"/>
      <c r="G361" s="309"/>
      <c r="H361" s="309"/>
      <c r="I361" s="309"/>
      <c r="J361" s="309"/>
      <c r="K361" s="309"/>
      <c r="L361" s="309"/>
      <c r="M361" s="309"/>
      <c r="N361" s="309"/>
      <c r="O361" s="309"/>
      <c r="P361" s="309"/>
      <c r="Q361" s="309"/>
    </row>
    <row r="362" spans="2:17" x14ac:dyDescent="0.35">
      <c r="B362" s="309"/>
      <c r="C362" s="309"/>
      <c r="D362" s="309"/>
      <c r="E362" s="309"/>
      <c r="F362" s="309"/>
      <c r="G362" s="309"/>
      <c r="H362" s="309"/>
      <c r="I362" s="309"/>
      <c r="J362" s="309"/>
      <c r="K362" s="309"/>
      <c r="L362" s="309"/>
      <c r="M362" s="309"/>
      <c r="N362" s="309"/>
      <c r="O362" s="309"/>
      <c r="P362" s="309"/>
      <c r="Q362" s="309"/>
    </row>
    <row r="363" spans="2:17" x14ac:dyDescent="0.35">
      <c r="B363" s="309"/>
      <c r="C363" s="309"/>
      <c r="D363" s="309"/>
      <c r="E363" s="309"/>
      <c r="F363" s="309"/>
      <c r="G363" s="309"/>
      <c r="H363" s="309"/>
      <c r="I363" s="309"/>
      <c r="J363" s="309"/>
      <c r="K363" s="309"/>
      <c r="L363" s="309"/>
      <c r="M363" s="309"/>
      <c r="N363" s="309"/>
      <c r="O363" s="309"/>
      <c r="P363" s="309"/>
      <c r="Q363" s="309"/>
    </row>
    <row r="364" spans="2:17" x14ac:dyDescent="0.35">
      <c r="B364" s="309"/>
      <c r="C364" s="309"/>
      <c r="D364" s="309"/>
      <c r="E364" s="309"/>
      <c r="F364" s="309"/>
      <c r="G364" s="309"/>
      <c r="H364" s="309"/>
      <c r="I364" s="309"/>
      <c r="J364" s="309"/>
      <c r="K364" s="309"/>
      <c r="L364" s="309"/>
      <c r="M364" s="309"/>
      <c r="N364" s="309"/>
      <c r="O364" s="309"/>
      <c r="P364" s="309"/>
      <c r="Q364" s="309"/>
    </row>
    <row r="365" spans="2:17" x14ac:dyDescent="0.35">
      <c r="B365" s="309"/>
      <c r="C365" s="309"/>
      <c r="D365" s="309"/>
      <c r="E365" s="309"/>
      <c r="F365" s="309"/>
      <c r="G365" s="309"/>
      <c r="H365" s="309"/>
      <c r="I365" s="309"/>
      <c r="J365" s="309"/>
      <c r="K365" s="309"/>
      <c r="L365" s="309"/>
      <c r="M365" s="309"/>
      <c r="N365" s="309"/>
      <c r="O365" s="309"/>
      <c r="P365" s="309"/>
      <c r="Q365" s="309"/>
    </row>
    <row r="366" spans="2:17" x14ac:dyDescent="0.35">
      <c r="B366" s="309"/>
      <c r="C366" s="309"/>
      <c r="D366" s="309"/>
      <c r="E366" s="309"/>
      <c r="F366" s="309"/>
      <c r="G366" s="309"/>
      <c r="H366" s="309"/>
      <c r="I366" s="309"/>
      <c r="J366" s="309"/>
      <c r="K366" s="309"/>
      <c r="L366" s="309"/>
      <c r="M366" s="309"/>
      <c r="N366" s="309"/>
      <c r="O366" s="309"/>
      <c r="P366" s="309"/>
      <c r="Q366" s="309"/>
    </row>
    <row r="367" spans="2:17" x14ac:dyDescent="0.35">
      <c r="B367" s="309"/>
      <c r="C367" s="309"/>
      <c r="D367" s="309"/>
      <c r="E367" s="309"/>
      <c r="F367" s="309"/>
      <c r="G367" s="309"/>
      <c r="H367" s="309"/>
      <c r="I367" s="309"/>
      <c r="J367" s="309"/>
      <c r="K367" s="309"/>
      <c r="L367" s="309"/>
      <c r="M367" s="309"/>
      <c r="N367" s="309"/>
      <c r="O367" s="309"/>
      <c r="P367" s="309"/>
      <c r="Q367" s="309"/>
    </row>
    <row r="368" spans="2:17" x14ac:dyDescent="0.35">
      <c r="B368" s="309"/>
      <c r="C368" s="309"/>
      <c r="D368" s="309"/>
      <c r="E368" s="309"/>
      <c r="F368" s="309"/>
      <c r="G368" s="309"/>
      <c r="H368" s="309"/>
      <c r="I368" s="309"/>
      <c r="J368" s="309"/>
      <c r="K368" s="309"/>
      <c r="L368" s="309"/>
      <c r="M368" s="309"/>
      <c r="N368" s="309"/>
      <c r="O368" s="309"/>
      <c r="P368" s="309"/>
      <c r="Q368" s="309"/>
    </row>
    <row r="369" spans="2:17" x14ac:dyDescent="0.35">
      <c r="B369" s="309"/>
      <c r="C369" s="309"/>
      <c r="D369" s="309"/>
      <c r="E369" s="309"/>
      <c r="F369" s="309"/>
      <c r="G369" s="309"/>
      <c r="H369" s="309"/>
      <c r="I369" s="309"/>
      <c r="J369" s="309"/>
      <c r="K369" s="309"/>
      <c r="L369" s="309"/>
      <c r="M369" s="309"/>
      <c r="N369" s="309"/>
      <c r="O369" s="309"/>
      <c r="P369" s="309"/>
      <c r="Q369" s="309"/>
    </row>
    <row r="370" spans="2:17" x14ac:dyDescent="0.35">
      <c r="B370" s="309"/>
      <c r="C370" s="309"/>
      <c r="D370" s="309"/>
      <c r="E370" s="309"/>
      <c r="F370" s="309"/>
      <c r="G370" s="309"/>
      <c r="H370" s="309"/>
      <c r="I370" s="309"/>
      <c r="J370" s="309"/>
      <c r="K370" s="309"/>
      <c r="L370" s="309"/>
      <c r="M370" s="309"/>
      <c r="N370" s="309"/>
      <c r="O370" s="309"/>
      <c r="P370" s="309"/>
      <c r="Q370" s="309"/>
    </row>
    <row r="371" spans="2:17" x14ac:dyDescent="0.35">
      <c r="B371" s="309"/>
      <c r="C371" s="309"/>
      <c r="D371" s="309"/>
      <c r="E371" s="309"/>
      <c r="F371" s="309"/>
      <c r="G371" s="309"/>
      <c r="H371" s="309"/>
      <c r="I371" s="309"/>
      <c r="J371" s="309"/>
      <c r="K371" s="309"/>
      <c r="L371" s="309"/>
      <c r="M371" s="309"/>
      <c r="N371" s="309"/>
      <c r="O371" s="309"/>
      <c r="P371" s="309"/>
      <c r="Q371" s="309"/>
    </row>
    <row r="372" spans="2:17" x14ac:dyDescent="0.35">
      <c r="B372" s="309"/>
      <c r="C372" s="309"/>
      <c r="D372" s="309"/>
      <c r="E372" s="309"/>
      <c r="F372" s="309"/>
      <c r="G372" s="309"/>
      <c r="H372" s="309"/>
      <c r="I372" s="309"/>
      <c r="J372" s="309"/>
      <c r="K372" s="309"/>
      <c r="L372" s="309"/>
      <c r="M372" s="309"/>
      <c r="N372" s="309"/>
      <c r="O372" s="309"/>
      <c r="P372" s="309"/>
      <c r="Q372" s="309"/>
    </row>
    <row r="373" spans="2:17" x14ac:dyDescent="0.35">
      <c r="B373" s="309"/>
      <c r="C373" s="309"/>
      <c r="D373" s="309"/>
      <c r="E373" s="309"/>
      <c r="F373" s="309"/>
      <c r="G373" s="309"/>
      <c r="H373" s="309"/>
      <c r="I373" s="309"/>
      <c r="J373" s="309"/>
      <c r="K373" s="309"/>
      <c r="L373" s="309"/>
      <c r="M373" s="309"/>
      <c r="N373" s="309"/>
      <c r="O373" s="309"/>
      <c r="P373" s="309"/>
      <c r="Q373" s="309"/>
    </row>
    <row r="374" spans="2:17" x14ac:dyDescent="0.35">
      <c r="B374" s="309"/>
      <c r="C374" s="309"/>
      <c r="D374" s="309"/>
      <c r="E374" s="309"/>
      <c r="F374" s="309"/>
      <c r="G374" s="309"/>
      <c r="H374" s="309"/>
      <c r="I374" s="309"/>
      <c r="J374" s="309"/>
      <c r="K374" s="309"/>
      <c r="L374" s="309"/>
      <c r="M374" s="309"/>
      <c r="N374" s="309"/>
      <c r="O374" s="309"/>
      <c r="P374" s="309"/>
      <c r="Q374" s="309"/>
    </row>
    <row r="375" spans="2:17" x14ac:dyDescent="0.35">
      <c r="B375" s="309"/>
      <c r="C375" s="309"/>
      <c r="D375" s="309"/>
      <c r="E375" s="309"/>
      <c r="F375" s="309"/>
      <c r="G375" s="309"/>
      <c r="H375" s="309"/>
      <c r="I375" s="309"/>
      <c r="J375" s="309"/>
      <c r="K375" s="309"/>
      <c r="L375" s="309"/>
      <c r="M375" s="309"/>
      <c r="N375" s="309"/>
      <c r="O375" s="309"/>
      <c r="P375" s="309"/>
      <c r="Q375" s="309"/>
    </row>
    <row r="376" spans="2:17" x14ac:dyDescent="0.35">
      <c r="B376" s="309"/>
      <c r="C376" s="309"/>
      <c r="D376" s="309"/>
      <c r="E376" s="309"/>
      <c r="F376" s="309"/>
      <c r="G376" s="309"/>
      <c r="H376" s="309"/>
      <c r="I376" s="309"/>
      <c r="J376" s="309"/>
      <c r="K376" s="309"/>
      <c r="L376" s="309"/>
      <c r="M376" s="309"/>
      <c r="N376" s="309"/>
      <c r="O376" s="309"/>
      <c r="P376" s="309"/>
      <c r="Q376" s="309"/>
    </row>
    <row r="377" spans="2:17" x14ac:dyDescent="0.35">
      <c r="B377" s="309"/>
      <c r="C377" s="309"/>
      <c r="D377" s="309"/>
      <c r="E377" s="309"/>
      <c r="F377" s="309"/>
      <c r="G377" s="309"/>
      <c r="H377" s="309"/>
      <c r="I377" s="309"/>
      <c r="J377" s="309"/>
      <c r="K377" s="309"/>
      <c r="L377" s="309"/>
      <c r="M377" s="309"/>
      <c r="N377" s="309"/>
      <c r="O377" s="309"/>
      <c r="P377" s="309"/>
      <c r="Q377" s="309"/>
    </row>
    <row r="378" spans="2:17" x14ac:dyDescent="0.35">
      <c r="B378" s="309"/>
      <c r="C378" s="309"/>
      <c r="D378" s="309"/>
      <c r="E378" s="309"/>
      <c r="F378" s="309"/>
      <c r="G378" s="309"/>
      <c r="H378" s="309"/>
      <c r="I378" s="309"/>
      <c r="J378" s="309"/>
      <c r="K378" s="309"/>
      <c r="L378" s="309"/>
      <c r="M378" s="309"/>
      <c r="N378" s="309"/>
      <c r="O378" s="309"/>
      <c r="P378" s="309"/>
      <c r="Q378" s="309"/>
    </row>
    <row r="379" spans="2:17" x14ac:dyDescent="0.35">
      <c r="B379" s="309"/>
      <c r="C379" s="309"/>
      <c r="D379" s="309"/>
      <c r="E379" s="309"/>
      <c r="F379" s="309"/>
      <c r="G379" s="309"/>
      <c r="H379" s="309"/>
      <c r="I379" s="309"/>
      <c r="J379" s="309"/>
      <c r="K379" s="309"/>
      <c r="L379" s="309"/>
      <c r="M379" s="309"/>
      <c r="N379" s="309"/>
      <c r="O379" s="309"/>
      <c r="P379" s="309"/>
      <c r="Q379" s="309"/>
    </row>
    <row r="380" spans="2:17" x14ac:dyDescent="0.35">
      <c r="B380" s="309"/>
      <c r="C380" s="309"/>
      <c r="D380" s="309"/>
      <c r="E380" s="309"/>
      <c r="F380" s="309"/>
      <c r="G380" s="309"/>
      <c r="H380" s="309"/>
      <c r="I380" s="309"/>
      <c r="J380" s="309"/>
      <c r="K380" s="309"/>
      <c r="L380" s="309"/>
      <c r="M380" s="309"/>
      <c r="N380" s="309"/>
      <c r="O380" s="309"/>
      <c r="P380" s="309"/>
      <c r="Q380" s="309"/>
    </row>
    <row r="381" spans="2:17" x14ac:dyDescent="0.35">
      <c r="B381" s="309"/>
      <c r="C381" s="309"/>
      <c r="D381" s="309"/>
      <c r="E381" s="309"/>
      <c r="F381" s="309"/>
      <c r="G381" s="309"/>
      <c r="H381" s="309"/>
      <c r="I381" s="309"/>
      <c r="J381" s="309"/>
      <c r="K381" s="309"/>
      <c r="L381" s="309"/>
      <c r="M381" s="309"/>
      <c r="N381" s="309"/>
      <c r="O381" s="309"/>
      <c r="P381" s="309"/>
      <c r="Q381" s="309"/>
    </row>
    <row r="382" spans="2:17" x14ac:dyDescent="0.35">
      <c r="B382" s="309"/>
      <c r="C382" s="309"/>
      <c r="D382" s="309"/>
      <c r="E382" s="309"/>
      <c r="F382" s="309"/>
      <c r="G382" s="309"/>
      <c r="H382" s="309"/>
      <c r="I382" s="309"/>
      <c r="J382" s="309"/>
      <c r="K382" s="309"/>
      <c r="L382" s="309"/>
      <c r="M382" s="309"/>
      <c r="N382" s="309"/>
      <c r="O382" s="309"/>
      <c r="P382" s="309"/>
      <c r="Q382" s="309"/>
    </row>
    <row r="383" spans="2:17" x14ac:dyDescent="0.35">
      <c r="B383" s="309"/>
      <c r="C383" s="309"/>
      <c r="D383" s="309"/>
      <c r="E383" s="309"/>
      <c r="F383" s="309"/>
      <c r="G383" s="309"/>
      <c r="H383" s="309"/>
      <c r="I383" s="309"/>
      <c r="J383" s="309"/>
      <c r="K383" s="309"/>
      <c r="L383" s="309"/>
      <c r="M383" s="309"/>
      <c r="N383" s="309"/>
      <c r="O383" s="309"/>
      <c r="P383" s="309"/>
      <c r="Q383" s="309"/>
    </row>
    <row r="384" spans="2:17" x14ac:dyDescent="0.35">
      <c r="B384" s="309"/>
      <c r="C384" s="309"/>
      <c r="D384" s="309"/>
      <c r="E384" s="309"/>
      <c r="F384" s="309"/>
      <c r="G384" s="309"/>
      <c r="H384" s="309"/>
      <c r="I384" s="309"/>
      <c r="J384" s="309"/>
      <c r="K384" s="309"/>
      <c r="L384" s="309"/>
      <c r="M384" s="309"/>
      <c r="N384" s="309"/>
      <c r="O384" s="309"/>
      <c r="P384" s="309"/>
      <c r="Q384" s="309"/>
    </row>
    <row r="385" spans="2:17" x14ac:dyDescent="0.35">
      <c r="B385" s="309"/>
      <c r="C385" s="309"/>
      <c r="D385" s="309"/>
      <c r="E385" s="309"/>
      <c r="F385" s="309"/>
      <c r="G385" s="309"/>
      <c r="H385" s="309"/>
      <c r="I385" s="309"/>
      <c r="J385" s="309"/>
      <c r="K385" s="309"/>
      <c r="L385" s="309"/>
      <c r="M385" s="309"/>
      <c r="N385" s="309"/>
      <c r="O385" s="309"/>
      <c r="P385" s="309"/>
      <c r="Q385" s="309"/>
    </row>
    <row r="386" spans="2:17" x14ac:dyDescent="0.35">
      <c r="B386" s="309"/>
      <c r="C386" s="309"/>
      <c r="D386" s="309"/>
      <c r="E386" s="309"/>
      <c r="F386" s="309"/>
      <c r="G386" s="309"/>
      <c r="H386" s="309"/>
      <c r="I386" s="309"/>
      <c r="J386" s="309"/>
      <c r="K386" s="309"/>
      <c r="L386" s="309"/>
      <c r="M386" s="309"/>
      <c r="N386" s="309"/>
      <c r="O386" s="309"/>
      <c r="P386" s="309"/>
      <c r="Q386" s="309"/>
    </row>
    <row r="387" spans="2:17" x14ac:dyDescent="0.35">
      <c r="B387" s="309"/>
      <c r="C387" s="309"/>
      <c r="D387" s="309"/>
      <c r="E387" s="309"/>
      <c r="F387" s="309"/>
      <c r="G387" s="309"/>
      <c r="H387" s="309"/>
      <c r="I387" s="309"/>
      <c r="J387" s="309"/>
      <c r="K387" s="309"/>
      <c r="L387" s="309"/>
      <c r="M387" s="309"/>
      <c r="N387" s="309"/>
      <c r="O387" s="309"/>
      <c r="P387" s="309"/>
      <c r="Q387" s="309"/>
    </row>
    <row r="388" spans="2:17" x14ac:dyDescent="0.35">
      <c r="B388" s="309"/>
      <c r="C388" s="309"/>
      <c r="D388" s="309"/>
      <c r="E388" s="309"/>
      <c r="F388" s="309"/>
      <c r="G388" s="309"/>
      <c r="H388" s="309"/>
      <c r="I388" s="309"/>
      <c r="J388" s="309"/>
      <c r="K388" s="309"/>
      <c r="L388" s="309"/>
      <c r="M388" s="309"/>
      <c r="N388" s="309"/>
      <c r="O388" s="309"/>
      <c r="P388" s="309"/>
      <c r="Q388" s="309"/>
    </row>
    <row r="389" spans="2:17" x14ac:dyDescent="0.35">
      <c r="B389" s="309"/>
      <c r="C389" s="309"/>
      <c r="D389" s="309"/>
      <c r="E389" s="309"/>
      <c r="F389" s="309"/>
      <c r="G389" s="309"/>
      <c r="H389" s="309"/>
      <c r="I389" s="309"/>
      <c r="J389" s="309"/>
      <c r="K389" s="309"/>
      <c r="L389" s="309"/>
      <c r="M389" s="309"/>
      <c r="N389" s="309"/>
      <c r="O389" s="309"/>
      <c r="P389" s="309"/>
      <c r="Q389" s="309"/>
    </row>
    <row r="390" spans="2:17" x14ac:dyDescent="0.35">
      <c r="B390" s="309"/>
      <c r="C390" s="309"/>
      <c r="D390" s="309"/>
      <c r="E390" s="309"/>
      <c r="F390" s="309"/>
      <c r="G390" s="309"/>
      <c r="H390" s="309"/>
      <c r="I390" s="309"/>
      <c r="J390" s="309"/>
      <c r="K390" s="309"/>
      <c r="L390" s="309"/>
      <c r="M390" s="309"/>
      <c r="N390" s="309"/>
      <c r="O390" s="309"/>
      <c r="P390" s="309"/>
      <c r="Q390" s="309"/>
    </row>
    <row r="391" spans="2:17" x14ac:dyDescent="0.35">
      <c r="B391" s="309"/>
      <c r="C391" s="309"/>
      <c r="D391" s="309"/>
      <c r="E391" s="309"/>
      <c r="F391" s="309"/>
      <c r="G391" s="309"/>
      <c r="H391" s="309"/>
      <c r="I391" s="309"/>
      <c r="J391" s="309"/>
      <c r="K391" s="309"/>
      <c r="L391" s="309"/>
      <c r="M391" s="309"/>
      <c r="N391" s="309"/>
      <c r="O391" s="309"/>
      <c r="P391" s="309"/>
      <c r="Q391" s="309"/>
    </row>
    <row r="392" spans="2:17" x14ac:dyDescent="0.35">
      <c r="B392" s="309"/>
      <c r="C392" s="309"/>
      <c r="D392" s="309"/>
      <c r="E392" s="309"/>
      <c r="F392" s="309"/>
      <c r="G392" s="309"/>
      <c r="H392" s="309"/>
      <c r="I392" s="309"/>
      <c r="J392" s="309"/>
      <c r="K392" s="309"/>
      <c r="L392" s="309"/>
      <c r="M392" s="309"/>
      <c r="N392" s="309"/>
      <c r="O392" s="309"/>
      <c r="P392" s="309"/>
      <c r="Q392" s="309"/>
    </row>
    <row r="393" spans="2:17" x14ac:dyDescent="0.35">
      <c r="B393" s="309"/>
      <c r="C393" s="309"/>
      <c r="D393" s="309"/>
      <c r="E393" s="309"/>
      <c r="F393" s="309"/>
      <c r="G393" s="309"/>
      <c r="H393" s="309"/>
      <c r="I393" s="309"/>
      <c r="J393" s="309"/>
      <c r="K393" s="309"/>
      <c r="L393" s="309"/>
      <c r="M393" s="309"/>
      <c r="N393" s="309"/>
      <c r="O393" s="309"/>
      <c r="P393" s="309"/>
      <c r="Q393" s="309"/>
    </row>
    <row r="394" spans="2:17" x14ac:dyDescent="0.35">
      <c r="B394" s="309"/>
      <c r="C394" s="309"/>
      <c r="D394" s="309"/>
      <c r="E394" s="309"/>
      <c r="F394" s="309"/>
      <c r="G394" s="309"/>
      <c r="H394" s="309"/>
      <c r="I394" s="309"/>
      <c r="J394" s="309"/>
      <c r="K394" s="309"/>
      <c r="L394" s="309"/>
      <c r="M394" s="309"/>
      <c r="N394" s="309"/>
      <c r="O394" s="309"/>
      <c r="P394" s="309"/>
      <c r="Q394" s="309"/>
    </row>
    <row r="395" spans="2:17" x14ac:dyDescent="0.35">
      <c r="B395" s="309"/>
      <c r="C395" s="309"/>
      <c r="D395" s="309"/>
      <c r="E395" s="309"/>
      <c r="F395" s="309"/>
      <c r="G395" s="309"/>
      <c r="H395" s="309"/>
      <c r="I395" s="309"/>
      <c r="J395" s="309"/>
      <c r="K395" s="309"/>
      <c r="L395" s="309"/>
      <c r="M395" s="309"/>
      <c r="N395" s="309"/>
      <c r="O395" s="309"/>
      <c r="P395" s="309"/>
      <c r="Q395" s="309"/>
    </row>
    <row r="396" spans="2:17" x14ac:dyDescent="0.35">
      <c r="B396" s="309"/>
      <c r="C396" s="309"/>
      <c r="D396" s="309"/>
      <c r="E396" s="309"/>
      <c r="F396" s="309"/>
      <c r="G396" s="309"/>
      <c r="H396" s="309"/>
      <c r="I396" s="309"/>
      <c r="J396" s="309"/>
      <c r="K396" s="309"/>
      <c r="L396" s="309"/>
      <c r="M396" s="309"/>
      <c r="N396" s="309"/>
      <c r="O396" s="309"/>
      <c r="P396" s="309"/>
      <c r="Q396" s="309"/>
    </row>
    <row r="397" spans="2:17" x14ac:dyDescent="0.35">
      <c r="B397" s="309"/>
      <c r="C397" s="309"/>
      <c r="D397" s="309"/>
      <c r="E397" s="309"/>
      <c r="F397" s="309"/>
      <c r="G397" s="309"/>
      <c r="H397" s="309"/>
      <c r="I397" s="309"/>
      <c r="J397" s="309"/>
      <c r="K397" s="309"/>
      <c r="L397" s="309"/>
      <c r="M397" s="309"/>
      <c r="N397" s="309"/>
      <c r="O397" s="309"/>
      <c r="P397" s="309"/>
      <c r="Q397" s="309"/>
    </row>
    <row r="398" spans="2:17" x14ac:dyDescent="0.35">
      <c r="B398" s="309"/>
      <c r="C398" s="309"/>
      <c r="D398" s="309"/>
      <c r="E398" s="309"/>
      <c r="F398" s="309"/>
      <c r="G398" s="309"/>
      <c r="H398" s="309"/>
      <c r="I398" s="309"/>
      <c r="J398" s="309"/>
      <c r="K398" s="309"/>
      <c r="L398" s="309"/>
      <c r="M398" s="309"/>
      <c r="N398" s="309"/>
      <c r="O398" s="309"/>
      <c r="P398" s="309"/>
      <c r="Q398" s="309"/>
    </row>
    <row r="399" spans="2:17" x14ac:dyDescent="0.35">
      <c r="B399" s="309"/>
      <c r="C399" s="309"/>
      <c r="D399" s="309"/>
      <c r="E399" s="309"/>
      <c r="F399" s="309"/>
      <c r="G399" s="309"/>
      <c r="H399" s="309"/>
      <c r="I399" s="309"/>
      <c r="J399" s="309"/>
      <c r="K399" s="309"/>
      <c r="L399" s="309"/>
      <c r="M399" s="309"/>
      <c r="N399" s="309"/>
      <c r="O399" s="309"/>
      <c r="P399" s="309"/>
      <c r="Q399" s="309"/>
    </row>
    <row r="400" spans="2:17" x14ac:dyDescent="0.35">
      <c r="B400" s="309"/>
      <c r="C400" s="309"/>
      <c r="D400" s="309"/>
      <c r="E400" s="309"/>
      <c r="F400" s="309"/>
      <c r="G400" s="309"/>
      <c r="H400" s="309"/>
      <c r="I400" s="309"/>
      <c r="J400" s="309"/>
      <c r="K400" s="309"/>
      <c r="L400" s="309"/>
      <c r="M400" s="309"/>
      <c r="N400" s="309"/>
      <c r="O400" s="309"/>
      <c r="P400" s="309"/>
      <c r="Q400" s="309"/>
    </row>
    <row r="401" spans="2:17" x14ac:dyDescent="0.35">
      <c r="B401" s="309"/>
      <c r="C401" s="309"/>
      <c r="D401" s="309"/>
      <c r="E401" s="309"/>
      <c r="F401" s="309"/>
      <c r="G401" s="309"/>
      <c r="H401" s="309"/>
      <c r="I401" s="309"/>
      <c r="J401" s="309"/>
      <c r="K401" s="309"/>
      <c r="L401" s="309"/>
      <c r="M401" s="309"/>
      <c r="N401" s="309"/>
      <c r="O401" s="309"/>
      <c r="P401" s="309"/>
      <c r="Q401" s="309"/>
    </row>
    <row r="402" spans="2:17" x14ac:dyDescent="0.35">
      <c r="B402" s="309"/>
      <c r="C402" s="309"/>
      <c r="D402" s="309"/>
      <c r="E402" s="309"/>
      <c r="F402" s="309"/>
      <c r="G402" s="309"/>
      <c r="H402" s="309"/>
      <c r="I402" s="309"/>
      <c r="J402" s="309"/>
      <c r="K402" s="309"/>
      <c r="L402" s="309"/>
      <c r="M402" s="309"/>
      <c r="N402" s="309"/>
      <c r="O402" s="309"/>
      <c r="P402" s="309"/>
      <c r="Q402" s="309"/>
    </row>
    <row r="403" spans="2:17" x14ac:dyDescent="0.35">
      <c r="B403" s="309"/>
      <c r="C403" s="309"/>
      <c r="D403" s="309"/>
      <c r="E403" s="309"/>
      <c r="F403" s="309"/>
      <c r="G403" s="309"/>
      <c r="H403" s="309"/>
      <c r="I403" s="309"/>
      <c r="J403" s="309"/>
      <c r="K403" s="309"/>
      <c r="L403" s="309"/>
      <c r="M403" s="309"/>
      <c r="N403" s="309"/>
      <c r="O403" s="309"/>
      <c r="P403" s="309"/>
      <c r="Q403" s="309"/>
    </row>
    <row r="404" spans="2:17" x14ac:dyDescent="0.35">
      <c r="B404" s="309"/>
      <c r="C404" s="309"/>
      <c r="D404" s="309"/>
      <c r="E404" s="309"/>
      <c r="F404" s="309"/>
      <c r="G404" s="309"/>
      <c r="H404" s="309"/>
      <c r="I404" s="309"/>
      <c r="J404" s="309"/>
      <c r="K404" s="309"/>
      <c r="L404" s="309"/>
      <c r="M404" s="309"/>
      <c r="N404" s="309"/>
      <c r="O404" s="309"/>
      <c r="P404" s="309"/>
      <c r="Q404" s="309"/>
    </row>
    <row r="405" spans="2:17" x14ac:dyDescent="0.35">
      <c r="B405" s="309"/>
      <c r="C405" s="309"/>
      <c r="D405" s="309"/>
      <c r="E405" s="309"/>
      <c r="F405" s="309"/>
      <c r="G405" s="309"/>
      <c r="H405" s="309"/>
      <c r="I405" s="309"/>
      <c r="J405" s="309"/>
      <c r="K405" s="309"/>
      <c r="L405" s="309"/>
      <c r="M405" s="309"/>
      <c r="N405" s="309"/>
      <c r="O405" s="309"/>
      <c r="P405" s="309"/>
      <c r="Q405" s="309"/>
    </row>
    <row r="406" spans="2:17" x14ac:dyDescent="0.35">
      <c r="B406" s="309"/>
      <c r="C406" s="309"/>
      <c r="D406" s="309"/>
      <c r="E406" s="309"/>
      <c r="F406" s="309"/>
      <c r="G406" s="309"/>
      <c r="H406" s="309"/>
      <c r="I406" s="309"/>
      <c r="J406" s="309"/>
      <c r="K406" s="309"/>
      <c r="L406" s="309"/>
      <c r="M406" s="309"/>
      <c r="N406" s="309"/>
      <c r="O406" s="309"/>
      <c r="P406" s="309"/>
      <c r="Q406" s="309"/>
    </row>
    <row r="407" spans="2:17" x14ac:dyDescent="0.35">
      <c r="B407" s="309"/>
      <c r="C407" s="309"/>
      <c r="D407" s="309"/>
      <c r="E407" s="309"/>
      <c r="F407" s="309"/>
      <c r="G407" s="309"/>
      <c r="H407" s="309"/>
      <c r="I407" s="309"/>
      <c r="J407" s="309"/>
      <c r="K407" s="309"/>
      <c r="L407" s="309"/>
      <c r="M407" s="309"/>
      <c r="N407" s="309"/>
      <c r="O407" s="309"/>
      <c r="P407" s="309"/>
      <c r="Q407" s="309"/>
    </row>
    <row r="408" spans="2:17" x14ac:dyDescent="0.35">
      <c r="B408" s="309"/>
      <c r="C408" s="309"/>
      <c r="D408" s="309"/>
      <c r="E408" s="309"/>
      <c r="F408" s="309"/>
      <c r="G408" s="309"/>
      <c r="H408" s="309"/>
      <c r="I408" s="309"/>
      <c r="J408" s="309"/>
      <c r="K408" s="309"/>
      <c r="L408" s="309"/>
      <c r="M408" s="309"/>
      <c r="N408" s="309"/>
      <c r="O408" s="309"/>
      <c r="P408" s="309"/>
      <c r="Q408" s="309"/>
    </row>
    <row r="409" spans="2:17" x14ac:dyDescent="0.35">
      <c r="B409" s="309"/>
      <c r="C409" s="309"/>
      <c r="D409" s="309"/>
      <c r="E409" s="309"/>
      <c r="F409" s="309"/>
      <c r="G409" s="309"/>
      <c r="H409" s="309"/>
      <c r="I409" s="309"/>
      <c r="J409" s="309"/>
      <c r="K409" s="309"/>
      <c r="L409" s="309"/>
      <c r="M409" s="309"/>
      <c r="N409" s="309"/>
      <c r="O409" s="309"/>
      <c r="P409" s="309"/>
      <c r="Q409" s="309"/>
    </row>
    <row r="410" spans="2:17" x14ac:dyDescent="0.35">
      <c r="B410" s="309"/>
      <c r="C410" s="309"/>
      <c r="D410" s="309"/>
      <c r="E410" s="309"/>
      <c r="F410" s="309"/>
      <c r="G410" s="309"/>
      <c r="H410" s="309"/>
      <c r="I410" s="309"/>
      <c r="J410" s="309"/>
      <c r="K410" s="309"/>
      <c r="L410" s="309"/>
      <c r="M410" s="309"/>
      <c r="N410" s="309"/>
      <c r="O410" s="309"/>
      <c r="P410" s="309"/>
      <c r="Q410" s="309"/>
    </row>
    <row r="411" spans="2:17" x14ac:dyDescent="0.35">
      <c r="B411" s="309"/>
      <c r="C411" s="309"/>
      <c r="D411" s="309"/>
      <c r="E411" s="309"/>
      <c r="F411" s="309"/>
      <c r="G411" s="309"/>
      <c r="H411" s="309"/>
      <c r="I411" s="309"/>
      <c r="J411" s="309"/>
      <c r="K411" s="309"/>
      <c r="L411" s="309"/>
      <c r="M411" s="309"/>
      <c r="N411" s="309"/>
      <c r="O411" s="309"/>
      <c r="P411" s="309"/>
      <c r="Q411" s="309"/>
    </row>
    <row r="412" spans="2:17" x14ac:dyDescent="0.35">
      <c r="B412" s="309"/>
      <c r="C412" s="309"/>
      <c r="D412" s="309"/>
      <c r="E412" s="309"/>
      <c r="F412" s="309"/>
      <c r="G412" s="309"/>
      <c r="H412" s="309"/>
      <c r="I412" s="309"/>
      <c r="J412" s="309"/>
      <c r="K412" s="309"/>
      <c r="L412" s="309"/>
      <c r="M412" s="309"/>
      <c r="N412" s="309"/>
      <c r="O412" s="309"/>
      <c r="P412" s="309"/>
      <c r="Q412" s="309"/>
    </row>
    <row r="413" spans="2:17" x14ac:dyDescent="0.35">
      <c r="B413" s="309"/>
      <c r="C413" s="309"/>
      <c r="D413" s="309"/>
      <c r="E413" s="309"/>
      <c r="F413" s="309"/>
      <c r="G413" s="309"/>
      <c r="H413" s="309"/>
      <c r="I413" s="309"/>
      <c r="J413" s="309"/>
      <c r="K413" s="309"/>
      <c r="L413" s="309"/>
      <c r="M413" s="309"/>
      <c r="N413" s="309"/>
      <c r="O413" s="309"/>
      <c r="P413" s="309"/>
      <c r="Q413" s="309"/>
    </row>
    <row r="414" spans="2:17" x14ac:dyDescent="0.35">
      <c r="B414" s="309"/>
      <c r="C414" s="309"/>
      <c r="D414" s="309"/>
      <c r="E414" s="309"/>
      <c r="F414" s="309"/>
      <c r="G414" s="309"/>
      <c r="H414" s="309"/>
      <c r="I414" s="309"/>
      <c r="J414" s="309"/>
      <c r="K414" s="309"/>
      <c r="L414" s="309"/>
      <c r="M414" s="309"/>
      <c r="N414" s="309"/>
      <c r="O414" s="309"/>
      <c r="P414" s="309"/>
      <c r="Q414" s="309"/>
    </row>
    <row r="415" spans="2:17" x14ac:dyDescent="0.35">
      <c r="B415" s="309"/>
      <c r="C415" s="309"/>
      <c r="D415" s="309"/>
      <c r="E415" s="309"/>
      <c r="F415" s="309"/>
      <c r="G415" s="309"/>
      <c r="H415" s="309"/>
      <c r="I415" s="309"/>
      <c r="J415" s="309"/>
      <c r="K415" s="309"/>
      <c r="L415" s="309"/>
      <c r="M415" s="309"/>
      <c r="N415" s="309"/>
      <c r="O415" s="309"/>
      <c r="P415" s="309"/>
      <c r="Q415" s="309"/>
    </row>
    <row r="416" spans="2:17" x14ac:dyDescent="0.35">
      <c r="B416" s="309"/>
      <c r="C416" s="309"/>
      <c r="D416" s="309"/>
      <c r="E416" s="309"/>
      <c r="F416" s="309"/>
      <c r="G416" s="309"/>
      <c r="H416" s="309"/>
      <c r="I416" s="309"/>
      <c r="J416" s="309"/>
      <c r="K416" s="309"/>
      <c r="L416" s="309"/>
      <c r="M416" s="309"/>
      <c r="N416" s="309"/>
      <c r="O416" s="309"/>
      <c r="P416" s="309"/>
      <c r="Q416" s="309"/>
    </row>
    <row r="417" spans="2:17" x14ac:dyDescent="0.35">
      <c r="B417" s="309"/>
      <c r="C417" s="309"/>
      <c r="D417" s="309"/>
      <c r="E417" s="309"/>
      <c r="F417" s="309"/>
      <c r="G417" s="309"/>
      <c r="H417" s="309"/>
      <c r="I417" s="309"/>
      <c r="J417" s="309"/>
      <c r="K417" s="309"/>
      <c r="L417" s="309"/>
      <c r="M417" s="309"/>
      <c r="N417" s="309"/>
      <c r="O417" s="309"/>
      <c r="P417" s="309"/>
      <c r="Q417" s="309"/>
    </row>
    <row r="418" spans="2:17" x14ac:dyDescent="0.35">
      <c r="B418" s="309"/>
      <c r="C418" s="309"/>
      <c r="D418" s="309"/>
      <c r="E418" s="309"/>
      <c r="F418" s="309"/>
      <c r="G418" s="309"/>
      <c r="H418" s="309"/>
      <c r="I418" s="309"/>
      <c r="J418" s="309"/>
      <c r="K418" s="309"/>
      <c r="L418" s="309"/>
      <c r="M418" s="309"/>
      <c r="N418" s="309"/>
      <c r="O418" s="309"/>
      <c r="P418" s="309"/>
      <c r="Q418" s="309"/>
    </row>
    <row r="419" spans="2:17" x14ac:dyDescent="0.35">
      <c r="B419" s="309"/>
      <c r="C419" s="309"/>
      <c r="D419" s="309"/>
      <c r="E419" s="309"/>
      <c r="F419" s="309"/>
      <c r="G419" s="309"/>
      <c r="H419" s="309"/>
      <c r="I419" s="309"/>
      <c r="J419" s="309"/>
      <c r="K419" s="309"/>
      <c r="L419" s="309"/>
      <c r="M419" s="309"/>
      <c r="N419" s="309"/>
      <c r="O419" s="309"/>
      <c r="P419" s="309"/>
      <c r="Q419" s="309"/>
    </row>
    <row r="420" spans="2:17" x14ac:dyDescent="0.35">
      <c r="B420" s="309"/>
      <c r="C420" s="309"/>
      <c r="D420" s="309"/>
      <c r="E420" s="309"/>
      <c r="F420" s="309"/>
      <c r="G420" s="309"/>
      <c r="H420" s="309"/>
      <c r="I420" s="309"/>
      <c r="J420" s="309"/>
      <c r="K420" s="309"/>
      <c r="L420" s="309"/>
      <c r="M420" s="309"/>
      <c r="N420" s="309"/>
      <c r="O420" s="309"/>
      <c r="P420" s="309"/>
      <c r="Q420" s="309"/>
    </row>
    <row r="421" spans="2:17" x14ac:dyDescent="0.35">
      <c r="B421" s="309"/>
      <c r="C421" s="309"/>
      <c r="D421" s="309"/>
      <c r="E421" s="309"/>
      <c r="F421" s="309"/>
      <c r="G421" s="309"/>
      <c r="H421" s="309"/>
      <c r="I421" s="309"/>
      <c r="J421" s="309"/>
      <c r="K421" s="309"/>
      <c r="L421" s="309"/>
      <c r="M421" s="309"/>
      <c r="N421" s="309"/>
      <c r="O421" s="309"/>
      <c r="P421" s="309"/>
      <c r="Q421" s="309"/>
    </row>
    <row r="422" spans="2:17" x14ac:dyDescent="0.35">
      <c r="B422" s="309"/>
      <c r="C422" s="309"/>
      <c r="D422" s="309"/>
      <c r="E422" s="309"/>
      <c r="F422" s="309"/>
      <c r="G422" s="309"/>
      <c r="H422" s="309"/>
      <c r="I422" s="309"/>
      <c r="J422" s="309"/>
      <c r="K422" s="309"/>
      <c r="L422" s="309"/>
      <c r="M422" s="309"/>
      <c r="N422" s="309"/>
      <c r="O422" s="309"/>
      <c r="P422" s="309"/>
      <c r="Q422" s="309"/>
    </row>
    <row r="423" spans="2:17" x14ac:dyDescent="0.35">
      <c r="B423" s="309"/>
      <c r="C423" s="309"/>
      <c r="D423" s="309"/>
      <c r="E423" s="309"/>
      <c r="F423" s="309"/>
      <c r="G423" s="309"/>
      <c r="H423" s="309"/>
      <c r="I423" s="309"/>
      <c r="J423" s="309"/>
      <c r="K423" s="309"/>
      <c r="L423" s="309"/>
      <c r="M423" s="309"/>
      <c r="N423" s="309"/>
      <c r="O423" s="309"/>
      <c r="P423" s="309"/>
      <c r="Q423" s="309"/>
    </row>
    <row r="424" spans="2:17" x14ac:dyDescent="0.35">
      <c r="B424" s="309"/>
      <c r="C424" s="309"/>
      <c r="D424" s="309"/>
      <c r="E424" s="309"/>
      <c r="F424" s="309"/>
      <c r="G424" s="309"/>
      <c r="H424" s="309"/>
      <c r="I424" s="309"/>
      <c r="J424" s="309"/>
      <c r="K424" s="309"/>
      <c r="L424" s="309"/>
      <c r="M424" s="309"/>
      <c r="N424" s="309"/>
      <c r="O424" s="309"/>
      <c r="P424" s="309"/>
      <c r="Q424" s="309"/>
    </row>
    <row r="425" spans="2:17" x14ac:dyDescent="0.35">
      <c r="B425" s="309"/>
      <c r="C425" s="309"/>
      <c r="D425" s="309"/>
      <c r="E425" s="309"/>
      <c r="F425" s="309"/>
      <c r="G425" s="309"/>
      <c r="H425" s="309"/>
      <c r="I425" s="309"/>
      <c r="J425" s="309"/>
      <c r="K425" s="309"/>
      <c r="L425" s="309"/>
      <c r="M425" s="309"/>
      <c r="N425" s="309"/>
      <c r="O425" s="309"/>
      <c r="P425" s="309"/>
      <c r="Q425" s="309"/>
    </row>
    <row r="426" spans="2:17" x14ac:dyDescent="0.35">
      <c r="B426" s="309"/>
      <c r="C426" s="309"/>
      <c r="D426" s="309"/>
      <c r="E426" s="309"/>
      <c r="F426" s="309"/>
      <c r="G426" s="309"/>
      <c r="H426" s="309"/>
      <c r="I426" s="309"/>
      <c r="J426" s="309"/>
      <c r="K426" s="309"/>
      <c r="L426" s="309"/>
      <c r="M426" s="309"/>
      <c r="N426" s="309"/>
      <c r="O426" s="309"/>
      <c r="P426" s="309"/>
      <c r="Q426" s="309"/>
    </row>
    <row r="427" spans="2:17" x14ac:dyDescent="0.35">
      <c r="B427" s="309"/>
      <c r="C427" s="309"/>
      <c r="D427" s="309"/>
      <c r="E427" s="309"/>
      <c r="F427" s="309"/>
      <c r="G427" s="309"/>
      <c r="H427" s="309"/>
      <c r="I427" s="309"/>
      <c r="J427" s="309"/>
      <c r="K427" s="309"/>
      <c r="L427" s="309"/>
      <c r="M427" s="309"/>
      <c r="N427" s="309"/>
      <c r="O427" s="309"/>
      <c r="P427" s="309"/>
      <c r="Q427" s="309"/>
    </row>
    <row r="428" spans="2:17" x14ac:dyDescent="0.35">
      <c r="B428" s="309"/>
      <c r="C428" s="309"/>
      <c r="D428" s="309"/>
      <c r="E428" s="309"/>
      <c r="F428" s="309"/>
      <c r="G428" s="309"/>
      <c r="H428" s="309"/>
      <c r="I428" s="309"/>
      <c r="J428" s="309"/>
      <c r="K428" s="309"/>
      <c r="L428" s="309"/>
      <c r="M428" s="309"/>
      <c r="N428" s="309"/>
      <c r="O428" s="309"/>
      <c r="P428" s="309"/>
      <c r="Q428" s="309"/>
    </row>
    <row r="429" spans="2:17" x14ac:dyDescent="0.35">
      <c r="B429" s="309"/>
      <c r="C429" s="309"/>
      <c r="D429" s="309"/>
      <c r="E429" s="309"/>
      <c r="F429" s="309"/>
      <c r="G429" s="309"/>
      <c r="H429" s="309"/>
      <c r="I429" s="309"/>
      <c r="J429" s="309"/>
      <c r="K429" s="309"/>
      <c r="L429" s="309"/>
      <c r="M429" s="309"/>
      <c r="N429" s="309"/>
      <c r="O429" s="309"/>
      <c r="P429" s="309"/>
      <c r="Q429" s="309"/>
    </row>
    <row r="430" spans="2:17" x14ac:dyDescent="0.35">
      <c r="B430" s="309"/>
      <c r="C430" s="309"/>
      <c r="D430" s="309"/>
      <c r="E430" s="309"/>
      <c r="F430" s="309"/>
      <c r="G430" s="309"/>
      <c r="H430" s="309"/>
      <c r="I430" s="309"/>
      <c r="J430" s="309"/>
      <c r="K430" s="309"/>
      <c r="L430" s="309"/>
      <c r="M430" s="309"/>
      <c r="N430" s="309"/>
      <c r="O430" s="309"/>
      <c r="P430" s="309"/>
      <c r="Q430" s="309"/>
    </row>
    <row r="431" spans="2:17" x14ac:dyDescent="0.35">
      <c r="B431" s="309"/>
      <c r="C431" s="309"/>
      <c r="D431" s="309"/>
      <c r="E431" s="309"/>
      <c r="F431" s="309"/>
      <c r="G431" s="309"/>
      <c r="H431" s="309"/>
      <c r="I431" s="309"/>
      <c r="J431" s="309"/>
      <c r="K431" s="309"/>
      <c r="L431" s="309"/>
      <c r="M431" s="309"/>
      <c r="N431" s="309"/>
      <c r="O431" s="309"/>
      <c r="P431" s="309"/>
      <c r="Q431" s="309"/>
    </row>
    <row r="432" spans="2:17" x14ac:dyDescent="0.35">
      <c r="B432" s="309"/>
      <c r="C432" s="309"/>
      <c r="D432" s="309"/>
      <c r="E432" s="309"/>
      <c r="F432" s="309"/>
      <c r="G432" s="309"/>
      <c r="H432" s="309"/>
      <c r="I432" s="309"/>
      <c r="J432" s="309"/>
      <c r="K432" s="309"/>
      <c r="L432" s="309"/>
      <c r="M432" s="309"/>
      <c r="N432" s="309"/>
      <c r="O432" s="309"/>
      <c r="P432" s="309"/>
      <c r="Q432" s="309"/>
    </row>
    <row r="433" spans="2:17" x14ac:dyDescent="0.35">
      <c r="B433" s="309"/>
      <c r="C433" s="309"/>
      <c r="D433" s="309"/>
      <c r="E433" s="309"/>
      <c r="F433" s="309"/>
      <c r="G433" s="309"/>
      <c r="H433" s="309"/>
      <c r="I433" s="309"/>
      <c r="J433" s="309"/>
      <c r="K433" s="309"/>
      <c r="L433" s="309"/>
      <c r="M433" s="309"/>
      <c r="N433" s="309"/>
      <c r="O433" s="309"/>
      <c r="P433" s="309"/>
      <c r="Q433" s="309"/>
    </row>
    <row r="434" spans="2:17" x14ac:dyDescent="0.35">
      <c r="B434" s="309"/>
      <c r="C434" s="309"/>
      <c r="D434" s="309"/>
      <c r="E434" s="309"/>
      <c r="F434" s="309"/>
      <c r="G434" s="309"/>
      <c r="H434" s="309"/>
      <c r="I434" s="309"/>
      <c r="J434" s="309"/>
      <c r="K434" s="309"/>
      <c r="L434" s="309"/>
      <c r="M434" s="309"/>
      <c r="N434" s="309"/>
      <c r="O434" s="309"/>
      <c r="P434" s="309"/>
      <c r="Q434" s="309"/>
    </row>
    <row r="435" spans="2:17" x14ac:dyDescent="0.35">
      <c r="B435" s="309"/>
      <c r="C435" s="309"/>
      <c r="D435" s="309"/>
      <c r="E435" s="309"/>
      <c r="F435" s="309"/>
      <c r="G435" s="309"/>
      <c r="H435" s="309"/>
      <c r="I435" s="309"/>
      <c r="J435" s="309"/>
      <c r="K435" s="309"/>
      <c r="L435" s="309"/>
      <c r="M435" s="309"/>
      <c r="N435" s="309"/>
      <c r="O435" s="309"/>
      <c r="P435" s="309"/>
      <c r="Q435" s="309"/>
    </row>
    <row r="436" spans="2:17" x14ac:dyDescent="0.35">
      <c r="B436" s="309"/>
      <c r="C436" s="309"/>
      <c r="D436" s="309"/>
      <c r="E436" s="309"/>
      <c r="F436" s="309"/>
      <c r="G436" s="309"/>
      <c r="H436" s="309"/>
      <c r="I436" s="309"/>
      <c r="J436" s="309"/>
      <c r="K436" s="309"/>
      <c r="L436" s="309"/>
      <c r="M436" s="309"/>
      <c r="N436" s="309"/>
      <c r="O436" s="309"/>
      <c r="P436" s="309"/>
      <c r="Q436" s="309"/>
    </row>
    <row r="437" spans="2:17" x14ac:dyDescent="0.35">
      <c r="B437" s="309"/>
      <c r="C437" s="309"/>
      <c r="D437" s="309"/>
      <c r="E437" s="309"/>
      <c r="F437" s="309"/>
      <c r="G437" s="309"/>
      <c r="H437" s="309"/>
      <c r="I437" s="309"/>
      <c r="J437" s="309"/>
      <c r="K437" s="309"/>
      <c r="L437" s="309"/>
      <c r="M437" s="309"/>
      <c r="N437" s="309"/>
      <c r="O437" s="309"/>
      <c r="P437" s="309"/>
      <c r="Q437" s="309"/>
    </row>
    <row r="438" spans="2:17" x14ac:dyDescent="0.35">
      <c r="B438" s="309"/>
      <c r="C438" s="309"/>
      <c r="D438" s="309"/>
      <c r="E438" s="309"/>
      <c r="F438" s="309"/>
      <c r="G438" s="309"/>
      <c r="H438" s="309"/>
      <c r="I438" s="309"/>
      <c r="J438" s="309"/>
      <c r="K438" s="309"/>
      <c r="L438" s="309"/>
      <c r="M438" s="309"/>
      <c r="N438" s="309"/>
      <c r="O438" s="309"/>
      <c r="P438" s="309"/>
      <c r="Q438" s="309"/>
    </row>
    <row r="439" spans="2:17" x14ac:dyDescent="0.35">
      <c r="B439" s="309"/>
      <c r="C439" s="309"/>
      <c r="D439" s="309"/>
      <c r="E439" s="309"/>
      <c r="F439" s="309"/>
      <c r="G439" s="309"/>
      <c r="H439" s="309"/>
      <c r="I439" s="309"/>
      <c r="J439" s="309"/>
      <c r="K439" s="309"/>
      <c r="L439" s="309"/>
      <c r="M439" s="309"/>
      <c r="N439" s="309"/>
      <c r="O439" s="309"/>
      <c r="P439" s="309"/>
      <c r="Q439" s="309"/>
    </row>
    <row r="440" spans="2:17" x14ac:dyDescent="0.35">
      <c r="B440" s="309"/>
      <c r="C440" s="309"/>
      <c r="D440" s="309"/>
      <c r="E440" s="309"/>
      <c r="F440" s="309"/>
      <c r="G440" s="309"/>
      <c r="H440" s="309"/>
      <c r="I440" s="309"/>
      <c r="J440" s="309"/>
      <c r="K440" s="309"/>
      <c r="L440" s="309"/>
      <c r="M440" s="309"/>
      <c r="N440" s="309"/>
      <c r="O440" s="309"/>
      <c r="P440" s="309"/>
      <c r="Q440" s="309"/>
    </row>
    <row r="441" spans="2:17" x14ac:dyDescent="0.35">
      <c r="B441" s="309"/>
      <c r="C441" s="309"/>
      <c r="D441" s="309"/>
      <c r="E441" s="309"/>
      <c r="F441" s="309"/>
      <c r="G441" s="309"/>
      <c r="H441" s="309"/>
      <c r="I441" s="309"/>
      <c r="J441" s="309"/>
      <c r="K441" s="309"/>
      <c r="L441" s="309"/>
      <c r="M441" s="309"/>
      <c r="N441" s="309"/>
      <c r="O441" s="309"/>
      <c r="P441" s="309"/>
      <c r="Q441" s="309"/>
    </row>
    <row r="442" spans="2:17" x14ac:dyDescent="0.35">
      <c r="B442" s="309"/>
      <c r="C442" s="309"/>
      <c r="D442" s="309"/>
      <c r="E442" s="309"/>
      <c r="F442" s="309"/>
      <c r="G442" s="309"/>
      <c r="H442" s="309"/>
      <c r="I442" s="309"/>
      <c r="J442" s="309"/>
      <c r="K442" s="309"/>
      <c r="L442" s="309"/>
      <c r="M442" s="309"/>
      <c r="N442" s="309"/>
      <c r="O442" s="309"/>
      <c r="P442" s="309"/>
      <c r="Q442" s="309"/>
    </row>
    <row r="443" spans="2:17" x14ac:dyDescent="0.35">
      <c r="B443" s="309"/>
      <c r="C443" s="309"/>
      <c r="D443" s="309"/>
      <c r="E443" s="309"/>
      <c r="F443" s="309"/>
      <c r="G443" s="309"/>
      <c r="H443" s="309"/>
      <c r="I443" s="309"/>
      <c r="J443" s="309"/>
      <c r="K443" s="309"/>
      <c r="L443" s="309"/>
      <c r="M443" s="309"/>
      <c r="N443" s="309"/>
      <c r="O443" s="309"/>
      <c r="P443" s="309"/>
      <c r="Q443" s="309"/>
    </row>
    <row r="444" spans="2:17" x14ac:dyDescent="0.35">
      <c r="B444" s="309"/>
      <c r="C444" s="309"/>
      <c r="D444" s="309"/>
      <c r="E444" s="309"/>
      <c r="F444" s="309"/>
      <c r="G444" s="309"/>
      <c r="H444" s="309"/>
      <c r="I444" s="309"/>
      <c r="J444" s="309"/>
      <c r="K444" s="309"/>
      <c r="L444" s="309"/>
      <c r="M444" s="309"/>
      <c r="N444" s="309"/>
      <c r="O444" s="309"/>
      <c r="P444" s="309"/>
      <c r="Q444" s="309"/>
    </row>
    <row r="445" spans="2:17" x14ac:dyDescent="0.35">
      <c r="B445" s="309"/>
      <c r="C445" s="309"/>
      <c r="D445" s="309"/>
      <c r="E445" s="309"/>
      <c r="F445" s="309"/>
      <c r="G445" s="309"/>
      <c r="H445" s="309"/>
      <c r="I445" s="309"/>
      <c r="J445" s="309"/>
      <c r="K445" s="309"/>
      <c r="L445" s="309"/>
      <c r="M445" s="309"/>
      <c r="N445" s="309"/>
      <c r="O445" s="309"/>
      <c r="P445" s="309"/>
      <c r="Q445" s="309"/>
    </row>
    <row r="446" spans="2:17" x14ac:dyDescent="0.35">
      <c r="B446" s="309"/>
      <c r="C446" s="309"/>
      <c r="D446" s="309"/>
      <c r="E446" s="309"/>
      <c r="F446" s="309"/>
      <c r="G446" s="309"/>
      <c r="H446" s="309"/>
      <c r="I446" s="309"/>
      <c r="J446" s="309"/>
      <c r="K446" s="309"/>
      <c r="L446" s="309"/>
      <c r="M446" s="309"/>
      <c r="N446" s="309"/>
      <c r="O446" s="309"/>
      <c r="P446" s="309"/>
      <c r="Q446" s="309"/>
    </row>
    <row r="447" spans="2:17" x14ac:dyDescent="0.35">
      <c r="B447" s="309"/>
      <c r="C447" s="309"/>
      <c r="D447" s="309"/>
      <c r="E447" s="309"/>
      <c r="F447" s="309"/>
      <c r="G447" s="309"/>
      <c r="H447" s="309"/>
      <c r="I447" s="309"/>
      <c r="J447" s="309"/>
      <c r="K447" s="309"/>
      <c r="L447" s="309"/>
      <c r="M447" s="309"/>
      <c r="N447" s="309"/>
      <c r="O447" s="309"/>
      <c r="P447" s="309"/>
      <c r="Q447" s="309"/>
    </row>
    <row r="448" spans="2:17" x14ac:dyDescent="0.35">
      <c r="B448" s="309"/>
      <c r="C448" s="309"/>
      <c r="D448" s="309"/>
      <c r="E448" s="309"/>
      <c r="F448" s="309"/>
      <c r="G448" s="309"/>
      <c r="H448" s="309"/>
      <c r="I448" s="309"/>
      <c r="J448" s="309"/>
      <c r="K448" s="309"/>
      <c r="L448" s="309"/>
      <c r="M448" s="309"/>
      <c r="N448" s="309"/>
      <c r="O448" s="309"/>
      <c r="P448" s="309"/>
      <c r="Q448" s="309"/>
    </row>
    <row r="449" spans="2:17" x14ac:dyDescent="0.35">
      <c r="B449" s="309"/>
      <c r="C449" s="309"/>
      <c r="D449" s="309"/>
      <c r="E449" s="309"/>
      <c r="F449" s="309"/>
      <c r="G449" s="309"/>
      <c r="H449" s="309"/>
      <c r="I449" s="309"/>
      <c r="J449" s="309"/>
      <c r="K449" s="309"/>
      <c r="L449" s="309"/>
      <c r="M449" s="309"/>
      <c r="N449" s="309"/>
      <c r="O449" s="309"/>
      <c r="P449" s="309"/>
      <c r="Q449" s="309"/>
    </row>
    <row r="450" spans="2:17" x14ac:dyDescent="0.35">
      <c r="B450" s="309"/>
      <c r="C450" s="309"/>
      <c r="D450" s="309"/>
      <c r="E450" s="309"/>
      <c r="F450" s="309"/>
      <c r="G450" s="309"/>
      <c r="H450" s="309"/>
      <c r="I450" s="309"/>
      <c r="J450" s="309"/>
      <c r="K450" s="309"/>
      <c r="L450" s="309"/>
      <c r="M450" s="309"/>
      <c r="N450" s="309"/>
      <c r="O450" s="309"/>
      <c r="P450" s="309"/>
      <c r="Q450" s="309"/>
    </row>
    <row r="451" spans="2:17" x14ac:dyDescent="0.35">
      <c r="B451" s="309"/>
      <c r="C451" s="309"/>
      <c r="D451" s="309"/>
      <c r="E451" s="309"/>
      <c r="F451" s="309"/>
      <c r="G451" s="309"/>
      <c r="H451" s="309"/>
      <c r="I451" s="309"/>
      <c r="J451" s="309"/>
      <c r="K451" s="309"/>
      <c r="L451" s="309"/>
      <c r="M451" s="309"/>
      <c r="N451" s="309"/>
      <c r="O451" s="309"/>
      <c r="P451" s="309"/>
      <c r="Q451" s="309"/>
    </row>
    <row r="452" spans="2:17" x14ac:dyDescent="0.35">
      <c r="B452" s="309"/>
      <c r="C452" s="309"/>
      <c r="D452" s="309"/>
      <c r="E452" s="309"/>
      <c r="F452" s="309"/>
      <c r="G452" s="309"/>
      <c r="H452" s="309"/>
      <c r="I452" s="309"/>
      <c r="J452" s="309"/>
      <c r="K452" s="309"/>
      <c r="L452" s="309"/>
      <c r="M452" s="309"/>
      <c r="N452" s="309"/>
      <c r="O452" s="309"/>
      <c r="P452" s="309"/>
      <c r="Q452" s="309"/>
    </row>
    <row r="453" spans="2:17" x14ac:dyDescent="0.35">
      <c r="B453" s="309"/>
      <c r="C453" s="309"/>
      <c r="D453" s="309"/>
      <c r="E453" s="309"/>
      <c r="F453" s="309"/>
      <c r="G453" s="309"/>
      <c r="H453" s="309"/>
      <c r="I453" s="309"/>
      <c r="J453" s="309"/>
      <c r="K453" s="309"/>
      <c r="L453" s="309"/>
      <c r="M453" s="309"/>
      <c r="N453" s="309"/>
      <c r="O453" s="309"/>
      <c r="P453" s="309"/>
      <c r="Q453" s="309"/>
    </row>
    <row r="454" spans="2:17" x14ac:dyDescent="0.35">
      <c r="B454" s="309"/>
      <c r="C454" s="309"/>
      <c r="D454" s="309"/>
      <c r="E454" s="309"/>
      <c r="F454" s="309"/>
      <c r="G454" s="309"/>
      <c r="H454" s="309"/>
      <c r="I454" s="309"/>
      <c r="J454" s="309"/>
      <c r="K454" s="309"/>
      <c r="L454" s="309"/>
      <c r="M454" s="309"/>
      <c r="N454" s="309"/>
      <c r="O454" s="309"/>
      <c r="P454" s="309"/>
      <c r="Q454" s="309"/>
    </row>
    <row r="455" spans="2:17" x14ac:dyDescent="0.35">
      <c r="B455" s="309"/>
      <c r="C455" s="309"/>
      <c r="D455" s="309"/>
      <c r="E455" s="309"/>
      <c r="F455" s="309"/>
      <c r="G455" s="309"/>
      <c r="H455" s="309"/>
      <c r="I455" s="309"/>
      <c r="J455" s="309"/>
      <c r="K455" s="309"/>
      <c r="L455" s="309"/>
      <c r="M455" s="309"/>
      <c r="N455" s="309"/>
      <c r="O455" s="309"/>
      <c r="P455" s="309"/>
      <c r="Q455" s="309"/>
    </row>
    <row r="456" spans="2:17" x14ac:dyDescent="0.35">
      <c r="B456" s="309"/>
      <c r="C456" s="309"/>
      <c r="D456" s="309"/>
      <c r="E456" s="309"/>
      <c r="F456" s="309"/>
      <c r="G456" s="309"/>
      <c r="H456" s="309"/>
      <c r="I456" s="309"/>
      <c r="J456" s="309"/>
      <c r="K456" s="309"/>
      <c r="L456" s="309"/>
      <c r="M456" s="309"/>
      <c r="N456" s="309"/>
      <c r="O456" s="309"/>
      <c r="P456" s="309"/>
      <c r="Q456" s="309"/>
    </row>
    <row r="457" spans="2:17" x14ac:dyDescent="0.35">
      <c r="B457" s="309"/>
      <c r="C457" s="309"/>
      <c r="D457" s="309"/>
      <c r="E457" s="309"/>
      <c r="F457" s="309"/>
      <c r="G457" s="309"/>
      <c r="H457" s="309"/>
      <c r="I457" s="309"/>
      <c r="J457" s="309"/>
      <c r="K457" s="309"/>
      <c r="L457" s="309"/>
      <c r="M457" s="309"/>
      <c r="N457" s="309"/>
      <c r="O457" s="309"/>
      <c r="P457" s="309"/>
      <c r="Q457" s="309"/>
    </row>
    <row r="458" spans="2:17" x14ac:dyDescent="0.35">
      <c r="B458" s="309"/>
      <c r="C458" s="309"/>
      <c r="D458" s="309"/>
      <c r="E458" s="309"/>
      <c r="F458" s="309"/>
      <c r="G458" s="309"/>
      <c r="H458" s="309"/>
      <c r="I458" s="309"/>
      <c r="J458" s="309"/>
      <c r="K458" s="309"/>
      <c r="L458" s="309"/>
      <c r="M458" s="309"/>
      <c r="N458" s="309"/>
      <c r="O458" s="309"/>
      <c r="P458" s="309"/>
      <c r="Q458" s="309"/>
    </row>
    <row r="459" spans="2:17" x14ac:dyDescent="0.35">
      <c r="B459" s="309"/>
      <c r="C459" s="309"/>
      <c r="D459" s="309"/>
      <c r="E459" s="309"/>
      <c r="F459" s="309"/>
      <c r="G459" s="309"/>
      <c r="H459" s="309"/>
      <c r="I459" s="309"/>
      <c r="J459" s="309"/>
      <c r="K459" s="309"/>
      <c r="L459" s="309"/>
      <c r="M459" s="309"/>
      <c r="N459" s="309"/>
      <c r="O459" s="309"/>
      <c r="P459" s="309"/>
      <c r="Q459" s="309"/>
    </row>
    <row r="460" spans="2:17" x14ac:dyDescent="0.35">
      <c r="B460" s="309"/>
      <c r="C460" s="309"/>
      <c r="D460" s="309"/>
      <c r="E460" s="309"/>
      <c r="F460" s="309"/>
      <c r="G460" s="309"/>
      <c r="H460" s="309"/>
      <c r="I460" s="309"/>
      <c r="J460" s="309"/>
      <c r="K460" s="309"/>
      <c r="L460" s="309"/>
      <c r="M460" s="309"/>
      <c r="N460" s="309"/>
      <c r="O460" s="309"/>
      <c r="P460" s="309"/>
      <c r="Q460" s="309"/>
    </row>
    <row r="461" spans="2:17" x14ac:dyDescent="0.35">
      <c r="B461" s="309"/>
      <c r="C461" s="309"/>
      <c r="D461" s="309"/>
      <c r="E461" s="309"/>
      <c r="F461" s="309"/>
      <c r="G461" s="309"/>
      <c r="H461" s="309"/>
      <c r="I461" s="309"/>
      <c r="J461" s="309"/>
      <c r="K461" s="309"/>
      <c r="L461" s="309"/>
      <c r="M461" s="309"/>
      <c r="N461" s="309"/>
      <c r="O461" s="309"/>
      <c r="P461" s="309"/>
      <c r="Q461" s="309"/>
    </row>
    <row r="462" spans="2:17" x14ac:dyDescent="0.35">
      <c r="B462" s="309"/>
      <c r="C462" s="309"/>
      <c r="D462" s="309"/>
      <c r="E462" s="309"/>
      <c r="F462" s="309"/>
      <c r="G462" s="309"/>
      <c r="H462" s="309"/>
      <c r="I462" s="309"/>
      <c r="J462" s="309"/>
      <c r="K462" s="309"/>
      <c r="L462" s="309"/>
      <c r="M462" s="309"/>
      <c r="N462" s="309"/>
      <c r="O462" s="309"/>
      <c r="P462" s="309"/>
      <c r="Q462" s="309"/>
    </row>
    <row r="463" spans="2:17" x14ac:dyDescent="0.35">
      <c r="B463" s="309"/>
      <c r="C463" s="309"/>
      <c r="D463" s="309"/>
      <c r="E463" s="309"/>
      <c r="F463" s="309"/>
      <c r="G463" s="309"/>
      <c r="H463" s="309"/>
      <c r="I463" s="309"/>
      <c r="J463" s="309"/>
      <c r="K463" s="309"/>
      <c r="L463" s="309"/>
      <c r="M463" s="309"/>
      <c r="N463" s="309"/>
      <c r="O463" s="309"/>
      <c r="P463" s="309"/>
      <c r="Q463" s="309"/>
    </row>
    <row r="464" spans="2:17" x14ac:dyDescent="0.35">
      <c r="B464" s="309"/>
      <c r="C464" s="309"/>
      <c r="D464" s="309"/>
      <c r="E464" s="309"/>
      <c r="F464" s="309"/>
      <c r="G464" s="309"/>
      <c r="H464" s="309"/>
      <c r="I464" s="309"/>
      <c r="J464" s="309"/>
      <c r="K464" s="309"/>
      <c r="L464" s="309"/>
      <c r="M464" s="309"/>
      <c r="N464" s="309"/>
      <c r="O464" s="309"/>
      <c r="P464" s="309"/>
      <c r="Q464" s="309"/>
    </row>
    <row r="465" spans="2:17" x14ac:dyDescent="0.35">
      <c r="B465" s="309"/>
      <c r="C465" s="309"/>
      <c r="D465" s="309"/>
      <c r="E465" s="309"/>
      <c r="F465" s="309"/>
      <c r="G465" s="309"/>
      <c r="H465" s="309"/>
      <c r="I465" s="309"/>
      <c r="J465" s="309"/>
      <c r="K465" s="309"/>
      <c r="L465" s="309"/>
      <c r="M465" s="309"/>
      <c r="N465" s="309"/>
      <c r="O465" s="309"/>
      <c r="P465" s="309"/>
      <c r="Q465" s="309"/>
    </row>
    <row r="466" spans="2:17" x14ac:dyDescent="0.35">
      <c r="B466" s="309"/>
      <c r="C466" s="309"/>
      <c r="D466" s="309"/>
      <c r="E466" s="309"/>
      <c r="F466" s="309"/>
      <c r="G466" s="309"/>
      <c r="H466" s="309"/>
      <c r="I466" s="309"/>
      <c r="J466" s="309"/>
      <c r="K466" s="309"/>
      <c r="L466" s="309"/>
      <c r="M466" s="309"/>
      <c r="N466" s="309"/>
      <c r="O466" s="309"/>
      <c r="P466" s="309"/>
      <c r="Q466" s="309"/>
    </row>
    <row r="467" spans="2:17" x14ac:dyDescent="0.35">
      <c r="B467" s="309"/>
      <c r="C467" s="309"/>
      <c r="D467" s="309"/>
      <c r="E467" s="309"/>
      <c r="F467" s="309"/>
      <c r="G467" s="309"/>
      <c r="H467" s="309"/>
      <c r="I467" s="309"/>
      <c r="J467" s="309"/>
      <c r="K467" s="309"/>
      <c r="L467" s="309"/>
      <c r="M467" s="309"/>
      <c r="N467" s="309"/>
      <c r="O467" s="309"/>
      <c r="P467" s="309"/>
      <c r="Q467" s="309"/>
    </row>
    <row r="468" spans="2:17" x14ac:dyDescent="0.35">
      <c r="B468" s="309"/>
      <c r="C468" s="309"/>
      <c r="D468" s="309"/>
      <c r="E468" s="309"/>
      <c r="F468" s="309"/>
      <c r="G468" s="309"/>
      <c r="H468" s="309"/>
      <c r="I468" s="309"/>
      <c r="J468" s="309"/>
      <c r="K468" s="309"/>
      <c r="L468" s="309"/>
      <c r="M468" s="309"/>
      <c r="N468" s="309"/>
      <c r="O468" s="309"/>
      <c r="P468" s="309"/>
      <c r="Q468" s="309"/>
    </row>
    <row r="469" spans="2:17" x14ac:dyDescent="0.35">
      <c r="B469" s="309"/>
      <c r="C469" s="309"/>
      <c r="D469" s="309"/>
      <c r="E469" s="309"/>
      <c r="F469" s="309"/>
      <c r="G469" s="309"/>
      <c r="H469" s="309"/>
      <c r="I469" s="309"/>
      <c r="J469" s="309"/>
      <c r="K469" s="309"/>
      <c r="L469" s="309"/>
      <c r="M469" s="309"/>
      <c r="N469" s="309"/>
      <c r="O469" s="309"/>
      <c r="P469" s="309"/>
      <c r="Q469" s="309"/>
    </row>
    <row r="470" spans="2:17" x14ac:dyDescent="0.35">
      <c r="B470" s="309"/>
      <c r="C470" s="309"/>
      <c r="D470" s="309"/>
      <c r="E470" s="309"/>
      <c r="F470" s="309"/>
      <c r="G470" s="309"/>
      <c r="H470" s="309"/>
      <c r="I470" s="309"/>
      <c r="J470" s="309"/>
      <c r="K470" s="309"/>
      <c r="L470" s="309"/>
      <c r="M470" s="309"/>
      <c r="N470" s="309"/>
      <c r="O470" s="309"/>
      <c r="P470" s="309"/>
      <c r="Q470" s="309"/>
    </row>
    <row r="471" spans="2:17" x14ac:dyDescent="0.35">
      <c r="B471" s="309"/>
      <c r="C471" s="309"/>
      <c r="D471" s="309"/>
      <c r="E471" s="309"/>
      <c r="F471" s="309"/>
      <c r="G471" s="309"/>
      <c r="H471" s="309"/>
      <c r="I471" s="309"/>
      <c r="J471" s="309"/>
      <c r="K471" s="309"/>
      <c r="L471" s="309"/>
      <c r="M471" s="309"/>
      <c r="N471" s="309"/>
      <c r="O471" s="309"/>
      <c r="P471" s="309"/>
      <c r="Q471" s="309"/>
    </row>
    <row r="472" spans="2:17" x14ac:dyDescent="0.35">
      <c r="B472" s="309"/>
      <c r="C472" s="309"/>
      <c r="D472" s="309"/>
      <c r="E472" s="309"/>
      <c r="F472" s="309"/>
      <c r="G472" s="309"/>
      <c r="H472" s="309"/>
      <c r="I472" s="309"/>
      <c r="J472" s="309"/>
      <c r="K472" s="309"/>
      <c r="L472" s="309"/>
      <c r="M472" s="309"/>
      <c r="N472" s="309"/>
      <c r="O472" s="309"/>
      <c r="P472" s="309"/>
      <c r="Q472" s="309"/>
    </row>
    <row r="473" spans="2:17" x14ac:dyDescent="0.35">
      <c r="B473" s="309"/>
      <c r="C473" s="309"/>
      <c r="D473" s="309"/>
      <c r="E473" s="309"/>
      <c r="F473" s="309"/>
      <c r="G473" s="309"/>
      <c r="H473" s="309"/>
      <c r="I473" s="309"/>
      <c r="J473" s="309"/>
      <c r="K473" s="309"/>
      <c r="L473" s="309"/>
      <c r="M473" s="309"/>
      <c r="N473" s="309"/>
      <c r="O473" s="309"/>
      <c r="P473" s="309"/>
      <c r="Q473" s="309"/>
    </row>
    <row r="474" spans="2:17" x14ac:dyDescent="0.35">
      <c r="B474" s="309"/>
      <c r="C474" s="309"/>
      <c r="D474" s="309"/>
      <c r="E474" s="309"/>
      <c r="F474" s="309"/>
      <c r="G474" s="309"/>
      <c r="H474" s="309"/>
      <c r="I474" s="309"/>
      <c r="J474" s="309"/>
      <c r="K474" s="309"/>
      <c r="L474" s="309"/>
      <c r="M474" s="309"/>
      <c r="N474" s="309"/>
      <c r="O474" s="309"/>
      <c r="P474" s="309"/>
      <c r="Q474" s="309"/>
    </row>
    <row r="475" spans="2:17" x14ac:dyDescent="0.35">
      <c r="B475" s="309"/>
      <c r="C475" s="309"/>
      <c r="D475" s="309"/>
      <c r="E475" s="309"/>
      <c r="F475" s="309"/>
      <c r="G475" s="309"/>
      <c r="H475" s="309"/>
      <c r="I475" s="309"/>
      <c r="J475" s="309"/>
      <c r="K475" s="309"/>
      <c r="L475" s="309"/>
      <c r="M475" s="309"/>
      <c r="N475" s="309"/>
      <c r="O475" s="309"/>
      <c r="P475" s="309"/>
      <c r="Q475" s="309"/>
    </row>
    <row r="476" spans="2:17" x14ac:dyDescent="0.35">
      <c r="B476" s="309"/>
      <c r="C476" s="309"/>
      <c r="D476" s="309"/>
      <c r="E476" s="309"/>
      <c r="F476" s="309"/>
      <c r="G476" s="309"/>
      <c r="H476" s="309"/>
      <c r="I476" s="309"/>
      <c r="J476" s="309"/>
      <c r="K476" s="309"/>
      <c r="L476" s="309"/>
      <c r="M476" s="309"/>
      <c r="N476" s="309"/>
      <c r="O476" s="309"/>
      <c r="P476" s="309"/>
      <c r="Q476" s="309"/>
    </row>
    <row r="477" spans="2:17" x14ac:dyDescent="0.35">
      <c r="B477" s="309"/>
      <c r="C477" s="309"/>
      <c r="D477" s="309"/>
      <c r="E477" s="309"/>
      <c r="F477" s="309"/>
      <c r="G477" s="309"/>
      <c r="H477" s="309"/>
      <c r="I477" s="309"/>
      <c r="J477" s="309"/>
      <c r="K477" s="309"/>
      <c r="L477" s="309"/>
      <c r="M477" s="309"/>
      <c r="N477" s="309"/>
      <c r="O477" s="309"/>
      <c r="P477" s="309"/>
      <c r="Q477" s="309"/>
    </row>
    <row r="478" spans="2:17" x14ac:dyDescent="0.35">
      <c r="B478" s="309"/>
      <c r="C478" s="309"/>
      <c r="D478" s="309"/>
      <c r="E478" s="309"/>
      <c r="F478" s="309"/>
      <c r="G478" s="309"/>
      <c r="H478" s="309"/>
      <c r="I478" s="309"/>
      <c r="J478" s="309"/>
      <c r="K478" s="309"/>
      <c r="L478" s="309"/>
      <c r="M478" s="309"/>
      <c r="N478" s="309"/>
      <c r="O478" s="309"/>
      <c r="P478" s="309"/>
      <c r="Q478" s="309"/>
    </row>
    <row r="479" spans="2:17" x14ac:dyDescent="0.35">
      <c r="B479" s="309"/>
      <c r="C479" s="309"/>
      <c r="D479" s="309"/>
      <c r="E479" s="309"/>
      <c r="F479" s="309"/>
      <c r="G479" s="309"/>
      <c r="H479" s="309"/>
      <c r="I479" s="309"/>
      <c r="J479" s="309"/>
      <c r="K479" s="309"/>
      <c r="L479" s="309"/>
      <c r="M479" s="309"/>
      <c r="N479" s="309"/>
      <c r="O479" s="309"/>
      <c r="P479" s="309"/>
      <c r="Q479" s="309"/>
    </row>
    <row r="480" spans="2:17" x14ac:dyDescent="0.35">
      <c r="B480" s="309"/>
      <c r="C480" s="309"/>
      <c r="D480" s="309"/>
      <c r="E480" s="309"/>
      <c r="F480" s="309"/>
      <c r="G480" s="309"/>
      <c r="H480" s="309"/>
      <c r="I480" s="309"/>
      <c r="J480" s="309"/>
      <c r="K480" s="309"/>
      <c r="L480" s="309"/>
      <c r="M480" s="309"/>
      <c r="N480" s="309"/>
      <c r="O480" s="309"/>
      <c r="P480" s="309"/>
      <c r="Q480" s="309"/>
    </row>
    <row r="481" spans="2:17" x14ac:dyDescent="0.35">
      <c r="B481" s="309"/>
      <c r="C481" s="309"/>
      <c r="D481" s="309"/>
      <c r="E481" s="309"/>
      <c r="F481" s="309"/>
      <c r="G481" s="309"/>
      <c r="H481" s="309"/>
      <c r="I481" s="309"/>
      <c r="J481" s="309"/>
      <c r="K481" s="309"/>
      <c r="L481" s="309"/>
      <c r="M481" s="309"/>
      <c r="N481" s="309"/>
      <c r="O481" s="309"/>
      <c r="P481" s="309"/>
      <c r="Q481" s="309"/>
    </row>
    <row r="482" spans="2:17" x14ac:dyDescent="0.35">
      <c r="B482" s="309"/>
      <c r="C482" s="309"/>
      <c r="D482" s="309"/>
      <c r="E482" s="309"/>
      <c r="F482" s="309"/>
      <c r="G482" s="309"/>
      <c r="H482" s="309"/>
      <c r="I482" s="309"/>
      <c r="J482" s="309"/>
      <c r="K482" s="309"/>
      <c r="L482" s="309"/>
      <c r="M482" s="309"/>
      <c r="N482" s="309"/>
      <c r="O482" s="309"/>
      <c r="P482" s="309"/>
      <c r="Q482" s="309"/>
    </row>
    <row r="483" spans="2:17" x14ac:dyDescent="0.35">
      <c r="B483" s="309"/>
      <c r="C483" s="309"/>
      <c r="D483" s="309"/>
      <c r="E483" s="309"/>
      <c r="F483" s="309"/>
      <c r="G483" s="309"/>
      <c r="H483" s="309"/>
      <c r="I483" s="309"/>
      <c r="J483" s="309"/>
      <c r="K483" s="309"/>
      <c r="L483" s="309"/>
      <c r="M483" s="309"/>
      <c r="N483" s="309"/>
      <c r="O483" s="309"/>
      <c r="P483" s="309"/>
      <c r="Q483" s="309"/>
    </row>
    <row r="484" spans="2:17" x14ac:dyDescent="0.35">
      <c r="B484" s="309"/>
      <c r="C484" s="309"/>
      <c r="D484" s="309"/>
      <c r="E484" s="309"/>
      <c r="F484" s="309"/>
      <c r="G484" s="309"/>
      <c r="H484" s="309"/>
      <c r="I484" s="309"/>
      <c r="J484" s="309"/>
      <c r="K484" s="309"/>
      <c r="L484" s="309"/>
      <c r="M484" s="309"/>
      <c r="N484" s="309"/>
      <c r="O484" s="309"/>
      <c r="P484" s="309"/>
      <c r="Q484" s="309"/>
    </row>
    <row r="485" spans="2:17" x14ac:dyDescent="0.35">
      <c r="B485" s="309"/>
      <c r="C485" s="309"/>
      <c r="D485" s="309"/>
      <c r="E485" s="309"/>
      <c r="F485" s="309"/>
      <c r="G485" s="309"/>
      <c r="H485" s="309"/>
      <c r="I485" s="309"/>
      <c r="J485" s="309"/>
      <c r="K485" s="309"/>
      <c r="L485" s="309"/>
      <c r="M485" s="309"/>
      <c r="N485" s="309"/>
      <c r="O485" s="309"/>
      <c r="P485" s="309"/>
      <c r="Q485" s="309"/>
    </row>
    <row r="486" spans="2:17" x14ac:dyDescent="0.35">
      <c r="B486" s="309"/>
      <c r="C486" s="309"/>
      <c r="D486" s="309"/>
      <c r="E486" s="309"/>
      <c r="F486" s="309"/>
      <c r="G486" s="309"/>
      <c r="H486" s="309"/>
      <c r="I486" s="309"/>
      <c r="J486" s="309"/>
      <c r="K486" s="309"/>
      <c r="L486" s="309"/>
      <c r="M486" s="309"/>
      <c r="N486" s="309"/>
      <c r="O486" s="309"/>
      <c r="P486" s="309"/>
      <c r="Q486" s="309"/>
    </row>
    <row r="487" spans="2:17" x14ac:dyDescent="0.35">
      <c r="B487" s="309"/>
      <c r="C487" s="309"/>
      <c r="D487" s="309"/>
      <c r="E487" s="309"/>
      <c r="F487" s="309"/>
      <c r="G487" s="309"/>
      <c r="H487" s="309"/>
      <c r="I487" s="309"/>
      <c r="J487" s="309"/>
      <c r="K487" s="309"/>
      <c r="L487" s="309"/>
      <c r="M487" s="309"/>
      <c r="N487" s="309"/>
      <c r="O487" s="309"/>
      <c r="P487" s="309"/>
      <c r="Q487" s="309"/>
    </row>
    <row r="488" spans="2:17" x14ac:dyDescent="0.35">
      <c r="B488" s="309"/>
      <c r="C488" s="309"/>
      <c r="D488" s="309"/>
      <c r="E488" s="309"/>
      <c r="F488" s="309"/>
      <c r="G488" s="309"/>
      <c r="H488" s="309"/>
      <c r="I488" s="309"/>
      <c r="J488" s="309"/>
      <c r="K488" s="309"/>
      <c r="L488" s="309"/>
      <c r="M488" s="309"/>
      <c r="N488" s="309"/>
      <c r="O488" s="309"/>
      <c r="P488" s="309"/>
      <c r="Q488" s="309"/>
    </row>
    <row r="489" spans="2:17" x14ac:dyDescent="0.35">
      <c r="B489" s="309"/>
      <c r="C489" s="309"/>
      <c r="D489" s="309"/>
      <c r="E489" s="309"/>
      <c r="F489" s="309"/>
      <c r="G489" s="309"/>
      <c r="H489" s="309"/>
      <c r="I489" s="309"/>
      <c r="J489" s="309"/>
      <c r="K489" s="309"/>
      <c r="L489" s="309"/>
      <c r="M489" s="309"/>
      <c r="N489" s="309"/>
      <c r="O489" s="309"/>
      <c r="P489" s="309"/>
      <c r="Q489" s="309"/>
    </row>
    <row r="490" spans="2:17" x14ac:dyDescent="0.35">
      <c r="B490" s="309"/>
      <c r="C490" s="309"/>
      <c r="D490" s="309"/>
      <c r="E490" s="309"/>
      <c r="F490" s="309"/>
      <c r="G490" s="309"/>
      <c r="H490" s="309"/>
      <c r="I490" s="309"/>
      <c r="J490" s="309"/>
      <c r="K490" s="309"/>
      <c r="L490" s="309"/>
      <c r="M490" s="309"/>
      <c r="N490" s="309"/>
      <c r="O490" s="309"/>
      <c r="P490" s="309"/>
      <c r="Q490" s="309"/>
    </row>
    <row r="491" spans="2:17" x14ac:dyDescent="0.35">
      <c r="B491" s="309"/>
      <c r="C491" s="309"/>
      <c r="D491" s="309"/>
      <c r="E491" s="309"/>
      <c r="F491" s="309"/>
      <c r="G491" s="309"/>
      <c r="H491" s="309"/>
      <c r="I491" s="309"/>
      <c r="J491" s="309"/>
      <c r="K491" s="309"/>
      <c r="L491" s="309"/>
      <c r="M491" s="309"/>
      <c r="N491" s="309"/>
      <c r="O491" s="309"/>
      <c r="P491" s="309"/>
      <c r="Q491" s="309"/>
    </row>
    <row r="492" spans="2:17" x14ac:dyDescent="0.35">
      <c r="B492" s="309"/>
      <c r="C492" s="309"/>
      <c r="D492" s="309"/>
      <c r="E492" s="309"/>
      <c r="F492" s="309"/>
      <c r="G492" s="309"/>
      <c r="H492" s="309"/>
      <c r="I492" s="309"/>
      <c r="J492" s="309"/>
      <c r="K492" s="309"/>
      <c r="L492" s="309"/>
      <c r="M492" s="309"/>
      <c r="N492" s="309"/>
      <c r="O492" s="309"/>
      <c r="P492" s="309"/>
      <c r="Q492" s="309"/>
    </row>
    <row r="493" spans="2:17" x14ac:dyDescent="0.35">
      <c r="B493" s="309"/>
      <c r="C493" s="309"/>
      <c r="D493" s="309"/>
      <c r="E493" s="309"/>
      <c r="F493" s="309"/>
      <c r="G493" s="309"/>
      <c r="H493" s="309"/>
      <c r="I493" s="309"/>
      <c r="J493" s="309"/>
      <c r="K493" s="309"/>
      <c r="L493" s="309"/>
      <c r="M493" s="309"/>
      <c r="N493" s="309"/>
      <c r="O493" s="309"/>
      <c r="P493" s="309"/>
      <c r="Q493" s="309"/>
    </row>
    <row r="494" spans="2:17" x14ac:dyDescent="0.35">
      <c r="B494" s="309"/>
      <c r="C494" s="309"/>
      <c r="D494" s="309"/>
      <c r="E494" s="309"/>
      <c r="F494" s="309"/>
      <c r="G494" s="309"/>
      <c r="H494" s="309"/>
      <c r="I494" s="309"/>
      <c r="J494" s="309"/>
      <c r="K494" s="309"/>
      <c r="L494" s="309"/>
      <c r="M494" s="309"/>
      <c r="N494" s="309"/>
      <c r="O494" s="309"/>
      <c r="P494" s="309"/>
      <c r="Q494" s="309"/>
    </row>
    <row r="495" spans="2:17" x14ac:dyDescent="0.35">
      <c r="B495" s="309"/>
      <c r="C495" s="309"/>
      <c r="D495" s="309"/>
      <c r="E495" s="309"/>
      <c r="F495" s="309"/>
      <c r="G495" s="309"/>
      <c r="H495" s="309"/>
      <c r="I495" s="309"/>
      <c r="J495" s="309"/>
      <c r="K495" s="309"/>
      <c r="L495" s="309"/>
      <c r="M495" s="309"/>
      <c r="N495" s="309"/>
      <c r="O495" s="309"/>
      <c r="P495" s="309"/>
      <c r="Q495" s="309"/>
    </row>
    <row r="496" spans="2:17" x14ac:dyDescent="0.35">
      <c r="B496" s="309"/>
      <c r="C496" s="309"/>
      <c r="D496" s="309"/>
      <c r="E496" s="309"/>
      <c r="F496" s="309"/>
      <c r="G496" s="309"/>
      <c r="H496" s="309"/>
      <c r="I496" s="309"/>
      <c r="J496" s="309"/>
      <c r="K496" s="309"/>
      <c r="L496" s="309"/>
      <c r="M496" s="309"/>
      <c r="N496" s="309"/>
      <c r="O496" s="309"/>
      <c r="P496" s="309"/>
      <c r="Q496" s="309"/>
    </row>
    <row r="497" spans="2:17" x14ac:dyDescent="0.35">
      <c r="B497" s="309"/>
      <c r="C497" s="309"/>
      <c r="D497" s="309"/>
      <c r="E497" s="309"/>
      <c r="F497" s="309"/>
      <c r="G497" s="309"/>
      <c r="H497" s="309"/>
      <c r="I497" s="309"/>
      <c r="J497" s="309"/>
      <c r="K497" s="309"/>
      <c r="L497" s="309"/>
      <c r="M497" s="309"/>
      <c r="N497" s="309"/>
      <c r="O497" s="309"/>
      <c r="P497" s="309"/>
      <c r="Q497" s="309"/>
    </row>
    <row r="498" spans="2:17" x14ac:dyDescent="0.35">
      <c r="B498" s="309"/>
      <c r="C498" s="309"/>
      <c r="D498" s="309"/>
      <c r="E498" s="309"/>
      <c r="F498" s="309"/>
      <c r="G498" s="309"/>
      <c r="H498" s="309"/>
      <c r="I498" s="309"/>
      <c r="J498" s="309"/>
      <c r="K498" s="309"/>
      <c r="L498" s="309"/>
      <c r="M498" s="309"/>
      <c r="N498" s="309"/>
      <c r="O498" s="309"/>
      <c r="P498" s="309"/>
      <c r="Q498" s="309"/>
    </row>
    <row r="499" spans="2:17" x14ac:dyDescent="0.35">
      <c r="B499" s="309"/>
      <c r="C499" s="309"/>
      <c r="D499" s="309"/>
      <c r="E499" s="309"/>
      <c r="F499" s="309"/>
      <c r="G499" s="309"/>
      <c r="H499" s="309"/>
      <c r="I499" s="309"/>
      <c r="J499" s="309"/>
      <c r="K499" s="309"/>
      <c r="L499" s="309"/>
      <c r="M499" s="309"/>
      <c r="N499" s="309"/>
      <c r="O499" s="309"/>
      <c r="P499" s="309"/>
      <c r="Q499" s="309"/>
    </row>
    <row r="500" spans="2:17" x14ac:dyDescent="0.35">
      <c r="B500" s="309"/>
      <c r="C500" s="309"/>
      <c r="D500" s="309"/>
      <c r="E500" s="309"/>
      <c r="F500" s="309"/>
      <c r="G500" s="309"/>
      <c r="H500" s="309"/>
      <c r="I500" s="309"/>
      <c r="J500" s="309"/>
      <c r="K500" s="309"/>
      <c r="L500" s="309"/>
      <c r="M500" s="309"/>
      <c r="N500" s="309"/>
      <c r="O500" s="309"/>
      <c r="P500" s="309"/>
      <c r="Q500" s="309"/>
    </row>
    <row r="501" spans="2:17" x14ac:dyDescent="0.35">
      <c r="B501" s="309"/>
      <c r="C501" s="309"/>
      <c r="D501" s="309"/>
      <c r="E501" s="309"/>
      <c r="F501" s="309"/>
      <c r="G501" s="309"/>
      <c r="H501" s="309"/>
      <c r="I501" s="309"/>
      <c r="J501" s="309"/>
      <c r="K501" s="309"/>
      <c r="L501" s="309"/>
      <c r="M501" s="309"/>
      <c r="N501" s="309"/>
      <c r="O501" s="309"/>
      <c r="P501" s="309"/>
      <c r="Q501" s="309"/>
    </row>
    <row r="502" spans="2:17" x14ac:dyDescent="0.35">
      <c r="B502" s="309"/>
      <c r="C502" s="309"/>
      <c r="D502" s="309"/>
      <c r="E502" s="309"/>
      <c r="F502" s="309"/>
      <c r="G502" s="309"/>
      <c r="H502" s="309"/>
      <c r="I502" s="309"/>
      <c r="J502" s="309"/>
      <c r="K502" s="309"/>
      <c r="L502" s="309"/>
      <c r="M502" s="309"/>
      <c r="N502" s="309"/>
      <c r="O502" s="309"/>
      <c r="P502" s="309"/>
      <c r="Q502" s="309"/>
    </row>
    <row r="503" spans="2:17" x14ac:dyDescent="0.35">
      <c r="B503" s="309"/>
      <c r="C503" s="309"/>
      <c r="D503" s="309"/>
      <c r="E503" s="309"/>
      <c r="F503" s="309"/>
      <c r="G503" s="309"/>
      <c r="H503" s="309"/>
      <c r="I503" s="309"/>
      <c r="J503" s="309"/>
      <c r="K503" s="309"/>
      <c r="L503" s="309"/>
      <c r="M503" s="309"/>
      <c r="N503" s="309"/>
      <c r="O503" s="309"/>
      <c r="P503" s="309"/>
      <c r="Q503" s="309"/>
    </row>
    <row r="504" spans="2:17" x14ac:dyDescent="0.35">
      <c r="B504" s="309"/>
      <c r="C504" s="309"/>
      <c r="D504" s="309"/>
      <c r="E504" s="309"/>
      <c r="F504" s="309"/>
      <c r="G504" s="309"/>
      <c r="H504" s="309"/>
      <c r="I504" s="309"/>
      <c r="J504" s="309"/>
      <c r="K504" s="309"/>
      <c r="L504" s="309"/>
      <c r="M504" s="309"/>
      <c r="N504" s="309"/>
      <c r="O504" s="309"/>
      <c r="P504" s="309"/>
      <c r="Q504" s="309"/>
    </row>
    <row r="505" spans="2:17" x14ac:dyDescent="0.35">
      <c r="B505" s="309"/>
      <c r="C505" s="309"/>
      <c r="D505" s="309"/>
      <c r="E505" s="309"/>
      <c r="F505" s="309"/>
      <c r="G505" s="309"/>
      <c r="H505" s="309"/>
      <c r="I505" s="309"/>
      <c r="J505" s="309"/>
      <c r="K505" s="309"/>
      <c r="L505" s="309"/>
      <c r="M505" s="309"/>
      <c r="N505" s="309"/>
      <c r="O505" s="309"/>
      <c r="P505" s="309"/>
      <c r="Q505" s="309"/>
    </row>
    <row r="506" spans="2:17" x14ac:dyDescent="0.35">
      <c r="B506" s="309"/>
      <c r="C506" s="309"/>
      <c r="D506" s="309"/>
      <c r="E506" s="309"/>
      <c r="F506" s="309"/>
      <c r="G506" s="309"/>
      <c r="H506" s="309"/>
      <c r="I506" s="309"/>
      <c r="J506" s="309"/>
      <c r="K506" s="309"/>
      <c r="L506" s="309"/>
      <c r="M506" s="309"/>
      <c r="N506" s="309"/>
      <c r="O506" s="309"/>
      <c r="P506" s="309"/>
      <c r="Q506" s="309"/>
    </row>
    <row r="507" spans="2:17" x14ac:dyDescent="0.35">
      <c r="B507" s="309"/>
      <c r="C507" s="309"/>
      <c r="D507" s="309"/>
      <c r="E507" s="309"/>
      <c r="F507" s="309"/>
      <c r="G507" s="309"/>
      <c r="H507" s="309"/>
      <c r="I507" s="309"/>
      <c r="J507" s="309"/>
      <c r="K507" s="309"/>
      <c r="L507" s="309"/>
      <c r="M507" s="309"/>
      <c r="N507" s="309"/>
      <c r="O507" s="309"/>
      <c r="P507" s="309"/>
      <c r="Q507" s="309"/>
    </row>
    <row r="508" spans="2:17" x14ac:dyDescent="0.35">
      <c r="B508" s="309"/>
      <c r="C508" s="309"/>
      <c r="D508" s="309"/>
      <c r="E508" s="309"/>
      <c r="F508" s="309"/>
      <c r="G508" s="309"/>
      <c r="H508" s="309"/>
      <c r="I508" s="309"/>
      <c r="J508" s="309"/>
      <c r="K508" s="309"/>
      <c r="L508" s="309"/>
      <c r="M508" s="309"/>
      <c r="N508" s="309"/>
      <c r="O508" s="309"/>
      <c r="P508" s="309"/>
      <c r="Q508" s="309"/>
    </row>
    <row r="509" spans="2:17" x14ac:dyDescent="0.35">
      <c r="B509" s="309"/>
      <c r="C509" s="309"/>
      <c r="D509" s="309"/>
      <c r="E509" s="309"/>
      <c r="F509" s="309"/>
      <c r="G509" s="309"/>
      <c r="H509" s="309"/>
      <c r="I509" s="309"/>
      <c r="J509" s="309"/>
      <c r="K509" s="309"/>
      <c r="L509" s="309"/>
      <c r="M509" s="309"/>
      <c r="N509" s="309"/>
      <c r="O509" s="309"/>
      <c r="P509" s="309"/>
      <c r="Q509" s="309"/>
    </row>
    <row r="510" spans="2:17" x14ac:dyDescent="0.35">
      <c r="B510" s="309"/>
      <c r="C510" s="309"/>
      <c r="D510" s="309"/>
      <c r="E510" s="309"/>
      <c r="F510" s="309"/>
      <c r="G510" s="309"/>
      <c r="H510" s="309"/>
      <c r="I510" s="309"/>
      <c r="J510" s="309"/>
      <c r="K510" s="309"/>
      <c r="L510" s="309"/>
      <c r="M510" s="309"/>
      <c r="N510" s="309"/>
      <c r="O510" s="309"/>
      <c r="P510" s="309"/>
      <c r="Q510" s="309"/>
    </row>
    <row r="511" spans="2:17" x14ac:dyDescent="0.35">
      <c r="B511" s="309"/>
      <c r="C511" s="309"/>
      <c r="D511" s="309"/>
      <c r="E511" s="309"/>
      <c r="F511" s="309"/>
      <c r="G511" s="309"/>
      <c r="H511" s="309"/>
      <c r="I511" s="309"/>
      <c r="J511" s="309"/>
      <c r="K511" s="309"/>
      <c r="L511" s="309"/>
      <c r="M511" s="309"/>
      <c r="N511" s="309"/>
      <c r="O511" s="309"/>
      <c r="P511" s="309"/>
      <c r="Q511" s="309"/>
    </row>
    <row r="512" spans="2:17" x14ac:dyDescent="0.35">
      <c r="B512" s="309"/>
      <c r="C512" s="309"/>
      <c r="D512" s="309"/>
      <c r="E512" s="309"/>
      <c r="F512" s="309"/>
      <c r="G512" s="309"/>
      <c r="H512" s="309"/>
      <c r="I512" s="309"/>
      <c r="J512" s="309"/>
      <c r="K512" s="309"/>
      <c r="L512" s="309"/>
      <c r="M512" s="309"/>
      <c r="N512" s="309"/>
      <c r="O512" s="309"/>
      <c r="P512" s="309"/>
      <c r="Q512" s="309"/>
    </row>
    <row r="513" spans="2:17" x14ac:dyDescent="0.35">
      <c r="B513" s="309"/>
      <c r="C513" s="309"/>
      <c r="D513" s="309"/>
      <c r="E513" s="309"/>
      <c r="F513" s="309"/>
      <c r="G513" s="309"/>
      <c r="H513" s="309"/>
      <c r="I513" s="309"/>
      <c r="J513" s="309"/>
      <c r="K513" s="309"/>
      <c r="L513" s="309"/>
      <c r="M513" s="309"/>
      <c r="N513" s="309"/>
      <c r="O513" s="309"/>
      <c r="P513" s="309"/>
      <c r="Q513" s="309"/>
    </row>
    <row r="514" spans="2:17" x14ac:dyDescent="0.35">
      <c r="B514" s="309"/>
      <c r="C514" s="309"/>
      <c r="D514" s="309"/>
      <c r="E514" s="309"/>
      <c r="F514" s="309"/>
      <c r="G514" s="309"/>
      <c r="H514" s="309"/>
      <c r="I514" s="309"/>
      <c r="J514" s="309"/>
      <c r="K514" s="309"/>
      <c r="L514" s="309"/>
      <c r="M514" s="309"/>
      <c r="N514" s="309"/>
      <c r="O514" s="309"/>
      <c r="P514" s="309"/>
      <c r="Q514" s="309"/>
    </row>
    <row r="515" spans="2:17" x14ac:dyDescent="0.35">
      <c r="B515" s="309"/>
      <c r="C515" s="309"/>
      <c r="D515" s="309"/>
      <c r="E515" s="309"/>
      <c r="F515" s="309"/>
      <c r="G515" s="309"/>
      <c r="H515" s="309"/>
      <c r="I515" s="309"/>
      <c r="J515" s="309"/>
      <c r="K515" s="309"/>
      <c r="L515" s="309"/>
      <c r="M515" s="309"/>
      <c r="N515" s="309"/>
      <c r="O515" s="309"/>
      <c r="P515" s="309"/>
      <c r="Q515" s="309"/>
    </row>
    <row r="516" spans="2:17" x14ac:dyDescent="0.35">
      <c r="B516" s="309"/>
      <c r="C516" s="309"/>
      <c r="D516" s="309"/>
      <c r="E516" s="309"/>
      <c r="F516" s="309"/>
      <c r="G516" s="309"/>
      <c r="H516" s="309"/>
      <c r="I516" s="309"/>
      <c r="J516" s="309"/>
      <c r="K516" s="309"/>
      <c r="L516" s="309"/>
      <c r="M516" s="309"/>
      <c r="N516" s="309"/>
      <c r="O516" s="309"/>
      <c r="P516" s="309"/>
      <c r="Q516" s="309"/>
    </row>
    <row r="517" spans="2:17" x14ac:dyDescent="0.35">
      <c r="B517" s="309"/>
      <c r="C517" s="309"/>
      <c r="D517" s="309"/>
      <c r="E517" s="309"/>
      <c r="F517" s="309"/>
      <c r="G517" s="309"/>
      <c r="H517" s="309"/>
      <c r="I517" s="309"/>
      <c r="J517" s="309"/>
      <c r="K517" s="309"/>
      <c r="L517" s="309"/>
      <c r="M517" s="309"/>
      <c r="N517" s="309"/>
      <c r="O517" s="309"/>
      <c r="P517" s="309"/>
      <c r="Q517" s="309"/>
    </row>
    <row r="518" spans="2:17" x14ac:dyDescent="0.35">
      <c r="B518" s="309"/>
      <c r="C518" s="309"/>
      <c r="D518" s="309"/>
      <c r="E518" s="309"/>
      <c r="F518" s="309"/>
      <c r="G518" s="309"/>
      <c r="H518" s="309"/>
      <c r="I518" s="309"/>
      <c r="J518" s="309"/>
      <c r="K518" s="309"/>
      <c r="L518" s="309"/>
      <c r="M518" s="309"/>
      <c r="N518" s="309"/>
      <c r="O518" s="309"/>
      <c r="P518" s="309"/>
      <c r="Q518" s="309"/>
    </row>
    <row r="519" spans="2:17" x14ac:dyDescent="0.35">
      <c r="B519" s="309"/>
      <c r="C519" s="309"/>
      <c r="D519" s="309"/>
      <c r="E519" s="309"/>
      <c r="F519" s="309"/>
      <c r="G519" s="309"/>
      <c r="H519" s="309"/>
      <c r="I519" s="309"/>
      <c r="J519" s="309"/>
      <c r="K519" s="309"/>
      <c r="L519" s="309"/>
      <c r="M519" s="309"/>
      <c r="N519" s="309"/>
      <c r="O519" s="309"/>
      <c r="P519" s="309"/>
      <c r="Q519" s="309"/>
    </row>
    <row r="520" spans="2:17" x14ac:dyDescent="0.35">
      <c r="B520" s="309"/>
      <c r="C520" s="309"/>
      <c r="D520" s="309"/>
      <c r="E520" s="309"/>
      <c r="F520" s="309"/>
      <c r="G520" s="309"/>
      <c r="H520" s="309"/>
      <c r="I520" s="309"/>
      <c r="J520" s="309"/>
      <c r="K520" s="309"/>
      <c r="L520" s="309"/>
      <c r="M520" s="309"/>
      <c r="N520" s="309"/>
      <c r="O520" s="309"/>
      <c r="P520" s="309"/>
      <c r="Q520" s="309"/>
    </row>
    <row r="521" spans="2:17" x14ac:dyDescent="0.35">
      <c r="B521" s="309"/>
      <c r="C521" s="309"/>
      <c r="D521" s="309"/>
      <c r="E521" s="309"/>
      <c r="F521" s="309"/>
      <c r="G521" s="309"/>
      <c r="H521" s="309"/>
      <c r="I521" s="309"/>
      <c r="J521" s="309"/>
      <c r="K521" s="309"/>
      <c r="L521" s="309"/>
      <c r="M521" s="309"/>
      <c r="N521" s="309"/>
      <c r="O521" s="309"/>
      <c r="P521" s="309"/>
      <c r="Q521" s="309"/>
    </row>
    <row r="522" spans="2:17" x14ac:dyDescent="0.35">
      <c r="B522" s="309"/>
      <c r="C522" s="309"/>
      <c r="D522" s="309"/>
      <c r="E522" s="309"/>
      <c r="F522" s="309"/>
      <c r="G522" s="309"/>
      <c r="H522" s="309"/>
      <c r="I522" s="309"/>
      <c r="J522" s="309"/>
      <c r="K522" s="309"/>
      <c r="L522" s="309"/>
      <c r="M522" s="309"/>
      <c r="N522" s="309"/>
      <c r="O522" s="309"/>
      <c r="P522" s="309"/>
      <c r="Q522" s="309"/>
    </row>
    <row r="523" spans="2:17" x14ac:dyDescent="0.35">
      <c r="B523" s="309"/>
      <c r="C523" s="309"/>
      <c r="D523" s="309"/>
      <c r="E523" s="309"/>
      <c r="F523" s="309"/>
      <c r="G523" s="309"/>
      <c r="H523" s="309"/>
      <c r="I523" s="309"/>
      <c r="J523" s="309"/>
      <c r="K523" s="309"/>
      <c r="L523" s="309"/>
      <c r="M523" s="309"/>
      <c r="N523" s="309"/>
      <c r="O523" s="309"/>
      <c r="P523" s="309"/>
      <c r="Q523" s="309"/>
    </row>
    <row r="524" spans="2:17" x14ac:dyDescent="0.35">
      <c r="B524" s="309"/>
      <c r="C524" s="309"/>
      <c r="D524" s="309"/>
      <c r="E524" s="309"/>
      <c r="F524" s="309"/>
      <c r="G524" s="309"/>
      <c r="H524" s="309"/>
      <c r="I524" s="309"/>
      <c r="J524" s="309"/>
      <c r="K524" s="309"/>
      <c r="L524" s="309"/>
      <c r="M524" s="309"/>
      <c r="N524" s="309"/>
      <c r="O524" s="309"/>
      <c r="P524" s="309"/>
      <c r="Q524" s="309"/>
    </row>
    <row r="525" spans="2:17" x14ac:dyDescent="0.35">
      <c r="B525" s="309"/>
      <c r="C525" s="309"/>
      <c r="D525" s="309"/>
      <c r="E525" s="309"/>
      <c r="F525" s="309"/>
      <c r="G525" s="309"/>
      <c r="H525" s="309"/>
      <c r="I525" s="309"/>
      <c r="J525" s="309"/>
      <c r="K525" s="309"/>
      <c r="L525" s="309"/>
      <c r="M525" s="309"/>
      <c r="N525" s="309"/>
      <c r="O525" s="309"/>
      <c r="P525" s="309"/>
      <c r="Q525" s="309"/>
    </row>
    <row r="526" spans="2:17" x14ac:dyDescent="0.35">
      <c r="B526" s="309"/>
      <c r="C526" s="309"/>
      <c r="D526" s="309"/>
      <c r="E526" s="309"/>
      <c r="F526" s="309"/>
      <c r="G526" s="309"/>
      <c r="H526" s="309"/>
      <c r="I526" s="309"/>
      <c r="J526" s="309"/>
      <c r="K526" s="309"/>
      <c r="L526" s="309"/>
      <c r="M526" s="309"/>
      <c r="N526" s="309"/>
      <c r="O526" s="309"/>
      <c r="P526" s="309"/>
      <c r="Q526" s="309"/>
    </row>
    <row r="527" spans="2:17" x14ac:dyDescent="0.35">
      <c r="B527" s="309"/>
      <c r="C527" s="309"/>
      <c r="D527" s="309"/>
      <c r="E527" s="309"/>
      <c r="F527" s="309"/>
      <c r="G527" s="309"/>
      <c r="H527" s="309"/>
      <c r="I527" s="309"/>
      <c r="J527" s="309"/>
      <c r="K527" s="309"/>
      <c r="L527" s="309"/>
      <c r="M527" s="309"/>
      <c r="N527" s="309"/>
      <c r="O527" s="309"/>
      <c r="P527" s="309"/>
      <c r="Q527" s="309"/>
    </row>
    <row r="528" spans="2:17" x14ac:dyDescent="0.35">
      <c r="B528" s="309"/>
      <c r="C528" s="309"/>
      <c r="D528" s="309"/>
      <c r="E528" s="309"/>
      <c r="F528" s="309"/>
      <c r="G528" s="309"/>
      <c r="H528" s="309"/>
      <c r="I528" s="309"/>
      <c r="J528" s="309"/>
      <c r="K528" s="309"/>
      <c r="L528" s="309"/>
      <c r="M528" s="309"/>
      <c r="N528" s="309"/>
      <c r="O528" s="309"/>
      <c r="P528" s="309"/>
      <c r="Q528" s="309"/>
    </row>
    <row r="529" spans="2:17" x14ac:dyDescent="0.35">
      <c r="B529" s="309"/>
      <c r="C529" s="309"/>
      <c r="D529" s="309"/>
      <c r="E529" s="309"/>
      <c r="F529" s="309"/>
      <c r="G529" s="309"/>
      <c r="H529" s="309"/>
      <c r="I529" s="309"/>
      <c r="J529" s="309"/>
      <c r="K529" s="309"/>
      <c r="L529" s="309"/>
      <c r="M529" s="309"/>
      <c r="N529" s="309"/>
      <c r="O529" s="309"/>
      <c r="P529" s="309"/>
      <c r="Q529" s="309"/>
    </row>
    <row r="530" spans="2:17" x14ac:dyDescent="0.35">
      <c r="B530" s="309"/>
      <c r="C530" s="309"/>
      <c r="D530" s="309"/>
      <c r="E530" s="309"/>
      <c r="F530" s="309"/>
      <c r="G530" s="309"/>
      <c r="H530" s="309"/>
      <c r="I530" s="309"/>
      <c r="J530" s="309"/>
      <c r="K530" s="309"/>
      <c r="L530" s="309"/>
      <c r="M530" s="309"/>
      <c r="N530" s="309"/>
      <c r="O530" s="309"/>
      <c r="P530" s="309"/>
      <c r="Q530" s="309"/>
    </row>
    <row r="531" spans="2:17" x14ac:dyDescent="0.35">
      <c r="B531" s="309"/>
      <c r="C531" s="309"/>
      <c r="D531" s="309"/>
      <c r="E531" s="309"/>
      <c r="F531" s="309"/>
      <c r="G531" s="309"/>
      <c r="H531" s="309"/>
      <c r="I531" s="309"/>
      <c r="J531" s="309"/>
      <c r="K531" s="309"/>
      <c r="L531" s="309"/>
      <c r="M531" s="309"/>
      <c r="N531" s="309"/>
      <c r="O531" s="309"/>
      <c r="P531" s="309"/>
      <c r="Q531" s="309"/>
    </row>
    <row r="532" spans="2:17" x14ac:dyDescent="0.35">
      <c r="B532" s="309"/>
      <c r="C532" s="309"/>
      <c r="D532" s="309"/>
      <c r="E532" s="309"/>
      <c r="F532" s="309"/>
      <c r="G532" s="309"/>
      <c r="H532" s="309"/>
      <c r="I532" s="309"/>
      <c r="J532" s="309"/>
      <c r="K532" s="309"/>
      <c r="L532" s="309"/>
      <c r="M532" s="309"/>
      <c r="N532" s="309"/>
      <c r="O532" s="309"/>
      <c r="P532" s="309"/>
      <c r="Q532" s="309"/>
    </row>
    <row r="533" spans="2:17" x14ac:dyDescent="0.35">
      <c r="B533" s="309"/>
      <c r="C533" s="309"/>
      <c r="D533" s="309"/>
      <c r="E533" s="309"/>
      <c r="F533" s="309"/>
      <c r="G533" s="309"/>
      <c r="H533" s="309"/>
      <c r="I533" s="309"/>
      <c r="J533" s="309"/>
      <c r="K533" s="309"/>
      <c r="L533" s="309"/>
      <c r="M533" s="309"/>
      <c r="N533" s="309"/>
      <c r="O533" s="309"/>
      <c r="P533" s="309"/>
      <c r="Q533" s="309"/>
    </row>
    <row r="534" spans="2:17" x14ac:dyDescent="0.35">
      <c r="B534" s="309"/>
      <c r="C534" s="309"/>
      <c r="D534" s="309"/>
      <c r="E534" s="309"/>
      <c r="F534" s="309"/>
      <c r="G534" s="309"/>
      <c r="H534" s="309"/>
      <c r="I534" s="309"/>
      <c r="J534" s="309"/>
      <c r="K534" s="309"/>
      <c r="L534" s="309"/>
      <c r="M534" s="309"/>
      <c r="N534" s="309"/>
      <c r="O534" s="309"/>
      <c r="P534" s="309"/>
      <c r="Q534" s="309"/>
    </row>
    <row r="535" spans="2:17" x14ac:dyDescent="0.35">
      <c r="B535" s="309"/>
      <c r="C535" s="309"/>
      <c r="D535" s="309"/>
      <c r="E535" s="309"/>
      <c r="F535" s="309"/>
      <c r="G535" s="309"/>
      <c r="H535" s="309"/>
      <c r="I535" s="309"/>
      <c r="J535" s="309"/>
      <c r="K535" s="309"/>
      <c r="L535" s="309"/>
      <c r="M535" s="309"/>
      <c r="N535" s="309"/>
      <c r="O535" s="309"/>
      <c r="P535" s="309"/>
      <c r="Q535" s="309"/>
    </row>
    <row r="536" spans="2:17" x14ac:dyDescent="0.35">
      <c r="B536" s="309"/>
      <c r="C536" s="309"/>
      <c r="D536" s="309"/>
      <c r="E536" s="309"/>
      <c r="F536" s="309"/>
      <c r="G536" s="309"/>
      <c r="H536" s="309"/>
      <c r="I536" s="309"/>
      <c r="J536" s="309"/>
      <c r="K536" s="309"/>
      <c r="L536" s="309"/>
      <c r="M536" s="309"/>
      <c r="N536" s="309"/>
      <c r="O536" s="309"/>
      <c r="P536" s="309"/>
      <c r="Q536" s="309"/>
    </row>
    <row r="537" spans="2:17" x14ac:dyDescent="0.35">
      <c r="B537" s="309"/>
      <c r="C537" s="309"/>
      <c r="D537" s="309"/>
      <c r="E537" s="309"/>
      <c r="F537" s="309"/>
      <c r="G537" s="309"/>
      <c r="H537" s="309"/>
      <c r="I537" s="309"/>
      <c r="J537" s="309"/>
      <c r="K537" s="309"/>
      <c r="L537" s="309"/>
      <c r="M537" s="309"/>
      <c r="N537" s="309"/>
      <c r="O537" s="309"/>
      <c r="P537" s="309"/>
      <c r="Q537" s="309"/>
    </row>
    <row r="538" spans="2:17" x14ac:dyDescent="0.35">
      <c r="B538" s="309"/>
      <c r="C538" s="309"/>
      <c r="D538" s="309"/>
      <c r="E538" s="309"/>
      <c r="F538" s="309"/>
      <c r="G538" s="309"/>
      <c r="H538" s="309"/>
      <c r="I538" s="309"/>
      <c r="J538" s="309"/>
      <c r="K538" s="309"/>
      <c r="L538" s="309"/>
      <c r="M538" s="309"/>
      <c r="N538" s="309"/>
      <c r="O538" s="309"/>
      <c r="P538" s="309"/>
      <c r="Q538" s="309"/>
    </row>
    <row r="539" spans="2:17" x14ac:dyDescent="0.35">
      <c r="B539" s="309"/>
      <c r="C539" s="309"/>
      <c r="D539" s="309"/>
      <c r="E539" s="309"/>
      <c r="F539" s="309"/>
      <c r="G539" s="309"/>
      <c r="H539" s="309"/>
      <c r="I539" s="309"/>
      <c r="J539" s="309"/>
      <c r="K539" s="309"/>
      <c r="L539" s="309"/>
      <c r="M539" s="309"/>
      <c r="N539" s="309"/>
      <c r="O539" s="309"/>
      <c r="P539" s="309"/>
      <c r="Q539" s="309"/>
    </row>
    <row r="540" spans="2:17" x14ac:dyDescent="0.35">
      <c r="B540" s="309"/>
      <c r="C540" s="309"/>
      <c r="D540" s="309"/>
      <c r="E540" s="309"/>
      <c r="F540" s="309"/>
      <c r="G540" s="309"/>
      <c r="H540" s="309"/>
      <c r="I540" s="309"/>
      <c r="J540" s="309"/>
      <c r="K540" s="309"/>
      <c r="L540" s="309"/>
      <c r="M540" s="309"/>
      <c r="N540" s="309"/>
      <c r="O540" s="309"/>
      <c r="P540" s="309"/>
      <c r="Q540" s="309"/>
    </row>
    <row r="541" spans="2:17" x14ac:dyDescent="0.35">
      <c r="B541" s="309"/>
      <c r="C541" s="309"/>
      <c r="D541" s="309"/>
      <c r="E541" s="309"/>
      <c r="F541" s="309"/>
      <c r="G541" s="309"/>
      <c r="H541" s="309"/>
      <c r="I541" s="309"/>
      <c r="J541" s="309"/>
      <c r="K541" s="309"/>
      <c r="L541" s="309"/>
      <c r="M541" s="309"/>
      <c r="N541" s="309"/>
      <c r="O541" s="309"/>
      <c r="P541" s="309"/>
      <c r="Q541" s="309"/>
    </row>
    <row r="542" spans="2:17" x14ac:dyDescent="0.35">
      <c r="B542" s="309"/>
      <c r="C542" s="309"/>
      <c r="D542" s="309"/>
      <c r="E542" s="309"/>
      <c r="F542" s="309"/>
      <c r="G542" s="309"/>
      <c r="H542" s="309"/>
      <c r="I542" s="309"/>
      <c r="J542" s="309"/>
      <c r="K542" s="309"/>
      <c r="L542" s="309"/>
      <c r="M542" s="309"/>
      <c r="N542" s="309"/>
      <c r="O542" s="309"/>
      <c r="P542" s="309"/>
      <c r="Q542" s="309"/>
    </row>
    <row r="543" spans="2:17" x14ac:dyDescent="0.35">
      <c r="B543" s="309"/>
      <c r="C543" s="309"/>
      <c r="D543" s="309"/>
      <c r="E543" s="309"/>
      <c r="F543" s="309"/>
      <c r="G543" s="309"/>
      <c r="H543" s="309"/>
      <c r="I543" s="309"/>
      <c r="J543" s="309"/>
      <c r="K543" s="309"/>
      <c r="L543" s="309"/>
      <c r="M543" s="309"/>
      <c r="N543" s="309"/>
      <c r="O543" s="309"/>
      <c r="P543" s="309"/>
      <c r="Q543" s="309"/>
    </row>
    <row r="544" spans="2:17" x14ac:dyDescent="0.35">
      <c r="B544" s="309"/>
      <c r="C544" s="309"/>
      <c r="D544" s="309"/>
      <c r="E544" s="309"/>
      <c r="F544" s="309"/>
      <c r="G544" s="309"/>
      <c r="H544" s="309"/>
      <c r="I544" s="309"/>
      <c r="J544" s="309"/>
      <c r="K544" s="309"/>
      <c r="L544" s="309"/>
      <c r="M544" s="309"/>
      <c r="N544" s="309"/>
      <c r="O544" s="309"/>
      <c r="P544" s="309"/>
      <c r="Q544" s="309"/>
    </row>
    <row r="545" spans="2:17" x14ac:dyDescent="0.35">
      <c r="B545" s="309"/>
      <c r="C545" s="309"/>
      <c r="D545" s="309"/>
      <c r="E545" s="309"/>
      <c r="F545" s="309"/>
      <c r="G545" s="309"/>
      <c r="H545" s="309"/>
      <c r="I545" s="309"/>
      <c r="J545" s="309"/>
      <c r="K545" s="309"/>
      <c r="L545" s="309"/>
      <c r="M545" s="309"/>
      <c r="N545" s="309"/>
      <c r="O545" s="309"/>
      <c r="P545" s="309"/>
      <c r="Q545" s="309"/>
    </row>
    <row r="546" spans="2:17" x14ac:dyDescent="0.35">
      <c r="B546" s="309"/>
      <c r="C546" s="309"/>
      <c r="D546" s="309"/>
      <c r="E546" s="309"/>
      <c r="F546" s="309"/>
      <c r="G546" s="309"/>
      <c r="H546" s="309"/>
      <c r="I546" s="309"/>
      <c r="J546" s="309"/>
      <c r="K546" s="309"/>
      <c r="L546" s="309"/>
      <c r="M546" s="309"/>
      <c r="N546" s="309"/>
      <c r="O546" s="309"/>
      <c r="P546" s="309"/>
      <c r="Q546" s="309"/>
    </row>
    <row r="547" spans="2:17" x14ac:dyDescent="0.35">
      <c r="B547" s="309"/>
      <c r="C547" s="309"/>
      <c r="D547" s="309"/>
      <c r="E547" s="309"/>
      <c r="F547" s="309"/>
      <c r="G547" s="309"/>
      <c r="H547" s="309"/>
      <c r="I547" s="309"/>
      <c r="J547" s="309"/>
      <c r="K547" s="309"/>
      <c r="L547" s="309"/>
      <c r="M547" s="309"/>
      <c r="N547" s="309"/>
      <c r="O547" s="309"/>
      <c r="P547" s="309"/>
      <c r="Q547" s="309"/>
    </row>
    <row r="548" spans="2:17" x14ac:dyDescent="0.35">
      <c r="B548" s="309"/>
      <c r="C548" s="309"/>
      <c r="D548" s="309"/>
      <c r="E548" s="309"/>
      <c r="F548" s="309"/>
      <c r="G548" s="309"/>
      <c r="H548" s="309"/>
      <c r="I548" s="309"/>
      <c r="J548" s="309"/>
      <c r="K548" s="309"/>
      <c r="L548" s="309"/>
      <c r="M548" s="309"/>
      <c r="N548" s="309"/>
      <c r="O548" s="309"/>
      <c r="P548" s="309"/>
      <c r="Q548" s="309"/>
    </row>
    <row r="549" spans="2:17" x14ac:dyDescent="0.35">
      <c r="B549" s="309"/>
      <c r="C549" s="309"/>
      <c r="D549" s="309"/>
      <c r="E549" s="309"/>
      <c r="F549" s="309"/>
      <c r="G549" s="309"/>
      <c r="H549" s="309"/>
      <c r="I549" s="309"/>
      <c r="J549" s="309"/>
      <c r="K549" s="309"/>
      <c r="L549" s="309"/>
      <c r="M549" s="309"/>
      <c r="N549" s="309"/>
      <c r="O549" s="309"/>
      <c r="P549" s="309"/>
      <c r="Q549" s="309"/>
    </row>
    <row r="550" spans="2:17" x14ac:dyDescent="0.35">
      <c r="B550" s="309"/>
      <c r="C550" s="309"/>
      <c r="D550" s="309"/>
      <c r="E550" s="309"/>
      <c r="F550" s="309"/>
      <c r="G550" s="309"/>
      <c r="H550" s="309"/>
      <c r="I550" s="309"/>
      <c r="J550" s="309"/>
      <c r="K550" s="309"/>
      <c r="L550" s="309"/>
      <c r="M550" s="309"/>
      <c r="N550" s="309"/>
      <c r="O550" s="309"/>
      <c r="P550" s="309"/>
      <c r="Q550" s="309"/>
    </row>
    <row r="551" spans="2:17" x14ac:dyDescent="0.35">
      <c r="B551" s="309"/>
      <c r="C551" s="309"/>
      <c r="D551" s="309"/>
      <c r="E551" s="309"/>
      <c r="F551" s="309"/>
      <c r="G551" s="309"/>
      <c r="H551" s="309"/>
      <c r="I551" s="309"/>
      <c r="J551" s="309"/>
      <c r="K551" s="309"/>
      <c r="L551" s="309"/>
      <c r="M551" s="309"/>
      <c r="N551" s="309"/>
      <c r="O551" s="309"/>
      <c r="P551" s="309"/>
      <c r="Q551" s="309"/>
    </row>
    <row r="552" spans="2:17" x14ac:dyDescent="0.35">
      <c r="B552" s="309"/>
      <c r="C552" s="309"/>
      <c r="D552" s="309"/>
      <c r="E552" s="309"/>
      <c r="F552" s="309"/>
      <c r="G552" s="309"/>
      <c r="H552" s="309"/>
      <c r="I552" s="309"/>
      <c r="J552" s="309"/>
      <c r="K552" s="309"/>
      <c r="L552" s="309"/>
      <c r="M552" s="309"/>
      <c r="N552" s="309"/>
      <c r="O552" s="309"/>
      <c r="P552" s="309"/>
      <c r="Q552" s="309"/>
    </row>
    <row r="553" spans="2:17" x14ac:dyDescent="0.35">
      <c r="B553" s="309"/>
      <c r="C553" s="309"/>
      <c r="D553" s="309"/>
      <c r="E553" s="309"/>
      <c r="F553" s="309"/>
      <c r="G553" s="309"/>
      <c r="H553" s="309"/>
      <c r="I553" s="309"/>
      <c r="J553" s="309"/>
      <c r="K553" s="309"/>
      <c r="L553" s="309"/>
      <c r="M553" s="309"/>
      <c r="N553" s="309"/>
      <c r="O553" s="309"/>
      <c r="P553" s="309"/>
      <c r="Q553" s="309"/>
    </row>
    <row r="554" spans="2:17" x14ac:dyDescent="0.35">
      <c r="B554" s="309"/>
      <c r="C554" s="309"/>
      <c r="D554" s="309"/>
      <c r="E554" s="309"/>
      <c r="F554" s="309"/>
      <c r="G554" s="309"/>
      <c r="H554" s="309"/>
      <c r="I554" s="309"/>
      <c r="J554" s="309"/>
      <c r="K554" s="309"/>
      <c r="L554" s="309"/>
      <c r="M554" s="309"/>
      <c r="N554" s="309"/>
      <c r="O554" s="309"/>
      <c r="P554" s="309"/>
      <c r="Q554" s="309"/>
    </row>
    <row r="555" spans="2:17" x14ac:dyDescent="0.35">
      <c r="B555" s="309"/>
      <c r="C555" s="309"/>
      <c r="D555" s="309"/>
      <c r="E555" s="309"/>
      <c r="F555" s="309"/>
      <c r="G555" s="309"/>
      <c r="H555" s="309"/>
      <c r="I555" s="309"/>
      <c r="J555" s="309"/>
      <c r="K555" s="309"/>
      <c r="L555" s="309"/>
      <c r="M555" s="309"/>
      <c r="N555" s="309"/>
      <c r="O555" s="309"/>
      <c r="P555" s="309"/>
      <c r="Q555" s="309"/>
    </row>
    <row r="556" spans="2:17" x14ac:dyDescent="0.35">
      <c r="B556" s="309"/>
      <c r="C556" s="309"/>
      <c r="D556" s="309"/>
      <c r="E556" s="309"/>
      <c r="F556" s="309"/>
      <c r="G556" s="309"/>
      <c r="H556" s="309"/>
      <c r="I556" s="309"/>
      <c r="J556" s="309"/>
      <c r="K556" s="309"/>
      <c r="L556" s="309"/>
      <c r="M556" s="309"/>
      <c r="N556" s="309"/>
      <c r="O556" s="309"/>
      <c r="P556" s="309"/>
      <c r="Q556" s="309"/>
    </row>
    <row r="557" spans="2:17" x14ac:dyDescent="0.35">
      <c r="B557" s="309"/>
      <c r="C557" s="309"/>
      <c r="D557" s="309"/>
      <c r="E557" s="309"/>
      <c r="F557" s="309"/>
      <c r="G557" s="309"/>
      <c r="H557" s="309"/>
      <c r="I557" s="309"/>
      <c r="J557" s="309"/>
      <c r="K557" s="309"/>
      <c r="L557" s="309"/>
      <c r="M557" s="309"/>
      <c r="N557" s="309"/>
      <c r="O557" s="309"/>
      <c r="P557" s="309"/>
      <c r="Q557" s="309"/>
    </row>
    <row r="558" spans="2:17" x14ac:dyDescent="0.35">
      <c r="B558" s="309"/>
      <c r="C558" s="309"/>
      <c r="D558" s="309"/>
      <c r="E558" s="309"/>
      <c r="F558" s="309"/>
      <c r="G558" s="309"/>
      <c r="H558" s="309"/>
      <c r="I558" s="309"/>
      <c r="J558" s="309"/>
      <c r="K558" s="309"/>
      <c r="L558" s="309"/>
      <c r="M558" s="309"/>
      <c r="N558" s="309"/>
      <c r="O558" s="309"/>
      <c r="P558" s="309"/>
      <c r="Q558" s="309"/>
    </row>
    <row r="559" spans="2:17" x14ac:dyDescent="0.35">
      <c r="B559" s="309"/>
      <c r="C559" s="309"/>
      <c r="D559" s="309"/>
      <c r="E559" s="309"/>
      <c r="F559" s="309"/>
      <c r="G559" s="309"/>
      <c r="H559" s="309"/>
      <c r="I559" s="309"/>
      <c r="J559" s="309"/>
      <c r="K559" s="309"/>
      <c r="L559" s="309"/>
      <c r="M559" s="309"/>
      <c r="N559" s="309"/>
      <c r="O559" s="309"/>
      <c r="P559" s="309"/>
      <c r="Q559" s="309"/>
    </row>
    <row r="560" spans="2:17" x14ac:dyDescent="0.35">
      <c r="B560" s="309"/>
      <c r="C560" s="309"/>
      <c r="D560" s="309"/>
      <c r="E560" s="309"/>
      <c r="F560" s="309"/>
      <c r="G560" s="309"/>
      <c r="H560" s="309"/>
      <c r="I560" s="309"/>
      <c r="J560" s="309"/>
      <c r="K560" s="309"/>
      <c r="L560" s="309"/>
      <c r="M560" s="309"/>
      <c r="N560" s="309"/>
      <c r="O560" s="309"/>
      <c r="P560" s="309"/>
      <c r="Q560" s="309"/>
    </row>
    <row r="561" spans="2:17" x14ac:dyDescent="0.35">
      <c r="B561" s="309"/>
      <c r="C561" s="309"/>
      <c r="D561" s="309"/>
      <c r="E561" s="309"/>
      <c r="F561" s="309"/>
      <c r="G561" s="309"/>
      <c r="H561" s="309"/>
      <c r="I561" s="309"/>
      <c r="J561" s="309"/>
      <c r="K561" s="309"/>
      <c r="L561" s="309"/>
      <c r="M561" s="309"/>
      <c r="N561" s="309"/>
      <c r="O561" s="309"/>
      <c r="P561" s="309"/>
      <c r="Q561" s="309"/>
    </row>
    <row r="562" spans="2:17" x14ac:dyDescent="0.35">
      <c r="B562" s="309"/>
      <c r="C562" s="309"/>
      <c r="D562" s="309"/>
      <c r="E562" s="309"/>
      <c r="F562" s="309"/>
      <c r="G562" s="309"/>
      <c r="H562" s="309"/>
      <c r="I562" s="309"/>
      <c r="J562" s="309"/>
      <c r="K562" s="309"/>
      <c r="L562" s="309"/>
      <c r="M562" s="309"/>
      <c r="N562" s="309"/>
      <c r="O562" s="309"/>
      <c r="P562" s="309"/>
      <c r="Q562" s="309"/>
    </row>
    <row r="563" spans="2:17" x14ac:dyDescent="0.35">
      <c r="B563" s="309"/>
      <c r="C563" s="309"/>
      <c r="D563" s="309"/>
      <c r="E563" s="309"/>
      <c r="F563" s="309"/>
      <c r="G563" s="309"/>
      <c r="H563" s="309"/>
      <c r="I563" s="309"/>
      <c r="J563" s="309"/>
      <c r="K563" s="309"/>
      <c r="L563" s="309"/>
      <c r="M563" s="309"/>
      <c r="N563" s="309"/>
      <c r="O563" s="309"/>
      <c r="P563" s="309"/>
      <c r="Q563" s="309"/>
    </row>
    <row r="564" spans="2:17" x14ac:dyDescent="0.35">
      <c r="B564" s="309"/>
      <c r="C564" s="309"/>
      <c r="D564" s="309"/>
      <c r="E564" s="309"/>
      <c r="F564" s="309"/>
      <c r="G564" s="309"/>
      <c r="H564" s="309"/>
      <c r="I564" s="309"/>
      <c r="J564" s="309"/>
      <c r="K564" s="309"/>
      <c r="L564" s="309"/>
      <c r="M564" s="309"/>
      <c r="N564" s="309"/>
      <c r="O564" s="309"/>
      <c r="P564" s="309"/>
      <c r="Q564" s="309"/>
    </row>
    <row r="565" spans="2:17" x14ac:dyDescent="0.35">
      <c r="B565" s="309"/>
      <c r="C565" s="309"/>
      <c r="D565" s="309"/>
      <c r="E565" s="309"/>
      <c r="F565" s="309"/>
      <c r="G565" s="309"/>
      <c r="H565" s="309"/>
      <c r="I565" s="309"/>
      <c r="J565" s="309"/>
      <c r="K565" s="309"/>
      <c r="L565" s="309"/>
      <c r="M565" s="309"/>
      <c r="N565" s="309"/>
      <c r="O565" s="309"/>
      <c r="P565" s="309"/>
      <c r="Q565" s="309"/>
    </row>
    <row r="566" spans="2:17" x14ac:dyDescent="0.35">
      <c r="B566" s="309"/>
      <c r="C566" s="309"/>
      <c r="D566" s="309"/>
      <c r="E566" s="309"/>
      <c r="F566" s="309"/>
      <c r="G566" s="309"/>
      <c r="H566" s="309"/>
      <c r="I566" s="309"/>
      <c r="J566" s="309"/>
      <c r="K566" s="309"/>
      <c r="L566" s="309"/>
      <c r="M566" s="309"/>
      <c r="N566" s="309"/>
      <c r="O566" s="309"/>
      <c r="P566" s="309"/>
      <c r="Q566" s="309"/>
    </row>
    <row r="567" spans="2:17" x14ac:dyDescent="0.35">
      <c r="B567" s="309"/>
      <c r="C567" s="309"/>
      <c r="D567" s="309"/>
      <c r="E567" s="309"/>
      <c r="F567" s="309"/>
      <c r="G567" s="309"/>
      <c r="H567" s="309"/>
      <c r="I567" s="309"/>
      <c r="J567" s="309"/>
      <c r="K567" s="309"/>
      <c r="L567" s="309"/>
      <c r="M567" s="309"/>
      <c r="N567" s="309"/>
      <c r="O567" s="309"/>
      <c r="P567" s="309"/>
      <c r="Q567" s="309"/>
    </row>
    <row r="568" spans="2:17" x14ac:dyDescent="0.35">
      <c r="B568" s="309"/>
      <c r="C568" s="309"/>
      <c r="D568" s="309"/>
      <c r="E568" s="309"/>
      <c r="F568" s="309"/>
      <c r="G568" s="309"/>
      <c r="H568" s="309"/>
      <c r="I568" s="309"/>
      <c r="J568" s="309"/>
      <c r="K568" s="309"/>
      <c r="L568" s="309"/>
      <c r="M568" s="309"/>
      <c r="N568" s="309"/>
      <c r="O568" s="309"/>
      <c r="P568" s="309"/>
      <c r="Q568" s="309"/>
    </row>
    <row r="569" spans="2:17" x14ac:dyDescent="0.35">
      <c r="B569" s="309"/>
      <c r="C569" s="309"/>
      <c r="D569" s="309"/>
      <c r="E569" s="309"/>
      <c r="F569" s="309"/>
      <c r="G569" s="309"/>
      <c r="H569" s="309"/>
      <c r="I569" s="309"/>
      <c r="J569" s="309"/>
      <c r="K569" s="309"/>
      <c r="L569" s="309"/>
      <c r="M569" s="309"/>
      <c r="N569" s="309"/>
      <c r="O569" s="309"/>
      <c r="P569" s="309"/>
      <c r="Q569" s="309"/>
    </row>
    <row r="570" spans="2:17" x14ac:dyDescent="0.35">
      <c r="B570" s="309"/>
      <c r="C570" s="309"/>
      <c r="D570" s="309"/>
      <c r="E570" s="309"/>
      <c r="F570" s="309"/>
      <c r="G570" s="309"/>
      <c r="H570" s="309"/>
      <c r="I570" s="309"/>
      <c r="J570" s="309"/>
      <c r="K570" s="309"/>
      <c r="L570" s="309"/>
      <c r="M570" s="309"/>
      <c r="N570" s="309"/>
      <c r="O570" s="309"/>
      <c r="P570" s="309"/>
      <c r="Q570" s="309"/>
    </row>
    <row r="571" spans="2:17" x14ac:dyDescent="0.35">
      <c r="B571" s="309"/>
      <c r="C571" s="309"/>
      <c r="D571" s="309"/>
      <c r="E571" s="309"/>
      <c r="F571" s="309"/>
      <c r="G571" s="309"/>
      <c r="H571" s="309"/>
      <c r="I571" s="309"/>
      <c r="J571" s="309"/>
      <c r="K571" s="309"/>
      <c r="L571" s="309"/>
      <c r="M571" s="309"/>
      <c r="N571" s="309"/>
      <c r="O571" s="309"/>
      <c r="P571" s="309"/>
      <c r="Q571" s="309"/>
    </row>
    <row r="572" spans="2:17" x14ac:dyDescent="0.35">
      <c r="B572" s="309"/>
      <c r="C572" s="309"/>
      <c r="D572" s="309"/>
      <c r="E572" s="309"/>
      <c r="F572" s="309"/>
      <c r="G572" s="309"/>
      <c r="H572" s="309"/>
      <c r="I572" s="309"/>
      <c r="J572" s="309"/>
      <c r="K572" s="309"/>
      <c r="L572" s="309"/>
      <c r="M572" s="309"/>
      <c r="N572" s="309"/>
      <c r="O572" s="309"/>
      <c r="P572" s="309"/>
      <c r="Q572" s="309"/>
    </row>
    <row r="573" spans="2:17" x14ac:dyDescent="0.35">
      <c r="B573" s="309"/>
      <c r="C573" s="309"/>
      <c r="D573" s="309"/>
      <c r="E573" s="309"/>
      <c r="F573" s="309"/>
      <c r="G573" s="309"/>
      <c r="H573" s="309"/>
      <c r="I573" s="309"/>
      <c r="J573" s="309"/>
      <c r="K573" s="309"/>
      <c r="L573" s="309"/>
      <c r="M573" s="309"/>
      <c r="N573" s="309"/>
      <c r="O573" s="309"/>
      <c r="P573" s="309"/>
      <c r="Q573" s="309"/>
    </row>
    <row r="574" spans="2:17" x14ac:dyDescent="0.35">
      <c r="B574" s="309"/>
      <c r="C574" s="309"/>
      <c r="D574" s="309"/>
      <c r="E574" s="309"/>
      <c r="F574" s="309"/>
      <c r="G574" s="309"/>
      <c r="H574" s="309"/>
      <c r="I574" s="309"/>
      <c r="J574" s="309"/>
      <c r="K574" s="309"/>
      <c r="L574" s="309"/>
      <c r="M574" s="309"/>
      <c r="N574" s="309"/>
      <c r="O574" s="309"/>
      <c r="P574" s="309"/>
      <c r="Q574" s="309"/>
    </row>
    <row r="575" spans="2:17" x14ac:dyDescent="0.35">
      <c r="B575" s="309"/>
      <c r="C575" s="309"/>
      <c r="D575" s="309"/>
      <c r="E575" s="309"/>
      <c r="F575" s="309"/>
      <c r="G575" s="309"/>
      <c r="H575" s="309"/>
      <c r="I575" s="309"/>
      <c r="J575" s="309"/>
      <c r="K575" s="309"/>
      <c r="L575" s="309"/>
      <c r="M575" s="309"/>
      <c r="N575" s="309"/>
      <c r="O575" s="309"/>
      <c r="P575" s="309"/>
      <c r="Q575" s="309"/>
    </row>
    <row r="576" spans="2:17" x14ac:dyDescent="0.35">
      <c r="B576" s="309"/>
      <c r="C576" s="309"/>
      <c r="D576" s="309"/>
      <c r="E576" s="309"/>
      <c r="F576" s="309"/>
      <c r="G576" s="309"/>
      <c r="H576" s="309"/>
      <c r="I576" s="309"/>
      <c r="J576" s="309"/>
      <c r="K576" s="309"/>
      <c r="L576" s="309"/>
      <c r="M576" s="309"/>
      <c r="N576" s="309"/>
      <c r="O576" s="309"/>
      <c r="P576" s="309"/>
      <c r="Q576" s="309"/>
    </row>
    <row r="577" spans="2:17" x14ac:dyDescent="0.35">
      <c r="B577" s="309"/>
      <c r="C577" s="309"/>
      <c r="D577" s="309"/>
      <c r="E577" s="309"/>
      <c r="F577" s="309"/>
      <c r="G577" s="309"/>
      <c r="H577" s="309"/>
      <c r="I577" s="309"/>
      <c r="J577" s="309"/>
      <c r="K577" s="309"/>
      <c r="L577" s="309"/>
      <c r="M577" s="309"/>
      <c r="N577" s="309"/>
      <c r="O577" s="309"/>
      <c r="P577" s="309"/>
      <c r="Q577" s="309"/>
    </row>
    <row r="578" spans="2:17" x14ac:dyDescent="0.35">
      <c r="B578" s="309"/>
      <c r="C578" s="309"/>
      <c r="D578" s="309"/>
      <c r="E578" s="309"/>
      <c r="F578" s="309"/>
      <c r="G578" s="309"/>
      <c r="H578" s="309"/>
      <c r="I578" s="309"/>
      <c r="J578" s="309"/>
      <c r="K578" s="309"/>
      <c r="L578" s="309"/>
      <c r="M578" s="309"/>
      <c r="N578" s="309"/>
      <c r="O578" s="309"/>
      <c r="P578" s="309"/>
      <c r="Q578" s="309"/>
    </row>
    <row r="579" spans="2:17" x14ac:dyDescent="0.35">
      <c r="B579" s="309"/>
      <c r="C579" s="309"/>
      <c r="D579" s="309"/>
      <c r="E579" s="309"/>
      <c r="F579" s="309"/>
      <c r="G579" s="309"/>
      <c r="H579" s="309"/>
      <c r="I579" s="309"/>
      <c r="J579" s="309"/>
      <c r="K579" s="309"/>
      <c r="L579" s="309"/>
      <c r="M579" s="309"/>
      <c r="N579" s="309"/>
      <c r="O579" s="309"/>
      <c r="P579" s="309"/>
      <c r="Q579" s="309"/>
    </row>
    <row r="580" spans="2:17" x14ac:dyDescent="0.35">
      <c r="B580" s="309"/>
      <c r="C580" s="309"/>
      <c r="D580" s="309"/>
      <c r="E580" s="309"/>
      <c r="F580" s="309"/>
      <c r="G580" s="309"/>
      <c r="H580" s="309"/>
      <c r="I580" s="309"/>
      <c r="J580" s="309"/>
      <c r="K580" s="309"/>
      <c r="L580" s="309"/>
      <c r="M580" s="309"/>
      <c r="N580" s="309"/>
      <c r="O580" s="309"/>
      <c r="P580" s="309"/>
      <c r="Q580" s="309"/>
    </row>
    <row r="581" spans="2:17" x14ac:dyDescent="0.35">
      <c r="B581" s="309"/>
      <c r="C581" s="309"/>
      <c r="D581" s="309"/>
      <c r="E581" s="309"/>
      <c r="F581" s="309"/>
      <c r="G581" s="309"/>
      <c r="H581" s="309"/>
      <c r="I581" s="309"/>
      <c r="J581" s="309"/>
      <c r="K581" s="309"/>
      <c r="L581" s="309"/>
      <c r="M581" s="309"/>
      <c r="N581" s="309"/>
      <c r="O581" s="309"/>
      <c r="P581" s="309"/>
      <c r="Q581" s="309"/>
    </row>
    <row r="582" spans="2:17" x14ac:dyDescent="0.35">
      <c r="B582" s="309"/>
      <c r="C582" s="309"/>
      <c r="D582" s="309"/>
      <c r="E582" s="309"/>
      <c r="F582" s="309"/>
      <c r="G582" s="309"/>
      <c r="H582" s="309"/>
      <c r="I582" s="309"/>
      <c r="J582" s="309"/>
      <c r="K582" s="309"/>
      <c r="L582" s="309"/>
      <c r="M582" s="309"/>
      <c r="N582" s="309"/>
      <c r="O582" s="309"/>
      <c r="P582" s="309"/>
      <c r="Q582" s="309"/>
    </row>
    <row r="583" spans="2:17" x14ac:dyDescent="0.35">
      <c r="B583" s="309"/>
      <c r="C583" s="309"/>
      <c r="D583" s="309"/>
      <c r="E583" s="309"/>
      <c r="F583" s="309"/>
      <c r="G583" s="309"/>
      <c r="H583" s="309"/>
      <c r="I583" s="309"/>
      <c r="J583" s="309"/>
      <c r="K583" s="309"/>
      <c r="L583" s="309"/>
      <c r="M583" s="309"/>
      <c r="N583" s="309"/>
      <c r="O583" s="309"/>
      <c r="P583" s="309"/>
      <c r="Q583" s="309"/>
    </row>
    <row r="584" spans="2:17" x14ac:dyDescent="0.35">
      <c r="B584" s="309"/>
      <c r="C584" s="309"/>
      <c r="D584" s="309"/>
      <c r="E584" s="309"/>
      <c r="F584" s="309"/>
      <c r="G584" s="309"/>
      <c r="H584" s="309"/>
      <c r="I584" s="309"/>
      <c r="J584" s="309"/>
      <c r="K584" s="309"/>
      <c r="L584" s="309"/>
      <c r="M584" s="309"/>
      <c r="N584" s="309"/>
      <c r="O584" s="309"/>
      <c r="P584" s="309"/>
      <c r="Q584" s="309"/>
    </row>
    <row r="585" spans="2:17" x14ac:dyDescent="0.35">
      <c r="B585" s="309"/>
      <c r="C585" s="309"/>
      <c r="D585" s="309"/>
      <c r="E585" s="309"/>
      <c r="F585" s="309"/>
      <c r="G585" s="309"/>
      <c r="H585" s="309"/>
      <c r="I585" s="309"/>
      <c r="J585" s="309"/>
      <c r="K585" s="309"/>
      <c r="L585" s="309"/>
      <c r="M585" s="309"/>
      <c r="N585" s="309"/>
      <c r="O585" s="309"/>
      <c r="P585" s="309"/>
      <c r="Q585" s="309"/>
    </row>
    <row r="586" spans="2:17" x14ac:dyDescent="0.35">
      <c r="B586" s="309"/>
      <c r="C586" s="309"/>
      <c r="D586" s="309"/>
      <c r="E586" s="309"/>
      <c r="F586" s="309"/>
      <c r="G586" s="309"/>
      <c r="H586" s="309"/>
      <c r="I586" s="309"/>
      <c r="J586" s="309"/>
      <c r="K586" s="309"/>
      <c r="L586" s="309"/>
      <c r="M586" s="309"/>
      <c r="N586" s="309"/>
      <c r="O586" s="309"/>
      <c r="P586" s="309"/>
      <c r="Q586" s="309"/>
    </row>
    <row r="587" spans="2:17" x14ac:dyDescent="0.35">
      <c r="B587" s="309"/>
      <c r="C587" s="309"/>
      <c r="D587" s="309"/>
      <c r="E587" s="309"/>
      <c r="F587" s="309"/>
      <c r="G587" s="309"/>
      <c r="H587" s="309"/>
      <c r="I587" s="309"/>
      <c r="J587" s="309"/>
      <c r="K587" s="309"/>
      <c r="L587" s="309"/>
      <c r="M587" s="309"/>
      <c r="N587" s="309"/>
      <c r="O587" s="309"/>
      <c r="P587" s="309"/>
      <c r="Q587" s="309"/>
    </row>
    <row r="588" spans="2:17" x14ac:dyDescent="0.35">
      <c r="B588" s="309"/>
      <c r="C588" s="309"/>
      <c r="D588" s="309"/>
      <c r="E588" s="309"/>
      <c r="F588" s="309"/>
      <c r="G588" s="309"/>
      <c r="H588" s="309"/>
      <c r="I588" s="309"/>
      <c r="J588" s="309"/>
      <c r="K588" s="309"/>
      <c r="L588" s="309"/>
      <c r="M588" s="309"/>
      <c r="N588" s="309"/>
      <c r="O588" s="309"/>
      <c r="P588" s="309"/>
      <c r="Q588" s="309"/>
    </row>
    <row r="589" spans="2:17" x14ac:dyDescent="0.35">
      <c r="B589" s="309"/>
      <c r="C589" s="309"/>
      <c r="D589" s="309"/>
      <c r="E589" s="309"/>
      <c r="F589" s="309"/>
      <c r="G589" s="309"/>
      <c r="H589" s="309"/>
      <c r="I589" s="309"/>
      <c r="J589" s="309"/>
      <c r="K589" s="309"/>
      <c r="L589" s="309"/>
      <c r="M589" s="309"/>
      <c r="N589" s="309"/>
      <c r="O589" s="309"/>
      <c r="P589" s="309"/>
      <c r="Q589" s="309"/>
    </row>
    <row r="590" spans="2:17" x14ac:dyDescent="0.35">
      <c r="B590" s="309"/>
      <c r="C590" s="309"/>
      <c r="D590" s="309"/>
      <c r="E590" s="309"/>
      <c r="F590" s="309"/>
      <c r="G590" s="309"/>
      <c r="H590" s="309"/>
      <c r="I590" s="309"/>
      <c r="J590" s="309"/>
      <c r="K590" s="309"/>
      <c r="L590" s="309"/>
      <c r="M590" s="309"/>
      <c r="N590" s="309"/>
      <c r="O590" s="309"/>
      <c r="P590" s="309"/>
      <c r="Q590" s="309"/>
    </row>
    <row r="591" spans="2:17" x14ac:dyDescent="0.35">
      <c r="B591" s="309"/>
      <c r="C591" s="309"/>
      <c r="D591" s="309"/>
      <c r="E591" s="309"/>
      <c r="F591" s="309"/>
      <c r="G591" s="309"/>
      <c r="H591" s="309"/>
      <c r="I591" s="309"/>
      <c r="J591" s="309"/>
      <c r="K591" s="309"/>
      <c r="L591" s="309"/>
      <c r="M591" s="309"/>
      <c r="N591" s="309"/>
      <c r="O591" s="309"/>
      <c r="P591" s="309"/>
      <c r="Q591" s="309"/>
    </row>
    <row r="592" spans="2:17" x14ac:dyDescent="0.35">
      <c r="B592" s="309"/>
      <c r="C592" s="309"/>
      <c r="D592" s="309"/>
      <c r="E592" s="309"/>
      <c r="F592" s="309"/>
      <c r="G592" s="309"/>
      <c r="H592" s="309"/>
      <c r="I592" s="309"/>
      <c r="J592" s="309"/>
      <c r="K592" s="309"/>
      <c r="L592" s="309"/>
      <c r="M592" s="309"/>
      <c r="N592" s="309"/>
      <c r="O592" s="309"/>
      <c r="P592" s="309"/>
      <c r="Q592" s="309"/>
    </row>
    <row r="593" spans="2:17" x14ac:dyDescent="0.35">
      <c r="B593" s="309"/>
      <c r="C593" s="309"/>
      <c r="D593" s="309"/>
      <c r="E593" s="309"/>
      <c r="F593" s="309"/>
      <c r="G593" s="309"/>
      <c r="H593" s="309"/>
      <c r="I593" s="309"/>
      <c r="J593" s="309"/>
      <c r="K593" s="309"/>
      <c r="L593" s="309"/>
      <c r="M593" s="309"/>
      <c r="N593" s="309"/>
      <c r="O593" s="309"/>
      <c r="P593" s="309"/>
      <c r="Q593" s="309"/>
    </row>
    <row r="594" spans="2:17" x14ac:dyDescent="0.35">
      <c r="B594" s="309"/>
      <c r="C594" s="309"/>
      <c r="D594" s="309"/>
      <c r="E594" s="309"/>
      <c r="F594" s="309"/>
      <c r="G594" s="309"/>
      <c r="H594" s="309"/>
      <c r="I594" s="309"/>
      <c r="J594" s="309"/>
      <c r="K594" s="309"/>
      <c r="L594" s="309"/>
      <c r="M594" s="309"/>
      <c r="N594" s="309"/>
      <c r="O594" s="309"/>
      <c r="P594" s="309"/>
      <c r="Q594" s="309"/>
    </row>
    <row r="595" spans="2:17" x14ac:dyDescent="0.35">
      <c r="B595" s="309"/>
      <c r="C595" s="309"/>
      <c r="D595" s="309"/>
      <c r="E595" s="309"/>
      <c r="F595" s="309"/>
      <c r="G595" s="309"/>
      <c r="H595" s="309"/>
      <c r="I595" s="309"/>
      <c r="J595" s="309"/>
      <c r="K595" s="309"/>
      <c r="L595" s="309"/>
      <c r="M595" s="309"/>
      <c r="N595" s="309"/>
      <c r="O595" s="309"/>
      <c r="P595" s="309"/>
      <c r="Q595" s="309"/>
    </row>
    <row r="596" spans="2:17" x14ac:dyDescent="0.35">
      <c r="B596" s="309"/>
      <c r="C596" s="309"/>
      <c r="D596" s="309"/>
      <c r="E596" s="309"/>
      <c r="F596" s="309"/>
      <c r="G596" s="309"/>
      <c r="H596" s="309"/>
      <c r="I596" s="309"/>
      <c r="J596" s="309"/>
      <c r="K596" s="309"/>
      <c r="L596" s="309"/>
      <c r="M596" s="309"/>
      <c r="N596" s="309"/>
      <c r="O596" s="309"/>
      <c r="P596" s="309"/>
      <c r="Q596" s="309"/>
    </row>
    <row r="597" spans="2:17" x14ac:dyDescent="0.35">
      <c r="B597" s="309"/>
      <c r="C597" s="309"/>
      <c r="D597" s="309"/>
      <c r="E597" s="309"/>
      <c r="F597" s="309"/>
      <c r="G597" s="309"/>
      <c r="H597" s="309"/>
      <c r="I597" s="309"/>
      <c r="J597" s="309"/>
      <c r="K597" s="309"/>
      <c r="L597" s="309"/>
      <c r="M597" s="309"/>
      <c r="N597" s="309"/>
      <c r="O597" s="309"/>
      <c r="P597" s="309"/>
      <c r="Q597" s="309"/>
    </row>
    <row r="598" spans="2:17" x14ac:dyDescent="0.35">
      <c r="B598" s="309"/>
      <c r="C598" s="309"/>
      <c r="D598" s="309"/>
      <c r="E598" s="309"/>
      <c r="F598" s="309"/>
      <c r="G598" s="309"/>
      <c r="H598" s="309"/>
      <c r="I598" s="309"/>
      <c r="J598" s="309"/>
      <c r="K598" s="309"/>
      <c r="L598" s="309"/>
      <c r="M598" s="309"/>
      <c r="N598" s="309"/>
      <c r="O598" s="309"/>
      <c r="P598" s="309"/>
      <c r="Q598" s="309"/>
    </row>
    <row r="599" spans="2:17" x14ac:dyDescent="0.35">
      <c r="B599" s="309"/>
      <c r="C599" s="309"/>
      <c r="D599" s="309"/>
      <c r="E599" s="309"/>
      <c r="F599" s="309"/>
      <c r="G599" s="309"/>
      <c r="H599" s="309"/>
      <c r="I599" s="309"/>
      <c r="J599" s="309"/>
      <c r="K599" s="309"/>
      <c r="L599" s="309"/>
      <c r="M599" s="309"/>
      <c r="N599" s="309"/>
      <c r="O599" s="309"/>
      <c r="P599" s="309"/>
      <c r="Q599" s="309"/>
    </row>
    <row r="600" spans="2:17" x14ac:dyDescent="0.35">
      <c r="B600" s="309"/>
      <c r="C600" s="309"/>
      <c r="D600" s="309"/>
      <c r="E600" s="309"/>
      <c r="F600" s="309"/>
      <c r="G600" s="309"/>
      <c r="H600" s="309"/>
      <c r="I600" s="309"/>
      <c r="J600" s="309"/>
      <c r="K600" s="309"/>
      <c r="L600" s="309"/>
      <c r="M600" s="309"/>
      <c r="N600" s="309"/>
      <c r="O600" s="309"/>
      <c r="P600" s="309"/>
      <c r="Q600" s="309"/>
    </row>
    <row r="601" spans="2:17" x14ac:dyDescent="0.35">
      <c r="B601" s="309"/>
      <c r="C601" s="309"/>
      <c r="D601" s="309"/>
      <c r="E601" s="309"/>
      <c r="F601" s="309"/>
      <c r="G601" s="309"/>
      <c r="H601" s="309"/>
      <c r="I601" s="309"/>
      <c r="J601" s="309"/>
      <c r="K601" s="309"/>
      <c r="L601" s="309"/>
      <c r="M601" s="309"/>
      <c r="N601" s="309"/>
      <c r="O601" s="309"/>
      <c r="P601" s="309"/>
      <c r="Q601" s="309"/>
    </row>
    <row r="602" spans="2:17" x14ac:dyDescent="0.35">
      <c r="B602" s="309"/>
      <c r="C602" s="309"/>
      <c r="D602" s="309"/>
      <c r="E602" s="309"/>
      <c r="F602" s="309"/>
      <c r="G602" s="309"/>
      <c r="H602" s="309"/>
      <c r="I602" s="309"/>
      <c r="J602" s="309"/>
      <c r="K602" s="309"/>
      <c r="L602" s="309"/>
      <c r="M602" s="309"/>
      <c r="N602" s="309"/>
      <c r="O602" s="309"/>
      <c r="P602" s="309"/>
      <c r="Q602" s="309"/>
    </row>
    <row r="603" spans="2:17" x14ac:dyDescent="0.35">
      <c r="B603" s="309"/>
      <c r="C603" s="309"/>
      <c r="D603" s="309"/>
      <c r="E603" s="309"/>
      <c r="F603" s="309"/>
      <c r="G603" s="309"/>
      <c r="H603" s="309"/>
      <c r="I603" s="309"/>
      <c r="J603" s="309"/>
      <c r="K603" s="309"/>
      <c r="L603" s="309"/>
      <c r="M603" s="309"/>
      <c r="N603" s="309"/>
      <c r="O603" s="309"/>
      <c r="P603" s="309"/>
      <c r="Q603" s="309"/>
    </row>
    <row r="604" spans="2:17" x14ac:dyDescent="0.35">
      <c r="B604" s="309"/>
      <c r="C604" s="309"/>
      <c r="D604" s="309"/>
      <c r="E604" s="309"/>
      <c r="F604" s="309"/>
      <c r="G604" s="309"/>
      <c r="H604" s="309"/>
      <c r="I604" s="309"/>
      <c r="J604" s="309"/>
      <c r="K604" s="309"/>
      <c r="L604" s="309"/>
      <c r="M604" s="309"/>
      <c r="N604" s="309"/>
      <c r="O604" s="309"/>
      <c r="P604" s="309"/>
      <c r="Q604" s="309"/>
    </row>
    <row r="605" spans="2:17" x14ac:dyDescent="0.35">
      <c r="B605" s="309"/>
      <c r="C605" s="309"/>
      <c r="D605" s="309"/>
      <c r="E605" s="309"/>
      <c r="F605" s="309"/>
      <c r="G605" s="309"/>
      <c r="H605" s="309"/>
      <c r="I605" s="309"/>
      <c r="J605" s="309"/>
      <c r="K605" s="309"/>
      <c r="L605" s="309"/>
      <c r="M605" s="309"/>
      <c r="N605" s="309"/>
      <c r="O605" s="309"/>
      <c r="P605" s="309"/>
      <c r="Q605" s="309"/>
    </row>
    <row r="606" spans="2:17" x14ac:dyDescent="0.35">
      <c r="B606" s="309"/>
      <c r="C606" s="309"/>
      <c r="D606" s="309"/>
      <c r="E606" s="309"/>
      <c r="F606" s="309"/>
      <c r="G606" s="309"/>
      <c r="H606" s="309"/>
      <c r="I606" s="309"/>
      <c r="J606" s="309"/>
      <c r="K606" s="309"/>
      <c r="L606" s="309"/>
      <c r="M606" s="309"/>
      <c r="N606" s="309"/>
      <c r="O606" s="309"/>
      <c r="P606" s="309"/>
      <c r="Q606" s="309"/>
    </row>
    <row r="607" spans="2:17" x14ac:dyDescent="0.35">
      <c r="B607" s="309"/>
      <c r="C607" s="309"/>
      <c r="D607" s="309"/>
      <c r="E607" s="309"/>
      <c r="F607" s="309"/>
      <c r="G607" s="309"/>
      <c r="H607" s="309"/>
      <c r="I607" s="309"/>
      <c r="J607" s="309"/>
      <c r="K607" s="309"/>
      <c r="L607" s="309"/>
      <c r="M607" s="309"/>
      <c r="N607" s="309"/>
      <c r="O607" s="309"/>
      <c r="P607" s="309"/>
      <c r="Q607" s="309"/>
    </row>
    <row r="608" spans="2:17" x14ac:dyDescent="0.35">
      <c r="B608" s="309"/>
      <c r="C608" s="309"/>
      <c r="D608" s="309"/>
      <c r="E608" s="309"/>
      <c r="F608" s="309"/>
      <c r="G608" s="309"/>
      <c r="H608" s="309"/>
      <c r="I608" s="309"/>
      <c r="J608" s="309"/>
      <c r="K608" s="309"/>
      <c r="L608" s="309"/>
      <c r="M608" s="309"/>
      <c r="N608" s="309"/>
      <c r="O608" s="309"/>
      <c r="P608" s="309"/>
      <c r="Q608" s="309"/>
    </row>
    <row r="609" spans="2:17" x14ac:dyDescent="0.35">
      <c r="B609" s="309"/>
      <c r="C609" s="309"/>
      <c r="D609" s="309"/>
      <c r="E609" s="309"/>
      <c r="F609" s="309"/>
      <c r="G609" s="309"/>
      <c r="H609" s="309"/>
      <c r="I609" s="309"/>
      <c r="J609" s="309"/>
      <c r="K609" s="309"/>
      <c r="L609" s="309"/>
      <c r="M609" s="309"/>
      <c r="N609" s="309"/>
      <c r="O609" s="309"/>
      <c r="P609" s="309"/>
      <c r="Q609" s="309"/>
    </row>
    <row r="610" spans="2:17" x14ac:dyDescent="0.35">
      <c r="B610" s="309"/>
      <c r="C610" s="309"/>
      <c r="D610" s="309"/>
      <c r="E610" s="309"/>
      <c r="F610" s="309"/>
      <c r="G610" s="309"/>
      <c r="H610" s="309"/>
      <c r="I610" s="309"/>
      <c r="J610" s="309"/>
      <c r="K610" s="309"/>
      <c r="L610" s="309"/>
      <c r="M610" s="309"/>
      <c r="N610" s="309"/>
      <c r="O610" s="309"/>
      <c r="P610" s="309"/>
      <c r="Q610" s="309"/>
    </row>
    <row r="611" spans="2:17" x14ac:dyDescent="0.35">
      <c r="B611" s="309"/>
      <c r="C611" s="309"/>
      <c r="D611" s="309"/>
      <c r="E611" s="309"/>
      <c r="F611" s="309"/>
      <c r="G611" s="309"/>
      <c r="H611" s="309"/>
      <c r="I611" s="309"/>
      <c r="J611" s="309"/>
      <c r="K611" s="309"/>
      <c r="L611" s="309"/>
      <c r="M611" s="309"/>
      <c r="N611" s="309"/>
      <c r="O611" s="309"/>
      <c r="P611" s="309"/>
      <c r="Q611" s="309"/>
    </row>
    <row r="612" spans="2:17" x14ac:dyDescent="0.35">
      <c r="B612" s="309"/>
      <c r="C612" s="309"/>
      <c r="D612" s="309"/>
      <c r="E612" s="309"/>
      <c r="F612" s="309"/>
      <c r="G612" s="309"/>
      <c r="H612" s="309"/>
      <c r="I612" s="309"/>
      <c r="J612" s="309"/>
      <c r="K612" s="309"/>
      <c r="L612" s="309"/>
      <c r="M612" s="309"/>
      <c r="N612" s="309"/>
      <c r="O612" s="309"/>
      <c r="P612" s="309"/>
      <c r="Q612" s="309"/>
    </row>
    <row r="613" spans="2:17" x14ac:dyDescent="0.35">
      <c r="B613" s="309"/>
      <c r="C613" s="309"/>
      <c r="D613" s="309"/>
      <c r="E613" s="309"/>
      <c r="F613" s="309"/>
      <c r="G613" s="309"/>
      <c r="H613" s="309"/>
      <c r="I613" s="309"/>
      <c r="J613" s="309"/>
      <c r="K613" s="309"/>
      <c r="L613" s="309"/>
      <c r="M613" s="309"/>
      <c r="N613" s="309"/>
      <c r="O613" s="309"/>
      <c r="P613" s="309"/>
      <c r="Q613" s="309"/>
    </row>
    <row r="614" spans="2:17" x14ac:dyDescent="0.35">
      <c r="B614" s="309"/>
      <c r="C614" s="309"/>
      <c r="D614" s="309"/>
      <c r="E614" s="309"/>
      <c r="F614" s="309"/>
      <c r="G614" s="309"/>
      <c r="H614" s="309"/>
      <c r="I614" s="309"/>
      <c r="J614" s="309"/>
      <c r="K614" s="309"/>
      <c r="L614" s="309"/>
      <c r="M614" s="309"/>
      <c r="N614" s="309"/>
      <c r="O614" s="309"/>
      <c r="P614" s="309"/>
      <c r="Q614" s="309"/>
    </row>
    <row r="615" spans="2:17" x14ac:dyDescent="0.35">
      <c r="B615" s="309"/>
      <c r="C615" s="309"/>
      <c r="D615" s="309"/>
      <c r="E615" s="309"/>
      <c r="F615" s="309"/>
      <c r="G615" s="309"/>
      <c r="H615" s="309"/>
      <c r="I615" s="309"/>
      <c r="J615" s="309"/>
      <c r="K615" s="309"/>
      <c r="L615" s="309"/>
      <c r="M615" s="309"/>
      <c r="N615" s="309"/>
      <c r="O615" s="309"/>
      <c r="P615" s="309"/>
      <c r="Q615" s="309"/>
    </row>
    <row r="616" spans="2:17" x14ac:dyDescent="0.35">
      <c r="B616" s="309"/>
      <c r="C616" s="309"/>
      <c r="D616" s="309"/>
      <c r="E616" s="309"/>
      <c r="F616" s="309"/>
      <c r="G616" s="309"/>
      <c r="H616" s="309"/>
      <c r="I616" s="309"/>
      <c r="J616" s="309"/>
      <c r="K616" s="309"/>
      <c r="L616" s="309"/>
      <c r="M616" s="309"/>
      <c r="N616" s="309"/>
      <c r="O616" s="309"/>
      <c r="P616" s="309"/>
      <c r="Q616" s="309"/>
    </row>
    <row r="617" spans="2:17" x14ac:dyDescent="0.35">
      <c r="B617" s="309"/>
      <c r="C617" s="309"/>
      <c r="D617" s="309"/>
      <c r="E617" s="309"/>
      <c r="F617" s="309"/>
      <c r="G617" s="309"/>
      <c r="H617" s="309"/>
      <c r="I617" s="309"/>
      <c r="J617" s="309"/>
      <c r="K617" s="309"/>
      <c r="L617" s="309"/>
      <c r="M617" s="309"/>
      <c r="N617" s="309"/>
      <c r="O617" s="309"/>
      <c r="P617" s="309"/>
      <c r="Q617" s="309"/>
    </row>
    <row r="618" spans="2:17" x14ac:dyDescent="0.35">
      <c r="B618" s="309"/>
      <c r="C618" s="309"/>
      <c r="D618" s="309"/>
      <c r="E618" s="309"/>
      <c r="F618" s="309"/>
      <c r="G618" s="309"/>
      <c r="H618" s="309"/>
      <c r="I618" s="309"/>
      <c r="J618" s="309"/>
      <c r="K618" s="309"/>
      <c r="L618" s="309"/>
      <c r="M618" s="309"/>
      <c r="N618" s="309"/>
      <c r="O618" s="309"/>
      <c r="P618" s="309"/>
      <c r="Q618" s="309"/>
    </row>
    <row r="619" spans="2:17" x14ac:dyDescent="0.35">
      <c r="B619" s="309"/>
      <c r="C619" s="309"/>
      <c r="D619" s="309"/>
      <c r="E619" s="309"/>
      <c r="F619" s="309"/>
      <c r="G619" s="309"/>
      <c r="H619" s="309"/>
      <c r="I619" s="309"/>
      <c r="J619" s="309"/>
      <c r="K619" s="309"/>
      <c r="L619" s="309"/>
      <c r="M619" s="309"/>
      <c r="N619" s="309"/>
      <c r="O619" s="309"/>
      <c r="P619" s="309"/>
      <c r="Q619" s="309"/>
    </row>
    <row r="620" spans="2:17" x14ac:dyDescent="0.35">
      <c r="B620" s="309"/>
      <c r="C620" s="309"/>
      <c r="D620" s="309"/>
      <c r="E620" s="309"/>
      <c r="F620" s="309"/>
      <c r="G620" s="309"/>
      <c r="H620" s="309"/>
      <c r="I620" s="309"/>
      <c r="J620" s="309"/>
      <c r="K620" s="309"/>
      <c r="L620" s="309"/>
      <c r="M620" s="309"/>
      <c r="N620" s="309"/>
      <c r="O620" s="309"/>
      <c r="P620" s="309"/>
      <c r="Q620" s="309"/>
    </row>
    <row r="621" spans="2:17" x14ac:dyDescent="0.35">
      <c r="B621" s="309"/>
      <c r="C621" s="309"/>
      <c r="D621" s="309"/>
      <c r="E621" s="309"/>
      <c r="F621" s="309"/>
      <c r="G621" s="309"/>
      <c r="H621" s="309"/>
      <c r="I621" s="309"/>
      <c r="J621" s="309"/>
      <c r="K621" s="309"/>
      <c r="L621" s="309"/>
      <c r="M621" s="309"/>
      <c r="N621" s="309"/>
      <c r="O621" s="309"/>
      <c r="P621" s="309"/>
      <c r="Q621" s="309"/>
    </row>
    <row r="622" spans="2:17" x14ac:dyDescent="0.35">
      <c r="B622" s="309"/>
      <c r="C622" s="309"/>
      <c r="D622" s="309"/>
      <c r="E622" s="309"/>
      <c r="F622" s="309"/>
      <c r="G622" s="309"/>
      <c r="H622" s="309"/>
      <c r="I622" s="309"/>
      <c r="J622" s="309"/>
      <c r="K622" s="309"/>
      <c r="L622" s="309"/>
      <c r="M622" s="309"/>
      <c r="N622" s="309"/>
      <c r="O622" s="309"/>
      <c r="P622" s="309"/>
      <c r="Q622" s="309"/>
    </row>
    <row r="623" spans="2:17" x14ac:dyDescent="0.35">
      <c r="B623" s="309"/>
      <c r="C623" s="309"/>
      <c r="D623" s="309"/>
      <c r="E623" s="309"/>
      <c r="F623" s="309"/>
      <c r="G623" s="309"/>
      <c r="H623" s="309"/>
      <c r="I623" s="309"/>
      <c r="J623" s="309"/>
      <c r="K623" s="309"/>
      <c r="L623" s="309"/>
      <c r="M623" s="309"/>
      <c r="N623" s="309"/>
      <c r="O623" s="309"/>
      <c r="P623" s="309"/>
      <c r="Q623" s="309"/>
    </row>
    <row r="624" spans="2:17" x14ac:dyDescent="0.35">
      <c r="B624" s="309"/>
      <c r="C624" s="309"/>
      <c r="D624" s="309"/>
      <c r="E624" s="309"/>
      <c r="F624" s="309"/>
      <c r="G624" s="309"/>
      <c r="H624" s="309"/>
      <c r="I624" s="309"/>
      <c r="J624" s="309"/>
      <c r="K624" s="309"/>
      <c r="L624" s="309"/>
      <c r="M624" s="309"/>
      <c r="N624" s="309"/>
      <c r="O624" s="309"/>
      <c r="P624" s="309"/>
      <c r="Q624" s="309"/>
    </row>
    <row r="625" spans="2:17" x14ac:dyDescent="0.35">
      <c r="B625" s="309"/>
      <c r="C625" s="309"/>
      <c r="D625" s="309"/>
      <c r="E625" s="309"/>
      <c r="F625" s="309"/>
      <c r="G625" s="309"/>
      <c r="H625" s="309"/>
      <c r="I625" s="309"/>
      <c r="J625" s="309"/>
      <c r="K625" s="309"/>
      <c r="L625" s="309"/>
      <c r="M625" s="309"/>
      <c r="N625" s="309"/>
      <c r="O625" s="309"/>
      <c r="P625" s="309"/>
      <c r="Q625" s="309"/>
    </row>
    <row r="626" spans="2:17" x14ac:dyDescent="0.35">
      <c r="B626" s="309"/>
      <c r="C626" s="309"/>
      <c r="D626" s="309"/>
      <c r="E626" s="309"/>
      <c r="F626" s="309"/>
      <c r="G626" s="309"/>
      <c r="H626" s="309"/>
      <c r="I626" s="309"/>
      <c r="J626" s="309"/>
      <c r="K626" s="309"/>
      <c r="L626" s="309"/>
      <c r="M626" s="309"/>
      <c r="N626" s="309"/>
      <c r="O626" s="309"/>
      <c r="P626" s="309"/>
      <c r="Q626" s="309"/>
    </row>
    <row r="627" spans="2:17" x14ac:dyDescent="0.35">
      <c r="B627" s="309"/>
      <c r="C627" s="309"/>
      <c r="D627" s="309"/>
      <c r="E627" s="309"/>
      <c r="F627" s="309"/>
      <c r="G627" s="309"/>
      <c r="H627" s="309"/>
      <c r="I627" s="309"/>
      <c r="J627" s="309"/>
      <c r="K627" s="309"/>
      <c r="L627" s="309"/>
      <c r="M627" s="309"/>
      <c r="N627" s="309"/>
      <c r="O627" s="309"/>
      <c r="P627" s="309"/>
      <c r="Q627" s="309"/>
    </row>
    <row r="628" spans="2:17" x14ac:dyDescent="0.35">
      <c r="B628" s="309"/>
      <c r="C628" s="309"/>
      <c r="D628" s="309"/>
      <c r="E628" s="309"/>
      <c r="F628" s="309"/>
      <c r="G628" s="309"/>
      <c r="H628" s="309"/>
      <c r="I628" s="309"/>
      <c r="J628" s="309"/>
      <c r="K628" s="309"/>
      <c r="L628" s="309"/>
      <c r="M628" s="309"/>
      <c r="N628" s="309"/>
      <c r="O628" s="309"/>
      <c r="P628" s="309"/>
      <c r="Q628" s="309"/>
    </row>
    <row r="629" spans="2:17" x14ac:dyDescent="0.35">
      <c r="B629" s="309"/>
      <c r="C629" s="309"/>
      <c r="D629" s="309"/>
      <c r="E629" s="309"/>
      <c r="F629" s="309"/>
      <c r="G629" s="309"/>
      <c r="H629" s="309"/>
      <c r="I629" s="309"/>
      <c r="J629" s="309"/>
      <c r="K629" s="309"/>
      <c r="L629" s="309"/>
      <c r="M629" s="309"/>
      <c r="N629" s="309"/>
      <c r="O629" s="309"/>
      <c r="P629" s="309"/>
      <c r="Q629" s="309"/>
    </row>
    <row r="630" spans="2:17" x14ac:dyDescent="0.35">
      <c r="B630" s="309"/>
      <c r="C630" s="309"/>
      <c r="D630" s="309"/>
      <c r="E630" s="309"/>
      <c r="F630" s="309"/>
      <c r="G630" s="309"/>
      <c r="H630" s="309"/>
      <c r="I630" s="309"/>
      <c r="J630" s="309"/>
      <c r="K630" s="309"/>
      <c r="L630" s="309"/>
      <c r="M630" s="309"/>
      <c r="N630" s="309"/>
      <c r="O630" s="309"/>
      <c r="P630" s="309"/>
      <c r="Q630" s="309"/>
    </row>
    <row r="631" spans="2:17" x14ac:dyDescent="0.35">
      <c r="B631" s="309"/>
      <c r="C631" s="309"/>
      <c r="D631" s="309"/>
      <c r="E631" s="309"/>
      <c r="F631" s="309"/>
      <c r="G631" s="309"/>
      <c r="H631" s="309"/>
      <c r="I631" s="309"/>
      <c r="J631" s="309"/>
      <c r="K631" s="309"/>
      <c r="L631" s="309"/>
      <c r="M631" s="309"/>
      <c r="N631" s="309"/>
      <c r="O631" s="309"/>
      <c r="P631" s="309"/>
      <c r="Q631" s="309"/>
    </row>
    <row r="632" spans="2:17" x14ac:dyDescent="0.35">
      <c r="B632" s="309"/>
      <c r="C632" s="309"/>
      <c r="D632" s="309"/>
      <c r="E632" s="309"/>
      <c r="F632" s="309"/>
      <c r="G632" s="309"/>
      <c r="H632" s="309"/>
      <c r="I632" s="309"/>
      <c r="J632" s="309"/>
      <c r="K632" s="309"/>
      <c r="L632" s="309"/>
      <c r="M632" s="309"/>
      <c r="N632" s="309"/>
      <c r="O632" s="309"/>
      <c r="P632" s="309"/>
      <c r="Q632" s="309"/>
    </row>
    <row r="633" spans="2:17" x14ac:dyDescent="0.35">
      <c r="B633" s="309"/>
      <c r="C633" s="309"/>
      <c r="D633" s="309"/>
      <c r="E633" s="309"/>
      <c r="F633" s="309"/>
      <c r="G633" s="309"/>
      <c r="H633" s="309"/>
      <c r="I633" s="309"/>
      <c r="J633" s="309"/>
      <c r="K633" s="309"/>
      <c r="L633" s="309"/>
      <c r="M633" s="309"/>
      <c r="N633" s="309"/>
      <c r="O633" s="309"/>
      <c r="P633" s="309"/>
      <c r="Q633" s="309"/>
    </row>
    <row r="634" spans="2:17" x14ac:dyDescent="0.35">
      <c r="B634" s="309"/>
      <c r="C634" s="309"/>
      <c r="D634" s="309"/>
      <c r="E634" s="309"/>
      <c r="F634" s="309"/>
      <c r="G634" s="309"/>
      <c r="H634" s="309"/>
      <c r="I634" s="309"/>
      <c r="J634" s="309"/>
      <c r="K634" s="309"/>
      <c r="L634" s="309"/>
      <c r="M634" s="309"/>
      <c r="N634" s="309"/>
      <c r="O634" s="309"/>
      <c r="P634" s="309"/>
      <c r="Q634" s="309"/>
    </row>
    <row r="635" spans="2:17" x14ac:dyDescent="0.35">
      <c r="B635" s="309"/>
      <c r="C635" s="309"/>
      <c r="D635" s="309"/>
      <c r="E635" s="309"/>
      <c r="F635" s="309"/>
      <c r="G635" s="309"/>
      <c r="H635" s="309"/>
      <c r="I635" s="309"/>
      <c r="J635" s="309"/>
      <c r="K635" s="309"/>
      <c r="L635" s="309"/>
      <c r="M635" s="309"/>
      <c r="N635" s="309"/>
      <c r="O635" s="309"/>
      <c r="P635" s="309"/>
      <c r="Q635" s="309"/>
    </row>
    <row r="636" spans="2:17" x14ac:dyDescent="0.35">
      <c r="B636" s="309"/>
      <c r="C636" s="309"/>
      <c r="D636" s="309"/>
      <c r="E636" s="309"/>
      <c r="F636" s="309"/>
      <c r="G636" s="309"/>
      <c r="H636" s="309"/>
      <c r="I636" s="309"/>
      <c r="J636" s="309"/>
      <c r="K636" s="309"/>
      <c r="L636" s="309"/>
      <c r="M636" s="309"/>
      <c r="N636" s="309"/>
      <c r="O636" s="309"/>
      <c r="P636" s="309"/>
      <c r="Q636" s="309"/>
    </row>
    <row r="637" spans="2:17" x14ac:dyDescent="0.35">
      <c r="B637" s="309"/>
      <c r="C637" s="309"/>
      <c r="D637" s="309"/>
      <c r="E637" s="309"/>
      <c r="F637" s="309"/>
      <c r="G637" s="309"/>
      <c r="H637" s="309"/>
      <c r="I637" s="309"/>
      <c r="J637" s="309"/>
      <c r="K637" s="309"/>
      <c r="L637" s="309"/>
      <c r="M637" s="309"/>
      <c r="N637" s="309"/>
      <c r="O637" s="309"/>
      <c r="P637" s="309"/>
      <c r="Q637" s="309"/>
    </row>
    <row r="638" spans="2:17" x14ac:dyDescent="0.35">
      <c r="B638" s="309"/>
      <c r="C638" s="309"/>
      <c r="D638" s="309"/>
      <c r="E638" s="309"/>
      <c r="F638" s="309"/>
      <c r="G638" s="309"/>
      <c r="H638" s="309"/>
      <c r="I638" s="309"/>
      <c r="J638" s="309"/>
      <c r="K638" s="309"/>
      <c r="L638" s="309"/>
      <c r="M638" s="309"/>
      <c r="N638" s="309"/>
      <c r="O638" s="309"/>
      <c r="P638" s="309"/>
      <c r="Q638" s="309"/>
    </row>
    <row r="639" spans="2:17" x14ac:dyDescent="0.35">
      <c r="B639" s="309"/>
      <c r="C639" s="309"/>
      <c r="D639" s="309"/>
      <c r="E639" s="309"/>
      <c r="F639" s="309"/>
      <c r="G639" s="309"/>
      <c r="H639" s="309"/>
      <c r="I639" s="309"/>
      <c r="J639" s="309"/>
      <c r="K639" s="309"/>
      <c r="L639" s="309"/>
      <c r="M639" s="309"/>
      <c r="N639" s="309"/>
      <c r="O639" s="309"/>
      <c r="P639" s="309"/>
      <c r="Q639" s="309"/>
    </row>
    <row r="640" spans="2:17" x14ac:dyDescent="0.35">
      <c r="B640" s="309"/>
      <c r="C640" s="309"/>
      <c r="D640" s="309"/>
      <c r="E640" s="309"/>
      <c r="F640" s="309"/>
      <c r="G640" s="309"/>
      <c r="H640" s="309"/>
      <c r="I640" s="309"/>
      <c r="J640" s="309"/>
      <c r="K640" s="309"/>
      <c r="L640" s="309"/>
      <c r="M640" s="309"/>
      <c r="N640" s="309"/>
      <c r="O640" s="309"/>
      <c r="P640" s="309"/>
      <c r="Q640" s="309"/>
    </row>
    <row r="641" spans="2:17" x14ac:dyDescent="0.35">
      <c r="B641" s="309"/>
      <c r="C641" s="309"/>
      <c r="D641" s="309"/>
      <c r="E641" s="309"/>
      <c r="F641" s="309"/>
      <c r="G641" s="309"/>
      <c r="H641" s="309"/>
      <c r="I641" s="309"/>
      <c r="J641" s="309"/>
      <c r="K641" s="309"/>
      <c r="L641" s="309"/>
      <c r="M641" s="309"/>
      <c r="N641" s="309"/>
      <c r="O641" s="309"/>
      <c r="P641" s="309"/>
      <c r="Q641" s="309"/>
    </row>
    <row r="642" spans="2:17" x14ac:dyDescent="0.35">
      <c r="B642" s="309"/>
      <c r="C642" s="309"/>
      <c r="D642" s="309"/>
      <c r="E642" s="309"/>
      <c r="F642" s="309"/>
      <c r="G642" s="309"/>
      <c r="H642" s="309"/>
      <c r="I642" s="309"/>
      <c r="J642" s="309"/>
      <c r="K642" s="309"/>
      <c r="L642" s="309"/>
      <c r="M642" s="309"/>
      <c r="N642" s="309"/>
      <c r="O642" s="309"/>
      <c r="P642" s="309"/>
      <c r="Q642" s="309"/>
    </row>
    <row r="643" spans="2:17" x14ac:dyDescent="0.35">
      <c r="B643" s="309"/>
      <c r="C643" s="309"/>
      <c r="D643" s="309"/>
      <c r="E643" s="309"/>
      <c r="F643" s="309"/>
      <c r="G643" s="309"/>
      <c r="H643" s="309"/>
      <c r="I643" s="309"/>
      <c r="J643" s="309"/>
      <c r="K643" s="309"/>
      <c r="L643" s="309"/>
      <c r="M643" s="309"/>
      <c r="N643" s="309"/>
      <c r="O643" s="309"/>
      <c r="P643" s="309"/>
      <c r="Q643" s="309"/>
    </row>
    <row r="644" spans="2:17" x14ac:dyDescent="0.35">
      <c r="B644" s="309"/>
      <c r="C644" s="309"/>
      <c r="D644" s="309"/>
      <c r="E644" s="309"/>
      <c r="F644" s="309"/>
      <c r="G644" s="309"/>
      <c r="H644" s="309"/>
      <c r="I644" s="309"/>
      <c r="J644" s="309"/>
      <c r="K644" s="309"/>
      <c r="L644" s="309"/>
      <c r="M644" s="309"/>
      <c r="N644" s="309"/>
      <c r="O644" s="309"/>
      <c r="P644" s="309"/>
      <c r="Q644" s="309"/>
    </row>
    <row r="645" spans="2:17" x14ac:dyDescent="0.35">
      <c r="B645" s="309"/>
      <c r="C645" s="309"/>
      <c r="D645" s="309"/>
      <c r="E645" s="309"/>
      <c r="F645" s="309"/>
      <c r="G645" s="309"/>
      <c r="H645" s="309"/>
      <c r="I645" s="309"/>
      <c r="J645" s="309"/>
      <c r="K645" s="309"/>
      <c r="L645" s="309"/>
      <c r="M645" s="309"/>
      <c r="N645" s="309"/>
      <c r="O645" s="309"/>
      <c r="P645" s="309"/>
      <c r="Q645" s="309"/>
    </row>
    <row r="646" spans="2:17" x14ac:dyDescent="0.35">
      <c r="B646" s="309"/>
      <c r="C646" s="309"/>
      <c r="D646" s="309"/>
      <c r="E646" s="309"/>
      <c r="F646" s="309"/>
      <c r="G646" s="309"/>
      <c r="H646" s="309"/>
      <c r="I646" s="309"/>
      <c r="J646" s="309"/>
      <c r="K646" s="309"/>
      <c r="L646" s="309"/>
      <c r="M646" s="309"/>
      <c r="N646" s="309"/>
      <c r="O646" s="309"/>
      <c r="P646" s="309"/>
      <c r="Q646" s="309"/>
    </row>
    <row r="647" spans="2:17" x14ac:dyDescent="0.35">
      <c r="B647" s="309"/>
      <c r="C647" s="309"/>
      <c r="D647" s="309"/>
      <c r="E647" s="309"/>
      <c r="F647" s="309"/>
      <c r="G647" s="309"/>
      <c r="H647" s="309"/>
      <c r="I647" s="309"/>
      <c r="J647" s="309"/>
      <c r="K647" s="309"/>
      <c r="L647" s="309"/>
      <c r="M647" s="309"/>
      <c r="N647" s="309"/>
      <c r="O647" s="309"/>
      <c r="P647" s="309"/>
      <c r="Q647" s="309"/>
    </row>
    <row r="648" spans="2:17" x14ac:dyDescent="0.35">
      <c r="B648" s="309"/>
      <c r="C648" s="309"/>
      <c r="D648" s="309"/>
      <c r="E648" s="309"/>
      <c r="F648" s="309"/>
      <c r="G648" s="309"/>
      <c r="H648" s="309"/>
      <c r="I648" s="309"/>
      <c r="J648" s="309"/>
      <c r="K648" s="309"/>
      <c r="L648" s="309"/>
      <c r="M648" s="309"/>
      <c r="N648" s="309"/>
      <c r="O648" s="309"/>
      <c r="P648" s="309"/>
      <c r="Q648" s="309"/>
    </row>
    <row r="649" spans="2:17" x14ac:dyDescent="0.35">
      <c r="B649" s="309"/>
      <c r="C649" s="309"/>
      <c r="D649" s="309"/>
      <c r="E649" s="309"/>
      <c r="F649" s="309"/>
      <c r="G649" s="309"/>
      <c r="H649" s="309"/>
      <c r="I649" s="309"/>
      <c r="J649" s="309"/>
      <c r="K649" s="309"/>
      <c r="L649" s="309"/>
      <c r="M649" s="309"/>
      <c r="N649" s="309"/>
      <c r="O649" s="309"/>
      <c r="P649" s="309"/>
      <c r="Q649" s="309"/>
    </row>
    <row r="650" spans="2:17" x14ac:dyDescent="0.35">
      <c r="B650" s="309"/>
      <c r="C650" s="309"/>
      <c r="D650" s="309"/>
      <c r="E650" s="309"/>
      <c r="F650" s="309"/>
      <c r="G650" s="309"/>
      <c r="H650" s="309"/>
      <c r="I650" s="309"/>
      <c r="J650" s="309"/>
      <c r="K650" s="309"/>
      <c r="L650" s="309"/>
      <c r="M650" s="309"/>
      <c r="N650" s="309"/>
      <c r="O650" s="309"/>
      <c r="P650" s="309"/>
      <c r="Q650" s="309"/>
    </row>
    <row r="651" spans="2:17" x14ac:dyDescent="0.35">
      <c r="B651" s="309"/>
      <c r="C651" s="309"/>
      <c r="D651" s="309"/>
      <c r="E651" s="309"/>
      <c r="F651" s="309"/>
      <c r="G651" s="309"/>
      <c r="H651" s="309"/>
      <c r="I651" s="309"/>
      <c r="J651" s="309"/>
      <c r="K651" s="309"/>
      <c r="L651" s="309"/>
      <c r="M651" s="309"/>
      <c r="N651" s="309"/>
      <c r="O651" s="309"/>
      <c r="P651" s="309"/>
      <c r="Q651" s="309"/>
    </row>
    <row r="652" spans="2:17" x14ac:dyDescent="0.35">
      <c r="B652" s="309"/>
      <c r="C652" s="309"/>
      <c r="D652" s="309"/>
      <c r="E652" s="309"/>
      <c r="F652" s="309"/>
      <c r="G652" s="309"/>
      <c r="H652" s="309"/>
      <c r="I652" s="309"/>
      <c r="J652" s="309"/>
      <c r="K652" s="309"/>
      <c r="L652" s="309"/>
      <c r="M652" s="309"/>
      <c r="N652" s="309"/>
      <c r="O652" s="309"/>
      <c r="P652" s="309"/>
      <c r="Q652" s="309"/>
    </row>
    <row r="653" spans="2:17" x14ac:dyDescent="0.35">
      <c r="B653" s="309"/>
      <c r="C653" s="309"/>
      <c r="D653" s="309"/>
      <c r="E653" s="309"/>
      <c r="F653" s="309"/>
      <c r="G653" s="309"/>
      <c r="H653" s="309"/>
      <c r="I653" s="309"/>
      <c r="J653" s="309"/>
      <c r="K653" s="309"/>
      <c r="L653" s="309"/>
      <c r="M653" s="309"/>
      <c r="N653" s="309"/>
      <c r="O653" s="309"/>
      <c r="P653" s="309"/>
      <c r="Q653" s="309"/>
    </row>
    <row r="654" spans="2:17" x14ac:dyDescent="0.35">
      <c r="B654" s="309"/>
      <c r="C654" s="309"/>
      <c r="D654" s="309"/>
      <c r="E654" s="309"/>
      <c r="F654" s="309"/>
      <c r="G654" s="309"/>
      <c r="H654" s="309"/>
      <c r="I654" s="309"/>
      <c r="J654" s="309"/>
      <c r="K654" s="309"/>
      <c r="L654" s="309"/>
      <c r="M654" s="309"/>
      <c r="N654" s="309"/>
      <c r="O654" s="309"/>
      <c r="P654" s="309"/>
      <c r="Q654" s="309"/>
    </row>
    <row r="655" spans="2:17" x14ac:dyDescent="0.35">
      <c r="B655" s="309"/>
      <c r="C655" s="309"/>
      <c r="D655" s="309"/>
      <c r="E655" s="309"/>
      <c r="F655" s="309"/>
      <c r="G655" s="309"/>
      <c r="H655" s="309"/>
      <c r="I655" s="309"/>
      <c r="J655" s="309"/>
      <c r="K655" s="309"/>
      <c r="L655" s="309"/>
      <c r="M655" s="309"/>
      <c r="N655" s="309"/>
      <c r="O655" s="309"/>
      <c r="P655" s="309"/>
      <c r="Q655" s="309"/>
    </row>
    <row r="656" spans="2:17" x14ac:dyDescent="0.35">
      <c r="B656" s="309"/>
      <c r="C656" s="309"/>
      <c r="D656" s="309"/>
      <c r="E656" s="309"/>
      <c r="F656" s="309"/>
      <c r="G656" s="309"/>
      <c r="H656" s="309"/>
      <c r="I656" s="309"/>
      <c r="J656" s="309"/>
      <c r="K656" s="309"/>
      <c r="L656" s="309"/>
      <c r="M656" s="309"/>
      <c r="N656" s="309"/>
      <c r="O656" s="309"/>
      <c r="P656" s="309"/>
      <c r="Q656" s="309"/>
    </row>
    <row r="657" spans="2:17" x14ac:dyDescent="0.35">
      <c r="B657" s="309"/>
      <c r="C657" s="309"/>
      <c r="D657" s="309"/>
      <c r="E657" s="309"/>
      <c r="F657" s="309"/>
      <c r="G657" s="309"/>
      <c r="H657" s="309"/>
      <c r="I657" s="309"/>
      <c r="J657" s="309"/>
      <c r="K657" s="309"/>
      <c r="L657" s="309"/>
      <c r="M657" s="309"/>
      <c r="N657" s="309"/>
      <c r="O657" s="309"/>
      <c r="P657" s="309"/>
      <c r="Q657" s="309"/>
    </row>
    <row r="658" spans="2:17" x14ac:dyDescent="0.35">
      <c r="B658" s="309"/>
      <c r="C658" s="309"/>
      <c r="D658" s="309"/>
      <c r="E658" s="309"/>
      <c r="F658" s="309"/>
      <c r="G658" s="309"/>
      <c r="H658" s="309"/>
      <c r="I658" s="309"/>
      <c r="J658" s="309"/>
      <c r="K658" s="309"/>
      <c r="L658" s="309"/>
      <c r="M658" s="309"/>
      <c r="N658" s="309"/>
      <c r="O658" s="309"/>
      <c r="P658" s="309"/>
      <c r="Q658" s="309"/>
    </row>
    <row r="659" spans="2:17" x14ac:dyDescent="0.35">
      <c r="B659" s="309"/>
      <c r="C659" s="309"/>
      <c r="D659" s="309"/>
      <c r="E659" s="309"/>
      <c r="F659" s="309"/>
      <c r="G659" s="309"/>
      <c r="H659" s="309"/>
      <c r="I659" s="309"/>
      <c r="J659" s="309"/>
      <c r="K659" s="309"/>
      <c r="L659" s="309"/>
      <c r="M659" s="309"/>
      <c r="N659" s="309"/>
      <c r="O659" s="309"/>
      <c r="P659" s="309"/>
      <c r="Q659" s="309"/>
    </row>
    <row r="660" spans="2:17" x14ac:dyDescent="0.35">
      <c r="B660" s="309"/>
      <c r="C660" s="309"/>
      <c r="D660" s="309"/>
      <c r="E660" s="309"/>
      <c r="F660" s="309"/>
      <c r="G660" s="309"/>
      <c r="H660" s="309"/>
      <c r="I660" s="309"/>
      <c r="J660" s="309"/>
      <c r="K660" s="309"/>
      <c r="L660" s="309"/>
      <c r="M660" s="309"/>
      <c r="N660" s="309"/>
      <c r="O660" s="309"/>
      <c r="P660" s="309"/>
      <c r="Q660" s="309"/>
    </row>
    <row r="661" spans="2:17" x14ac:dyDescent="0.35">
      <c r="B661" s="309"/>
      <c r="C661" s="309"/>
      <c r="D661" s="309"/>
      <c r="E661" s="309"/>
      <c r="F661" s="309"/>
      <c r="G661" s="309"/>
      <c r="H661" s="309"/>
      <c r="I661" s="309"/>
      <c r="J661" s="309"/>
      <c r="K661" s="309"/>
      <c r="L661" s="309"/>
      <c r="M661" s="309"/>
      <c r="N661" s="309"/>
      <c r="O661" s="309"/>
      <c r="P661" s="309"/>
      <c r="Q661" s="309"/>
    </row>
    <row r="662" spans="2:17" x14ac:dyDescent="0.35">
      <c r="B662" s="309"/>
      <c r="C662" s="309"/>
      <c r="D662" s="309"/>
      <c r="E662" s="309"/>
      <c r="F662" s="309"/>
      <c r="G662" s="309"/>
      <c r="H662" s="309"/>
      <c r="I662" s="309"/>
      <c r="J662" s="309"/>
      <c r="K662" s="309"/>
      <c r="L662" s="309"/>
      <c r="M662" s="309"/>
      <c r="N662" s="309"/>
      <c r="O662" s="309"/>
      <c r="P662" s="309"/>
      <c r="Q662" s="309"/>
    </row>
    <row r="663" spans="2:17" x14ac:dyDescent="0.35">
      <c r="B663" s="309"/>
      <c r="C663" s="309"/>
      <c r="D663" s="309"/>
      <c r="E663" s="309"/>
      <c r="F663" s="309"/>
      <c r="G663" s="309"/>
      <c r="H663" s="309"/>
      <c r="I663" s="309"/>
      <c r="J663" s="309"/>
      <c r="K663" s="309"/>
      <c r="L663" s="309"/>
      <c r="M663" s="309"/>
      <c r="N663" s="309"/>
      <c r="O663" s="309"/>
      <c r="P663" s="309"/>
      <c r="Q663" s="309"/>
    </row>
    <row r="664" spans="2:17" x14ac:dyDescent="0.35">
      <c r="B664" s="309"/>
      <c r="C664" s="309"/>
      <c r="D664" s="309"/>
      <c r="E664" s="309"/>
      <c r="F664" s="309"/>
      <c r="G664" s="309"/>
      <c r="H664" s="309"/>
      <c r="I664" s="309"/>
      <c r="J664" s="309"/>
      <c r="K664" s="309"/>
      <c r="L664" s="309"/>
      <c r="M664" s="309"/>
      <c r="N664" s="309"/>
      <c r="O664" s="309"/>
      <c r="P664" s="309"/>
      <c r="Q664" s="309"/>
    </row>
    <row r="665" spans="2:17" x14ac:dyDescent="0.35">
      <c r="B665" s="309"/>
      <c r="C665" s="309"/>
      <c r="D665" s="309"/>
      <c r="E665" s="309"/>
      <c r="F665" s="309"/>
      <c r="G665" s="309"/>
      <c r="H665" s="309"/>
      <c r="I665" s="309"/>
      <c r="J665" s="309"/>
      <c r="K665" s="309"/>
      <c r="L665" s="309"/>
      <c r="M665" s="309"/>
      <c r="N665" s="309"/>
      <c r="O665" s="309"/>
      <c r="P665" s="309"/>
      <c r="Q665" s="309"/>
    </row>
    <row r="666" spans="2:17" x14ac:dyDescent="0.35">
      <c r="B666" s="309"/>
      <c r="C666" s="309"/>
      <c r="D666" s="309"/>
      <c r="E666" s="309"/>
      <c r="F666" s="309"/>
      <c r="G666" s="309"/>
      <c r="H666" s="309"/>
      <c r="I666" s="309"/>
      <c r="J666" s="309"/>
      <c r="K666" s="309"/>
      <c r="L666" s="309"/>
      <c r="M666" s="309"/>
      <c r="N666" s="309"/>
      <c r="O666" s="309"/>
      <c r="P666" s="309"/>
      <c r="Q666" s="309"/>
    </row>
    <row r="667" spans="2:17" x14ac:dyDescent="0.35">
      <c r="B667" s="309"/>
      <c r="C667" s="309"/>
      <c r="D667" s="309"/>
      <c r="E667" s="309"/>
      <c r="F667" s="309"/>
      <c r="G667" s="309"/>
      <c r="H667" s="309"/>
      <c r="I667" s="309"/>
      <c r="J667" s="309"/>
      <c r="K667" s="309"/>
      <c r="L667" s="309"/>
      <c r="M667" s="309"/>
      <c r="N667" s="309"/>
      <c r="O667" s="309"/>
      <c r="P667" s="309"/>
      <c r="Q667" s="309"/>
    </row>
    <row r="668" spans="2:17" x14ac:dyDescent="0.35">
      <c r="B668" s="309"/>
      <c r="C668" s="309"/>
      <c r="D668" s="309"/>
      <c r="E668" s="309"/>
      <c r="F668" s="309"/>
      <c r="G668" s="309"/>
      <c r="H668" s="309"/>
      <c r="I668" s="309"/>
      <c r="J668" s="309"/>
      <c r="K668" s="309"/>
      <c r="L668" s="309"/>
      <c r="M668" s="309"/>
      <c r="N668" s="309"/>
      <c r="O668" s="309"/>
      <c r="P668" s="309"/>
      <c r="Q668" s="309"/>
    </row>
    <row r="669" spans="2:17" x14ac:dyDescent="0.35">
      <c r="B669" s="309"/>
      <c r="C669" s="309"/>
      <c r="D669" s="309"/>
      <c r="E669" s="309"/>
      <c r="F669" s="309"/>
      <c r="G669" s="309"/>
      <c r="H669" s="309"/>
      <c r="I669" s="309"/>
      <c r="J669" s="309"/>
      <c r="K669" s="309"/>
      <c r="L669" s="309"/>
      <c r="M669" s="309"/>
      <c r="N669" s="309"/>
      <c r="O669" s="309"/>
      <c r="P669" s="309"/>
      <c r="Q669" s="309"/>
    </row>
    <row r="670" spans="2:17" x14ac:dyDescent="0.35">
      <c r="B670" s="309"/>
      <c r="C670" s="309"/>
      <c r="D670" s="309"/>
      <c r="E670" s="309"/>
      <c r="F670" s="309"/>
      <c r="G670" s="309"/>
      <c r="H670" s="309"/>
      <c r="I670" s="309"/>
      <c r="J670" s="309"/>
      <c r="K670" s="309"/>
      <c r="L670" s="309"/>
      <c r="M670" s="309"/>
      <c r="N670" s="309"/>
      <c r="O670" s="309"/>
      <c r="P670" s="309"/>
      <c r="Q670" s="309"/>
    </row>
    <row r="671" spans="2:17" x14ac:dyDescent="0.35">
      <c r="B671" s="309"/>
      <c r="C671" s="309"/>
      <c r="D671" s="309"/>
      <c r="E671" s="309"/>
      <c r="F671" s="309"/>
      <c r="G671" s="309"/>
      <c r="H671" s="309"/>
      <c r="I671" s="309"/>
      <c r="J671" s="309"/>
      <c r="K671" s="309"/>
      <c r="L671" s="309"/>
      <c r="M671" s="309"/>
      <c r="N671" s="309"/>
      <c r="O671" s="309"/>
      <c r="P671" s="309"/>
      <c r="Q671" s="309"/>
    </row>
    <row r="672" spans="2:17" x14ac:dyDescent="0.35">
      <c r="B672" s="309"/>
      <c r="C672" s="309"/>
      <c r="D672" s="309"/>
      <c r="E672" s="309"/>
      <c r="F672" s="309"/>
      <c r="G672" s="309"/>
      <c r="H672" s="309"/>
      <c r="I672" s="309"/>
      <c r="J672" s="309"/>
      <c r="K672" s="309"/>
      <c r="L672" s="309"/>
      <c r="M672" s="309"/>
      <c r="N672" s="309"/>
      <c r="O672" s="309"/>
      <c r="P672" s="309"/>
      <c r="Q672" s="309"/>
    </row>
    <row r="673" spans="2:17" x14ac:dyDescent="0.35">
      <c r="B673" s="309"/>
      <c r="C673" s="309"/>
      <c r="D673" s="309"/>
      <c r="E673" s="309"/>
      <c r="F673" s="309"/>
      <c r="G673" s="309"/>
      <c r="H673" s="309"/>
      <c r="I673" s="309"/>
      <c r="J673" s="309"/>
      <c r="K673" s="309"/>
      <c r="L673" s="309"/>
      <c r="M673" s="309"/>
      <c r="N673" s="309"/>
      <c r="O673" s="309"/>
      <c r="P673" s="309"/>
      <c r="Q673" s="309"/>
    </row>
    <row r="674" spans="2:17" x14ac:dyDescent="0.35">
      <c r="B674" s="309"/>
      <c r="C674" s="309"/>
      <c r="D674" s="309"/>
      <c r="E674" s="309"/>
      <c r="F674" s="309"/>
      <c r="G674" s="309"/>
      <c r="H674" s="309"/>
      <c r="I674" s="309"/>
      <c r="J674" s="309"/>
      <c r="K674" s="309"/>
      <c r="L674" s="309"/>
      <c r="M674" s="309"/>
      <c r="N674" s="309"/>
      <c r="O674" s="309"/>
      <c r="P674" s="309"/>
      <c r="Q674" s="309"/>
    </row>
    <row r="675" spans="2:17" x14ac:dyDescent="0.35">
      <c r="B675" s="309"/>
      <c r="C675" s="309"/>
      <c r="D675" s="309"/>
      <c r="E675" s="309"/>
      <c r="F675" s="309"/>
      <c r="G675" s="309"/>
      <c r="H675" s="309"/>
      <c r="I675" s="309"/>
      <c r="J675" s="309"/>
      <c r="K675" s="309"/>
      <c r="L675" s="309"/>
      <c r="M675" s="309"/>
      <c r="N675" s="309"/>
      <c r="O675" s="309"/>
      <c r="P675" s="309"/>
      <c r="Q675" s="309"/>
    </row>
    <row r="676" spans="2:17" x14ac:dyDescent="0.35">
      <c r="B676" s="309"/>
      <c r="C676" s="309"/>
      <c r="D676" s="309"/>
      <c r="E676" s="309"/>
      <c r="F676" s="309"/>
      <c r="G676" s="309"/>
      <c r="H676" s="309"/>
      <c r="I676" s="309"/>
      <c r="J676" s="309"/>
      <c r="K676" s="309"/>
      <c r="L676" s="309"/>
      <c r="M676" s="309"/>
      <c r="N676" s="309"/>
      <c r="O676" s="309"/>
      <c r="P676" s="309"/>
      <c r="Q676" s="309"/>
    </row>
    <row r="677" spans="2:17" x14ac:dyDescent="0.35">
      <c r="B677" s="309"/>
      <c r="C677" s="309"/>
      <c r="D677" s="309"/>
      <c r="E677" s="309"/>
      <c r="F677" s="309"/>
      <c r="G677" s="309"/>
      <c r="H677" s="309"/>
      <c r="I677" s="309"/>
      <c r="J677" s="309"/>
      <c r="K677" s="309"/>
      <c r="L677" s="309"/>
      <c r="M677" s="309"/>
      <c r="N677" s="309"/>
      <c r="O677" s="309"/>
      <c r="P677" s="309"/>
      <c r="Q677" s="309"/>
    </row>
    <row r="678" spans="2:17" x14ac:dyDescent="0.35">
      <c r="B678" s="309"/>
      <c r="C678" s="309"/>
      <c r="D678" s="309"/>
      <c r="E678" s="309"/>
      <c r="F678" s="309"/>
      <c r="G678" s="309"/>
      <c r="H678" s="309"/>
      <c r="I678" s="309"/>
      <c r="J678" s="309"/>
      <c r="K678" s="309"/>
      <c r="L678" s="309"/>
      <c r="M678" s="309"/>
      <c r="N678" s="309"/>
      <c r="O678" s="309"/>
      <c r="P678" s="309"/>
      <c r="Q678" s="309"/>
    </row>
    <row r="679" spans="2:17" x14ac:dyDescent="0.35">
      <c r="B679" s="309"/>
      <c r="C679" s="309"/>
      <c r="D679" s="309"/>
      <c r="E679" s="309"/>
      <c r="F679" s="309"/>
      <c r="G679" s="309"/>
      <c r="H679" s="309"/>
      <c r="I679" s="309"/>
      <c r="J679" s="309"/>
      <c r="K679" s="309"/>
      <c r="L679" s="309"/>
      <c r="M679" s="309"/>
      <c r="N679" s="309"/>
      <c r="O679" s="309"/>
      <c r="P679" s="309"/>
      <c r="Q679" s="309"/>
    </row>
    <row r="680" spans="2:17" x14ac:dyDescent="0.35">
      <c r="B680" s="309"/>
      <c r="C680" s="309"/>
      <c r="D680" s="309"/>
      <c r="E680" s="309"/>
      <c r="F680" s="309"/>
      <c r="G680" s="309"/>
      <c r="H680" s="309"/>
      <c r="I680" s="309"/>
      <c r="J680" s="309"/>
      <c r="K680" s="309"/>
      <c r="L680" s="309"/>
      <c r="M680" s="309"/>
      <c r="N680" s="309"/>
      <c r="O680" s="309"/>
      <c r="P680" s="309"/>
      <c r="Q680" s="309"/>
    </row>
    <row r="681" spans="2:17" x14ac:dyDescent="0.35">
      <c r="B681" s="309"/>
      <c r="C681" s="309"/>
      <c r="D681" s="309"/>
      <c r="E681" s="309"/>
      <c r="F681" s="309"/>
      <c r="G681" s="309"/>
      <c r="H681" s="309"/>
      <c r="I681" s="309"/>
      <c r="J681" s="309"/>
      <c r="K681" s="309"/>
      <c r="L681" s="309"/>
      <c r="M681" s="309"/>
      <c r="N681" s="309"/>
      <c r="O681" s="309"/>
      <c r="P681" s="309"/>
      <c r="Q681" s="309"/>
    </row>
    <row r="682" spans="2:17" x14ac:dyDescent="0.35">
      <c r="B682" s="309"/>
      <c r="C682" s="309"/>
      <c r="D682" s="309"/>
      <c r="E682" s="309"/>
      <c r="F682" s="309"/>
      <c r="G682" s="309"/>
      <c r="H682" s="309"/>
      <c r="I682" s="309"/>
      <c r="J682" s="309"/>
      <c r="K682" s="309"/>
      <c r="L682" s="309"/>
      <c r="M682" s="309"/>
      <c r="N682" s="309"/>
      <c r="O682" s="309"/>
      <c r="P682" s="309"/>
      <c r="Q682" s="309"/>
    </row>
    <row r="683" spans="2:17" x14ac:dyDescent="0.35">
      <c r="B683" s="309"/>
      <c r="C683" s="309"/>
      <c r="D683" s="309"/>
      <c r="E683" s="309"/>
      <c r="F683" s="309"/>
      <c r="G683" s="309"/>
      <c r="H683" s="309"/>
      <c r="I683" s="309"/>
      <c r="J683" s="309"/>
      <c r="K683" s="309"/>
      <c r="L683" s="309"/>
      <c r="M683" s="309"/>
      <c r="N683" s="309"/>
      <c r="O683" s="309"/>
      <c r="P683" s="309"/>
      <c r="Q683" s="309"/>
    </row>
    <row r="684" spans="2:17" x14ac:dyDescent="0.35">
      <c r="B684" s="309"/>
      <c r="C684" s="309"/>
      <c r="D684" s="309"/>
      <c r="E684" s="309"/>
      <c r="F684" s="309"/>
      <c r="G684" s="309"/>
      <c r="H684" s="309"/>
      <c r="I684" s="309"/>
      <c r="J684" s="309"/>
      <c r="K684" s="309"/>
      <c r="L684" s="309"/>
      <c r="M684" s="309"/>
      <c r="N684" s="309"/>
      <c r="O684" s="309"/>
      <c r="P684" s="309"/>
      <c r="Q684" s="309"/>
    </row>
    <row r="685" spans="2:17" x14ac:dyDescent="0.35">
      <c r="B685" s="309"/>
      <c r="C685" s="309"/>
      <c r="D685" s="309"/>
      <c r="E685" s="309"/>
      <c r="F685" s="309"/>
      <c r="G685" s="309"/>
      <c r="H685" s="309"/>
      <c r="I685" s="309"/>
      <c r="J685" s="309"/>
      <c r="K685" s="309"/>
      <c r="L685" s="309"/>
      <c r="M685" s="309"/>
      <c r="N685" s="309"/>
      <c r="O685" s="309"/>
      <c r="P685" s="309"/>
      <c r="Q685" s="309"/>
    </row>
    <row r="686" spans="2:17" x14ac:dyDescent="0.35">
      <c r="B686" s="309"/>
      <c r="C686" s="309"/>
      <c r="D686" s="309"/>
      <c r="E686" s="309"/>
      <c r="F686" s="309"/>
      <c r="G686" s="309"/>
      <c r="H686" s="309"/>
      <c r="I686" s="309"/>
      <c r="J686" s="309"/>
      <c r="K686" s="309"/>
      <c r="L686" s="309"/>
      <c r="M686" s="309"/>
      <c r="N686" s="309"/>
      <c r="O686" s="309"/>
      <c r="P686" s="309"/>
      <c r="Q686" s="309"/>
    </row>
    <row r="687" spans="2:17" x14ac:dyDescent="0.35">
      <c r="B687" s="309"/>
      <c r="C687" s="309"/>
      <c r="D687" s="309"/>
      <c r="E687" s="309"/>
      <c r="F687" s="309"/>
      <c r="G687" s="309"/>
      <c r="H687" s="309"/>
      <c r="I687" s="309"/>
      <c r="J687" s="309"/>
      <c r="K687" s="309"/>
      <c r="L687" s="309"/>
      <c r="M687" s="309"/>
      <c r="N687" s="309"/>
      <c r="O687" s="309"/>
      <c r="P687" s="309"/>
      <c r="Q687" s="309"/>
    </row>
    <row r="688" spans="2:17" x14ac:dyDescent="0.35">
      <c r="B688" s="309"/>
      <c r="C688" s="309"/>
      <c r="D688" s="309"/>
      <c r="E688" s="309"/>
      <c r="F688" s="309"/>
      <c r="G688" s="309"/>
      <c r="H688" s="309"/>
      <c r="I688" s="309"/>
      <c r="J688" s="309"/>
      <c r="K688" s="309"/>
      <c r="L688" s="309"/>
      <c r="M688" s="309"/>
      <c r="N688" s="309"/>
      <c r="O688" s="309"/>
      <c r="P688" s="309"/>
      <c r="Q688" s="309"/>
    </row>
    <row r="689" spans="2:17" x14ac:dyDescent="0.35">
      <c r="B689" s="309"/>
      <c r="C689" s="309"/>
      <c r="D689" s="309"/>
      <c r="E689" s="309"/>
      <c r="F689" s="309"/>
      <c r="G689" s="309"/>
      <c r="H689" s="309"/>
      <c r="I689" s="309"/>
      <c r="J689" s="309"/>
      <c r="K689" s="309"/>
      <c r="L689" s="309"/>
      <c r="M689" s="309"/>
      <c r="N689" s="309"/>
      <c r="O689" s="309"/>
      <c r="P689" s="309"/>
      <c r="Q689" s="309"/>
    </row>
    <row r="690" spans="2:17" x14ac:dyDescent="0.35">
      <c r="B690" s="309"/>
      <c r="C690" s="309"/>
      <c r="D690" s="309"/>
      <c r="E690" s="309"/>
      <c r="F690" s="309"/>
      <c r="G690" s="309"/>
      <c r="H690" s="309"/>
      <c r="I690" s="309"/>
      <c r="J690" s="309"/>
      <c r="K690" s="309"/>
      <c r="L690" s="309"/>
      <c r="M690" s="309"/>
      <c r="N690" s="309"/>
      <c r="O690" s="309"/>
      <c r="P690" s="309"/>
      <c r="Q690" s="309"/>
    </row>
    <row r="691" spans="2:17" x14ac:dyDescent="0.35">
      <c r="B691" s="309"/>
      <c r="C691" s="309"/>
      <c r="D691" s="309"/>
      <c r="E691" s="309"/>
      <c r="F691" s="309"/>
      <c r="G691" s="309"/>
      <c r="H691" s="309"/>
      <c r="I691" s="309"/>
      <c r="J691" s="309"/>
      <c r="K691" s="309"/>
      <c r="L691" s="309"/>
      <c r="M691" s="309"/>
      <c r="N691" s="309"/>
      <c r="O691" s="309"/>
      <c r="P691" s="309"/>
      <c r="Q691" s="309"/>
    </row>
    <row r="692" spans="2:17" x14ac:dyDescent="0.35">
      <c r="B692" s="309"/>
      <c r="C692" s="309"/>
      <c r="D692" s="309"/>
      <c r="E692" s="309"/>
      <c r="F692" s="309"/>
      <c r="G692" s="309"/>
      <c r="H692" s="309"/>
      <c r="I692" s="309"/>
      <c r="J692" s="309"/>
      <c r="K692" s="309"/>
      <c r="L692" s="309"/>
      <c r="M692" s="309"/>
      <c r="N692" s="309"/>
      <c r="O692" s="309"/>
      <c r="P692" s="309"/>
      <c r="Q692" s="309"/>
    </row>
    <row r="693" spans="2:17" x14ac:dyDescent="0.35">
      <c r="B693" s="309"/>
      <c r="C693" s="309"/>
      <c r="D693" s="309"/>
      <c r="E693" s="309"/>
      <c r="F693" s="309"/>
      <c r="G693" s="309"/>
      <c r="H693" s="309"/>
      <c r="I693" s="309"/>
      <c r="J693" s="309"/>
      <c r="K693" s="309"/>
      <c r="L693" s="309"/>
      <c r="M693" s="309"/>
      <c r="N693" s="309"/>
      <c r="O693" s="309"/>
      <c r="P693" s="309"/>
      <c r="Q693" s="309"/>
    </row>
    <row r="694" spans="2:17" x14ac:dyDescent="0.35">
      <c r="B694" s="309"/>
      <c r="C694" s="309"/>
      <c r="D694" s="309"/>
      <c r="E694" s="309"/>
      <c r="F694" s="309"/>
      <c r="G694" s="309"/>
      <c r="H694" s="309"/>
      <c r="I694" s="309"/>
      <c r="J694" s="309"/>
      <c r="K694" s="309"/>
      <c r="L694" s="309"/>
      <c r="M694" s="309"/>
      <c r="N694" s="309"/>
      <c r="O694" s="309"/>
      <c r="P694" s="309"/>
      <c r="Q694" s="309"/>
    </row>
    <row r="695" spans="2:17" x14ac:dyDescent="0.35">
      <c r="B695" s="309"/>
      <c r="C695" s="309"/>
      <c r="D695" s="309"/>
      <c r="E695" s="309"/>
      <c r="F695" s="309"/>
      <c r="G695" s="309"/>
      <c r="H695" s="309"/>
      <c r="I695" s="309"/>
      <c r="J695" s="309"/>
      <c r="K695" s="309"/>
      <c r="L695" s="309"/>
      <c r="M695" s="309"/>
      <c r="N695" s="309"/>
      <c r="O695" s="309"/>
      <c r="P695" s="309"/>
      <c r="Q695" s="309"/>
    </row>
    <row r="696" spans="2:17" x14ac:dyDescent="0.35">
      <c r="B696" s="309"/>
      <c r="C696" s="309"/>
      <c r="D696" s="309"/>
      <c r="E696" s="309"/>
      <c r="F696" s="309"/>
      <c r="G696" s="309"/>
      <c r="H696" s="309"/>
      <c r="I696" s="309"/>
      <c r="J696" s="309"/>
      <c r="K696" s="309"/>
      <c r="L696" s="309"/>
      <c r="M696" s="309"/>
      <c r="N696" s="309"/>
      <c r="O696" s="309"/>
      <c r="P696" s="309"/>
      <c r="Q696" s="309"/>
    </row>
    <row r="697" spans="2:17" x14ac:dyDescent="0.35">
      <c r="B697" s="309"/>
      <c r="C697" s="309"/>
      <c r="D697" s="309"/>
      <c r="E697" s="309"/>
      <c r="F697" s="309"/>
      <c r="G697" s="309"/>
      <c r="H697" s="309"/>
      <c r="I697" s="309"/>
      <c r="J697" s="309"/>
      <c r="K697" s="309"/>
      <c r="L697" s="309"/>
      <c r="M697" s="309"/>
      <c r="N697" s="309"/>
      <c r="O697" s="309"/>
      <c r="P697" s="309"/>
      <c r="Q697" s="309"/>
    </row>
    <row r="698" spans="2:17" x14ac:dyDescent="0.35">
      <c r="B698" s="309"/>
      <c r="C698" s="309"/>
      <c r="D698" s="309"/>
      <c r="E698" s="309"/>
      <c r="F698" s="309"/>
      <c r="G698" s="309"/>
      <c r="H698" s="309"/>
      <c r="I698" s="309"/>
      <c r="J698" s="309"/>
      <c r="K698" s="309"/>
      <c r="L698" s="309"/>
      <c r="M698" s="309"/>
      <c r="N698" s="309"/>
      <c r="O698" s="309"/>
      <c r="P698" s="309"/>
      <c r="Q698" s="309"/>
    </row>
    <row r="699" spans="2:17" x14ac:dyDescent="0.35">
      <c r="B699" s="309"/>
      <c r="C699" s="309"/>
      <c r="D699" s="309"/>
      <c r="E699" s="309"/>
      <c r="F699" s="309"/>
      <c r="G699" s="309"/>
      <c r="H699" s="309"/>
      <c r="I699" s="309"/>
      <c r="J699" s="309"/>
      <c r="K699" s="309"/>
      <c r="L699" s="309"/>
      <c r="M699" s="309"/>
      <c r="N699" s="309"/>
      <c r="O699" s="309"/>
      <c r="P699" s="309"/>
      <c r="Q699" s="309"/>
    </row>
    <row r="700" spans="2:17" x14ac:dyDescent="0.35">
      <c r="B700" s="309"/>
      <c r="C700" s="309"/>
      <c r="D700" s="309"/>
      <c r="E700" s="309"/>
      <c r="F700" s="309"/>
      <c r="G700" s="309"/>
      <c r="H700" s="309"/>
      <c r="I700" s="309"/>
      <c r="J700" s="309"/>
      <c r="K700" s="309"/>
      <c r="L700" s="309"/>
      <c r="M700" s="309"/>
      <c r="N700" s="309"/>
      <c r="O700" s="309"/>
      <c r="P700" s="309"/>
      <c r="Q700" s="309"/>
    </row>
    <row r="701" spans="2:17" x14ac:dyDescent="0.35">
      <c r="B701" s="309"/>
      <c r="C701" s="309"/>
      <c r="D701" s="309"/>
      <c r="E701" s="309"/>
      <c r="F701" s="309"/>
      <c r="G701" s="309"/>
      <c r="H701" s="309"/>
      <c r="I701" s="309"/>
      <c r="J701" s="309"/>
      <c r="K701" s="309"/>
      <c r="L701" s="309"/>
      <c r="M701" s="309"/>
      <c r="N701" s="309"/>
      <c r="O701" s="309"/>
      <c r="P701" s="309"/>
      <c r="Q701" s="309"/>
    </row>
    <row r="702" spans="2:17" x14ac:dyDescent="0.35">
      <c r="B702" s="309"/>
      <c r="C702" s="309"/>
      <c r="D702" s="309"/>
      <c r="E702" s="309"/>
      <c r="F702" s="309"/>
      <c r="G702" s="309"/>
      <c r="H702" s="309"/>
      <c r="I702" s="309"/>
      <c r="J702" s="309"/>
      <c r="K702" s="309"/>
      <c r="L702" s="309"/>
      <c r="M702" s="309"/>
      <c r="N702" s="309"/>
      <c r="O702" s="309"/>
      <c r="P702" s="309"/>
      <c r="Q702" s="309"/>
    </row>
    <row r="703" spans="2:17" x14ac:dyDescent="0.35">
      <c r="B703" s="309"/>
      <c r="C703" s="309"/>
      <c r="D703" s="309"/>
      <c r="E703" s="309"/>
      <c r="F703" s="309"/>
      <c r="G703" s="309"/>
      <c r="H703" s="309"/>
      <c r="I703" s="309"/>
      <c r="J703" s="309"/>
      <c r="K703" s="309"/>
      <c r="L703" s="309"/>
      <c r="M703" s="309"/>
      <c r="N703" s="309"/>
      <c r="O703" s="309"/>
      <c r="P703" s="309"/>
      <c r="Q703" s="309"/>
    </row>
    <row r="704" spans="2:17" x14ac:dyDescent="0.35">
      <c r="B704" s="309"/>
      <c r="C704" s="309"/>
      <c r="D704" s="309"/>
      <c r="E704" s="309"/>
      <c r="F704" s="309"/>
      <c r="G704" s="309"/>
      <c r="H704" s="309"/>
      <c r="I704" s="309"/>
      <c r="J704" s="309"/>
      <c r="K704" s="309"/>
      <c r="L704" s="309"/>
      <c r="M704" s="309"/>
      <c r="N704" s="309"/>
      <c r="O704" s="309"/>
      <c r="P704" s="309"/>
      <c r="Q704" s="309"/>
    </row>
    <row r="705" spans="2:17" x14ac:dyDescent="0.35">
      <c r="B705" s="309"/>
      <c r="C705" s="309"/>
      <c r="D705" s="309"/>
      <c r="E705" s="309"/>
      <c r="F705" s="309"/>
      <c r="G705" s="309"/>
      <c r="H705" s="309"/>
      <c r="I705" s="309"/>
      <c r="J705" s="309"/>
      <c r="K705" s="309"/>
      <c r="L705" s="309"/>
      <c r="M705" s="309"/>
      <c r="N705" s="309"/>
      <c r="O705" s="309"/>
      <c r="P705" s="309"/>
      <c r="Q705" s="309"/>
    </row>
    <row r="706" spans="2:17" x14ac:dyDescent="0.35">
      <c r="B706" s="309"/>
      <c r="C706" s="309"/>
      <c r="D706" s="309"/>
      <c r="E706" s="309"/>
      <c r="F706" s="309"/>
      <c r="G706" s="309"/>
      <c r="H706" s="309"/>
      <c r="I706" s="309"/>
      <c r="J706" s="309"/>
      <c r="K706" s="309"/>
      <c r="L706" s="309"/>
      <c r="M706" s="309"/>
      <c r="N706" s="309"/>
      <c r="O706" s="309"/>
      <c r="P706" s="309"/>
      <c r="Q706" s="309"/>
    </row>
    <row r="707" spans="2:17" x14ac:dyDescent="0.35">
      <c r="B707" s="309"/>
      <c r="C707" s="309"/>
      <c r="D707" s="309"/>
      <c r="E707" s="309"/>
      <c r="F707" s="309"/>
      <c r="G707" s="309"/>
      <c r="H707" s="309"/>
      <c r="I707" s="309"/>
      <c r="J707" s="309"/>
      <c r="K707" s="309"/>
      <c r="L707" s="309"/>
      <c r="M707" s="309"/>
      <c r="N707" s="309"/>
      <c r="O707" s="309"/>
      <c r="P707" s="309"/>
      <c r="Q707" s="309"/>
    </row>
    <row r="708" spans="2:17" x14ac:dyDescent="0.35">
      <c r="B708" s="309"/>
      <c r="C708" s="309"/>
      <c r="D708" s="309"/>
      <c r="E708" s="309"/>
      <c r="F708" s="309"/>
      <c r="G708" s="309"/>
      <c r="H708" s="309"/>
      <c r="I708" s="309"/>
      <c r="J708" s="309"/>
      <c r="K708" s="309"/>
      <c r="L708" s="309"/>
      <c r="M708" s="309"/>
      <c r="N708" s="309"/>
      <c r="O708" s="309"/>
      <c r="P708" s="309"/>
      <c r="Q708" s="309"/>
    </row>
    <row r="709" spans="2:17" x14ac:dyDescent="0.35">
      <c r="B709" s="309"/>
      <c r="C709" s="309"/>
      <c r="D709" s="309"/>
      <c r="E709" s="309"/>
      <c r="F709" s="309"/>
      <c r="G709" s="309"/>
      <c r="H709" s="309"/>
      <c r="I709" s="309"/>
      <c r="J709" s="309"/>
      <c r="K709" s="309"/>
      <c r="L709" s="309"/>
      <c r="M709" s="309"/>
      <c r="N709" s="309"/>
      <c r="O709" s="309"/>
      <c r="P709" s="309"/>
      <c r="Q709" s="309"/>
    </row>
    <row r="710" spans="2:17" x14ac:dyDescent="0.35">
      <c r="B710" s="309"/>
      <c r="C710" s="309"/>
      <c r="D710" s="309"/>
      <c r="E710" s="309"/>
      <c r="F710" s="309"/>
      <c r="G710" s="309"/>
      <c r="H710" s="309"/>
      <c r="I710" s="309"/>
      <c r="J710" s="309"/>
      <c r="K710" s="309"/>
      <c r="L710" s="309"/>
      <c r="M710" s="309"/>
      <c r="N710" s="309"/>
      <c r="O710" s="309"/>
      <c r="P710" s="309"/>
      <c r="Q710" s="309"/>
    </row>
    <row r="711" spans="2:17" x14ac:dyDescent="0.35">
      <c r="B711" s="309"/>
      <c r="C711" s="309"/>
      <c r="D711" s="309"/>
      <c r="E711" s="309"/>
      <c r="F711" s="309"/>
      <c r="G711" s="309"/>
      <c r="H711" s="309"/>
      <c r="I711" s="309"/>
      <c r="J711" s="309"/>
      <c r="K711" s="309"/>
      <c r="L711" s="309"/>
      <c r="M711" s="309"/>
      <c r="N711" s="309"/>
      <c r="O711" s="309"/>
      <c r="P711" s="309"/>
      <c r="Q711" s="309"/>
    </row>
    <row r="712" spans="2:17" x14ac:dyDescent="0.35">
      <c r="B712" s="309"/>
      <c r="C712" s="309"/>
      <c r="D712" s="309"/>
      <c r="E712" s="309"/>
      <c r="F712" s="309"/>
      <c r="G712" s="309"/>
      <c r="H712" s="309"/>
      <c r="I712" s="309"/>
      <c r="J712" s="309"/>
      <c r="K712" s="309"/>
      <c r="L712" s="309"/>
      <c r="M712" s="309"/>
      <c r="N712" s="309"/>
      <c r="O712" s="309"/>
      <c r="P712" s="309"/>
      <c r="Q712" s="309"/>
    </row>
    <row r="713" spans="2:17" x14ac:dyDescent="0.35">
      <c r="B713" s="309"/>
      <c r="C713" s="309"/>
      <c r="D713" s="309"/>
      <c r="E713" s="309"/>
      <c r="F713" s="309"/>
      <c r="G713" s="309"/>
      <c r="H713" s="309"/>
      <c r="I713" s="309"/>
      <c r="J713" s="309"/>
      <c r="K713" s="309"/>
      <c r="L713" s="309"/>
      <c r="M713" s="309"/>
      <c r="N713" s="309"/>
      <c r="O713" s="309"/>
      <c r="P713" s="309"/>
      <c r="Q713" s="309"/>
    </row>
    <row r="714" spans="2:17" x14ac:dyDescent="0.35">
      <c r="B714" s="309"/>
      <c r="C714" s="309"/>
      <c r="D714" s="309"/>
      <c r="E714" s="309"/>
      <c r="F714" s="309"/>
      <c r="G714" s="309"/>
      <c r="H714" s="309"/>
      <c r="I714" s="309"/>
      <c r="J714" s="309"/>
      <c r="K714" s="309"/>
      <c r="L714" s="309"/>
      <c r="M714" s="309"/>
      <c r="N714" s="309"/>
      <c r="O714" s="309"/>
      <c r="P714" s="309"/>
      <c r="Q714" s="309"/>
    </row>
    <row r="715" spans="2:17" x14ac:dyDescent="0.35">
      <c r="B715" s="309"/>
      <c r="C715" s="309"/>
      <c r="D715" s="309"/>
      <c r="E715" s="309"/>
      <c r="F715" s="309"/>
      <c r="G715" s="309"/>
      <c r="H715" s="309"/>
      <c r="I715" s="309"/>
      <c r="J715" s="309"/>
      <c r="K715" s="309"/>
      <c r="L715" s="309"/>
      <c r="M715" s="309"/>
      <c r="N715" s="309"/>
      <c r="O715" s="309"/>
      <c r="P715" s="309"/>
      <c r="Q715" s="309"/>
    </row>
    <row r="716" spans="2:17" x14ac:dyDescent="0.35">
      <c r="B716" s="309"/>
      <c r="C716" s="309"/>
      <c r="D716" s="309"/>
      <c r="E716" s="309"/>
      <c r="F716" s="309"/>
      <c r="G716" s="309"/>
      <c r="H716" s="309"/>
      <c r="I716" s="309"/>
      <c r="J716" s="309"/>
      <c r="K716" s="309"/>
      <c r="L716" s="309"/>
      <c r="M716" s="309"/>
      <c r="N716" s="309"/>
      <c r="O716" s="309"/>
      <c r="P716" s="309"/>
      <c r="Q716" s="309"/>
    </row>
    <row r="717" spans="2:17" x14ac:dyDescent="0.35">
      <c r="B717" s="309"/>
      <c r="C717" s="309"/>
      <c r="D717" s="309"/>
      <c r="E717" s="309"/>
      <c r="F717" s="309"/>
      <c r="G717" s="309"/>
      <c r="H717" s="309"/>
      <c r="I717" s="309"/>
      <c r="J717" s="309"/>
      <c r="K717" s="309"/>
      <c r="L717" s="309"/>
      <c r="M717" s="309"/>
      <c r="N717" s="309"/>
      <c r="O717" s="309"/>
      <c r="P717" s="309"/>
      <c r="Q717" s="309"/>
    </row>
    <row r="718" spans="2:17" x14ac:dyDescent="0.35">
      <c r="B718" s="309"/>
      <c r="C718" s="309"/>
      <c r="D718" s="309"/>
      <c r="E718" s="309"/>
      <c r="F718" s="309"/>
      <c r="G718" s="309"/>
      <c r="H718" s="309"/>
      <c r="I718" s="309"/>
      <c r="J718" s="309"/>
      <c r="K718" s="309"/>
      <c r="L718" s="309"/>
      <c r="M718" s="309"/>
      <c r="N718" s="309"/>
      <c r="O718" s="309"/>
      <c r="P718" s="309"/>
      <c r="Q718" s="309"/>
    </row>
    <row r="719" spans="2:17" x14ac:dyDescent="0.35">
      <c r="B719" s="309"/>
      <c r="C719" s="309"/>
      <c r="D719" s="309"/>
      <c r="E719" s="309"/>
      <c r="F719" s="309"/>
      <c r="G719" s="309"/>
      <c r="H719" s="309"/>
      <c r="I719" s="309"/>
      <c r="J719" s="309"/>
      <c r="K719" s="309"/>
      <c r="L719" s="309"/>
      <c r="M719" s="309"/>
      <c r="N719" s="309"/>
      <c r="O719" s="309"/>
      <c r="P719" s="309"/>
      <c r="Q719" s="309"/>
    </row>
    <row r="720" spans="2:17" x14ac:dyDescent="0.35">
      <c r="B720" s="309"/>
      <c r="C720" s="309"/>
      <c r="D720" s="309"/>
      <c r="E720" s="309"/>
      <c r="F720" s="309"/>
      <c r="G720" s="309"/>
      <c r="H720" s="309"/>
      <c r="I720" s="309"/>
      <c r="J720" s="309"/>
      <c r="K720" s="309"/>
      <c r="L720" s="309"/>
      <c r="M720" s="309"/>
      <c r="N720" s="309"/>
      <c r="O720" s="309"/>
      <c r="P720" s="309"/>
      <c r="Q720" s="309"/>
    </row>
    <row r="721" spans="2:17" x14ac:dyDescent="0.35">
      <c r="B721" s="309"/>
      <c r="C721" s="309"/>
      <c r="D721" s="309"/>
      <c r="E721" s="309"/>
      <c r="F721" s="309"/>
      <c r="G721" s="309"/>
      <c r="H721" s="309"/>
      <c r="I721" s="309"/>
      <c r="J721" s="309"/>
      <c r="K721" s="309"/>
      <c r="L721" s="309"/>
      <c r="M721" s="309"/>
      <c r="N721" s="309"/>
      <c r="O721" s="309"/>
      <c r="P721" s="309"/>
      <c r="Q721" s="309"/>
    </row>
    <row r="722" spans="2:17" x14ac:dyDescent="0.35">
      <c r="B722" s="309"/>
      <c r="C722" s="309"/>
      <c r="D722" s="309"/>
      <c r="E722" s="309"/>
      <c r="F722" s="309"/>
      <c r="G722" s="309"/>
      <c r="H722" s="309"/>
      <c r="I722" s="309"/>
      <c r="J722" s="309"/>
      <c r="K722" s="309"/>
      <c r="L722" s="309"/>
      <c r="M722" s="309"/>
      <c r="N722" s="309"/>
      <c r="O722" s="309"/>
      <c r="P722" s="309"/>
      <c r="Q722" s="309"/>
    </row>
    <row r="723" spans="2:17" x14ac:dyDescent="0.35">
      <c r="B723" s="309"/>
      <c r="C723" s="309"/>
      <c r="D723" s="309"/>
      <c r="E723" s="309"/>
      <c r="F723" s="309"/>
      <c r="G723" s="309"/>
      <c r="H723" s="309"/>
      <c r="I723" s="309"/>
      <c r="J723" s="309"/>
      <c r="K723" s="309"/>
      <c r="L723" s="309"/>
      <c r="M723" s="309"/>
      <c r="N723" s="309"/>
      <c r="O723" s="309"/>
      <c r="P723" s="309"/>
      <c r="Q723" s="309"/>
    </row>
    <row r="724" spans="2:17" x14ac:dyDescent="0.35">
      <c r="B724" s="309"/>
      <c r="C724" s="309"/>
      <c r="D724" s="309"/>
      <c r="E724" s="309"/>
      <c r="F724" s="309"/>
      <c r="G724" s="309"/>
      <c r="H724" s="309"/>
      <c r="I724" s="309"/>
      <c r="J724" s="309"/>
      <c r="K724" s="309"/>
      <c r="L724" s="309"/>
      <c r="M724" s="309"/>
      <c r="N724" s="309"/>
      <c r="O724" s="309"/>
      <c r="P724" s="309"/>
      <c r="Q724" s="309"/>
    </row>
    <row r="725" spans="2:17" x14ac:dyDescent="0.35">
      <c r="B725" s="309"/>
      <c r="C725" s="309"/>
      <c r="D725" s="309"/>
      <c r="E725" s="309"/>
      <c r="F725" s="309"/>
      <c r="G725" s="309"/>
      <c r="H725" s="309"/>
      <c r="I725" s="309"/>
      <c r="J725" s="309"/>
      <c r="K725" s="309"/>
      <c r="L725" s="309"/>
      <c r="M725" s="309"/>
      <c r="N725" s="309"/>
      <c r="O725" s="309"/>
      <c r="P725" s="309"/>
      <c r="Q725" s="309"/>
    </row>
    <row r="726" spans="2:17" x14ac:dyDescent="0.35">
      <c r="B726" s="309"/>
      <c r="C726" s="309"/>
      <c r="D726" s="309"/>
      <c r="E726" s="309"/>
      <c r="F726" s="309"/>
      <c r="G726" s="309"/>
      <c r="H726" s="309"/>
      <c r="I726" s="309"/>
      <c r="J726" s="309"/>
      <c r="K726" s="309"/>
      <c r="L726" s="309"/>
      <c r="M726" s="309"/>
      <c r="N726" s="309"/>
      <c r="O726" s="309"/>
      <c r="P726" s="309"/>
      <c r="Q726" s="309"/>
    </row>
    <row r="727" spans="2:17" x14ac:dyDescent="0.35">
      <c r="B727" s="309"/>
      <c r="C727" s="309"/>
      <c r="D727" s="309"/>
      <c r="E727" s="309"/>
      <c r="F727" s="309"/>
      <c r="G727" s="309"/>
      <c r="H727" s="309"/>
      <c r="I727" s="309"/>
      <c r="J727" s="309"/>
      <c r="K727" s="309"/>
      <c r="L727" s="309"/>
      <c r="M727" s="309"/>
      <c r="N727" s="309"/>
      <c r="O727" s="309"/>
      <c r="P727" s="309"/>
      <c r="Q727" s="309"/>
    </row>
    <row r="728" spans="2:17" x14ac:dyDescent="0.35">
      <c r="B728" s="309"/>
      <c r="C728" s="309"/>
      <c r="D728" s="309"/>
      <c r="E728" s="309"/>
      <c r="F728" s="309"/>
      <c r="G728" s="309"/>
      <c r="H728" s="309"/>
      <c r="I728" s="309"/>
      <c r="J728" s="309"/>
      <c r="K728" s="309"/>
      <c r="L728" s="309"/>
      <c r="M728" s="309"/>
      <c r="N728" s="309"/>
      <c r="O728" s="309"/>
      <c r="P728" s="309"/>
      <c r="Q728" s="309"/>
    </row>
    <row r="729" spans="2:17" x14ac:dyDescent="0.35">
      <c r="B729" s="309"/>
      <c r="C729" s="309"/>
      <c r="D729" s="309"/>
      <c r="E729" s="309"/>
      <c r="F729" s="309"/>
      <c r="G729" s="309"/>
      <c r="H729" s="309"/>
      <c r="I729" s="309"/>
      <c r="J729" s="309"/>
      <c r="K729" s="309"/>
      <c r="L729" s="309"/>
      <c r="M729" s="309"/>
      <c r="N729" s="309"/>
      <c r="O729" s="309"/>
      <c r="P729" s="309"/>
      <c r="Q729" s="309"/>
    </row>
    <row r="730" spans="2:17" x14ac:dyDescent="0.35">
      <c r="B730" s="309"/>
      <c r="C730" s="309"/>
      <c r="D730" s="309"/>
      <c r="E730" s="309"/>
      <c r="F730" s="309"/>
      <c r="G730" s="309"/>
      <c r="H730" s="309"/>
      <c r="I730" s="309"/>
      <c r="J730" s="309"/>
      <c r="K730" s="309"/>
      <c r="L730" s="309"/>
      <c r="M730" s="309"/>
      <c r="N730" s="309"/>
      <c r="O730" s="309"/>
      <c r="P730" s="309"/>
      <c r="Q730" s="309"/>
    </row>
    <row r="731" spans="2:17" x14ac:dyDescent="0.35">
      <c r="B731" s="309"/>
      <c r="C731" s="309"/>
      <c r="D731" s="309"/>
      <c r="E731" s="309"/>
      <c r="F731" s="309"/>
      <c r="G731" s="309"/>
      <c r="H731" s="309"/>
      <c r="I731" s="309"/>
      <c r="J731" s="309"/>
      <c r="K731" s="309"/>
      <c r="L731" s="309"/>
      <c r="M731" s="309"/>
      <c r="N731" s="309"/>
      <c r="O731" s="309"/>
      <c r="P731" s="309"/>
      <c r="Q731" s="309"/>
    </row>
    <row r="732" spans="2:17" x14ac:dyDescent="0.35">
      <c r="B732" s="309"/>
      <c r="C732" s="309"/>
      <c r="D732" s="309"/>
      <c r="E732" s="309"/>
      <c r="F732" s="309"/>
      <c r="G732" s="309"/>
      <c r="H732" s="309"/>
      <c r="I732" s="309"/>
      <c r="J732" s="309"/>
      <c r="K732" s="309"/>
      <c r="L732" s="309"/>
      <c r="M732" s="309"/>
      <c r="N732" s="309"/>
      <c r="O732" s="309"/>
      <c r="P732" s="309"/>
      <c r="Q732" s="309"/>
    </row>
    <row r="733" spans="2:17" x14ac:dyDescent="0.35">
      <c r="B733" s="309"/>
      <c r="C733" s="309"/>
      <c r="D733" s="309"/>
      <c r="E733" s="309"/>
      <c r="F733" s="309"/>
      <c r="G733" s="309"/>
      <c r="H733" s="309"/>
      <c r="I733" s="309"/>
      <c r="J733" s="309"/>
      <c r="K733" s="309"/>
      <c r="L733" s="309"/>
      <c r="M733" s="309"/>
      <c r="N733" s="309"/>
      <c r="O733" s="309"/>
      <c r="P733" s="309"/>
      <c r="Q733" s="309"/>
    </row>
    <row r="734" spans="2:17" x14ac:dyDescent="0.35">
      <c r="B734" s="309"/>
      <c r="C734" s="309"/>
      <c r="D734" s="309"/>
      <c r="E734" s="309"/>
      <c r="F734" s="309"/>
      <c r="G734" s="309"/>
      <c r="H734" s="309"/>
      <c r="I734" s="309"/>
      <c r="J734" s="309"/>
      <c r="K734" s="309"/>
      <c r="L734" s="309"/>
      <c r="M734" s="309"/>
      <c r="N734" s="309"/>
      <c r="O734" s="309"/>
      <c r="P734" s="309"/>
      <c r="Q734" s="309"/>
    </row>
    <row r="735" spans="2:17" x14ac:dyDescent="0.35">
      <c r="B735" s="309"/>
      <c r="C735" s="309"/>
      <c r="D735" s="309"/>
      <c r="E735" s="309"/>
      <c r="F735" s="309"/>
      <c r="G735" s="309"/>
      <c r="H735" s="309"/>
      <c r="I735" s="309"/>
      <c r="J735" s="309"/>
      <c r="K735" s="309"/>
      <c r="L735" s="309"/>
      <c r="M735" s="309"/>
      <c r="N735" s="309"/>
      <c r="O735" s="309"/>
      <c r="P735" s="309"/>
      <c r="Q735" s="309"/>
    </row>
    <row r="736" spans="2:17" x14ac:dyDescent="0.35">
      <c r="B736" s="309"/>
      <c r="C736" s="309"/>
      <c r="D736" s="309"/>
      <c r="E736" s="309"/>
      <c r="F736" s="309"/>
      <c r="G736" s="309"/>
      <c r="H736" s="309"/>
      <c r="I736" s="309"/>
      <c r="J736" s="309"/>
      <c r="K736" s="309"/>
      <c r="L736" s="309"/>
      <c r="M736" s="309"/>
      <c r="N736" s="309"/>
      <c r="O736" s="309"/>
      <c r="P736" s="309"/>
      <c r="Q736" s="309"/>
    </row>
    <row r="737" spans="2:17" x14ac:dyDescent="0.35">
      <c r="B737" s="309"/>
      <c r="C737" s="309"/>
      <c r="D737" s="309"/>
      <c r="E737" s="309"/>
      <c r="F737" s="309"/>
      <c r="G737" s="309"/>
      <c r="H737" s="309"/>
      <c r="I737" s="309"/>
      <c r="J737" s="309"/>
      <c r="K737" s="309"/>
      <c r="L737" s="309"/>
      <c r="M737" s="309"/>
      <c r="N737" s="309"/>
      <c r="O737" s="309"/>
      <c r="P737" s="309"/>
      <c r="Q737" s="309"/>
    </row>
    <row r="738" spans="2:17" x14ac:dyDescent="0.35">
      <c r="B738" s="309"/>
      <c r="C738" s="309"/>
      <c r="D738" s="309"/>
      <c r="E738" s="309"/>
      <c r="F738" s="309"/>
      <c r="G738" s="309"/>
      <c r="H738" s="309"/>
      <c r="I738" s="309"/>
      <c r="J738" s="309"/>
      <c r="K738" s="309"/>
      <c r="L738" s="309"/>
      <c r="M738" s="309"/>
      <c r="N738" s="309"/>
      <c r="O738" s="309"/>
      <c r="P738" s="309"/>
      <c r="Q738" s="309"/>
    </row>
    <row r="739" spans="2:17" x14ac:dyDescent="0.35">
      <c r="B739" s="309"/>
      <c r="C739" s="309"/>
      <c r="D739" s="309"/>
      <c r="E739" s="309"/>
      <c r="F739" s="309"/>
      <c r="G739" s="309"/>
      <c r="H739" s="309"/>
      <c r="I739" s="309"/>
      <c r="J739" s="309"/>
      <c r="K739" s="309"/>
      <c r="L739" s="309"/>
      <c r="M739" s="309"/>
      <c r="N739" s="309"/>
      <c r="O739" s="309"/>
      <c r="P739" s="309"/>
      <c r="Q739" s="309"/>
    </row>
    <row r="740" spans="2:17" x14ac:dyDescent="0.35">
      <c r="B740" s="309"/>
      <c r="C740" s="309"/>
      <c r="D740" s="309"/>
      <c r="E740" s="309"/>
      <c r="F740" s="309"/>
      <c r="G740" s="309"/>
      <c r="H740" s="309"/>
      <c r="I740" s="309"/>
      <c r="J740" s="309"/>
      <c r="K740" s="309"/>
      <c r="L740" s="309"/>
      <c r="M740" s="309"/>
      <c r="N740" s="309"/>
      <c r="O740" s="309"/>
      <c r="P740" s="309"/>
      <c r="Q740" s="309"/>
    </row>
    <row r="741" spans="2:17" x14ac:dyDescent="0.35">
      <c r="B741" s="309"/>
      <c r="C741" s="309"/>
      <c r="D741" s="309"/>
      <c r="E741" s="309"/>
      <c r="F741" s="309"/>
      <c r="G741" s="309"/>
      <c r="H741" s="309"/>
      <c r="I741" s="309"/>
      <c r="J741" s="309"/>
      <c r="K741" s="309"/>
      <c r="L741" s="309"/>
      <c r="M741" s="309"/>
      <c r="N741" s="309"/>
      <c r="O741" s="309"/>
      <c r="P741" s="309"/>
      <c r="Q741" s="309"/>
    </row>
    <row r="742" spans="2:17" x14ac:dyDescent="0.35">
      <c r="B742" s="309"/>
      <c r="C742" s="309"/>
      <c r="D742" s="309"/>
      <c r="E742" s="309"/>
      <c r="F742" s="309"/>
      <c r="G742" s="309"/>
      <c r="H742" s="309"/>
      <c r="I742" s="309"/>
      <c r="J742" s="309"/>
      <c r="K742" s="309"/>
      <c r="L742" s="309"/>
      <c r="M742" s="309"/>
      <c r="N742" s="309"/>
      <c r="O742" s="309"/>
      <c r="P742" s="309"/>
      <c r="Q742" s="309"/>
    </row>
    <row r="743" spans="2:17" x14ac:dyDescent="0.35">
      <c r="B743" s="309"/>
      <c r="C743" s="309"/>
      <c r="D743" s="309"/>
      <c r="E743" s="309"/>
      <c r="F743" s="309"/>
      <c r="G743" s="309"/>
      <c r="H743" s="309"/>
      <c r="I743" s="309"/>
      <c r="J743" s="309"/>
      <c r="K743" s="309"/>
      <c r="L743" s="309"/>
      <c r="M743" s="309"/>
      <c r="N743" s="309"/>
      <c r="O743" s="309"/>
      <c r="P743" s="309"/>
      <c r="Q743" s="309"/>
    </row>
    <row r="744" spans="2:17" x14ac:dyDescent="0.35">
      <c r="B744" s="309"/>
      <c r="C744" s="309"/>
      <c r="D744" s="309"/>
      <c r="E744" s="309"/>
      <c r="F744" s="309"/>
      <c r="G744" s="309"/>
      <c r="H744" s="309"/>
      <c r="I744" s="309"/>
      <c r="J744" s="309"/>
      <c r="K744" s="309"/>
      <c r="L744" s="309"/>
      <c r="M744" s="309"/>
      <c r="N744" s="309"/>
      <c r="O744" s="309"/>
      <c r="P744" s="309"/>
      <c r="Q744" s="309"/>
    </row>
    <row r="745" spans="2:17" x14ac:dyDescent="0.35">
      <c r="B745" s="309"/>
      <c r="C745" s="309"/>
      <c r="D745" s="309"/>
      <c r="E745" s="309"/>
      <c r="F745" s="309"/>
      <c r="G745" s="309"/>
      <c r="H745" s="309"/>
      <c r="I745" s="309"/>
      <c r="J745" s="309"/>
      <c r="K745" s="309"/>
      <c r="L745" s="309"/>
      <c r="M745" s="309"/>
      <c r="N745" s="309"/>
      <c r="O745" s="309"/>
      <c r="P745" s="309"/>
      <c r="Q745" s="309"/>
    </row>
    <row r="746" spans="2:17" x14ac:dyDescent="0.35">
      <c r="B746" s="309"/>
      <c r="C746" s="309"/>
      <c r="D746" s="309"/>
      <c r="E746" s="309"/>
      <c r="F746" s="309"/>
      <c r="G746" s="309"/>
      <c r="H746" s="309"/>
      <c r="I746" s="309"/>
      <c r="J746" s="309"/>
      <c r="K746" s="309"/>
      <c r="L746" s="309"/>
      <c r="M746" s="309"/>
      <c r="N746" s="309"/>
      <c r="O746" s="309"/>
      <c r="P746" s="309"/>
      <c r="Q746" s="309"/>
    </row>
    <row r="747" spans="2:17" x14ac:dyDescent="0.35">
      <c r="B747" s="309"/>
      <c r="C747" s="309"/>
      <c r="D747" s="309"/>
      <c r="E747" s="309"/>
      <c r="F747" s="309"/>
      <c r="G747" s="309"/>
      <c r="H747" s="309"/>
      <c r="I747" s="309"/>
      <c r="J747" s="309"/>
      <c r="K747" s="309"/>
      <c r="L747" s="309"/>
      <c r="M747" s="309"/>
      <c r="N747" s="309"/>
      <c r="O747" s="309"/>
      <c r="P747" s="309"/>
      <c r="Q747" s="309"/>
    </row>
    <row r="748" spans="2:17" x14ac:dyDescent="0.35">
      <c r="B748" s="309"/>
      <c r="C748" s="309"/>
      <c r="D748" s="309"/>
      <c r="E748" s="309"/>
      <c r="F748" s="309"/>
      <c r="G748" s="309"/>
      <c r="H748" s="309"/>
      <c r="I748" s="309"/>
      <c r="J748" s="309"/>
      <c r="K748" s="309"/>
      <c r="L748" s="309"/>
      <c r="M748" s="309"/>
      <c r="N748" s="309"/>
      <c r="O748" s="309"/>
      <c r="P748" s="309"/>
      <c r="Q748" s="309"/>
    </row>
    <row r="749" spans="2:17" x14ac:dyDescent="0.35">
      <c r="B749" s="309"/>
      <c r="C749" s="309"/>
      <c r="D749" s="309"/>
      <c r="E749" s="309"/>
      <c r="F749" s="309"/>
      <c r="G749" s="309"/>
      <c r="H749" s="309"/>
      <c r="I749" s="309"/>
      <c r="J749" s="309"/>
      <c r="K749" s="309"/>
      <c r="L749" s="309"/>
      <c r="M749" s="309"/>
      <c r="N749" s="309"/>
      <c r="O749" s="309"/>
      <c r="P749" s="309"/>
      <c r="Q749" s="309"/>
    </row>
    <row r="750" spans="2:17" x14ac:dyDescent="0.35">
      <c r="B750" s="309"/>
      <c r="C750" s="309"/>
      <c r="D750" s="309"/>
      <c r="E750" s="309"/>
      <c r="F750" s="309"/>
      <c r="G750" s="309"/>
      <c r="H750" s="309"/>
      <c r="I750" s="309"/>
      <c r="J750" s="309"/>
      <c r="K750" s="309"/>
      <c r="L750" s="309"/>
      <c r="M750" s="309"/>
      <c r="N750" s="309"/>
      <c r="O750" s="309"/>
      <c r="P750" s="309"/>
      <c r="Q750" s="309"/>
    </row>
    <row r="751" spans="2:17" x14ac:dyDescent="0.35">
      <c r="B751" s="309"/>
      <c r="C751" s="309"/>
      <c r="D751" s="309"/>
      <c r="E751" s="309"/>
      <c r="F751" s="309"/>
      <c r="G751" s="309"/>
      <c r="H751" s="309"/>
      <c r="I751" s="309"/>
      <c r="J751" s="309"/>
      <c r="K751" s="309"/>
      <c r="L751" s="309"/>
      <c r="M751" s="309"/>
      <c r="N751" s="309"/>
      <c r="O751" s="309"/>
      <c r="P751" s="309"/>
      <c r="Q751" s="309"/>
    </row>
    <row r="752" spans="2:17" x14ac:dyDescent="0.35">
      <c r="B752" s="309"/>
      <c r="C752" s="309"/>
      <c r="D752" s="309"/>
      <c r="E752" s="309"/>
      <c r="F752" s="309"/>
      <c r="G752" s="309"/>
      <c r="H752" s="309"/>
      <c r="I752" s="309"/>
      <c r="J752" s="309"/>
      <c r="K752" s="309"/>
      <c r="L752" s="309"/>
      <c r="M752" s="309"/>
      <c r="N752" s="309"/>
      <c r="O752" s="309"/>
      <c r="P752" s="309"/>
      <c r="Q752" s="309"/>
    </row>
    <row r="753" spans="2:19" x14ac:dyDescent="0.35">
      <c r="B753" s="309"/>
      <c r="C753" s="309"/>
      <c r="D753" s="309"/>
      <c r="E753" s="309"/>
      <c r="F753" s="309"/>
      <c r="G753" s="309"/>
      <c r="H753" s="309"/>
      <c r="I753" s="309"/>
      <c r="J753" s="309"/>
      <c r="K753" s="309"/>
      <c r="L753" s="309"/>
      <c r="M753" s="309"/>
      <c r="N753" s="309"/>
      <c r="O753" s="309"/>
      <c r="P753" s="309"/>
      <c r="Q753" s="309"/>
    </row>
    <row r="754" spans="2:19" x14ac:dyDescent="0.35">
      <c r="B754" s="309"/>
      <c r="C754" s="309"/>
      <c r="D754" s="309"/>
      <c r="E754" s="309"/>
      <c r="F754" s="309"/>
      <c r="G754" s="309"/>
      <c r="H754" s="309"/>
      <c r="I754" s="309"/>
      <c r="J754" s="309"/>
      <c r="K754" s="309"/>
      <c r="L754" s="309"/>
      <c r="M754" s="309"/>
      <c r="N754" s="309"/>
      <c r="O754" s="309"/>
      <c r="P754" s="309"/>
      <c r="Q754" s="309"/>
    </row>
    <row r="755" spans="2:19" x14ac:dyDescent="0.35">
      <c r="B755" s="309"/>
      <c r="C755" s="309"/>
      <c r="D755" s="309"/>
      <c r="E755" s="309"/>
      <c r="F755" s="309"/>
      <c r="G755" s="309"/>
      <c r="H755" s="309"/>
      <c r="I755" s="309"/>
      <c r="J755" s="309"/>
      <c r="K755" s="309"/>
      <c r="L755" s="309"/>
      <c r="M755" s="309"/>
      <c r="N755" s="309"/>
      <c r="O755" s="309"/>
      <c r="P755" s="309"/>
      <c r="Q755" s="309"/>
    </row>
    <row r="756" spans="2:19" x14ac:dyDescent="0.35">
      <c r="B756" s="309"/>
      <c r="C756" s="309"/>
      <c r="D756" s="309"/>
      <c r="E756" s="309"/>
      <c r="F756" s="309"/>
      <c r="G756" s="309"/>
      <c r="H756" s="309"/>
      <c r="I756" s="309"/>
      <c r="J756" s="309"/>
      <c r="K756" s="309"/>
      <c r="L756" s="309"/>
      <c r="M756" s="309"/>
      <c r="N756" s="309"/>
      <c r="O756" s="309"/>
      <c r="P756" s="309"/>
      <c r="Q756" s="309"/>
    </row>
    <row r="757" spans="2:19" x14ac:dyDescent="0.35">
      <c r="B757" s="309"/>
      <c r="C757" s="309"/>
      <c r="D757" s="309"/>
      <c r="E757" s="309"/>
      <c r="F757" s="309"/>
      <c r="G757" s="309"/>
      <c r="H757" s="309"/>
      <c r="I757" s="309"/>
      <c r="J757" s="309"/>
      <c r="K757" s="309"/>
      <c r="L757" s="309"/>
      <c r="M757" s="309"/>
      <c r="N757" s="309"/>
      <c r="O757" s="309"/>
      <c r="P757" s="309"/>
      <c r="Q757" s="309"/>
    </row>
    <row r="758" spans="2:19" x14ac:dyDescent="0.35">
      <c r="B758" s="309"/>
      <c r="C758" s="309"/>
      <c r="D758" s="309"/>
      <c r="E758" s="309"/>
      <c r="F758" s="309"/>
      <c r="G758" s="309"/>
      <c r="H758" s="309"/>
      <c r="I758" s="309"/>
      <c r="J758" s="309"/>
      <c r="K758" s="309"/>
      <c r="L758" s="309"/>
      <c r="M758" s="309"/>
      <c r="N758" s="309"/>
      <c r="O758" s="309"/>
      <c r="P758" s="309"/>
      <c r="Q758" s="309"/>
    </row>
    <row r="759" spans="2:19" x14ac:dyDescent="0.35">
      <c r="B759" s="309"/>
      <c r="C759" s="309"/>
      <c r="D759" s="309"/>
      <c r="E759" s="309"/>
      <c r="F759" s="309"/>
      <c r="G759" s="309"/>
      <c r="H759" s="309"/>
      <c r="I759" s="309"/>
      <c r="J759" s="309"/>
      <c r="K759" s="309"/>
      <c r="L759" s="309"/>
      <c r="M759" s="309"/>
      <c r="N759" s="309"/>
      <c r="O759" s="309"/>
      <c r="P759" s="309"/>
      <c r="Q759" s="309"/>
    </row>
    <row r="760" spans="2:19" x14ac:dyDescent="0.35">
      <c r="B760" s="309"/>
      <c r="C760" s="309"/>
      <c r="D760" s="309"/>
      <c r="E760" s="309"/>
      <c r="F760" s="309"/>
      <c r="G760" s="309"/>
      <c r="H760" s="309"/>
      <c r="I760" s="309"/>
      <c r="J760" s="309"/>
      <c r="K760" s="309"/>
      <c r="L760" s="309"/>
      <c r="M760" s="309"/>
      <c r="N760" s="309"/>
      <c r="O760" s="309"/>
      <c r="P760" s="309"/>
      <c r="Q760" s="309"/>
    </row>
    <row r="761" spans="2:19" x14ac:dyDescent="0.35">
      <c r="B761" s="309"/>
      <c r="C761" s="309"/>
      <c r="D761" s="309"/>
      <c r="E761" s="309"/>
      <c r="F761" s="309"/>
      <c r="G761" s="309"/>
      <c r="H761" s="309"/>
      <c r="I761" s="309"/>
      <c r="J761" s="309"/>
      <c r="K761" s="309"/>
      <c r="L761" s="309"/>
      <c r="M761" s="309"/>
      <c r="N761" s="309"/>
      <c r="O761" s="309"/>
      <c r="P761" s="309"/>
      <c r="R761" s="310"/>
      <c r="S761" s="310"/>
    </row>
    <row r="762" spans="2:19" x14ac:dyDescent="0.35">
      <c r="B762" s="309"/>
      <c r="C762" s="309"/>
      <c r="D762" s="309"/>
      <c r="E762" s="309"/>
      <c r="F762" s="309"/>
      <c r="G762" s="309"/>
      <c r="H762" s="309"/>
      <c r="I762" s="309"/>
      <c r="J762" s="309"/>
      <c r="K762" s="309"/>
      <c r="L762" s="309"/>
      <c r="M762" s="309"/>
      <c r="N762" s="309"/>
      <c r="O762" s="309"/>
      <c r="P762" s="309"/>
      <c r="R762" s="310"/>
      <c r="S762" s="310"/>
    </row>
  </sheetData>
  <sheetProtection selectLockedCells="1"/>
  <mergeCells count="26">
    <mergeCell ref="D25:F25"/>
    <mergeCell ref="D26:F26"/>
    <mergeCell ref="D37:F37"/>
    <mergeCell ref="D38:F38"/>
    <mergeCell ref="D41:F41"/>
    <mergeCell ref="D28:F28"/>
    <mergeCell ref="D29:F29"/>
    <mergeCell ref="D30:F30"/>
    <mergeCell ref="D31:F31"/>
    <mergeCell ref="D32:F32"/>
    <mergeCell ref="D33:F33"/>
    <mergeCell ref="D49:F49"/>
    <mergeCell ref="D50:F50"/>
    <mergeCell ref="D42:F42"/>
    <mergeCell ref="D43:F43"/>
    <mergeCell ref="D44:F44"/>
    <mergeCell ref="D47:F47"/>
    <mergeCell ref="D48:F48"/>
    <mergeCell ref="D61:F61"/>
    <mergeCell ref="D63:F63"/>
    <mergeCell ref="D54:F54"/>
    <mergeCell ref="D55:F55"/>
    <mergeCell ref="D57:F57"/>
    <mergeCell ref="D60:F60"/>
    <mergeCell ref="D56:F56"/>
    <mergeCell ref="D62:F62"/>
  </mergeCells>
  <phoneticPr fontId="11" type="noConversion"/>
  <conditionalFormatting sqref="D33">
    <cfRule type="expression" dxfId="786" priority="43">
      <formula>"ALS($B$64=&gt;$B$59)"</formula>
    </cfRule>
  </conditionalFormatting>
  <conditionalFormatting sqref="Q6:Q17">
    <cfRule type="expression" dxfId="785" priority="41">
      <formula>"$C4=""Bestaande Situatie"""</formula>
    </cfRule>
  </conditionalFormatting>
  <conditionalFormatting sqref="S6:S17">
    <cfRule type="expression" dxfId="784" priority="23">
      <formula>"$C4=""Bestaande Situatie"""</formula>
    </cfRule>
  </conditionalFormatting>
  <conditionalFormatting sqref="U16:U17">
    <cfRule type="expression" dxfId="783" priority="22">
      <formula>"$C4=""Bestaande Situatie"""</formula>
    </cfRule>
  </conditionalFormatting>
  <conditionalFormatting sqref="U16:U17">
    <cfRule type="expression" dxfId="782" priority="21">
      <formula>"$C4=""Bestaande Situatie"""</formula>
    </cfRule>
  </conditionalFormatting>
  <conditionalFormatting sqref="T16:T17">
    <cfRule type="expression" dxfId="781" priority="20">
      <formula>"$C4=""Bestaande Situatie"""</formula>
    </cfRule>
  </conditionalFormatting>
  <conditionalFormatting sqref="P6:P15">
    <cfRule type="expression" dxfId="780" priority="18">
      <formula>"$C4=""Bestaande Situatie"""</formula>
    </cfRule>
  </conditionalFormatting>
  <conditionalFormatting sqref="O6:O17">
    <cfRule type="expression" dxfId="779" priority="17">
      <formula>"$C4=""Bestaande Situatie"""</formula>
    </cfRule>
  </conditionalFormatting>
  <conditionalFormatting sqref="O6:O17">
    <cfRule type="expression" dxfId="778" priority="16">
      <formula>"$C4=""Bestaande Situatie"""</formula>
    </cfRule>
  </conditionalFormatting>
  <conditionalFormatting sqref="P17">
    <cfRule type="expression" dxfId="777" priority="6">
      <formula>"$C4=""Bestaande Situatie"""</formula>
    </cfRule>
  </conditionalFormatting>
  <conditionalFormatting sqref="P16">
    <cfRule type="expression" dxfId="776" priority="3">
      <formula>"$C4=""Bestaande Situatie"""</formula>
    </cfRule>
  </conditionalFormatting>
  <conditionalFormatting sqref="U6:U15">
    <cfRule type="expression" dxfId="775" priority="2">
      <formula>"$C4=""Bestaande Situatie"""</formula>
    </cfRule>
  </conditionalFormatting>
  <conditionalFormatting sqref="U6:U15">
    <cfRule type="expression" dxfId="774" priority="1">
      <formula>"$C4=""Bestaande Situatie"""</formula>
    </cfRule>
  </conditionalFormatting>
  <dataValidations count="1">
    <dataValidation type="list" allowBlank="1" showInputMessage="1" showErrorMessage="1" sqref="F6:F17" xr:uid="{0051EEF1-CAFC-4B99-866A-8F3FF9816896}">
      <formula1>INDIRECT(E6)</formula1>
    </dataValidation>
  </dataValidations>
  <pageMargins left="0.7" right="0.7" top="0.75" bottom="0.75" header="0.3" footer="0.3"/>
  <pageSetup orientation="portrait" r:id="rId1"/>
  <ignoredErrors>
    <ignoredError sqref="D28" unlockedFormula="1"/>
  </ignoredErrors>
  <drawing r:id="rId2"/>
  <tableParts count="2">
    <tablePart r:id="rId3"/>
    <tablePart r:id="rId4"/>
  </tableParts>
  <extLst>
    <ext xmlns:x14="http://schemas.microsoft.com/office/spreadsheetml/2009/9/main" uri="{CCE6A557-97BC-4b89-ADB6-D9C93CAAB3DF}">
      <x14:dataValidations xmlns:xm="http://schemas.microsoft.com/office/excel/2006/main" count="9">
        <x14:dataValidation type="list" allowBlank="1" showInputMessage="1" showErrorMessage="1" xr:uid="{3BF57C95-9949-44E6-82DE-1280A7C3B015}">
          <x14:formula1>
            <xm:f>Keuzelijst_Producten!$U$2:$U$3</xm:f>
          </x14:formula1>
          <xm:sqref>C6:C17</xm:sqref>
        </x14:dataValidation>
        <x14:dataValidation type="list" allowBlank="1" showInputMessage="1" showErrorMessage="1" xr:uid="{579BDFD1-B4DD-4A4D-8D84-735AEEB60DBA}">
          <x14:formula1>
            <xm:f>Database!$A$1117:$A$1141</xm:f>
          </x14:formula1>
          <xm:sqref>R6:R17</xm:sqref>
        </x14:dataValidation>
        <x14:dataValidation type="list" allowBlank="1" showInputMessage="1" showErrorMessage="1" xr:uid="{ED968EC8-7F80-4C4B-918B-A74E7AD50C74}">
          <x14:formula1>
            <xm:f>Database!$A$1050:$A$1082</xm:f>
          </x14:formula1>
          <xm:sqref>U16:U17</xm:sqref>
        </x14:dataValidation>
        <x14:dataValidation type="list" allowBlank="1" showInputMessage="1" showErrorMessage="1" xr:uid="{839DD349-7611-4794-9D03-41DEA56D2581}">
          <x14:formula1>
            <xm:f>Database!$A$1146:$A$1158</xm:f>
          </x14:formula1>
          <xm:sqref>V6:V17</xm:sqref>
        </x14:dataValidation>
        <x14:dataValidation type="list" allowBlank="1" showInputMessage="1" showErrorMessage="1" xr:uid="{5E6612D6-4FB3-3748-BC11-B8AC0A0FAFA6}">
          <x14:formula1>
            <xm:f>Database!$A$1163:$A$1214</xm:f>
          </x14:formula1>
          <xm:sqref>S6:S17 Q6:Q17</xm:sqref>
        </x14:dataValidation>
        <x14:dataValidation type="list" allowBlank="1" showInputMessage="1" showErrorMessage="1" xr:uid="{113E5FDF-19A9-4B91-9324-BE43B2949582}">
          <x14:formula1>
            <xm:f>Keuzelijst_Producten!$M$2:$M$10</xm:f>
          </x14:formula1>
          <xm:sqref>O6:O17 U6:U15</xm:sqref>
        </x14:dataValidation>
        <x14:dataValidation type="list" allowBlank="1" showInputMessage="1" showErrorMessage="1" xr:uid="{AF20F6A8-F232-4414-B9ED-CDD370F55193}">
          <x14:formula1>
            <xm:f>Keuzelijst_Producten!$O$2:$O$22</xm:f>
          </x14:formula1>
          <xm:sqref>P6:P17</xm:sqref>
        </x14:dataValidation>
        <x14:dataValidation type="list" allowBlank="1" showInputMessage="1" showErrorMessage="1" xr:uid="{1809B7A1-C026-4C5F-AE2A-1B723CC7027A}">
          <x14:formula1>
            <xm:f>Keuzelijst_Producten!$A$2:$A$10</xm:f>
          </x14:formula1>
          <xm:sqref>E14:E17</xm:sqref>
        </x14:dataValidation>
        <x14:dataValidation type="list" allowBlank="1" showInputMessage="1" showErrorMessage="1" xr:uid="{D973C031-F885-45F2-82F6-B514644ED3BA}">
          <x14:formula1>
            <xm:f>Keuzelijst_Producten!$AA$2:$AA$6</xm:f>
          </x14:formula1>
          <xm:sqref>H2</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AAE92-72A1-4314-84FA-455EB4C73E27}">
  <sheetPr codeName="Blad4"/>
  <dimension ref="A1:AF26"/>
  <sheetViews>
    <sheetView zoomScale="85" zoomScaleNormal="85" workbookViewId="0">
      <selection activeCell="AJ13" sqref="AJ13"/>
    </sheetView>
  </sheetViews>
  <sheetFormatPr defaultColWidth="9.1796875" defaultRowHeight="14.5" x14ac:dyDescent="0.35"/>
  <cols>
    <col min="1" max="1" width="28.81640625" style="18" customWidth="1"/>
    <col min="2" max="2" width="25.7265625" style="18" bestFit="1" customWidth="1"/>
    <col min="3" max="3" width="13.81640625" style="18" customWidth="1"/>
    <col min="4" max="5" width="7.26953125" style="18" bestFit="1" customWidth="1"/>
    <col min="6" max="10" width="7.81640625" style="18" bestFit="1" customWidth="1"/>
    <col min="11" max="13" width="7.81640625" style="18" hidden="1" customWidth="1"/>
    <col min="14" max="16" width="11.453125" style="18" bestFit="1" customWidth="1"/>
    <col min="17" max="19" width="11.453125" style="18" hidden="1" customWidth="1"/>
    <col min="20" max="21" width="11.453125" style="18" bestFit="1" customWidth="1"/>
    <col min="22" max="22" width="11.453125" style="18" customWidth="1"/>
    <col min="23" max="25" width="11.453125" style="18" hidden="1" customWidth="1"/>
    <col min="26" max="27" width="11.453125" style="18" bestFit="1" customWidth="1"/>
    <col min="28" max="28" width="11.26953125" style="18" customWidth="1"/>
    <col min="29" max="31" width="11.453125" style="18" hidden="1" customWidth="1"/>
    <col min="32" max="32" width="15.54296875" style="18" customWidth="1"/>
    <col min="33" max="33" width="5.26953125" style="18" customWidth="1"/>
    <col min="34" max="16384" width="9.1796875" style="18"/>
  </cols>
  <sheetData>
    <row r="1" spans="1:32" x14ac:dyDescent="0.35">
      <c r="A1" s="19" t="s">
        <v>129</v>
      </c>
    </row>
    <row r="2" spans="1:32" x14ac:dyDescent="0.35">
      <c r="A2" s="42" t="s">
        <v>128</v>
      </c>
    </row>
    <row r="3" spans="1:32" ht="224.25" customHeight="1" x14ac:dyDescent="0.35">
      <c r="A3" s="287" t="s">
        <v>4</v>
      </c>
      <c r="B3" s="287" t="s">
        <v>5</v>
      </c>
      <c r="C3" s="287" t="s">
        <v>442</v>
      </c>
      <c r="D3" s="287" t="s">
        <v>57</v>
      </c>
      <c r="E3" s="287" t="s">
        <v>3</v>
      </c>
      <c r="F3" s="287" t="s">
        <v>1325</v>
      </c>
      <c r="G3" s="287" t="s">
        <v>15</v>
      </c>
      <c r="H3" s="287" t="s">
        <v>1385</v>
      </c>
      <c r="I3" s="287" t="s">
        <v>1386</v>
      </c>
      <c r="J3" s="287" t="s">
        <v>1387</v>
      </c>
      <c r="K3" s="287" t="s">
        <v>1388</v>
      </c>
      <c r="L3" s="287" t="s">
        <v>1389</v>
      </c>
      <c r="M3" s="287" t="s">
        <v>1390</v>
      </c>
      <c r="N3" s="293" t="s">
        <v>1379</v>
      </c>
      <c r="O3" s="293" t="s">
        <v>1380</v>
      </c>
      <c r="P3" s="293" t="s">
        <v>1381</v>
      </c>
      <c r="Q3" s="293" t="s">
        <v>1382</v>
      </c>
      <c r="R3" s="293" t="s">
        <v>1383</v>
      </c>
      <c r="S3" s="293" t="s">
        <v>1384</v>
      </c>
      <c r="T3" s="294" t="s">
        <v>1391</v>
      </c>
      <c r="U3" s="294" t="s">
        <v>1392</v>
      </c>
      <c r="V3" s="294" t="s">
        <v>1393</v>
      </c>
      <c r="W3" s="295" t="s">
        <v>1394</v>
      </c>
      <c r="X3" s="294" t="s">
        <v>1395</v>
      </c>
      <c r="Y3" s="294" t="s">
        <v>1396</v>
      </c>
      <c r="Z3" s="294" t="s">
        <v>1397</v>
      </c>
      <c r="AA3" s="294" t="s">
        <v>1398</v>
      </c>
      <c r="AB3" s="294" t="s">
        <v>1399</v>
      </c>
      <c r="AC3" s="294" t="s">
        <v>1400</v>
      </c>
      <c r="AD3" s="294" t="s">
        <v>1401</v>
      </c>
      <c r="AE3" s="294" t="s">
        <v>1402</v>
      </c>
      <c r="AF3" s="287" t="s">
        <v>1332</v>
      </c>
    </row>
    <row r="4" spans="1:32" x14ac:dyDescent="0.35">
      <c r="A4" s="349" t="s">
        <v>1287</v>
      </c>
      <c r="B4" s="348" t="s">
        <v>444</v>
      </c>
      <c r="C4" s="348" t="s">
        <v>1407</v>
      </c>
      <c r="D4" s="348" t="s">
        <v>91</v>
      </c>
      <c r="E4" s="348">
        <v>2.2000000000000002</v>
      </c>
      <c r="F4" s="350">
        <v>0.3</v>
      </c>
      <c r="G4" s="348">
        <v>15</v>
      </c>
      <c r="H4" s="351">
        <v>3.5</v>
      </c>
      <c r="I4" s="351">
        <v>1.2</v>
      </c>
      <c r="J4" s="351">
        <v>0.4</v>
      </c>
      <c r="K4" s="348">
        <v>0.2</v>
      </c>
      <c r="L4" s="348">
        <v>-0.4</v>
      </c>
      <c r="M4" s="348">
        <v>-0.2</v>
      </c>
      <c r="N4" s="352">
        <v>59.159290572993797</v>
      </c>
      <c r="O4" s="352">
        <v>31.153940057092299</v>
      </c>
      <c r="P4" s="352">
        <v>23.988852353117601</v>
      </c>
      <c r="Q4" s="353"/>
      <c r="R4" s="353" t="e">
        <f t="shared" ref="R4:R5" si="0">R3/1.8</f>
        <v>#VALUE!</v>
      </c>
      <c r="S4" s="353" t="e">
        <f t="shared" ref="S4:S5" si="1">S3/1.8</f>
        <v>#VALUE!</v>
      </c>
      <c r="T4" s="352">
        <v>25.325445208304501</v>
      </c>
      <c r="U4" s="352">
        <v>8.7223891676951109</v>
      </c>
      <c r="V4" s="352">
        <v>7.0381495009470996</v>
      </c>
      <c r="W4" s="353" t="e">
        <f t="shared" ref="W4:W5" si="2">W3/1.8</f>
        <v>#VALUE!</v>
      </c>
      <c r="X4" s="353" t="e">
        <f t="shared" ref="X4:X5" si="3">X3/1.8</f>
        <v>#VALUE!</v>
      </c>
      <c r="Y4" s="353" t="e">
        <f t="shared" ref="Y4:Y5" si="4">Y3/1.8</f>
        <v>#VALUE!</v>
      </c>
      <c r="Z4" s="352">
        <v>3134.0636370960901</v>
      </c>
      <c r="AA4" s="352">
        <v>436.99976871129701</v>
      </c>
      <c r="AB4" s="352">
        <v>415.11183388013598</v>
      </c>
      <c r="AC4" s="348"/>
      <c r="AD4" s="348"/>
      <c r="AE4" s="348"/>
      <c r="AF4" s="348" t="s">
        <v>1403</v>
      </c>
    </row>
    <row r="5" spans="1:32" x14ac:dyDescent="0.35">
      <c r="A5" s="354" t="s">
        <v>1405</v>
      </c>
      <c r="B5" s="348" t="s">
        <v>444</v>
      </c>
      <c r="C5" s="348" t="s">
        <v>470</v>
      </c>
      <c r="D5" s="348" t="s">
        <v>91</v>
      </c>
      <c r="E5" s="348">
        <v>2.4</v>
      </c>
      <c r="F5" s="350">
        <v>0.8</v>
      </c>
      <c r="G5" s="348">
        <v>60</v>
      </c>
      <c r="H5" s="351">
        <v>2.5</v>
      </c>
      <c r="I5" s="351">
        <v>1</v>
      </c>
      <c r="J5" s="351">
        <v>0.8</v>
      </c>
      <c r="K5" s="348">
        <v>0.35</v>
      </c>
      <c r="L5" s="348">
        <v>-0.8</v>
      </c>
      <c r="M5" s="348">
        <v>-0.4</v>
      </c>
      <c r="N5" s="353">
        <f>N4/1.8</f>
        <v>32.86627254055211</v>
      </c>
      <c r="O5" s="353">
        <f t="shared" ref="O5:AB5" si="5">O4/1.8</f>
        <v>17.307744476162387</v>
      </c>
      <c r="P5" s="353">
        <f t="shared" si="5"/>
        <v>13.327140196176444</v>
      </c>
      <c r="Q5" s="353">
        <f t="shared" si="5"/>
        <v>0</v>
      </c>
      <c r="R5" s="353" t="e">
        <f t="shared" si="0"/>
        <v>#VALUE!</v>
      </c>
      <c r="S5" s="353" t="e">
        <f t="shared" si="1"/>
        <v>#VALUE!</v>
      </c>
      <c r="T5" s="353">
        <f t="shared" si="5"/>
        <v>14.06969178239139</v>
      </c>
      <c r="U5" s="353">
        <f t="shared" si="5"/>
        <v>4.8457717598306171</v>
      </c>
      <c r="V5" s="353">
        <f t="shared" si="5"/>
        <v>3.9100830560817217</v>
      </c>
      <c r="W5" s="353" t="e">
        <f t="shared" si="2"/>
        <v>#VALUE!</v>
      </c>
      <c r="X5" s="353" t="e">
        <f t="shared" si="3"/>
        <v>#VALUE!</v>
      </c>
      <c r="Y5" s="353" t="e">
        <f t="shared" si="4"/>
        <v>#VALUE!</v>
      </c>
      <c r="Z5" s="353">
        <f t="shared" si="5"/>
        <v>1741.1464650533833</v>
      </c>
      <c r="AA5" s="353">
        <f t="shared" si="5"/>
        <v>242.77764928405389</v>
      </c>
      <c r="AB5" s="353">
        <f t="shared" si="5"/>
        <v>230.61768548896441</v>
      </c>
      <c r="AC5" s="348"/>
      <c r="AD5" s="348"/>
      <c r="AE5" s="348"/>
      <c r="AF5" s="348" t="s">
        <v>1404</v>
      </c>
    </row>
    <row r="6" spans="1:32" x14ac:dyDescent="0.35">
      <c r="A6" s="41"/>
      <c r="B6" s="348"/>
      <c r="C6" s="41"/>
      <c r="D6" s="344"/>
      <c r="E6" s="41"/>
      <c r="F6" s="362"/>
      <c r="G6" s="41"/>
      <c r="H6" s="41"/>
      <c r="I6" s="41"/>
      <c r="J6" s="41"/>
      <c r="K6" s="343"/>
      <c r="L6" s="343"/>
      <c r="M6" s="343"/>
      <c r="N6" s="290"/>
      <c r="O6" s="290"/>
      <c r="P6" s="290"/>
      <c r="Q6" s="41"/>
      <c r="R6" s="52"/>
      <c r="S6" s="52"/>
      <c r="T6" s="290"/>
      <c r="U6" s="290"/>
      <c r="V6" s="290"/>
      <c r="W6" s="52"/>
      <c r="X6" s="52"/>
      <c r="Y6" s="52"/>
      <c r="Z6" s="290"/>
      <c r="AA6" s="290"/>
      <c r="AB6" s="290"/>
      <c r="AC6" s="343"/>
      <c r="AD6" s="343"/>
      <c r="AE6" s="343"/>
      <c r="AF6" s="41"/>
    </row>
    <row r="7" spans="1:32" x14ac:dyDescent="0.35">
      <c r="A7" s="41"/>
      <c r="B7" s="348"/>
      <c r="C7" s="348"/>
      <c r="D7" s="344"/>
      <c r="E7" s="41"/>
      <c r="F7" s="362"/>
      <c r="G7" s="41"/>
      <c r="H7" s="41"/>
      <c r="I7" s="41"/>
      <c r="J7" s="41"/>
      <c r="K7" s="343"/>
      <c r="L7" s="343"/>
      <c r="M7" s="343"/>
      <c r="N7" s="52"/>
      <c r="O7" s="52"/>
      <c r="P7" s="52"/>
      <c r="Q7" s="52"/>
      <c r="R7" s="52"/>
      <c r="S7" s="52"/>
      <c r="T7" s="52"/>
      <c r="U7" s="52"/>
      <c r="V7" s="52"/>
      <c r="W7" s="52"/>
      <c r="X7" s="52"/>
      <c r="Y7" s="52"/>
      <c r="Z7" s="52"/>
      <c r="AA7" s="52"/>
      <c r="AB7" s="52"/>
      <c r="AC7" s="343"/>
      <c r="AD7" s="343"/>
      <c r="AE7" s="343"/>
      <c r="AF7" s="41"/>
    </row>
    <row r="8" spans="1:32" x14ac:dyDescent="0.35">
      <c r="A8" s="41"/>
      <c r="B8" s="348"/>
      <c r="C8" s="348"/>
      <c r="D8" s="344"/>
      <c r="E8" s="41"/>
      <c r="F8" s="362"/>
      <c r="G8" s="41"/>
      <c r="H8" s="41"/>
      <c r="I8" s="41"/>
      <c r="J8" s="41"/>
      <c r="K8" s="343"/>
      <c r="L8" s="343"/>
      <c r="M8" s="343"/>
      <c r="N8" s="41"/>
      <c r="O8" s="41"/>
      <c r="P8" s="41"/>
      <c r="Q8" s="41"/>
      <c r="R8" s="52"/>
      <c r="S8" s="52"/>
      <c r="T8" s="52"/>
      <c r="U8" s="52"/>
      <c r="V8" s="52"/>
      <c r="W8" s="52"/>
      <c r="X8" s="52"/>
      <c r="Y8" s="52"/>
      <c r="Z8" s="52"/>
      <c r="AA8" s="52"/>
      <c r="AB8" s="52"/>
      <c r="AC8" s="343"/>
      <c r="AD8" s="343"/>
      <c r="AE8" s="343"/>
      <c r="AF8" s="41"/>
    </row>
    <row r="9" spans="1:32" x14ac:dyDescent="0.35">
      <c r="A9" s="41"/>
      <c r="B9" s="348"/>
      <c r="C9" s="348"/>
      <c r="D9" s="344"/>
      <c r="E9" s="41"/>
      <c r="F9" s="362"/>
      <c r="G9" s="41"/>
      <c r="H9" s="41"/>
      <c r="I9" s="41"/>
      <c r="J9" s="41"/>
      <c r="K9" s="343"/>
      <c r="L9" s="343"/>
      <c r="M9" s="343"/>
      <c r="N9" s="41"/>
      <c r="O9" s="41"/>
      <c r="P9" s="41"/>
      <c r="Q9" s="41"/>
      <c r="R9" s="52"/>
      <c r="S9" s="52"/>
      <c r="T9" s="52"/>
      <c r="U9" s="52"/>
      <c r="V9" s="52"/>
      <c r="W9" s="52"/>
      <c r="X9" s="52"/>
      <c r="Y9" s="52"/>
      <c r="Z9" s="52"/>
      <c r="AA9" s="52"/>
      <c r="AB9" s="52"/>
      <c r="AC9" s="343"/>
      <c r="AD9" s="343"/>
      <c r="AE9" s="343"/>
      <c r="AF9" s="41"/>
    </row>
    <row r="10" spans="1:32" x14ac:dyDescent="0.35">
      <c r="A10" s="41"/>
      <c r="B10" s="348"/>
      <c r="C10" s="348"/>
      <c r="D10" s="344"/>
      <c r="E10" s="41"/>
      <c r="F10" s="362"/>
      <c r="G10" s="41"/>
      <c r="H10" s="41"/>
      <c r="I10" s="41"/>
      <c r="J10" s="41"/>
      <c r="K10" s="343"/>
      <c r="L10" s="343"/>
      <c r="M10" s="343"/>
      <c r="N10" s="41"/>
      <c r="O10" s="41"/>
      <c r="P10" s="41"/>
      <c r="Q10" s="41"/>
      <c r="R10" s="52"/>
      <c r="S10" s="52"/>
      <c r="T10" s="52"/>
      <c r="U10" s="52"/>
      <c r="V10" s="52"/>
      <c r="W10" s="52"/>
      <c r="X10" s="52"/>
      <c r="Y10" s="52"/>
      <c r="Z10" s="52"/>
      <c r="AA10" s="52"/>
      <c r="AB10" s="52"/>
      <c r="AC10" s="343"/>
      <c r="AD10" s="343"/>
      <c r="AE10" s="343"/>
      <c r="AF10" s="41"/>
    </row>
    <row r="11" spans="1:32" x14ac:dyDescent="0.35">
      <c r="A11" s="41"/>
      <c r="B11" s="348"/>
      <c r="C11" s="348"/>
      <c r="D11" s="344"/>
      <c r="E11" s="41"/>
      <c r="F11" s="362"/>
      <c r="G11" s="41"/>
      <c r="H11" s="41"/>
      <c r="I11" s="41"/>
      <c r="J11" s="41"/>
      <c r="K11" s="343"/>
      <c r="L11" s="343"/>
      <c r="M11" s="343"/>
      <c r="N11" s="52"/>
      <c r="O11" s="52"/>
      <c r="P11" s="52"/>
      <c r="Q11" s="41"/>
      <c r="R11" s="52"/>
      <c r="S11" s="52"/>
      <c r="T11" s="52"/>
      <c r="U11" s="52"/>
      <c r="V11" s="52"/>
      <c r="W11" s="52"/>
      <c r="X11" s="52"/>
      <c r="Y11" s="52"/>
      <c r="Z11" s="52"/>
      <c r="AA11" s="52"/>
      <c r="AB11" s="52"/>
      <c r="AC11" s="343"/>
      <c r="AD11" s="343"/>
      <c r="AE11" s="343"/>
      <c r="AF11" s="41"/>
    </row>
    <row r="12" spans="1:32" x14ac:dyDescent="0.35">
      <c r="A12" s="41"/>
      <c r="B12" s="348"/>
      <c r="C12" s="348"/>
      <c r="D12" s="344"/>
      <c r="E12" s="41"/>
      <c r="F12" s="362"/>
      <c r="G12" s="41"/>
      <c r="H12" s="41"/>
      <c r="I12" s="41"/>
      <c r="J12" s="41"/>
      <c r="K12" s="343"/>
      <c r="L12" s="343"/>
      <c r="M12" s="343"/>
      <c r="N12" s="41"/>
      <c r="O12" s="41"/>
      <c r="P12" s="41"/>
      <c r="Q12" s="41"/>
      <c r="R12" s="52"/>
      <c r="S12" s="52"/>
      <c r="T12" s="52"/>
      <c r="U12" s="52"/>
      <c r="V12" s="52"/>
      <c r="W12" s="52"/>
      <c r="X12" s="52"/>
      <c r="Y12" s="52"/>
      <c r="Z12" s="52"/>
      <c r="AA12" s="52"/>
      <c r="AB12" s="52"/>
      <c r="AC12" s="343"/>
      <c r="AD12" s="343"/>
      <c r="AE12" s="343"/>
      <c r="AF12" s="41"/>
    </row>
    <row r="13" spans="1:32" x14ac:dyDescent="0.35">
      <c r="A13" s="41"/>
      <c r="B13" s="348"/>
      <c r="C13" s="348"/>
      <c r="D13" s="344"/>
      <c r="E13" s="41"/>
      <c r="F13" s="362"/>
      <c r="G13" s="41"/>
      <c r="H13" s="41"/>
      <c r="I13" s="41"/>
      <c r="J13" s="41"/>
      <c r="K13" s="343"/>
      <c r="L13" s="343"/>
      <c r="M13" s="343"/>
      <c r="N13" s="41"/>
      <c r="O13" s="41"/>
      <c r="P13" s="41"/>
      <c r="Q13" s="41"/>
      <c r="R13" s="52"/>
      <c r="S13" s="52"/>
      <c r="T13" s="52"/>
      <c r="U13" s="52"/>
      <c r="V13" s="52"/>
      <c r="W13" s="52"/>
      <c r="X13" s="52"/>
      <c r="Y13" s="52"/>
      <c r="Z13" s="52"/>
      <c r="AA13" s="52"/>
      <c r="AB13" s="52"/>
      <c r="AC13" s="343"/>
      <c r="AD13" s="343"/>
      <c r="AE13" s="343"/>
      <c r="AF13" s="41"/>
    </row>
    <row r="14" spans="1:32" x14ac:dyDescent="0.35">
      <c r="A14" s="41"/>
      <c r="B14" s="348"/>
      <c r="C14" s="41"/>
      <c r="D14" s="344"/>
      <c r="E14" s="41"/>
      <c r="F14" s="362"/>
      <c r="G14" s="41"/>
      <c r="H14" s="41"/>
      <c r="I14" s="41"/>
      <c r="J14" s="41"/>
      <c r="K14" s="343"/>
      <c r="L14" s="343"/>
      <c r="M14" s="343"/>
      <c r="N14" s="41"/>
      <c r="O14" s="41"/>
      <c r="P14" s="41"/>
      <c r="Q14" s="41"/>
      <c r="R14" s="52"/>
      <c r="S14" s="52"/>
      <c r="T14" s="52"/>
      <c r="U14" s="52"/>
      <c r="V14" s="52"/>
      <c r="W14" s="52"/>
      <c r="X14" s="52"/>
      <c r="Y14" s="52"/>
      <c r="Z14" s="52"/>
      <c r="AA14" s="52"/>
      <c r="AB14" s="52"/>
      <c r="AC14" s="343"/>
      <c r="AD14" s="343"/>
      <c r="AE14" s="343"/>
      <c r="AF14" s="41"/>
    </row>
    <row r="15" spans="1:32" x14ac:dyDescent="0.35">
      <c r="A15" s="41"/>
      <c r="B15" s="348"/>
      <c r="C15" s="41"/>
      <c r="D15" s="344"/>
      <c r="E15" s="41"/>
      <c r="F15" s="362"/>
      <c r="G15" s="41"/>
      <c r="H15" s="41"/>
      <c r="I15" s="41"/>
      <c r="J15" s="41"/>
      <c r="K15" s="343"/>
      <c r="L15" s="343"/>
      <c r="M15" s="343"/>
      <c r="N15" s="41"/>
      <c r="O15" s="41"/>
      <c r="P15" s="41"/>
      <c r="Q15" s="41"/>
      <c r="R15" s="52"/>
      <c r="S15" s="52"/>
      <c r="T15" s="41"/>
      <c r="U15" s="41"/>
      <c r="V15" s="41"/>
      <c r="W15" s="52"/>
      <c r="X15" s="52"/>
      <c r="Y15" s="52"/>
      <c r="Z15" s="41"/>
      <c r="AA15" s="41"/>
      <c r="AB15" s="41"/>
      <c r="AC15" s="343"/>
      <c r="AD15" s="343"/>
      <c r="AE15" s="343"/>
      <c r="AF15" s="41"/>
    </row>
    <row r="16" spans="1:32" x14ac:dyDescent="0.35">
      <c r="A16" s="41"/>
      <c r="B16" s="348"/>
      <c r="C16" s="348"/>
      <c r="D16" s="344"/>
      <c r="E16" s="41"/>
      <c r="F16" s="362"/>
      <c r="G16" s="41"/>
      <c r="H16" s="41"/>
      <c r="I16" s="41"/>
      <c r="J16" s="41"/>
      <c r="K16" s="343"/>
      <c r="L16" s="343"/>
      <c r="M16" s="343"/>
      <c r="N16" s="41"/>
      <c r="O16" s="41"/>
      <c r="P16" s="41"/>
      <c r="Q16" s="41"/>
      <c r="R16" s="52"/>
      <c r="S16" s="52"/>
      <c r="T16" s="52"/>
      <c r="U16" s="52"/>
      <c r="V16" s="52"/>
      <c r="W16" s="52"/>
      <c r="X16" s="52"/>
      <c r="Y16" s="52"/>
      <c r="Z16" s="52"/>
      <c r="AA16" s="52"/>
      <c r="AB16" s="52"/>
      <c r="AC16" s="343"/>
      <c r="AD16" s="343"/>
      <c r="AE16" s="343"/>
      <c r="AF16" s="41"/>
    </row>
    <row r="17" spans="1:32" x14ac:dyDescent="0.35">
      <c r="A17" s="41"/>
      <c r="B17" s="348"/>
      <c r="C17" s="41"/>
      <c r="D17" s="344"/>
      <c r="E17" s="41"/>
      <c r="F17" s="362"/>
      <c r="G17" s="41"/>
      <c r="H17" s="41"/>
      <c r="I17" s="41"/>
      <c r="J17" s="41"/>
      <c r="K17" s="343"/>
      <c r="L17" s="343"/>
      <c r="M17" s="343"/>
      <c r="N17" s="41"/>
      <c r="O17" s="41"/>
      <c r="P17" s="41"/>
      <c r="Q17" s="41"/>
      <c r="R17" s="52"/>
      <c r="S17" s="52"/>
      <c r="T17" s="52"/>
      <c r="U17" s="52"/>
      <c r="V17" s="52"/>
      <c r="W17" s="52"/>
      <c r="X17" s="52"/>
      <c r="Y17" s="52"/>
      <c r="Z17" s="52"/>
      <c r="AA17" s="52"/>
      <c r="AB17" s="52"/>
      <c r="AC17" s="343"/>
      <c r="AD17" s="343"/>
      <c r="AE17" s="343"/>
      <c r="AF17" s="41"/>
    </row>
    <row r="18" spans="1:32" x14ac:dyDescent="0.35">
      <c r="A18" s="41"/>
      <c r="B18" s="348"/>
      <c r="C18" s="41"/>
      <c r="D18" s="344"/>
      <c r="E18" s="41"/>
      <c r="F18" s="41"/>
      <c r="G18" s="41"/>
      <c r="H18" s="41"/>
      <c r="I18" s="41"/>
      <c r="J18" s="41"/>
      <c r="K18" s="343"/>
      <c r="L18" s="343"/>
      <c r="M18" s="343"/>
      <c r="N18" s="41"/>
      <c r="O18" s="41"/>
      <c r="P18" s="41"/>
      <c r="Q18" s="41"/>
      <c r="R18" s="52"/>
      <c r="S18" s="52"/>
      <c r="T18" s="41"/>
      <c r="U18" s="41"/>
      <c r="V18" s="41"/>
      <c r="W18" s="52"/>
      <c r="X18" s="52"/>
      <c r="Y18" s="52"/>
      <c r="Z18" s="41"/>
      <c r="AA18" s="41"/>
      <c r="AB18" s="41"/>
      <c r="AC18" s="343"/>
      <c r="AD18" s="343"/>
      <c r="AE18" s="343"/>
      <c r="AF18" s="41"/>
    </row>
    <row r="19" spans="1:32" x14ac:dyDescent="0.35">
      <c r="A19" s="41"/>
      <c r="B19" s="348"/>
      <c r="C19" s="348"/>
      <c r="D19" s="344"/>
      <c r="E19" s="41"/>
      <c r="F19" s="362"/>
      <c r="G19" s="41"/>
      <c r="H19" s="41"/>
      <c r="I19" s="52"/>
      <c r="J19" s="52"/>
      <c r="K19" s="343"/>
      <c r="L19" s="343"/>
      <c r="M19" s="343"/>
      <c r="N19" s="52"/>
      <c r="O19" s="52"/>
      <c r="P19" s="52"/>
      <c r="Q19" s="41"/>
      <c r="R19" s="52"/>
      <c r="S19" s="52"/>
      <c r="T19" s="41"/>
      <c r="U19" s="41"/>
      <c r="V19" s="41"/>
      <c r="W19" s="52"/>
      <c r="X19" s="52"/>
      <c r="Y19" s="52"/>
      <c r="Z19" s="41"/>
      <c r="AA19" s="41"/>
      <c r="AB19" s="41"/>
      <c r="AC19" s="343"/>
      <c r="AD19" s="343"/>
      <c r="AE19" s="343"/>
      <c r="AF19" s="41"/>
    </row>
    <row r="20" spans="1:32" x14ac:dyDescent="0.35">
      <c r="A20" s="41"/>
      <c r="B20" s="348"/>
      <c r="C20" s="348"/>
      <c r="D20" s="344"/>
      <c r="E20" s="41"/>
      <c r="F20" s="362"/>
      <c r="G20" s="41"/>
      <c r="H20" s="41"/>
      <c r="I20" s="52"/>
      <c r="J20" s="52"/>
      <c r="K20" s="343"/>
      <c r="L20" s="343"/>
      <c r="M20" s="343"/>
      <c r="N20" s="52"/>
      <c r="O20" s="52"/>
      <c r="P20" s="52"/>
      <c r="Q20" s="41"/>
      <c r="R20" s="52"/>
      <c r="S20" s="52"/>
      <c r="T20" s="41"/>
      <c r="U20" s="41"/>
      <c r="V20" s="41"/>
      <c r="W20" s="52"/>
      <c r="X20" s="52"/>
      <c r="Y20" s="52"/>
      <c r="Z20" s="41"/>
      <c r="AA20" s="41"/>
      <c r="AB20" s="41"/>
      <c r="AC20" s="343"/>
      <c r="AD20" s="343"/>
      <c r="AE20" s="343"/>
      <c r="AF20" s="41"/>
    </row>
    <row r="21" spans="1:32" x14ac:dyDescent="0.35">
      <c r="A21" s="41"/>
      <c r="B21" s="348"/>
      <c r="C21" s="41"/>
      <c r="D21" s="344"/>
      <c r="E21" s="41"/>
      <c r="F21" s="362"/>
      <c r="G21" s="41"/>
      <c r="H21" s="41"/>
      <c r="I21" s="52"/>
      <c r="J21" s="52"/>
      <c r="K21" s="343"/>
      <c r="L21" s="343"/>
      <c r="M21" s="343"/>
      <c r="N21" s="52"/>
      <c r="O21" s="52"/>
      <c r="P21" s="52"/>
      <c r="Q21" s="41"/>
      <c r="R21" s="52"/>
      <c r="S21" s="52"/>
      <c r="T21" s="41"/>
      <c r="U21" s="41"/>
      <c r="V21" s="41"/>
      <c r="W21" s="52"/>
      <c r="X21" s="52"/>
      <c r="Y21" s="52"/>
      <c r="Z21" s="41"/>
      <c r="AA21" s="41"/>
      <c r="AB21" s="41"/>
      <c r="AC21" s="343"/>
      <c r="AD21" s="343"/>
      <c r="AE21" s="343"/>
      <c r="AF21" s="41"/>
    </row>
    <row r="22" spans="1:32" x14ac:dyDescent="0.35">
      <c r="A22" s="41"/>
      <c r="B22" s="348"/>
      <c r="C22" s="348"/>
      <c r="D22" s="344"/>
      <c r="E22" s="41"/>
      <c r="F22" s="362"/>
      <c r="G22" s="41"/>
      <c r="H22" s="52"/>
      <c r="I22" s="52"/>
      <c r="J22" s="52"/>
      <c r="K22" s="343"/>
      <c r="L22" s="343"/>
      <c r="M22" s="343"/>
      <c r="N22" s="52"/>
      <c r="O22" s="52"/>
      <c r="P22" s="52"/>
      <c r="Q22" s="41"/>
      <c r="R22" s="52"/>
      <c r="S22" s="52"/>
      <c r="T22" s="41"/>
      <c r="U22" s="41"/>
      <c r="V22" s="41"/>
      <c r="W22" s="52"/>
      <c r="X22" s="52"/>
      <c r="Y22" s="52"/>
      <c r="Z22" s="41"/>
      <c r="AA22" s="41"/>
      <c r="AB22" s="41"/>
      <c r="AC22" s="343"/>
      <c r="AD22" s="343"/>
      <c r="AE22" s="343"/>
      <c r="AF22" s="41"/>
    </row>
    <row r="23" spans="1:32" x14ac:dyDescent="0.35">
      <c r="A23" s="41"/>
      <c r="B23" s="348"/>
      <c r="C23" s="41"/>
      <c r="D23" s="344"/>
      <c r="E23" s="41"/>
      <c r="F23" s="289"/>
      <c r="G23" s="41"/>
      <c r="H23" s="41"/>
      <c r="I23" s="41"/>
      <c r="J23" s="41"/>
      <c r="K23" s="343"/>
      <c r="L23" s="343"/>
      <c r="M23" s="343"/>
      <c r="N23" s="41"/>
      <c r="O23" s="41"/>
      <c r="P23" s="41"/>
      <c r="Q23" s="41"/>
      <c r="R23" s="52"/>
      <c r="S23" s="52"/>
      <c r="T23" s="41"/>
      <c r="U23" s="41"/>
      <c r="V23" s="41"/>
      <c r="W23" s="52"/>
      <c r="X23" s="52"/>
      <c r="Y23" s="52"/>
      <c r="Z23" s="41"/>
      <c r="AA23" s="41"/>
      <c r="AB23" s="41"/>
      <c r="AC23" s="343"/>
      <c r="AD23" s="343"/>
      <c r="AE23" s="343"/>
      <c r="AF23" s="41"/>
    </row>
    <row r="24" spans="1:32" x14ac:dyDescent="0.35">
      <c r="A24" s="41"/>
      <c r="B24" s="348"/>
      <c r="C24" s="348"/>
      <c r="D24" s="344"/>
      <c r="E24" s="41"/>
      <c r="F24" s="362"/>
      <c r="G24" s="41"/>
      <c r="H24" s="41"/>
      <c r="I24" s="41"/>
      <c r="J24" s="41"/>
      <c r="K24" s="343"/>
      <c r="L24" s="343"/>
      <c r="M24" s="343"/>
      <c r="N24" s="41"/>
      <c r="O24" s="41"/>
      <c r="P24" s="41"/>
      <c r="Q24" s="41"/>
      <c r="R24" s="52"/>
      <c r="S24" s="52"/>
      <c r="T24" s="52"/>
      <c r="U24" s="52"/>
      <c r="V24" s="52"/>
      <c r="W24" s="52"/>
      <c r="X24" s="52"/>
      <c r="Y24" s="52"/>
      <c r="Z24" s="52"/>
      <c r="AA24" s="52"/>
      <c r="AB24" s="52"/>
      <c r="AC24" s="343"/>
      <c r="AD24" s="343"/>
      <c r="AE24" s="343"/>
      <c r="AF24" s="41"/>
    </row>
    <row r="25" spans="1:32" x14ac:dyDescent="0.35">
      <c r="A25" s="41"/>
      <c r="B25" s="348"/>
      <c r="C25" s="348"/>
      <c r="D25" s="344"/>
      <c r="E25" s="41"/>
      <c r="F25" s="363"/>
      <c r="G25" s="41"/>
      <c r="H25" s="41"/>
      <c r="I25" s="41"/>
      <c r="J25" s="41"/>
      <c r="K25" s="343"/>
      <c r="L25" s="343"/>
      <c r="M25" s="343"/>
      <c r="N25" s="41"/>
      <c r="O25" s="41"/>
      <c r="P25" s="41"/>
      <c r="Q25" s="41"/>
      <c r="R25" s="52"/>
      <c r="S25" s="52"/>
      <c r="T25" s="52"/>
      <c r="U25" s="52"/>
      <c r="V25" s="52"/>
      <c r="W25" s="52"/>
      <c r="X25" s="52"/>
      <c r="Y25" s="52"/>
      <c r="Z25" s="52"/>
      <c r="AA25" s="52"/>
      <c r="AB25" s="52"/>
      <c r="AC25" s="343"/>
      <c r="AD25" s="343"/>
      <c r="AE25" s="343"/>
      <c r="AF25" s="41"/>
    </row>
    <row r="26" spans="1:32" x14ac:dyDescent="0.35">
      <c r="A26" s="41"/>
      <c r="B26" s="348"/>
      <c r="C26" s="41"/>
      <c r="D26" s="344"/>
      <c r="E26" s="41"/>
      <c r="F26" s="289"/>
      <c r="G26" s="41"/>
      <c r="H26" s="41"/>
      <c r="I26" s="41"/>
      <c r="J26" s="41"/>
      <c r="K26" s="343"/>
      <c r="L26" s="343"/>
      <c r="M26" s="343"/>
      <c r="N26" s="41"/>
      <c r="O26" s="41"/>
      <c r="P26" s="41"/>
      <c r="Q26" s="41"/>
      <c r="R26" s="52"/>
      <c r="S26" s="52"/>
      <c r="T26" s="52"/>
      <c r="U26" s="52"/>
      <c r="V26" s="52"/>
      <c r="W26" s="52"/>
      <c r="X26" s="52"/>
      <c r="Y26" s="52"/>
      <c r="Z26" s="52"/>
      <c r="AA26" s="52"/>
      <c r="AB26" s="52"/>
      <c r="AC26" s="343"/>
      <c r="AD26" s="343"/>
      <c r="AE26" s="343"/>
      <c r="AF26" s="41"/>
    </row>
  </sheetData>
  <sheetProtection selectLockedCells="1"/>
  <phoneticPr fontId="11" type="noConversion"/>
  <pageMargins left="0.7" right="0.7" top="0.75" bottom="0.75" header="0.3" footer="0.3"/>
  <ignoredErrors>
    <ignoredError sqref="N5:V5 Z5:AB5" unlockedFormula="1"/>
  </ignoredErrors>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1B72100C-E352-46A8-A27F-646AC93B735E}">
          <x14:formula1>
            <xm:f>Keuzelijst_Producten!$B$67:$B$72</xm:f>
          </x14:formula1>
          <xm:sqref>C4:C26</xm:sqref>
        </x14:dataValidation>
        <x14:dataValidation type="list" allowBlank="1" showInputMessage="1" showErrorMessage="1" xr:uid="{C5086263-617D-40DC-AA68-945E815973E4}">
          <x14:formula1>
            <xm:f>Keuzelijst_Producten!$A$2:$A$2</xm:f>
          </x14:formula1>
          <xm:sqref>B4:B26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24A2D-A1BD-4248-8A01-2FA793EF2B3F}">
  <sheetPr codeName="Blad5"/>
  <dimension ref="B2:T139"/>
  <sheetViews>
    <sheetView topLeftCell="A112" zoomScale="85" zoomScaleNormal="85" workbookViewId="0">
      <selection activeCell="D125" sqref="D125"/>
    </sheetView>
  </sheetViews>
  <sheetFormatPr defaultColWidth="10.81640625" defaultRowHeight="14.5" x14ac:dyDescent="0.35"/>
  <cols>
    <col min="1" max="1" width="10.81640625" style="18"/>
    <col min="2" max="2" width="24.81640625" style="18" customWidth="1"/>
    <col min="3" max="3" width="28.26953125" style="18" customWidth="1"/>
    <col min="4" max="7" width="10.81640625" style="18"/>
    <col min="8" max="8" width="11.7265625" style="18" bestFit="1" customWidth="1"/>
    <col min="9" max="9" width="14.1796875" style="18" bestFit="1" customWidth="1"/>
    <col min="10" max="10" width="13.453125" style="18" customWidth="1"/>
    <col min="11" max="11" width="11" style="18" bestFit="1" customWidth="1"/>
    <col min="12" max="12" width="12.81640625" style="18" customWidth="1"/>
    <col min="13" max="13" width="15.26953125" style="18" bestFit="1" customWidth="1"/>
    <col min="14" max="15" width="10.81640625" style="18"/>
    <col min="16" max="16" width="12" style="18" bestFit="1" customWidth="1"/>
    <col min="17" max="17" width="14.453125" style="18" customWidth="1"/>
    <col min="18" max="16384" width="10.81640625" style="18"/>
  </cols>
  <sheetData>
    <row r="2" spans="2:17" ht="22" x14ac:dyDescent="0.65">
      <c r="B2" s="134" t="s">
        <v>422</v>
      </c>
    </row>
    <row r="3" spans="2:17" ht="18" x14ac:dyDescent="0.55000000000000004">
      <c r="B3" s="23" t="s">
        <v>55</v>
      </c>
      <c r="C3" s="23" t="s">
        <v>4</v>
      </c>
      <c r="D3" s="24" t="s">
        <v>19</v>
      </c>
      <c r="E3" s="25" t="s">
        <v>20</v>
      </c>
      <c r="F3" s="26" t="s">
        <v>21</v>
      </c>
      <c r="G3" s="27" t="s">
        <v>22</v>
      </c>
      <c r="H3" s="28" t="s">
        <v>23</v>
      </c>
      <c r="I3" s="29" t="s">
        <v>24</v>
      </c>
      <c r="J3" s="30" t="s">
        <v>50</v>
      </c>
      <c r="K3" s="31" t="s">
        <v>25</v>
      </c>
      <c r="L3" s="32" t="s">
        <v>26</v>
      </c>
      <c r="M3" s="33" t="s">
        <v>27</v>
      </c>
      <c r="N3" s="34" t="s">
        <v>28</v>
      </c>
      <c r="O3" s="35" t="s">
        <v>51</v>
      </c>
      <c r="P3" s="36" t="s">
        <v>52</v>
      </c>
      <c r="Q3" s="192" t="s">
        <v>16</v>
      </c>
    </row>
    <row r="4" spans="2:17" ht="18" x14ac:dyDescent="0.55000000000000004">
      <c r="B4" s="285">
        <f>Inschrijfberekening!B6</f>
        <v>422410</v>
      </c>
      <c r="C4" s="23" t="str">
        <f>Inschrijfberekening!F6</f>
        <v>20460-TB - AC 16 Bin/Base 35/50 60% PR Bestone</v>
      </c>
      <c r="D4" s="11" cm="1">
        <f t="array" ref="D4">(IF(Inschrijfberekening!C6="Nieuwe Situatie",_xlfn.IFNA(_xlfn.IFS(Inschrijfberekening!E6="Bitumineuze_verhardingen",VLOOKUP(Inschrijf_MKI_Totaal[[#This Row],[Product]]&amp;", "&amp;Inschrijf_MKI_Totaal[[#Headers],[A1]],Database_Productkaarten[#All],13,FALSE)*Inschrijfberekening!K6,Inschrijfberekening!E6="Funderingslagen",VLOOKUP(Inschrijf_MKI_Totaal[[#This Row],[Product]]&amp;", "&amp;Inschrijf_MKI_Totaal[[#Headers],[A1]],Database_Productkaarten[#All],13,FALSE)*Inschrijfberekening!K6,Inschrijfberekening!E6="Grondwerken",VLOOKUP(Inschrijf_MKI_Totaal[[#This Row],[Product]]&amp;", "&amp;Inschrijf_MKI_Totaal[[#Headers],[A1]],Database_Productkaarten[#All],13,FALSE)*Inschrijfberekening!K6,Inschrijfberekening!E6="Categorie_1_LCA_Producten",VLOOKUP(Inschrijf_MKI_Totaal[[#This Row],[Product]],Categorie_1_Producten[#All],8,FALSE)*(Inschrijfberekening!K6)),Referentie_Backlog!D4),0))</f>
        <v>0</v>
      </c>
      <c r="E4" s="11" cm="1">
        <f t="array" ref="E4">(IF(Inschrijfberekening!C6="Nieuwe Situatie",_xlfn.IFNA(_xlfn.IFS(Inschrijfberekening!E6="Bitumineuze_verhardingen",VLOOKUP(Inschrijf_MKI_Totaal[[#This Row],[Product]]&amp;", "&amp;Inschrijf_MKI_Totaal[[#Headers],[A2]],Database_Productkaarten[#All],13,FALSE)*Inschrijfberekening!K6,Inschrijfberekening!E6="Funderingslagen",VLOOKUP(Inschrijf_MKI_Totaal[[#This Row],[Product]]&amp;", "&amp;Inschrijf_MKI_Totaal[[#Headers],[A2]],Database_Productkaarten[#All],13,FALSE)*Inschrijfberekening!K6,Inschrijfberekening!E6="Grondwerken",VLOOKUP(Inschrijf_MKI_Totaal[[#This Row],[Product]]&amp;", "&amp;Inschrijf_MKI_Totaal[[#Headers],[A2]],Database_Productkaarten[#All],13,FALSE)*Inschrijfberekening!K6,Inschrijfberekening!E6="Categorie_1_LCA_Producten",VLOOKUP(Inschrijf_MKI_Totaal[[#This Row],[Product]],Categorie_1_Producten[#All],9,FALSE)*(Inschrijfberekening!K6)),Referentie_Backlog!E4),0))</f>
        <v>0</v>
      </c>
      <c r="F4" s="11" cm="1">
        <f t="array" ref="F4">(IF(Inschrijfberekening!C6="Nieuwe Situatie",_xlfn.IFNA(_xlfn.IFS(Inschrijfberekening!E6="Bitumineuze_verhardingen",VLOOKUP(Inschrijf_MKI_Totaal[[#This Row],[Product]]&amp;", "&amp;Inschrijf_MKI_Totaal[[#Headers],[A3]],Database_Productkaarten[#All],13,FALSE)*Inschrijfberekening!K6,Inschrijfberekening!E6="Funderingslagen",VLOOKUP(Inschrijf_MKI_Totaal[[#This Row],[Product]]&amp;", "&amp;Inschrijf_MKI_Totaal[[#Headers],[A3]],Database_Productkaarten[#All],13,FALSE)*Inschrijfberekening!K6,Inschrijfberekening!E6="Grondwerken",VLOOKUP(Inschrijf_MKI_Totaal[[#This Row],[Product]]&amp;", "&amp;Inschrijf_MKI_Totaal[[#Headers],[A3]],Database_Productkaarten[#All],13,FALSE)*Inschrijfberekening!K6,Inschrijfberekening!E6="Categorie_1_LCA_Producten",VLOOKUP(Inschrijf_MKI_Totaal[[#This Row],[Product]],Categorie_1_Producten[#All],10,FALSE)*(Inschrijfberekening!K6)),Referentie_Backlog!F4),0))</f>
        <v>0</v>
      </c>
      <c r="G4" s="11">
        <f>(IF(Inschrijfberekening!C6="Nieuwe Situatie",_xlfn.IFNA(VLOOKUP(Inschrijfberekening!O6,Database_Transport[#All],7,FALSE)*(Inschrijfberekening!K6*Inschrijfberekening!N6),Referentie_Backlog!G4),0))</f>
        <v>126.07580635241227</v>
      </c>
      <c r="H4" s="105">
        <f>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f>
        <v>69.497957577639127</v>
      </c>
      <c r="I4" s="11" cm="1">
        <f t="array" ref="I4">_xlfn.IFNA((IF(Inschrijfberekening!C6="Nieuwe Situatie",_xlfn.IFS(Inschrijfberekening!E6="Bitumineuze_verhardingen",VLOOKUP(Inschrijf_MKI_Totaal[[#This Row],[Product]]&amp;", "&amp;Inschrijf_MKI_Totaal[[#Headers],[B1]],Database_Productkaarten[#All],13,FALSE)*Inschrijfberekening!K6,Inschrijfberekening!E6="Funderingslagen",VLOOKUP(Inschrijf_MKI_Totaal[[#This Row],[Product]]&amp;", "&amp;Inschrijf_MKI_Totaal[[#Headers],[B1]],Database_Productkaarten[#All],13,FALSE)*Inschrijfberekening!K6,Inschrijfberekening!E6="Grondwerken",VLOOKUP(Inschrijf_MKI_Totaal[[#This Row],[Product]]&amp;", "&amp;Inschrijf_MKI_Totaal[[#Headers],[B1]],Database_Productkaarten[#All],13,FALSE)*Inschrijfberekening!K6,Inschrijfberekening!E6="Categorie_1_LCA_Producten",VLOOKUP(Inschrijf_MKI_Totaal[[#This Row],[Product]],Categorie_1_Producten[#All],11,FALSE)*(Inschrijfberekening!K6)),0)),Referentie_Backlog!I4)</f>
        <v>0</v>
      </c>
      <c r="J4" s="11">
        <f>(IF(Inschrijfberekening!C6="Nieuwe Situatie",_xlfn.IFNA(SUM(Inschrijf_MKI_Totaal[[#This Row],[A1]:[B1]],Inschrijf_MKI_Totaal[[#This Row],[C1]:[D2]])*Inschrijfberekening!M6,0),0))</f>
        <v>0</v>
      </c>
      <c r="K4" s="110">
        <f>(IF(Inschrijfberekening!C6="Bestaande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f>
        <v>0</v>
      </c>
      <c r="L4" s="11">
        <f>(IF(Inschrijfberekening!C6="Bestaande Situatie",_xlfn.IFNA(VLOOKUP(Inschrijfberekening!U6,Database_Transport[#All],7,FALSE)*(Inschrijfberekening!K6*Inschrijfberekening!T6),Referentie_Backlog!L4),0))</f>
        <v>0</v>
      </c>
      <c r="M4" s="11">
        <f>(IF(Inschrijfberekening!C6="Bestaande Situatie",_xlfn.IFNA(VLOOKUP(Inschrijfberekening!V6,Database_Asfalt_Verwerkingsset[#All],7,FALSE)*(Inschrijfberekening!K6/VLOOKUP(Inschrijfberekening!V6,Database_Asfalt_Verwerkingsset[#All],8,FALSE)),Referentie_Backlog!M4),0))</f>
        <v>0</v>
      </c>
      <c r="N4" s="11">
        <f>(IF(Inschrijfberekening!C6="Bestaande Situatie",_xlfn.IFNA(VLOOKUP(Inschrijf_MKI_Totaal[[#This Row],[Product]]&amp;", "&amp;Inschrijf_MKI_Totaal[[#Headers],[C4]],Database_Productkaarten[#All],13,FALSE)*Inschrijfberekening!K6,Referentie_Backlog!N4),0))</f>
        <v>0</v>
      </c>
      <c r="O4" s="11" cm="1">
        <f t="array" ref="O4">_xlfn.IFNA((IF(Inschrijfberekening!C6="Bestaande Situatie",_xlfn.IFS(Inschrijfberekening!E6="Bitumineuze_verhardingen",VLOOKUP(Inschrijf_MKI_Totaal[[#This Row],[Product]]&amp;", "&amp;Inschrijf_MKI_Totaal[[#Headers],[D1]],Database_Productkaarten[#All],13,FALSE)*Inschrijfberekening!K6,Inschrijfberekening!E6="Funderingslagen",VLOOKUP(Inschrijf_MKI_Totaal[[#This Row],[Product]]&amp;", "&amp;Inschrijf_MKI_Totaal[[#Headers],[D1]],Database_Productkaarten[#All],13,FALSE)*Inschrijfberekening!K6,Inschrijfberekening!E6="Grondwerken",VLOOKUP(Inschrijf_MKI_Totaal[[#This Row],[Product]]&amp;", "&amp;Inschrijf_MKI_Totaal[[#Headers],[D1]],Database_Productkaarten[#All],13,FALSE)*Inschrijfberekening!K6,Inschrijfberekening!E6="Categorie_1_LCA_Producten",VLOOKUP(Inschrijf_MKI_Totaal[[#This Row],[Product]],Categorie_1_Producten[#All],12,FALSE)*(Inschrijfberekening!K6)),0)),Referentie_Backlog!O4)</f>
        <v>0</v>
      </c>
      <c r="P4" s="38" cm="1">
        <f t="array" ref="P4">_xlfn.IFNA((IF(Inschrijfberekening!C6="Bestaande Situatie",_xlfn.IFS(Inschrijfberekening!E6="Bitumineuze_verhardingen",VLOOKUP(Inschrijf_MKI_Totaal[[#This Row],[Product]]&amp;", "&amp;Inschrijf_MKI_Totaal[[#Headers],[D2]],Database_Productkaarten[#All],13,FALSE)*Inschrijfberekening!K6,Inschrijfberekening!E6="Funderingslagen",VLOOKUP(Inschrijf_MKI_Totaal[[#This Row],[Product]]&amp;", "&amp;Inschrijf_MKI_Totaal[[#Headers],[D2]],Database_Productkaarten[#All],13,FALSE)*Inschrijfberekening!K6,Inschrijfberekening!E6="Grondwerken",VLOOKUP(Inschrijf_MKI_Totaal[[#This Row],[Product]]&amp;", "&amp;Inschrijf_MKI_Totaal[[#Headers],[D2]],Database_Productkaarten[#All],13,FALSE)*Inschrijfberekening!K6,Inschrijfberekening!E6="Categorie_1_LCA_Producten",VLOOKUP(Inschrijf_MKI_Totaal[[#This Row],[Product]],Categorie_1_Producten[#All],13,FALSE)*(Inschrijfberekening!K6)),0)),Referentie_Backlog!P4)</f>
        <v>0</v>
      </c>
      <c r="Q4" s="191">
        <f>SUM(Inschrijf_MKI_Totaal[[#This Row],[A1]:[D2]])</f>
        <v>195.5737639300514</v>
      </c>
    </row>
    <row r="5" spans="2:17" ht="18" x14ac:dyDescent="0.55000000000000004">
      <c r="B5" s="285">
        <f>Inschrijfberekening!B7</f>
        <v>422510</v>
      </c>
      <c r="C5" s="23" t="str">
        <f>Inschrijfberekening!F7</f>
        <v>AC 11 surf DL-A rood*</v>
      </c>
      <c r="D5" s="11" cm="1">
        <f t="array" ref="D5">(IF(Inschrijfberekening!C7="Nieuwe Situatie",_xlfn.IFNA(_xlfn.IFS(Inschrijfberekening!E7="Bitumineuze_verhardingen",VLOOKUP(Inschrijf_MKI_Totaal[[#This Row],[Product]]&amp;", "&amp;Inschrijf_MKI_Totaal[[#Headers],[A1]],Database_Productkaarten[#All],13,FALSE)*Inschrijfberekening!K7,Inschrijfberekening!E7="Funderingslagen",VLOOKUP(Inschrijf_MKI_Totaal[[#This Row],[Product]]&amp;", "&amp;Inschrijf_MKI_Totaal[[#Headers],[A1]],Database_Productkaarten[#All],13,FALSE)*Inschrijfberekening!K7,Inschrijfberekening!E7="Grondwerken",VLOOKUP(Inschrijf_MKI_Totaal[[#This Row],[Product]]&amp;", "&amp;Inschrijf_MKI_Totaal[[#Headers],[A1]],Database_Productkaarten[#All],13,FALSE)*Inschrijfberekening!K7,Inschrijfberekening!E7="Categorie_1_LCA_Producten",VLOOKUP(Inschrijf_MKI_Totaal[[#This Row],[Product]],Categorie_1_Producten[#All],8,FALSE)*(Inschrijfberekening!K7)),Referentie_Backlog!D5),0))</f>
        <v>89.234284834500002</v>
      </c>
      <c r="E5" s="11" cm="1">
        <f t="array" ref="E5">(IF(Inschrijfberekening!C7="Nieuwe Situatie",_xlfn.IFNA(_xlfn.IFS(Inschrijfberekening!E7="Bitumineuze_verhardingen",VLOOKUP(Inschrijf_MKI_Totaal[[#This Row],[Product]]&amp;", "&amp;Inschrijf_MKI_Totaal[[#Headers],[A2]],Database_Productkaarten[#All],13,FALSE)*Inschrijfberekening!K7,Inschrijfberekening!E7="Funderingslagen",VLOOKUP(Inschrijf_MKI_Totaal[[#This Row],[Product]]&amp;", "&amp;Inschrijf_MKI_Totaal[[#Headers],[A2]],Database_Productkaarten[#All],13,FALSE)*Inschrijfberekening!K7,Inschrijfberekening!E7="Grondwerken",VLOOKUP(Inschrijf_MKI_Totaal[[#This Row],[Product]]&amp;", "&amp;Inschrijf_MKI_Totaal[[#Headers],[A2]],Database_Productkaarten[#All],13,FALSE)*Inschrijfberekening!K7,Inschrijfberekening!E7="Categorie_1_LCA_Producten",VLOOKUP(Inschrijf_MKI_Totaal[[#This Row],[Product]],Categorie_1_Producten[#All],9,FALSE)*(Inschrijfberekening!K7)),Referentie_Backlog!E5),0))</f>
        <v>26.709011119293756</v>
      </c>
      <c r="F5" s="11" cm="1">
        <f t="array" ref="F5">(IF(Inschrijfberekening!C7="Nieuwe Situatie",_xlfn.IFNA(_xlfn.IFS(Inschrijfberekening!E7="Bitumineuze_verhardingen",VLOOKUP(Inschrijf_MKI_Totaal[[#This Row],[Product]]&amp;", "&amp;Inschrijf_MKI_Totaal[[#Headers],[A3]],Database_Productkaarten[#All],13,FALSE)*Inschrijfberekening!K7,Inschrijfberekening!E7="Funderingslagen",VLOOKUP(Inschrijf_MKI_Totaal[[#This Row],[Product]]&amp;", "&amp;Inschrijf_MKI_Totaal[[#Headers],[A3]],Database_Productkaarten[#All],13,FALSE)*Inschrijfberekening!K7,Inschrijfberekening!E7="Grondwerken",VLOOKUP(Inschrijf_MKI_Totaal[[#This Row],[Product]]&amp;", "&amp;Inschrijf_MKI_Totaal[[#Headers],[A3]],Database_Productkaarten[#All],13,FALSE)*Inschrijfberekening!K7,Inschrijfberekening!E7="Categorie_1_LCA_Producten",VLOOKUP(Inschrijf_MKI_Totaal[[#This Row],[Product]],Categorie_1_Producten[#All],10,FALSE)*(Inschrijfberekening!K7)),Referentie_Backlog!F5),0))</f>
        <v>16.906813285037057</v>
      </c>
      <c r="G5" s="11">
        <f>(IF(Inschrijfberekening!C7="Nieuwe Situatie",_xlfn.IFNA(VLOOKUP(Inschrijfberekening!O7,Database_Transport[#All],7,FALSE)*(Inschrijfberekening!K7*Inschrijfberekening!N7),Referentie_Backlog!G5),0))</f>
        <v>3.0807997792882698</v>
      </c>
      <c r="H5" s="105">
        <f>_xlfn.IFNA((IF(Inschrijfberekening!C7="Nieuwe Situatie",(VLOOKUP(Inschrijfberekening!P7,Database_Asfalt_Aanlegset[#All],7,FALSE)*Inschrijfberekening!K7)+IFERROR(((VLOOKUP(Inschrijfberekening!Q7,Database_Overig_Materieel[#All],7,FALSE)*(Inschrijfberekening!L7/VLOOKUP(Inschrijfberekening!Q7,Database_Overig_Materieel[#All],8,FALSE)))),0),0)),Referentie_Backlog!H5)</f>
        <v>1.8918965558209542</v>
      </c>
      <c r="I5" s="11" cm="1">
        <f t="array" ref="I5">_xlfn.IFNA((IF(Inschrijfberekening!C7="Nieuwe Situatie",_xlfn.IFS(Inschrijfberekening!E7="Bitumineuze_verhardingen",VLOOKUP(Inschrijf_MKI_Totaal[[#This Row],[Product]]&amp;", "&amp;Inschrijf_MKI_Totaal[[#Headers],[B1]],Database_Productkaarten[#All],13,FALSE)*Inschrijfberekening!K7,Inschrijfberekening!E7="Funderingslagen",VLOOKUP(Inschrijf_MKI_Totaal[[#This Row],[Product]]&amp;", "&amp;Inschrijf_MKI_Totaal[[#Headers],[B1]],Database_Productkaarten[#All],13,FALSE)*Inschrijfberekening!K7,Inschrijfberekening!E7="Grondwerken",VLOOKUP(Inschrijf_MKI_Totaal[[#This Row],[Product]]&amp;", "&amp;Inschrijf_MKI_Totaal[[#Headers],[B1]],Database_Productkaarten[#All],13,FALSE)*Inschrijfberekening!K7,Inschrijfberekening!E7="Categorie_1_LCA_Producten",VLOOKUP(Inschrijf_MKI_Totaal[[#This Row],[Product]],Categorie_1_Producten[#All],11,FALSE)*(Inschrijfberekening!K7)),0)),Referentie_Backlog!I5)</f>
        <v>0.80027858624999992</v>
      </c>
      <c r="J5" s="11">
        <f>(IF(Inschrijfberekening!C7="Nieuwe Situatie",_xlfn.IFNA(SUM(Inschrijf_MKI_Totaal[[#This Row],[A1]:[B1]],Inschrijf_MKI_Totaal[[#This Row],[C1]:[D2]])*Inschrijfberekening!M7,0),0))</f>
        <v>0</v>
      </c>
      <c r="K5" s="110">
        <f>(IF(Inschrijfberekening!C7="Bestaande Situatie",IF(IFERROR((VLOOKUP(Inschrijfberekening!R7,Database_Asfalt_Verwijderset[#All],7,FALSE)*Inschrijfberekening!K7),0)+IFERROR((VLOOKUP(Inschrijfberekening!S7,Database_Overig_Materieel[#All],7,FALSE)*(Inschrijfberekening!L7/VLOOKUP(Inschrijfberekening!S7,Database_Overig_Materieel[#All],7,FALSE))),0)=0,Referentie_Backlog!K5,IFERROR((VLOOKUP(Inschrijfberekening!R7,Database_Asfalt_Verwijderset[#All],7,FALSE)*Inschrijfberekening!K7),0)+IFERROR((VLOOKUP(Inschrijfberekening!S7,Database_Overig_Materieel[#All],7,FALSE)*(Inschrijfberekening!L7/VLOOKUP(Inschrijfberekening!S7,Database_Overig_Materieel[#All],8,FALSE))),0)),0))</f>
        <v>0</v>
      </c>
      <c r="L5" s="11">
        <f>(IF(Inschrijfberekening!C7="Bestaande Situatie",_xlfn.IFNA(VLOOKUP(Inschrijfberekening!U7,Database_Transport[#All],7,FALSE)*(Inschrijfberekening!K7*Inschrijfberekening!T7),Referentie_Backlog!L5),0))</f>
        <v>0</v>
      </c>
      <c r="M5" s="11">
        <f>(IF(Inschrijfberekening!C7="Bestaande Situatie",_xlfn.IFNA(VLOOKUP(Inschrijfberekening!V7,Database_Asfalt_Verwerkingsset[#All],7,FALSE)*(Inschrijfberekening!K7/VLOOKUP(Inschrijfberekening!V7,Database_Asfalt_Verwerkingsset[#All],8,FALSE)),Referentie_Backlog!M5),0))</f>
        <v>0</v>
      </c>
      <c r="N5" s="11">
        <f>(IF(Inschrijfberekening!C7="Bestaande Situatie",_xlfn.IFNA(VLOOKUP(Inschrijf_MKI_Totaal[[#This Row],[Product]]&amp;", "&amp;Inschrijf_MKI_Totaal[[#Headers],[C4]],Database_Productkaarten[#All],13,FALSE)*Inschrijfberekening!K7,Referentie_Backlog!N5),0))</f>
        <v>0</v>
      </c>
      <c r="O5" s="11" cm="1">
        <f t="array" ref="O5">_xlfn.IFNA((IF(Inschrijfberekening!C7="Bestaande Situatie",_xlfn.IFS(Inschrijfberekening!E7="Bitumineuze_verhardingen",VLOOKUP(Inschrijf_MKI_Totaal[[#This Row],[Product]]&amp;", "&amp;Inschrijf_MKI_Totaal[[#Headers],[D1]],Database_Productkaarten[#All],13,FALSE)*Inschrijfberekening!K7,Inschrijfberekening!E7="Funderingslagen",VLOOKUP(Inschrijf_MKI_Totaal[[#This Row],[Product]]&amp;", "&amp;Inschrijf_MKI_Totaal[[#Headers],[D1]],Database_Productkaarten[#All],13,FALSE)*Inschrijfberekening!K7,Inschrijfberekening!E7="Grondwerken",VLOOKUP(Inschrijf_MKI_Totaal[[#This Row],[Product]]&amp;", "&amp;Inschrijf_MKI_Totaal[[#Headers],[D1]],Database_Productkaarten[#All],13,FALSE)*Inschrijfberekening!K7,Inschrijfberekening!E7="Categorie_1_LCA_Producten",VLOOKUP(Inschrijf_MKI_Totaal[[#This Row],[Product]],Categorie_1_Producten[#All],12,FALSE)*(Inschrijfberekening!K7)),0)),Referentie_Backlog!O5)</f>
        <v>0</v>
      </c>
      <c r="P5" s="38" cm="1">
        <f t="array" ref="P5">_xlfn.IFNA((IF(Inschrijfberekening!C7="Bestaande Situatie",_xlfn.IFS(Inschrijfberekening!E7="Bitumineuze_verhardingen",VLOOKUP(Inschrijf_MKI_Totaal[[#This Row],[Product]]&amp;", "&amp;Inschrijf_MKI_Totaal[[#Headers],[D2]],Database_Productkaarten[#All],13,FALSE)*Inschrijfberekening!K7,Inschrijfberekening!E7="Funderingslagen",VLOOKUP(Inschrijf_MKI_Totaal[[#This Row],[Product]]&amp;", "&amp;Inschrijf_MKI_Totaal[[#Headers],[D2]],Database_Productkaarten[#All],13,FALSE)*Inschrijfberekening!K7,Inschrijfberekening!E7="Grondwerken",VLOOKUP(Inschrijf_MKI_Totaal[[#This Row],[Product]]&amp;", "&amp;Inschrijf_MKI_Totaal[[#Headers],[D2]],Database_Productkaarten[#All],13,FALSE)*Inschrijfberekening!K7,Inschrijfberekening!E7="Categorie_1_LCA_Producten",VLOOKUP(Inschrijf_MKI_Totaal[[#This Row],[Product]],Categorie_1_Producten[#All],13,FALSE)*(Inschrijfberekening!K7)),0)),Referentie_Backlog!P5)</f>
        <v>0</v>
      </c>
      <c r="Q5" s="191">
        <f>SUM(Inschrijf_MKI_Totaal[[#This Row],[A1]:[D2]])</f>
        <v>138.62308416019002</v>
      </c>
    </row>
    <row r="6" spans="2:17" ht="18" x14ac:dyDescent="0.55000000000000004">
      <c r="B6" s="285">
        <f>Inschrijfberekening!B8</f>
        <v>422520</v>
      </c>
      <c r="C6" s="23" t="str">
        <f>Inschrijfberekening!F8</f>
        <v>88405-TB - SMA-NL 11B 40/60 Bestone</v>
      </c>
      <c r="D6" s="11" cm="1">
        <f t="array" ref="D6">(IF(Inschrijfberekening!C8="Nieuwe Situatie",_xlfn.IFNA(_xlfn.IFS(Inschrijfberekening!E8="Bitumineuze_verhardingen",VLOOKUP(Inschrijf_MKI_Totaal[[#This Row],[Product]]&amp;", "&amp;Inschrijf_MKI_Totaal[[#Headers],[A1]],Database_Productkaarten[#All],13,FALSE)*Inschrijfberekening!K8,Inschrijfberekening!E8="Funderingslagen",VLOOKUP(Inschrijf_MKI_Totaal[[#This Row],[Product]]&amp;", "&amp;Inschrijf_MKI_Totaal[[#Headers],[A1]],Database_Productkaarten[#All],13,FALSE)*Inschrijfberekening!K8,Inschrijfberekening!E8="Grondwerken",VLOOKUP(Inschrijf_MKI_Totaal[[#This Row],[Product]]&amp;", "&amp;Inschrijf_MKI_Totaal[[#Headers],[A1]],Database_Productkaarten[#All],13,FALSE)*Inschrijfberekening!K8,Inschrijfberekening!E8="Categorie_1_LCA_Producten",VLOOKUP(Inschrijf_MKI_Totaal[[#This Row],[Product]],Categorie_1_Producten[#All],8,FALSE)*(Inschrijfberekening!K8)),Referentie_Backlog!D6),0))</f>
        <v>426.9</v>
      </c>
      <c r="E6" s="11" cm="1">
        <f t="array" ref="E6">(IF(Inschrijfberekening!C8="Nieuwe Situatie",_xlfn.IFNA(_xlfn.IFS(Inschrijfberekening!E8="Bitumineuze_verhardingen",VLOOKUP(Inschrijf_MKI_Totaal[[#This Row],[Product]]&amp;", "&amp;Inschrijf_MKI_Totaal[[#Headers],[A2]],Database_Productkaarten[#All],13,FALSE)*Inschrijfberekening!K8,Inschrijfberekening!E8="Funderingslagen",VLOOKUP(Inschrijf_MKI_Totaal[[#This Row],[Product]]&amp;", "&amp;Inschrijf_MKI_Totaal[[#Headers],[A2]],Database_Productkaarten[#All],13,FALSE)*Inschrijfberekening!K8,Inschrijfberekening!E8="Grondwerken",VLOOKUP(Inschrijf_MKI_Totaal[[#This Row],[Product]]&amp;", "&amp;Inschrijf_MKI_Totaal[[#Headers],[A2]],Database_Productkaarten[#All],13,FALSE)*Inschrijfberekening!K8,Inschrijfberekening!E8="Categorie_1_LCA_Producten",VLOOKUP(Inschrijf_MKI_Totaal[[#This Row],[Product]],Categorie_1_Producten[#All],9,FALSE)*(Inschrijfberekening!K8)),Referentie_Backlog!E6),0))</f>
        <v>0</v>
      </c>
      <c r="F6" s="11" cm="1">
        <f t="array" ref="F6">(IF(Inschrijfberekening!C8="Nieuwe Situatie",_xlfn.IFNA(_xlfn.IFS(Inschrijfberekening!E8="Bitumineuze_verhardingen",VLOOKUP(Inschrijf_MKI_Totaal[[#This Row],[Product]]&amp;", "&amp;Inschrijf_MKI_Totaal[[#Headers],[A3]],Database_Productkaarten[#All],13,FALSE)*Inschrijfberekening!K8,Inschrijfberekening!E8="Funderingslagen",VLOOKUP(Inschrijf_MKI_Totaal[[#This Row],[Product]]&amp;", "&amp;Inschrijf_MKI_Totaal[[#Headers],[A3]],Database_Productkaarten[#All],13,FALSE)*Inschrijfberekening!K8,Inschrijfberekening!E8="Grondwerken",VLOOKUP(Inschrijf_MKI_Totaal[[#This Row],[Product]]&amp;", "&amp;Inschrijf_MKI_Totaal[[#Headers],[A3]],Database_Productkaarten[#All],13,FALSE)*Inschrijfberekening!K8,Inschrijfberekening!E8="Categorie_1_LCA_Producten",VLOOKUP(Inschrijf_MKI_Totaal[[#This Row],[Product]],Categorie_1_Producten[#All],10,FALSE)*(Inschrijfberekening!K8)),Referentie_Backlog!F6),0))</f>
        <v>0</v>
      </c>
      <c r="G6" s="11">
        <f>(IF(Inschrijfberekening!C8="Nieuwe Situatie",_xlfn.IFNA(VLOOKUP(Inschrijfberekening!O8,Database_Transport[#All],7,FALSE)*(Inschrijfberekening!K8*Inschrijfberekening!N8),Referentie_Backlog!G6),0))</f>
        <v>805.74763458308598</v>
      </c>
      <c r="H6" s="105">
        <f>_xlfn.IFNA((IF(Inschrijfberekening!C8="Nieuwe Situatie",(VLOOKUP(Inschrijfberekening!P8,Database_Asfalt_Aanlegset[#All],7,FALSE)*Inschrijfberekening!K8)+IFERROR(((VLOOKUP(Inschrijfberekening!Q8,Database_Overig_Materieel[#All],7,FALSE)*(Inschrijfberekening!L8/VLOOKUP(Inschrijfberekening!Q8,Database_Overig_Materieel[#All],8,FALSE)))),0),0)),Referentie_Backlog!H6)</f>
        <v>444.15987925558841</v>
      </c>
      <c r="I6" s="11" cm="1">
        <f t="array" ref="I6">_xlfn.IFNA((IF(Inschrijfberekening!C8="Nieuwe Situatie",_xlfn.IFS(Inschrijfberekening!E8="Bitumineuze_verhardingen",VLOOKUP(Inschrijf_MKI_Totaal[[#This Row],[Product]]&amp;", "&amp;Inschrijf_MKI_Totaal[[#Headers],[B1]],Database_Productkaarten[#All],13,FALSE)*Inschrijfberekening!K8,Inschrijfberekening!E8="Funderingslagen",VLOOKUP(Inschrijf_MKI_Totaal[[#This Row],[Product]]&amp;", "&amp;Inschrijf_MKI_Totaal[[#Headers],[B1]],Database_Productkaarten[#All],13,FALSE)*Inschrijfberekening!K8,Inschrijfberekening!E8="Grondwerken",VLOOKUP(Inschrijf_MKI_Totaal[[#This Row],[Product]]&amp;", "&amp;Inschrijf_MKI_Totaal[[#Headers],[B1]],Database_Productkaarten[#All],13,FALSE)*Inschrijfberekening!K8,Inschrijfberekening!E8="Categorie_1_LCA_Producten",VLOOKUP(Inschrijf_MKI_Totaal[[#This Row],[Product]],Categorie_1_Producten[#All],11,FALSE)*(Inschrijfberekening!K8)),0)),Referentie_Backlog!I6)</f>
        <v>0</v>
      </c>
      <c r="J6" s="11">
        <f>(IF(Inschrijfberekening!C8="Nieuwe Situatie",_xlfn.IFNA(SUM(Inschrijf_MKI_Totaal[[#This Row],[A1]:[B1]],Inschrijf_MKI_Totaal[[#This Row],[C1]:[D2]])*Inschrijfberekening!M8,0),0))</f>
        <v>0</v>
      </c>
      <c r="K6" s="110">
        <f>(IF(Inschrijfberekening!C8="Bestaande Situatie",IF(IFERROR((VLOOKUP(Inschrijfberekening!R8,Database_Asfalt_Verwijderset[#All],7,FALSE)*Inschrijfberekening!K8),0)+IFERROR((VLOOKUP(Inschrijfberekening!S8,Database_Overig_Materieel[#All],7,FALSE)*(Inschrijfberekening!L8/VLOOKUP(Inschrijfberekening!S8,Database_Overig_Materieel[#All],7,FALSE))),0)=0,Referentie_Backlog!K6,IFERROR((VLOOKUP(Inschrijfberekening!R8,Database_Asfalt_Verwijderset[#All],7,FALSE)*Inschrijfberekening!K8),0)+IFERROR((VLOOKUP(Inschrijfberekening!S8,Database_Overig_Materieel[#All],7,FALSE)*(Inschrijfberekening!L8/VLOOKUP(Inschrijfberekening!S8,Database_Overig_Materieel[#All],8,FALSE))),0)),0))</f>
        <v>0</v>
      </c>
      <c r="L6" s="11">
        <f>(IF(Inschrijfberekening!C8="Bestaande Situatie",_xlfn.IFNA(VLOOKUP(Inschrijfberekening!U8,Database_Transport[#All],7,FALSE)*(Inschrijfberekening!K8*Inschrijfberekening!T8),Referentie_Backlog!L6),0))</f>
        <v>0</v>
      </c>
      <c r="M6" s="11">
        <f>(IF(Inschrijfberekening!C8="Bestaande Situatie",_xlfn.IFNA(VLOOKUP(Inschrijfberekening!V8,Database_Asfalt_Verwerkingsset[#All],7,FALSE)*(Inschrijfberekening!K8/VLOOKUP(Inschrijfberekening!V8,Database_Asfalt_Verwerkingsset[#All],8,FALSE)),Referentie_Backlog!M6),0))</f>
        <v>0</v>
      </c>
      <c r="N6" s="11">
        <f>(IF(Inschrijfberekening!C8="Bestaande Situatie",_xlfn.IFNA(VLOOKUP(Inschrijf_MKI_Totaal[[#This Row],[Product]]&amp;", "&amp;Inschrijf_MKI_Totaal[[#Headers],[C4]],Database_Productkaarten[#All],13,FALSE)*Inschrijfberekening!K8,Referentie_Backlog!N6),0))</f>
        <v>0</v>
      </c>
      <c r="O6" s="11" cm="1">
        <f t="array" ref="O6">_xlfn.IFNA((IF(Inschrijfberekening!C8="Bestaande Situatie",_xlfn.IFS(Inschrijfberekening!E8="Bitumineuze_verhardingen",VLOOKUP(Inschrijf_MKI_Totaal[[#This Row],[Product]]&amp;", "&amp;Inschrijf_MKI_Totaal[[#Headers],[D1]],Database_Productkaarten[#All],13,FALSE)*Inschrijfberekening!K8,Inschrijfberekening!E8="Funderingslagen",VLOOKUP(Inschrijf_MKI_Totaal[[#This Row],[Product]]&amp;", "&amp;Inschrijf_MKI_Totaal[[#Headers],[D1]],Database_Productkaarten[#All],13,FALSE)*Inschrijfberekening!K8,Inschrijfberekening!E8="Grondwerken",VLOOKUP(Inschrijf_MKI_Totaal[[#This Row],[Product]]&amp;", "&amp;Inschrijf_MKI_Totaal[[#Headers],[D1]],Database_Productkaarten[#All],13,FALSE)*Inschrijfberekening!K8,Inschrijfberekening!E8="Categorie_1_LCA_Producten",VLOOKUP(Inschrijf_MKI_Totaal[[#This Row],[Product]],Categorie_1_Producten[#All],12,FALSE)*(Inschrijfberekening!K8)),0)),Referentie_Backlog!O6)</f>
        <v>0</v>
      </c>
      <c r="P6" s="38" cm="1">
        <f t="array" ref="P6">_xlfn.IFNA((IF(Inschrijfberekening!C8="Bestaande Situatie",_xlfn.IFS(Inschrijfberekening!E8="Bitumineuze_verhardingen",VLOOKUP(Inschrijf_MKI_Totaal[[#This Row],[Product]]&amp;", "&amp;Inschrijf_MKI_Totaal[[#Headers],[D2]],Database_Productkaarten[#All],13,FALSE)*Inschrijfberekening!K8,Inschrijfberekening!E8="Funderingslagen",VLOOKUP(Inschrijf_MKI_Totaal[[#This Row],[Product]]&amp;", "&amp;Inschrijf_MKI_Totaal[[#Headers],[D2]],Database_Productkaarten[#All],13,FALSE)*Inschrijfberekening!K8,Inschrijfberekening!E8="Grondwerken",VLOOKUP(Inschrijf_MKI_Totaal[[#This Row],[Product]]&amp;", "&amp;Inschrijf_MKI_Totaal[[#Headers],[D2]],Database_Productkaarten[#All],13,FALSE)*Inschrijfberekening!K8,Inschrijfberekening!E8="Categorie_1_LCA_Producten",VLOOKUP(Inschrijf_MKI_Totaal[[#This Row],[Product]],Categorie_1_Producten[#All],13,FALSE)*(Inschrijfberekening!K8)),0)),Referentie_Backlog!P6)</f>
        <v>0</v>
      </c>
      <c r="Q6" s="191">
        <f>SUM(Inschrijf_MKI_Totaal[[#This Row],[A1]:[D2]])</f>
        <v>1676.8075138386744</v>
      </c>
    </row>
    <row r="7" spans="2:17" ht="18" x14ac:dyDescent="0.55000000000000004">
      <c r="B7" s="285">
        <f>Inschrijfberekening!B9</f>
        <v>601230</v>
      </c>
      <c r="C7" s="23" t="str">
        <f>Inschrijfberekening!F9</f>
        <v>20060-TB - AC 22 Bin/Base 35/50 60% PR Bestone</v>
      </c>
      <c r="D7" s="11" cm="1">
        <f t="array" ref="D7">(IF(Inschrijfberekening!C9="Nieuwe Situatie",_xlfn.IFNA(_xlfn.IFS(Inschrijfberekening!E9="Bitumineuze_verhardingen",VLOOKUP(Inschrijf_MKI_Totaal[[#This Row],[Product]]&amp;", "&amp;Inschrijf_MKI_Totaal[[#Headers],[A1]],Database_Productkaarten[#All],13,FALSE)*Inschrijfberekening!K9,Inschrijfberekening!E9="Funderingslagen",VLOOKUP(Inschrijf_MKI_Totaal[[#This Row],[Product]]&amp;", "&amp;Inschrijf_MKI_Totaal[[#Headers],[A1]],Database_Productkaarten[#All],13,FALSE)*Inschrijfberekening!K9,Inschrijfberekening!E9="Grondwerken",VLOOKUP(Inschrijf_MKI_Totaal[[#This Row],[Product]]&amp;", "&amp;Inschrijf_MKI_Totaal[[#Headers],[A1]],Database_Productkaarten[#All],13,FALSE)*Inschrijfberekening!K9,Inschrijfberekening!E9="Categorie_1_LCA_Producten",VLOOKUP(Inschrijf_MKI_Totaal[[#This Row],[Product]],Categorie_1_Producten[#All],8,FALSE)*(Inschrijfberekening!K9)),Referentie_Backlog!D7),0))</f>
        <v>118.93679999999999</v>
      </c>
      <c r="E7" s="11" cm="1">
        <f t="array" ref="E7">(IF(Inschrijfberekening!C9="Nieuwe Situatie",_xlfn.IFNA(_xlfn.IFS(Inschrijfberekening!E9="Bitumineuze_verhardingen",VLOOKUP(Inschrijf_MKI_Totaal[[#This Row],[Product]]&amp;", "&amp;Inschrijf_MKI_Totaal[[#Headers],[A2]],Database_Productkaarten[#All],13,FALSE)*Inschrijfberekening!K9,Inschrijfberekening!E9="Funderingslagen",VLOOKUP(Inschrijf_MKI_Totaal[[#This Row],[Product]]&amp;", "&amp;Inschrijf_MKI_Totaal[[#Headers],[A2]],Database_Productkaarten[#All],13,FALSE)*Inschrijfberekening!K9,Inschrijfberekening!E9="Grondwerken",VLOOKUP(Inschrijf_MKI_Totaal[[#This Row],[Product]]&amp;", "&amp;Inschrijf_MKI_Totaal[[#Headers],[A2]],Database_Productkaarten[#All],13,FALSE)*Inschrijfberekening!K9,Inschrijfberekening!E9="Categorie_1_LCA_Producten",VLOOKUP(Inschrijf_MKI_Totaal[[#This Row],[Product]],Categorie_1_Producten[#All],9,FALSE)*(Inschrijfberekening!K9)),Referentie_Backlog!E7),0))</f>
        <v>0</v>
      </c>
      <c r="F7" s="11" cm="1">
        <f t="array" ref="F7">(IF(Inschrijfberekening!C9="Nieuwe Situatie",_xlfn.IFNA(_xlfn.IFS(Inschrijfberekening!E9="Bitumineuze_verhardingen",VLOOKUP(Inschrijf_MKI_Totaal[[#This Row],[Product]]&amp;", "&amp;Inschrijf_MKI_Totaal[[#Headers],[A3]],Database_Productkaarten[#All],13,FALSE)*Inschrijfberekening!K9,Inschrijfberekening!E9="Funderingslagen",VLOOKUP(Inschrijf_MKI_Totaal[[#This Row],[Product]]&amp;", "&amp;Inschrijf_MKI_Totaal[[#Headers],[A3]],Database_Productkaarten[#All],13,FALSE)*Inschrijfberekening!K9,Inschrijfberekening!E9="Grondwerken",VLOOKUP(Inschrijf_MKI_Totaal[[#This Row],[Product]]&amp;", "&amp;Inschrijf_MKI_Totaal[[#Headers],[A3]],Database_Productkaarten[#All],13,FALSE)*Inschrijfberekening!K9,Inschrijfberekening!E9="Categorie_1_LCA_Producten",VLOOKUP(Inschrijf_MKI_Totaal[[#This Row],[Product]],Categorie_1_Producten[#All],10,FALSE)*(Inschrijfberekening!K9)),Referentie_Backlog!F7),0))</f>
        <v>0</v>
      </c>
      <c r="G7" s="11">
        <f>(IF(Inschrijfberekening!C9="Nieuwe Situatie",_xlfn.IFNA(VLOOKUP(Inschrijfberekening!O9,Database_Transport[#All],7,FALSE)*(Inschrijfberekening!K9*Inschrijfberekening!N9),Referentie_Backlog!G7),0))</f>
        <v>0.61615995585765393</v>
      </c>
      <c r="H7" s="105">
        <f>_xlfn.IFNA((IF(Inschrijfberekening!C9="Nieuwe Situatie",(VLOOKUP(Inschrijfberekening!P9,Database_Asfalt_Aanlegset[#All],7,FALSE)*Inschrijfberekening!K9)+IFERROR(((VLOOKUP(Inschrijfberekening!Q9,Database_Overig_Materieel[#All],7,FALSE)*(Inschrijfberekening!L9/VLOOKUP(Inschrijfberekening!Q9,Database_Overig_Materieel[#All],8,FALSE)))),0),0)),Referentie_Backlog!H7)</f>
        <v>0.33965167237192057</v>
      </c>
      <c r="I7" s="11" cm="1">
        <f t="array" ref="I7">_xlfn.IFNA((IF(Inschrijfberekening!C9="Nieuwe Situatie",_xlfn.IFS(Inschrijfberekening!E9="Bitumineuze_verhardingen",VLOOKUP(Inschrijf_MKI_Totaal[[#This Row],[Product]]&amp;", "&amp;Inschrijf_MKI_Totaal[[#Headers],[B1]],Database_Productkaarten[#All],13,FALSE)*Inschrijfberekening!K9,Inschrijfberekening!E9="Funderingslagen",VLOOKUP(Inschrijf_MKI_Totaal[[#This Row],[Product]]&amp;", "&amp;Inschrijf_MKI_Totaal[[#Headers],[B1]],Database_Productkaarten[#All],13,FALSE)*Inschrijfberekening!K9,Inschrijfberekening!E9="Grondwerken",VLOOKUP(Inschrijf_MKI_Totaal[[#This Row],[Product]]&amp;", "&amp;Inschrijf_MKI_Totaal[[#Headers],[B1]],Database_Productkaarten[#All],13,FALSE)*Inschrijfberekening!K9,Inschrijfberekening!E9="Categorie_1_LCA_Producten",VLOOKUP(Inschrijf_MKI_Totaal[[#This Row],[Product]],Categorie_1_Producten[#All],11,FALSE)*(Inschrijfberekening!K9)),0)),Referentie_Backlog!I7)</f>
        <v>0</v>
      </c>
      <c r="J7" s="11">
        <f>(IF(Inschrijfberekening!C9="Nieuwe Situatie",_xlfn.IFNA(SUM(Inschrijf_MKI_Totaal[[#This Row],[A1]:[B1]],Inschrijf_MKI_Totaal[[#This Row],[C1]:[D2]])*Inschrijfberekening!M9,0),0))</f>
        <v>0</v>
      </c>
      <c r="K7" s="110">
        <f>(IF(Inschrijfberekening!C9="Bestaande Situatie",IF(IFERROR((VLOOKUP(Inschrijfberekening!R9,Database_Asfalt_Verwijderset[#All],7,FALSE)*Inschrijfberekening!K9),0)+IFERROR((VLOOKUP(Inschrijfberekening!S9,Database_Overig_Materieel[#All],7,FALSE)*(Inschrijfberekening!L9/VLOOKUP(Inschrijfberekening!S9,Database_Overig_Materieel[#All],7,FALSE))),0)=0,Referentie_Backlog!K7,IFERROR((VLOOKUP(Inschrijfberekening!R9,Database_Asfalt_Verwijderset[#All],7,FALSE)*Inschrijfberekening!K9),0)+IFERROR((VLOOKUP(Inschrijfberekening!S9,Database_Overig_Materieel[#All],7,FALSE)*(Inschrijfberekening!L9/VLOOKUP(Inschrijfberekening!S9,Database_Overig_Materieel[#All],8,FALSE))),0)),0))</f>
        <v>0</v>
      </c>
      <c r="L7" s="11">
        <f>(IF(Inschrijfberekening!C9="Bestaande Situatie",_xlfn.IFNA(VLOOKUP(Inschrijfberekening!U9,Database_Transport[#All],7,FALSE)*(Inschrijfberekening!K9*Inschrijfberekening!T9),Referentie_Backlog!L7),0))</f>
        <v>0</v>
      </c>
      <c r="M7" s="11">
        <f>(IF(Inschrijfberekening!C9="Bestaande Situatie",_xlfn.IFNA(VLOOKUP(Inschrijfberekening!V9,Database_Asfalt_Verwerkingsset[#All],7,FALSE)*(Inschrijfberekening!K9/VLOOKUP(Inschrijfberekening!V9,Database_Asfalt_Verwerkingsset[#All],8,FALSE)),Referentie_Backlog!M7),0))</f>
        <v>0</v>
      </c>
      <c r="N7" s="11">
        <f>(IF(Inschrijfberekening!C9="Bestaande Situatie",_xlfn.IFNA(VLOOKUP(Inschrijf_MKI_Totaal[[#This Row],[Product]]&amp;", "&amp;Inschrijf_MKI_Totaal[[#Headers],[C4]],Database_Productkaarten[#All],13,FALSE)*Inschrijfberekening!K9,Referentie_Backlog!N7),0))</f>
        <v>0</v>
      </c>
      <c r="O7" s="11" cm="1">
        <f t="array" ref="O7">_xlfn.IFNA((IF(Inschrijfberekening!C9="Bestaande Situatie",_xlfn.IFS(Inschrijfberekening!E9="Bitumineuze_verhardingen",VLOOKUP(Inschrijf_MKI_Totaal[[#This Row],[Product]]&amp;", "&amp;Inschrijf_MKI_Totaal[[#Headers],[D1]],Database_Productkaarten[#All],13,FALSE)*Inschrijfberekening!K9,Inschrijfberekening!E9="Funderingslagen",VLOOKUP(Inschrijf_MKI_Totaal[[#This Row],[Product]]&amp;", "&amp;Inschrijf_MKI_Totaal[[#Headers],[D1]],Database_Productkaarten[#All],13,FALSE)*Inschrijfberekening!K9,Inschrijfberekening!E9="Grondwerken",VLOOKUP(Inschrijf_MKI_Totaal[[#This Row],[Product]]&amp;", "&amp;Inschrijf_MKI_Totaal[[#Headers],[D1]],Database_Productkaarten[#All],13,FALSE)*Inschrijfberekening!K9,Inschrijfberekening!E9="Categorie_1_LCA_Producten",VLOOKUP(Inschrijf_MKI_Totaal[[#This Row],[Product]],Categorie_1_Producten[#All],12,FALSE)*(Inschrijfberekening!K9)),0)),Referentie_Backlog!O7)</f>
        <v>0</v>
      </c>
      <c r="P7" s="38" cm="1">
        <f t="array" ref="P7">_xlfn.IFNA((IF(Inschrijfberekening!C9="Bestaande Situatie",_xlfn.IFS(Inschrijfberekening!E9="Bitumineuze_verhardingen",VLOOKUP(Inschrijf_MKI_Totaal[[#This Row],[Product]]&amp;", "&amp;Inschrijf_MKI_Totaal[[#Headers],[D2]],Database_Productkaarten[#All],13,FALSE)*Inschrijfberekening!K9,Inschrijfberekening!E9="Funderingslagen",VLOOKUP(Inschrijf_MKI_Totaal[[#This Row],[Product]]&amp;", "&amp;Inschrijf_MKI_Totaal[[#Headers],[D2]],Database_Productkaarten[#All],13,FALSE)*Inschrijfberekening!K9,Inschrijfberekening!E9="Grondwerken",VLOOKUP(Inschrijf_MKI_Totaal[[#This Row],[Product]]&amp;", "&amp;Inschrijf_MKI_Totaal[[#Headers],[D2]],Database_Productkaarten[#All],13,FALSE)*Inschrijfberekening!K9,Inschrijfberekening!E9="Categorie_1_LCA_Producten",VLOOKUP(Inschrijf_MKI_Totaal[[#This Row],[Product]],Categorie_1_Producten[#All],13,FALSE)*(Inschrijfberekening!K9)),0)),Referentie_Backlog!P7)</f>
        <v>0</v>
      </c>
      <c r="Q7" s="191">
        <f>SUM(Inschrijf_MKI_Totaal[[#This Row],[A1]:[D2]])</f>
        <v>119.89261162822956</v>
      </c>
    </row>
    <row r="8" spans="2:17" ht="18" x14ac:dyDescent="0.55000000000000004">
      <c r="B8" s="285">
        <f>Inschrijfberekening!B10</f>
        <v>601240</v>
      </c>
      <c r="C8" s="23" t="str">
        <f>Inschrijfberekening!F10</f>
        <v>20060-TB - AC 22 Bin/Base 35/50 60% PR Bestone</v>
      </c>
      <c r="D8" s="11" cm="1">
        <f t="array" ref="D8">(IF(Inschrijfberekening!C10="Nieuwe Situatie",_xlfn.IFNA(_xlfn.IFS(Inschrijfberekening!E10="Bitumineuze_verhardingen",VLOOKUP(Inschrijf_MKI_Totaal[[#This Row],[Product]]&amp;", "&amp;Inschrijf_MKI_Totaal[[#Headers],[A1]],Database_Productkaarten[#All],13,FALSE)*Inschrijfberekening!K10,Inschrijfberekening!E10="Funderingslagen",VLOOKUP(Inschrijf_MKI_Totaal[[#This Row],[Product]]&amp;", "&amp;Inschrijf_MKI_Totaal[[#Headers],[A1]],Database_Productkaarten[#All],13,FALSE)*Inschrijfberekening!K10,Inschrijfberekening!E10="Grondwerken",VLOOKUP(Inschrijf_MKI_Totaal[[#This Row],[Product]]&amp;", "&amp;Inschrijf_MKI_Totaal[[#Headers],[A1]],Database_Productkaarten[#All],13,FALSE)*Inschrijfberekening!K10,Inschrijfberekening!E10="Categorie_1_LCA_Producten",VLOOKUP(Inschrijf_MKI_Totaal[[#This Row],[Product]],Categorie_1_Producten[#All],8,FALSE)*(Inschrijfberekening!K10)),Referentie_Backlog!D8),0))</f>
        <v>693.43200000000002</v>
      </c>
      <c r="E8" s="11" cm="1">
        <f t="array" ref="E8">(IF(Inschrijfberekening!C10="Nieuwe Situatie",_xlfn.IFNA(_xlfn.IFS(Inschrijfberekening!E10="Bitumineuze_verhardingen",VLOOKUP(Inschrijf_MKI_Totaal[[#This Row],[Product]]&amp;", "&amp;Inschrijf_MKI_Totaal[[#Headers],[A2]],Database_Productkaarten[#All],13,FALSE)*Inschrijfberekening!K10,Inschrijfberekening!E10="Funderingslagen",VLOOKUP(Inschrijf_MKI_Totaal[[#This Row],[Product]]&amp;", "&amp;Inschrijf_MKI_Totaal[[#Headers],[A2]],Database_Productkaarten[#All],13,FALSE)*Inschrijfberekening!K10,Inschrijfberekening!E10="Grondwerken",VLOOKUP(Inschrijf_MKI_Totaal[[#This Row],[Product]]&amp;", "&amp;Inschrijf_MKI_Totaal[[#Headers],[A2]],Database_Productkaarten[#All],13,FALSE)*Inschrijfberekening!K10,Inschrijfberekening!E10="Categorie_1_LCA_Producten",VLOOKUP(Inschrijf_MKI_Totaal[[#This Row],[Product]],Categorie_1_Producten[#All],9,FALSE)*(Inschrijfberekening!K10)),Referentie_Backlog!E8),0))</f>
        <v>0</v>
      </c>
      <c r="F8" s="11" cm="1">
        <f t="array" ref="F8">(IF(Inschrijfberekening!C10="Nieuwe Situatie",_xlfn.IFNA(_xlfn.IFS(Inschrijfberekening!E10="Bitumineuze_verhardingen",VLOOKUP(Inschrijf_MKI_Totaal[[#This Row],[Product]]&amp;", "&amp;Inschrijf_MKI_Totaal[[#Headers],[A3]],Database_Productkaarten[#All],13,FALSE)*Inschrijfberekening!K10,Inschrijfberekening!E10="Funderingslagen",VLOOKUP(Inschrijf_MKI_Totaal[[#This Row],[Product]]&amp;", "&amp;Inschrijf_MKI_Totaal[[#Headers],[A3]],Database_Productkaarten[#All],13,FALSE)*Inschrijfberekening!K10,Inschrijfberekening!E10="Grondwerken",VLOOKUP(Inschrijf_MKI_Totaal[[#This Row],[Product]]&amp;", "&amp;Inschrijf_MKI_Totaal[[#Headers],[A3]],Database_Productkaarten[#All],13,FALSE)*Inschrijfberekening!K10,Inschrijfberekening!E10="Categorie_1_LCA_Producten",VLOOKUP(Inschrijf_MKI_Totaal[[#This Row],[Product]],Categorie_1_Producten[#All],10,FALSE)*(Inschrijfberekening!K10)),Referentie_Backlog!F8),0))</f>
        <v>0</v>
      </c>
      <c r="G8" s="11">
        <f>(IF(Inschrijfberekening!C10="Nieuwe Situatie",_xlfn.IFNA(VLOOKUP(Inschrijfberekening!O10,Database_Transport[#All],7,FALSE)*(Inschrijfberekening!K10*Inschrijfberekening!N10),Referentie_Backlog!G8),0))</f>
        <v>6.1615995585765395</v>
      </c>
      <c r="H8" s="105">
        <f>_xlfn.IFNA((IF(Inschrijfberekening!C10="Nieuwe Situatie",(VLOOKUP(Inschrijfberekening!P10,Database_Asfalt_Aanlegset[#All],7,FALSE)*Inschrijfberekening!K10)+IFERROR(((VLOOKUP(Inschrijfberekening!Q10,Database_Overig_Materieel[#All],7,FALSE)*(Inschrijfberekening!L10/VLOOKUP(Inschrijfberekening!Q10,Database_Overig_Materieel[#All],8,FALSE)))),0),0)),Referentie_Backlog!H8)</f>
        <v>3.3965167237192055</v>
      </c>
      <c r="I8" s="11" cm="1">
        <f t="array" ref="I8">_xlfn.IFNA((IF(Inschrijfberekening!C10="Nieuwe Situatie",_xlfn.IFS(Inschrijfberekening!E10="Bitumineuze_verhardingen",VLOOKUP(Inschrijf_MKI_Totaal[[#This Row],[Product]]&amp;", "&amp;Inschrijf_MKI_Totaal[[#Headers],[B1]],Database_Productkaarten[#All],13,FALSE)*Inschrijfberekening!K10,Inschrijfberekening!E10="Funderingslagen",VLOOKUP(Inschrijf_MKI_Totaal[[#This Row],[Product]]&amp;", "&amp;Inschrijf_MKI_Totaal[[#Headers],[B1]],Database_Productkaarten[#All],13,FALSE)*Inschrijfberekening!K10,Inschrijfberekening!E10="Grondwerken",VLOOKUP(Inschrijf_MKI_Totaal[[#This Row],[Product]]&amp;", "&amp;Inschrijf_MKI_Totaal[[#Headers],[B1]],Database_Productkaarten[#All],13,FALSE)*Inschrijfberekening!K10,Inschrijfberekening!E10="Categorie_1_LCA_Producten",VLOOKUP(Inschrijf_MKI_Totaal[[#This Row],[Product]],Categorie_1_Producten[#All],11,FALSE)*(Inschrijfberekening!K10)),0)),Referentie_Backlog!I8)</f>
        <v>0</v>
      </c>
      <c r="J8" s="11">
        <f>(IF(Inschrijfberekening!C10="Nieuwe Situatie",_xlfn.IFNA(SUM(Inschrijf_MKI_Totaal[[#This Row],[A1]:[B1]],Inschrijf_MKI_Totaal[[#This Row],[C1]:[D2]])*Inschrijfberekening!M10,0),0))</f>
        <v>0</v>
      </c>
      <c r="K8" s="110">
        <f>(IF(Inschrijfberekening!C10="Bestaande Situatie",IF(IFERROR((VLOOKUP(Inschrijfberekening!R10,Database_Asfalt_Verwijderset[#All],7,FALSE)*Inschrijfberekening!K10),0)+IFERROR((VLOOKUP(Inschrijfberekening!S10,Database_Overig_Materieel[#All],7,FALSE)*(Inschrijfberekening!L10/VLOOKUP(Inschrijfberekening!S10,Database_Overig_Materieel[#All],7,FALSE))),0)=0,Referentie_Backlog!K8,IFERROR((VLOOKUP(Inschrijfberekening!R10,Database_Asfalt_Verwijderset[#All],7,FALSE)*Inschrijfberekening!K10),0)+IFERROR((VLOOKUP(Inschrijfberekening!S10,Database_Overig_Materieel[#All],7,FALSE)*(Inschrijfberekening!L10/VLOOKUP(Inschrijfberekening!S10,Database_Overig_Materieel[#All],8,FALSE))),0)),0))</f>
        <v>0</v>
      </c>
      <c r="L8" s="11">
        <f>(IF(Inschrijfberekening!C10="Bestaande Situatie",_xlfn.IFNA(VLOOKUP(Inschrijfberekening!U10,Database_Transport[#All],7,FALSE)*(Inschrijfberekening!K10*Inschrijfberekening!T10),Referentie_Backlog!L8),0))</f>
        <v>0</v>
      </c>
      <c r="M8" s="11">
        <f>(IF(Inschrijfberekening!C10="Bestaande Situatie",_xlfn.IFNA(VLOOKUP(Inschrijfberekening!V10,Database_Asfalt_Verwerkingsset[#All],7,FALSE)*(Inschrijfberekening!K10/VLOOKUP(Inschrijfberekening!V10,Database_Asfalt_Verwerkingsset[#All],8,FALSE)),Referentie_Backlog!M8),0))</f>
        <v>0</v>
      </c>
      <c r="N8" s="11">
        <f>(IF(Inschrijfberekening!C10="Bestaande Situatie",_xlfn.IFNA(VLOOKUP(Inschrijf_MKI_Totaal[[#This Row],[Product]]&amp;", "&amp;Inschrijf_MKI_Totaal[[#Headers],[C4]],Database_Productkaarten[#All],13,FALSE)*Inschrijfberekening!K10,Referentie_Backlog!N8),0))</f>
        <v>0</v>
      </c>
      <c r="O8" s="11" cm="1">
        <f t="array" ref="O8">_xlfn.IFNA((IF(Inschrijfberekening!C10="Bestaande Situatie",_xlfn.IFS(Inschrijfberekening!E10="Bitumineuze_verhardingen",VLOOKUP(Inschrijf_MKI_Totaal[[#This Row],[Product]]&amp;", "&amp;Inschrijf_MKI_Totaal[[#Headers],[D1]],Database_Productkaarten[#All],13,FALSE)*Inschrijfberekening!K10,Inschrijfberekening!E10="Funderingslagen",VLOOKUP(Inschrijf_MKI_Totaal[[#This Row],[Product]]&amp;", "&amp;Inschrijf_MKI_Totaal[[#Headers],[D1]],Database_Productkaarten[#All],13,FALSE)*Inschrijfberekening!K10,Inschrijfberekening!E10="Grondwerken",VLOOKUP(Inschrijf_MKI_Totaal[[#This Row],[Product]]&amp;", "&amp;Inschrijf_MKI_Totaal[[#Headers],[D1]],Database_Productkaarten[#All],13,FALSE)*Inschrijfberekening!K10,Inschrijfberekening!E10="Categorie_1_LCA_Producten",VLOOKUP(Inschrijf_MKI_Totaal[[#This Row],[Product]],Categorie_1_Producten[#All],12,FALSE)*(Inschrijfberekening!K10)),0)),Referentie_Backlog!O8)</f>
        <v>0</v>
      </c>
      <c r="P8" s="38" cm="1">
        <f t="array" ref="P8">_xlfn.IFNA((IF(Inschrijfberekening!C10="Bestaande Situatie",_xlfn.IFS(Inschrijfberekening!E10="Bitumineuze_verhardingen",VLOOKUP(Inschrijf_MKI_Totaal[[#This Row],[Product]]&amp;", "&amp;Inschrijf_MKI_Totaal[[#Headers],[D2]],Database_Productkaarten[#All],13,FALSE)*Inschrijfberekening!K10,Inschrijfberekening!E10="Funderingslagen",VLOOKUP(Inschrijf_MKI_Totaal[[#This Row],[Product]]&amp;", "&amp;Inschrijf_MKI_Totaal[[#Headers],[D2]],Database_Productkaarten[#All],13,FALSE)*Inschrijfberekening!K10,Inschrijfberekening!E10="Grondwerken",VLOOKUP(Inschrijf_MKI_Totaal[[#This Row],[Product]]&amp;", "&amp;Inschrijf_MKI_Totaal[[#Headers],[D2]],Database_Productkaarten[#All],13,FALSE)*Inschrijfberekening!K10,Inschrijfberekening!E10="Categorie_1_LCA_Producten",VLOOKUP(Inschrijf_MKI_Totaal[[#This Row],[Product]],Categorie_1_Producten[#All],13,FALSE)*(Inschrijfberekening!K10)),0)),Referentie_Backlog!P8)</f>
        <v>0</v>
      </c>
      <c r="Q8" s="191">
        <f>SUM(Inschrijf_MKI_Totaal[[#This Row],[A1]:[D2]])</f>
        <v>702.99011628229573</v>
      </c>
    </row>
    <row r="9" spans="2:17" ht="18" x14ac:dyDescent="0.55000000000000004">
      <c r="B9" s="285">
        <f>Inschrijfberekening!B11</f>
        <v>601250</v>
      </c>
      <c r="C9" s="23" t="str">
        <f>Inschrijfberekening!F11</f>
        <v>20460-TB - AC 16 Bin/Base 35/50 60% PR Bestone</v>
      </c>
      <c r="D9" s="11" cm="1">
        <f t="array" ref="D9">(IF(Inschrijfberekening!C11="Nieuwe Situatie",_xlfn.IFNA(_xlfn.IFS(Inschrijfberekening!E11="Bitumineuze_verhardingen",VLOOKUP(Inschrijf_MKI_Totaal[[#This Row],[Product]]&amp;", "&amp;Inschrijf_MKI_Totaal[[#Headers],[A1]],Database_Productkaarten[#All],13,FALSE)*Inschrijfberekening!K11,Inschrijfberekening!E11="Funderingslagen",VLOOKUP(Inschrijf_MKI_Totaal[[#This Row],[Product]]&amp;", "&amp;Inschrijf_MKI_Totaal[[#Headers],[A1]],Database_Productkaarten[#All],13,FALSE)*Inschrijfberekening!K11,Inschrijfberekening!E11="Grondwerken",VLOOKUP(Inschrijf_MKI_Totaal[[#This Row],[Product]]&amp;", "&amp;Inschrijf_MKI_Totaal[[#Headers],[A1]],Database_Productkaarten[#All],13,FALSE)*Inschrijfberekening!K11,Inschrijfberekening!E11="Categorie_1_LCA_Producten",VLOOKUP(Inschrijf_MKI_Totaal[[#This Row],[Product]],Categorie_1_Producten[#All],8,FALSE)*(Inschrijfberekening!K11)),Referentie_Backlog!D9),0))</f>
        <v>0</v>
      </c>
      <c r="E9" s="11" cm="1">
        <f t="array" ref="E9">(IF(Inschrijfberekening!C11="Nieuwe Situatie",_xlfn.IFNA(_xlfn.IFS(Inschrijfberekening!E11="Bitumineuze_verhardingen",VLOOKUP(Inschrijf_MKI_Totaal[[#This Row],[Product]]&amp;", "&amp;Inschrijf_MKI_Totaal[[#Headers],[A2]],Database_Productkaarten[#All],13,FALSE)*Inschrijfberekening!K11,Inschrijfberekening!E11="Funderingslagen",VLOOKUP(Inschrijf_MKI_Totaal[[#This Row],[Product]]&amp;", "&amp;Inschrijf_MKI_Totaal[[#Headers],[A2]],Database_Productkaarten[#All],13,FALSE)*Inschrijfberekening!K11,Inschrijfberekening!E11="Grondwerken",VLOOKUP(Inschrijf_MKI_Totaal[[#This Row],[Product]]&amp;", "&amp;Inschrijf_MKI_Totaal[[#Headers],[A2]],Database_Productkaarten[#All],13,FALSE)*Inschrijfberekening!K11,Inschrijfberekening!E11="Categorie_1_LCA_Producten",VLOOKUP(Inschrijf_MKI_Totaal[[#This Row],[Product]],Categorie_1_Producten[#All],9,FALSE)*(Inschrijfberekening!K11)),Referentie_Backlog!E9),0))</f>
        <v>0</v>
      </c>
      <c r="F9" s="11" cm="1">
        <f t="array" ref="F9">(IF(Inschrijfberekening!C11="Nieuwe Situatie",_xlfn.IFNA(_xlfn.IFS(Inschrijfberekening!E11="Bitumineuze_verhardingen",VLOOKUP(Inschrijf_MKI_Totaal[[#This Row],[Product]]&amp;", "&amp;Inschrijf_MKI_Totaal[[#Headers],[A3]],Database_Productkaarten[#All],13,FALSE)*Inschrijfberekening!K11,Inschrijfberekening!E11="Funderingslagen",VLOOKUP(Inschrijf_MKI_Totaal[[#This Row],[Product]]&amp;", "&amp;Inschrijf_MKI_Totaal[[#Headers],[A3]],Database_Productkaarten[#All],13,FALSE)*Inschrijfberekening!K11,Inschrijfberekening!E11="Grondwerken",VLOOKUP(Inschrijf_MKI_Totaal[[#This Row],[Product]]&amp;", "&amp;Inschrijf_MKI_Totaal[[#Headers],[A3]],Database_Productkaarten[#All],13,FALSE)*Inschrijfberekening!K11,Inschrijfberekening!E11="Categorie_1_LCA_Producten",VLOOKUP(Inschrijf_MKI_Totaal[[#This Row],[Product]],Categorie_1_Producten[#All],10,FALSE)*(Inschrijfberekening!K11)),Referentie_Backlog!F9),0))</f>
        <v>0</v>
      </c>
      <c r="G9" s="11">
        <f>(IF(Inschrijfberekening!C11="Nieuwe Situatie",_xlfn.IFNA(VLOOKUP(Inschrijfberekening!O11,Database_Transport[#All],7,FALSE)*(Inschrijfberekening!K11*Inschrijfberekening!N11),Referentie_Backlog!G9),0))</f>
        <v>10.90129152671234</v>
      </c>
      <c r="H9" s="105">
        <f>_xlfn.IFNA((IF(Inschrijfberekening!C11="Nieuwe Situatie",(VLOOKUP(Inschrijfberekening!P11,Database_Asfalt_Aanlegset[#All],7,FALSE)*Inschrijfberekening!K11)+IFERROR(((VLOOKUP(Inschrijfberekening!Q11,Database_Overig_Materieel[#All],7,FALSE)*(Inschrijfberekening!L11/VLOOKUP(Inschrijfberekening!Q11,Database_Overig_Materieel[#All],8,FALSE)))),0),0)),Referentie_Backlog!H9)</f>
        <v>6.009221895810902</v>
      </c>
      <c r="I9" s="11" cm="1">
        <f t="array" ref="I9">_xlfn.IFNA((IF(Inschrijfberekening!C11="Nieuwe Situatie",_xlfn.IFS(Inschrijfberekening!E11="Bitumineuze_verhardingen",VLOOKUP(Inschrijf_MKI_Totaal[[#This Row],[Product]]&amp;", "&amp;Inschrijf_MKI_Totaal[[#Headers],[B1]],Database_Productkaarten[#All],13,FALSE)*Inschrijfberekening!K11,Inschrijfberekening!E11="Funderingslagen",VLOOKUP(Inschrijf_MKI_Totaal[[#This Row],[Product]]&amp;", "&amp;Inschrijf_MKI_Totaal[[#Headers],[B1]],Database_Productkaarten[#All],13,FALSE)*Inschrijfberekening!K11,Inschrijfberekening!E11="Grondwerken",VLOOKUP(Inschrijf_MKI_Totaal[[#This Row],[Product]]&amp;", "&amp;Inschrijf_MKI_Totaal[[#Headers],[B1]],Database_Productkaarten[#All],13,FALSE)*Inschrijfberekening!K11,Inschrijfberekening!E11="Categorie_1_LCA_Producten",VLOOKUP(Inschrijf_MKI_Totaal[[#This Row],[Product]],Categorie_1_Producten[#All],11,FALSE)*(Inschrijfberekening!K11)),0)),Referentie_Backlog!I9)</f>
        <v>0</v>
      </c>
      <c r="J9" s="11">
        <f>(IF(Inschrijfberekening!C11="Nieuwe Situatie",_xlfn.IFNA(SUM(Inschrijf_MKI_Totaal[[#This Row],[A1]:[B1]],Inschrijf_MKI_Totaal[[#This Row],[C1]:[D2]])*Inschrijfberekening!M11,0),0))</f>
        <v>0</v>
      </c>
      <c r="K9" s="110">
        <f>(IF(Inschrijfberekening!C11="Bestaande Situatie",IF(IFERROR((VLOOKUP(Inschrijfberekening!R11,Database_Asfalt_Verwijderset[#All],7,FALSE)*Inschrijfberekening!K11),0)+IFERROR((VLOOKUP(Inschrijfberekening!S11,Database_Overig_Materieel[#All],7,FALSE)*(Inschrijfberekening!L11/VLOOKUP(Inschrijfberekening!S11,Database_Overig_Materieel[#All],7,FALSE))),0)=0,Referentie_Backlog!K9,IFERROR((VLOOKUP(Inschrijfberekening!R11,Database_Asfalt_Verwijderset[#All],7,FALSE)*Inschrijfberekening!K11),0)+IFERROR((VLOOKUP(Inschrijfberekening!S11,Database_Overig_Materieel[#All],7,FALSE)*(Inschrijfberekening!L11/VLOOKUP(Inschrijfberekening!S11,Database_Overig_Materieel[#All],8,FALSE))),0)),0))</f>
        <v>0</v>
      </c>
      <c r="L9" s="11">
        <f>(IF(Inschrijfberekening!C11="Bestaande Situatie",_xlfn.IFNA(VLOOKUP(Inschrijfberekening!U11,Database_Transport[#All],7,FALSE)*(Inschrijfberekening!K11*Inschrijfberekening!T11),Referentie_Backlog!L9),0))</f>
        <v>0</v>
      </c>
      <c r="M9" s="11">
        <f>(IF(Inschrijfberekening!C11="Bestaande Situatie",_xlfn.IFNA(VLOOKUP(Inschrijfberekening!V11,Database_Asfalt_Verwerkingsset[#All],7,FALSE)*(Inschrijfberekening!K11/VLOOKUP(Inschrijfberekening!V11,Database_Asfalt_Verwerkingsset[#All],8,FALSE)),Referentie_Backlog!M9),0))</f>
        <v>0</v>
      </c>
      <c r="N9" s="11">
        <f>(IF(Inschrijfberekening!C11="Bestaande Situatie",_xlfn.IFNA(VLOOKUP(Inschrijf_MKI_Totaal[[#This Row],[Product]]&amp;", "&amp;Inschrijf_MKI_Totaal[[#Headers],[C4]],Database_Productkaarten[#All],13,FALSE)*Inschrijfberekening!K11,Referentie_Backlog!N9),0))</f>
        <v>0</v>
      </c>
      <c r="O9" s="11" cm="1">
        <f t="array" ref="O9">_xlfn.IFNA((IF(Inschrijfberekening!C11="Bestaande Situatie",_xlfn.IFS(Inschrijfberekening!E11="Bitumineuze_verhardingen",VLOOKUP(Inschrijf_MKI_Totaal[[#This Row],[Product]]&amp;", "&amp;Inschrijf_MKI_Totaal[[#Headers],[D1]],Database_Productkaarten[#All],13,FALSE)*Inschrijfberekening!K11,Inschrijfberekening!E11="Funderingslagen",VLOOKUP(Inschrijf_MKI_Totaal[[#This Row],[Product]]&amp;", "&amp;Inschrijf_MKI_Totaal[[#Headers],[D1]],Database_Productkaarten[#All],13,FALSE)*Inschrijfberekening!K11,Inschrijfberekening!E11="Grondwerken",VLOOKUP(Inschrijf_MKI_Totaal[[#This Row],[Product]]&amp;", "&amp;Inschrijf_MKI_Totaal[[#Headers],[D1]],Database_Productkaarten[#All],13,FALSE)*Inschrijfberekening!K11,Inschrijfberekening!E11="Categorie_1_LCA_Producten",VLOOKUP(Inschrijf_MKI_Totaal[[#This Row],[Product]],Categorie_1_Producten[#All],12,FALSE)*(Inschrijfberekening!K11)),0)),Referentie_Backlog!O9)</f>
        <v>0</v>
      </c>
      <c r="P9" s="38" cm="1">
        <f t="array" ref="P9">_xlfn.IFNA((IF(Inschrijfberekening!C11="Bestaande Situatie",_xlfn.IFS(Inschrijfberekening!E11="Bitumineuze_verhardingen",VLOOKUP(Inschrijf_MKI_Totaal[[#This Row],[Product]]&amp;", "&amp;Inschrijf_MKI_Totaal[[#Headers],[D2]],Database_Productkaarten[#All],13,FALSE)*Inschrijfberekening!K11,Inschrijfberekening!E11="Funderingslagen",VLOOKUP(Inschrijf_MKI_Totaal[[#This Row],[Product]]&amp;", "&amp;Inschrijf_MKI_Totaal[[#Headers],[D2]],Database_Productkaarten[#All],13,FALSE)*Inschrijfberekening!K11,Inschrijfberekening!E11="Grondwerken",VLOOKUP(Inschrijf_MKI_Totaal[[#This Row],[Product]]&amp;", "&amp;Inschrijf_MKI_Totaal[[#Headers],[D2]],Database_Productkaarten[#All],13,FALSE)*Inschrijfberekening!K11,Inschrijfberekening!E11="Categorie_1_LCA_Producten",VLOOKUP(Inschrijf_MKI_Totaal[[#This Row],[Product]],Categorie_1_Producten[#All],13,FALSE)*(Inschrijfberekening!K11)),0)),Referentie_Backlog!P9)</f>
        <v>0</v>
      </c>
      <c r="Q9" s="191">
        <f>SUM(Inschrijf_MKI_Totaal[[#This Row],[A1]:[D2]])</f>
        <v>16.910513422523241</v>
      </c>
    </row>
    <row r="10" spans="2:17" ht="18" x14ac:dyDescent="0.55000000000000004">
      <c r="B10" s="285">
        <f>Inschrijfberekening!B12</f>
        <v>601260</v>
      </c>
      <c r="C10" s="23" t="str">
        <f>Inschrijfberekening!F12</f>
        <v>88405-TB - SMA-NL 11B 40/60 Bestone</v>
      </c>
      <c r="D10" s="11" cm="1">
        <f t="array" ref="D10">(IF(Inschrijfberekening!C12="Nieuwe Situatie",_xlfn.IFNA(_xlfn.IFS(Inschrijfberekening!E12="Bitumineuze_verhardingen",VLOOKUP(Inschrijf_MKI_Totaal[[#This Row],[Product]]&amp;", "&amp;Inschrijf_MKI_Totaal[[#Headers],[A1]],Database_Productkaarten[#All],13,FALSE)*Inschrijfberekening!K12,Inschrijfberekening!E12="Funderingslagen",VLOOKUP(Inschrijf_MKI_Totaal[[#This Row],[Product]]&amp;", "&amp;Inschrijf_MKI_Totaal[[#Headers],[A1]],Database_Productkaarten[#All],13,FALSE)*Inschrijfberekening!K12,Inschrijfberekening!E12="Grondwerken",VLOOKUP(Inschrijf_MKI_Totaal[[#This Row],[Product]]&amp;", "&amp;Inschrijf_MKI_Totaal[[#Headers],[A1]],Database_Productkaarten[#All],13,FALSE)*Inschrijfberekening!K12,Inschrijfberekening!E12="Categorie_1_LCA_Producten",VLOOKUP(Inschrijf_MKI_Totaal[[#This Row],[Product]],Categorie_1_Producten[#All],8,FALSE)*(Inschrijfberekening!K12)),Referentie_Backlog!D10),0))</f>
        <v>0</v>
      </c>
      <c r="E10" s="11" cm="1">
        <f t="array" ref="E10">(IF(Inschrijfberekening!C12="Nieuwe Situatie",_xlfn.IFNA(_xlfn.IFS(Inschrijfberekening!E12="Bitumineuze_verhardingen",VLOOKUP(Inschrijf_MKI_Totaal[[#This Row],[Product]]&amp;", "&amp;Inschrijf_MKI_Totaal[[#Headers],[A2]],Database_Productkaarten[#All],13,FALSE)*Inschrijfberekening!K12,Inschrijfberekening!E12="Funderingslagen",VLOOKUP(Inschrijf_MKI_Totaal[[#This Row],[Product]]&amp;", "&amp;Inschrijf_MKI_Totaal[[#Headers],[A2]],Database_Productkaarten[#All],13,FALSE)*Inschrijfberekening!K12,Inschrijfberekening!E12="Grondwerken",VLOOKUP(Inschrijf_MKI_Totaal[[#This Row],[Product]]&amp;", "&amp;Inschrijf_MKI_Totaal[[#Headers],[A2]],Database_Productkaarten[#All],13,FALSE)*Inschrijfberekening!K12,Inschrijfberekening!E12="Categorie_1_LCA_Producten",VLOOKUP(Inschrijf_MKI_Totaal[[#This Row],[Product]],Categorie_1_Producten[#All],9,FALSE)*(Inschrijfberekening!K12)),Referentie_Backlog!E10),0))</f>
        <v>0</v>
      </c>
      <c r="F10" s="11" cm="1">
        <f t="array" ref="F10">(IF(Inschrijfberekening!C12="Nieuwe Situatie",_xlfn.IFNA(_xlfn.IFS(Inschrijfberekening!E12="Bitumineuze_verhardingen",VLOOKUP(Inschrijf_MKI_Totaal[[#This Row],[Product]]&amp;", "&amp;Inschrijf_MKI_Totaal[[#Headers],[A3]],Database_Productkaarten[#All],13,FALSE)*Inschrijfberekening!K12,Inschrijfberekening!E12="Funderingslagen",VLOOKUP(Inschrijf_MKI_Totaal[[#This Row],[Product]]&amp;", "&amp;Inschrijf_MKI_Totaal[[#Headers],[A3]],Database_Productkaarten[#All],13,FALSE)*Inschrijfberekening!K12,Inschrijfberekening!E12="Grondwerken",VLOOKUP(Inschrijf_MKI_Totaal[[#This Row],[Product]]&amp;", "&amp;Inschrijf_MKI_Totaal[[#Headers],[A3]],Database_Productkaarten[#All],13,FALSE)*Inschrijfberekening!K12,Inschrijfberekening!E12="Categorie_1_LCA_Producten",VLOOKUP(Inschrijf_MKI_Totaal[[#This Row],[Product]],Categorie_1_Producten[#All],10,FALSE)*(Inschrijfberekening!K12)),Referentie_Backlog!F10),0))</f>
        <v>0</v>
      </c>
      <c r="G10" s="11">
        <f>(IF(Inschrijfberekening!C12="Nieuwe Situatie",_xlfn.IFNA(VLOOKUP(Inschrijfberekening!O12,Database_Transport[#All],7,FALSE)*(Inschrijfberekening!K12*Inschrijfberekening!N12),Referentie_Backlog!G10),0))</f>
        <v>9.9533531330851801</v>
      </c>
      <c r="H10" s="105">
        <f>_xlfn.IFNA((IF(Inschrijfberekening!C12="Nieuwe Situatie",(VLOOKUP(Inschrijfberekening!P12,Database_Asfalt_Aanlegset[#All],7,FALSE)*Inschrijfberekening!K12)+IFERROR(((VLOOKUP(Inschrijfberekening!Q12,Database_Overig_Materieel[#All],7,FALSE)*(Inschrijfberekening!L12/VLOOKUP(Inschrijfberekening!Q12,Database_Overig_Materieel[#All],8,FALSE)))),0),0)),Referentie_Backlog!H10)</f>
        <v>5.4866808613925633</v>
      </c>
      <c r="I10" s="11" cm="1">
        <f t="array" ref="I10">_xlfn.IFNA((IF(Inschrijfberekening!C12="Nieuwe Situatie",_xlfn.IFS(Inschrijfberekening!E12="Bitumineuze_verhardingen",VLOOKUP(Inschrijf_MKI_Totaal[[#This Row],[Product]]&amp;", "&amp;Inschrijf_MKI_Totaal[[#Headers],[B1]],Database_Productkaarten[#All],13,FALSE)*Inschrijfberekening!K12,Inschrijfberekening!E12="Funderingslagen",VLOOKUP(Inschrijf_MKI_Totaal[[#This Row],[Product]]&amp;", "&amp;Inschrijf_MKI_Totaal[[#Headers],[B1]],Database_Productkaarten[#All],13,FALSE)*Inschrijfberekening!K12,Inschrijfberekening!E12="Grondwerken",VLOOKUP(Inschrijf_MKI_Totaal[[#This Row],[Product]]&amp;", "&amp;Inschrijf_MKI_Totaal[[#Headers],[B1]],Database_Productkaarten[#All],13,FALSE)*Inschrijfberekening!K12,Inschrijfberekening!E12="Categorie_1_LCA_Producten",VLOOKUP(Inschrijf_MKI_Totaal[[#This Row],[Product]],Categorie_1_Producten[#All],11,FALSE)*(Inschrijfberekening!K12)),0)),Referentie_Backlog!I10)</f>
        <v>0</v>
      </c>
      <c r="J10" s="11">
        <f>(IF(Inschrijfberekening!C12="Nieuwe Situatie",_xlfn.IFNA(SUM(Inschrijf_MKI_Totaal[[#This Row],[A1]:[B1]],Inschrijf_MKI_Totaal[[#This Row],[C1]:[D2]])*Inschrijfberekening!M12,0),0))</f>
        <v>0</v>
      </c>
      <c r="K10" s="110">
        <f>(IF(Inschrijfberekening!C12="Bestaande Situatie",IF(IFERROR((VLOOKUP(Inschrijfberekening!R12,Database_Asfalt_Verwijderset[#All],7,FALSE)*Inschrijfberekening!K12),0)+IFERROR((VLOOKUP(Inschrijfberekening!S12,Database_Overig_Materieel[#All],7,FALSE)*(Inschrijfberekening!L12/VLOOKUP(Inschrijfberekening!S12,Database_Overig_Materieel[#All],7,FALSE))),0)=0,Referentie_Backlog!K10,IFERROR((VLOOKUP(Inschrijfberekening!R12,Database_Asfalt_Verwijderset[#All],7,FALSE)*Inschrijfberekening!K12),0)+IFERROR((VLOOKUP(Inschrijfberekening!S12,Database_Overig_Materieel[#All],7,FALSE)*(Inschrijfberekening!L12/VLOOKUP(Inschrijfberekening!S12,Database_Overig_Materieel[#All],8,FALSE))),0)),0))</f>
        <v>0</v>
      </c>
      <c r="L10" s="11">
        <f>(IF(Inschrijfberekening!C12="Bestaande Situatie",_xlfn.IFNA(VLOOKUP(Inschrijfberekening!U12,Database_Transport[#All],7,FALSE)*(Inschrijfberekening!K12*Inschrijfberekening!T12),Referentie_Backlog!L10),0))</f>
        <v>0</v>
      </c>
      <c r="M10" s="11">
        <f>(IF(Inschrijfberekening!C12="Bestaande Situatie",_xlfn.IFNA(VLOOKUP(Inschrijfberekening!V12,Database_Asfalt_Verwerkingsset[#All],7,FALSE)*(Inschrijfberekening!K12/VLOOKUP(Inschrijfberekening!V12,Database_Asfalt_Verwerkingsset[#All],8,FALSE)),Referentie_Backlog!M10),0))</f>
        <v>0</v>
      </c>
      <c r="N10" s="11">
        <f>(IF(Inschrijfberekening!C12="Bestaande Situatie",_xlfn.IFNA(VLOOKUP(Inschrijf_MKI_Totaal[[#This Row],[Product]]&amp;", "&amp;Inschrijf_MKI_Totaal[[#Headers],[C4]],Database_Productkaarten[#All],13,FALSE)*Inschrijfberekening!K12,Referentie_Backlog!N10),0))</f>
        <v>0</v>
      </c>
      <c r="O10" s="11" cm="1">
        <f t="array" ref="O10">_xlfn.IFNA((IF(Inschrijfberekening!C12="Bestaande Situatie",_xlfn.IFS(Inschrijfberekening!E12="Bitumineuze_verhardingen",VLOOKUP(Inschrijf_MKI_Totaal[[#This Row],[Product]]&amp;", "&amp;Inschrijf_MKI_Totaal[[#Headers],[D1]],Database_Productkaarten[#All],13,FALSE)*Inschrijfberekening!K12,Inschrijfberekening!E12="Funderingslagen",VLOOKUP(Inschrijf_MKI_Totaal[[#This Row],[Product]]&amp;", "&amp;Inschrijf_MKI_Totaal[[#Headers],[D1]],Database_Productkaarten[#All],13,FALSE)*Inschrijfberekening!K12,Inschrijfberekening!E12="Grondwerken",VLOOKUP(Inschrijf_MKI_Totaal[[#This Row],[Product]]&amp;", "&amp;Inschrijf_MKI_Totaal[[#Headers],[D1]],Database_Productkaarten[#All],13,FALSE)*Inschrijfberekening!K12,Inschrijfberekening!E12="Categorie_1_LCA_Producten",VLOOKUP(Inschrijf_MKI_Totaal[[#This Row],[Product]],Categorie_1_Producten[#All],12,FALSE)*(Inschrijfberekening!K12)),0)),Referentie_Backlog!O10)</f>
        <v>0</v>
      </c>
      <c r="P10" s="38" cm="1">
        <f t="array" ref="P10">_xlfn.IFNA((IF(Inschrijfberekening!C12="Bestaande Situatie",_xlfn.IFS(Inschrijfberekening!E12="Bitumineuze_verhardingen",VLOOKUP(Inschrijf_MKI_Totaal[[#This Row],[Product]]&amp;", "&amp;Inschrijf_MKI_Totaal[[#Headers],[D2]],Database_Productkaarten[#All],13,FALSE)*Inschrijfberekening!K12,Inschrijfberekening!E12="Funderingslagen",VLOOKUP(Inschrijf_MKI_Totaal[[#This Row],[Product]]&amp;", "&amp;Inschrijf_MKI_Totaal[[#Headers],[D2]],Database_Productkaarten[#All],13,FALSE)*Inschrijfberekening!K12,Inschrijfberekening!E12="Grondwerken",VLOOKUP(Inschrijf_MKI_Totaal[[#This Row],[Product]]&amp;", "&amp;Inschrijf_MKI_Totaal[[#Headers],[D2]],Database_Productkaarten[#All],13,FALSE)*Inschrijfberekening!K12,Inschrijfberekening!E12="Categorie_1_LCA_Producten",VLOOKUP(Inschrijf_MKI_Totaal[[#This Row],[Product]],Categorie_1_Producten[#All],13,FALSE)*(Inschrijfberekening!K12)),0)),Referentie_Backlog!P10)</f>
        <v>0</v>
      </c>
      <c r="Q10" s="191">
        <f>SUM(Inschrijf_MKI_Totaal[[#This Row],[A1]:[D2]])</f>
        <v>15.440033994477744</v>
      </c>
    </row>
    <row r="11" spans="2:17" ht="18" x14ac:dyDescent="0.55000000000000004">
      <c r="B11" s="285">
        <f>Inschrijfberekening!B13</f>
        <v>601270</v>
      </c>
      <c r="C11" s="23" t="str">
        <f>Inschrijfberekening!F13</f>
        <v>88405-TB - SMA-NL 11B 40/60 Bestone</v>
      </c>
      <c r="D11" s="11" cm="1">
        <f t="array" ref="D11">(IF(Inschrijfberekening!C13="Nieuwe Situatie",_xlfn.IFNA(_xlfn.IFS(Inschrijfberekening!E13="Bitumineuze_verhardingen",VLOOKUP(Inschrijf_MKI_Totaal[[#This Row],[Product]]&amp;", "&amp;Inschrijf_MKI_Totaal[[#Headers],[A1]],Database_Productkaarten[#All],13,FALSE)*Inschrijfberekening!K13,Inschrijfberekening!E13="Funderingslagen",VLOOKUP(Inschrijf_MKI_Totaal[[#This Row],[Product]]&amp;", "&amp;Inschrijf_MKI_Totaal[[#Headers],[A1]],Database_Productkaarten[#All],13,FALSE)*Inschrijfberekening!K13,Inschrijfberekening!E13="Grondwerken",VLOOKUP(Inschrijf_MKI_Totaal[[#This Row],[Product]]&amp;", "&amp;Inschrijf_MKI_Totaal[[#Headers],[A1]],Database_Productkaarten[#All],13,FALSE)*Inschrijfberekening!K13,Inschrijfberekening!E13="Categorie_1_LCA_Producten",VLOOKUP(Inschrijf_MKI_Totaal[[#This Row],[Product]],Categorie_1_Producten[#All],8,FALSE)*(Inschrijfberekening!K13)),Referentie_Backlog!D11),0))</f>
        <v>0</v>
      </c>
      <c r="E11" s="11" cm="1">
        <f t="array" ref="E11">(IF(Inschrijfberekening!C13="Nieuwe Situatie",_xlfn.IFNA(_xlfn.IFS(Inschrijfberekening!E13="Bitumineuze_verhardingen",VLOOKUP(Inschrijf_MKI_Totaal[[#This Row],[Product]]&amp;", "&amp;Inschrijf_MKI_Totaal[[#Headers],[A2]],Database_Productkaarten[#All],13,FALSE)*Inschrijfberekening!K13,Inschrijfberekening!E13="Funderingslagen",VLOOKUP(Inschrijf_MKI_Totaal[[#This Row],[Product]]&amp;", "&amp;Inschrijf_MKI_Totaal[[#Headers],[A2]],Database_Productkaarten[#All],13,FALSE)*Inschrijfberekening!K13,Inschrijfberekening!E13="Grondwerken",VLOOKUP(Inschrijf_MKI_Totaal[[#This Row],[Product]]&amp;", "&amp;Inschrijf_MKI_Totaal[[#Headers],[A2]],Database_Productkaarten[#All],13,FALSE)*Inschrijfberekening!K13,Inschrijfberekening!E13="Categorie_1_LCA_Producten",VLOOKUP(Inschrijf_MKI_Totaal[[#This Row],[Product]],Categorie_1_Producten[#All],9,FALSE)*(Inschrijfberekening!K13)),Referentie_Backlog!E11),0))</f>
        <v>0</v>
      </c>
      <c r="F11" s="11" cm="1">
        <f t="array" ref="F11">(IF(Inschrijfberekening!C13="Nieuwe Situatie",_xlfn.IFNA(_xlfn.IFS(Inschrijfberekening!E13="Bitumineuze_verhardingen",VLOOKUP(Inschrijf_MKI_Totaal[[#This Row],[Product]]&amp;", "&amp;Inschrijf_MKI_Totaal[[#Headers],[A3]],Database_Productkaarten[#All],13,FALSE)*Inschrijfberekening!K13,Inschrijfberekening!E13="Funderingslagen",VLOOKUP(Inschrijf_MKI_Totaal[[#This Row],[Product]]&amp;", "&amp;Inschrijf_MKI_Totaal[[#Headers],[A3]],Database_Productkaarten[#All],13,FALSE)*Inschrijfberekening!K13,Inschrijfberekening!E13="Grondwerken",VLOOKUP(Inschrijf_MKI_Totaal[[#This Row],[Product]]&amp;", "&amp;Inschrijf_MKI_Totaal[[#Headers],[A3]],Database_Productkaarten[#All],13,FALSE)*Inschrijfberekening!K13,Inschrijfberekening!E13="Categorie_1_LCA_Producten",VLOOKUP(Inschrijf_MKI_Totaal[[#This Row],[Product]],Categorie_1_Producten[#All],10,FALSE)*(Inschrijfberekening!K13)),Referentie_Backlog!F11),0))</f>
        <v>0</v>
      </c>
      <c r="G11" s="11">
        <f>(IF(Inschrijfberekening!C13="Nieuwe Situatie",_xlfn.IFNA(VLOOKUP(Inschrijfberekening!O13,Database_Transport[#All],7,FALSE)*(Inschrijfberekening!K13*Inschrijfberekening!N13),Referentie_Backlog!G11),0))</f>
        <v>8.5314455426444393</v>
      </c>
      <c r="H11" s="105">
        <f>_xlfn.IFNA((IF(Inschrijfberekening!C13="Nieuwe Situatie",(VLOOKUP(Inschrijfberekening!P13,Database_Asfalt_Aanlegset[#All],7,FALSE)*Inschrijfberekening!K13)+IFERROR(((VLOOKUP(Inschrijfberekening!Q13,Database_Overig_Materieel[#All],7,FALSE)*(Inschrijfberekening!L13/VLOOKUP(Inschrijfberekening!Q13,Database_Overig_Materieel[#All],8,FALSE)))),0),0)),Referentie_Backlog!H11)</f>
        <v>4.7028693097650542</v>
      </c>
      <c r="I11" s="11" cm="1">
        <f t="array" ref="I11">_xlfn.IFNA((IF(Inschrijfberekening!C13="Nieuwe Situatie",_xlfn.IFS(Inschrijfberekening!E13="Bitumineuze_verhardingen",VLOOKUP(Inschrijf_MKI_Totaal[[#This Row],[Product]]&amp;", "&amp;Inschrijf_MKI_Totaal[[#Headers],[B1]],Database_Productkaarten[#All],13,FALSE)*Inschrijfberekening!K13,Inschrijfberekening!E13="Funderingslagen",VLOOKUP(Inschrijf_MKI_Totaal[[#This Row],[Product]]&amp;", "&amp;Inschrijf_MKI_Totaal[[#Headers],[B1]],Database_Productkaarten[#All],13,FALSE)*Inschrijfberekening!K13,Inschrijfberekening!E13="Grondwerken",VLOOKUP(Inschrijf_MKI_Totaal[[#This Row],[Product]]&amp;", "&amp;Inschrijf_MKI_Totaal[[#Headers],[B1]],Database_Productkaarten[#All],13,FALSE)*Inschrijfberekening!K13,Inschrijfberekening!E13="Categorie_1_LCA_Producten",VLOOKUP(Inschrijf_MKI_Totaal[[#This Row],[Product]],Categorie_1_Producten[#All],11,FALSE)*(Inschrijfberekening!K13)),0)),Referentie_Backlog!I11)</f>
        <v>0</v>
      </c>
      <c r="J11" s="11">
        <f>(IF(Inschrijfberekening!C13="Nieuwe Situatie",_xlfn.IFNA(SUM(Inschrijf_MKI_Totaal[[#This Row],[A1]:[B1]],Inschrijf_MKI_Totaal[[#This Row],[C1]:[D2]])*Inschrijfberekening!M13,0),0))</f>
        <v>0</v>
      </c>
      <c r="K11" s="110">
        <f>(IF(Inschrijfberekening!C13="Bestaande Situatie",IF(IFERROR((VLOOKUP(Inschrijfberekening!R13,Database_Asfalt_Verwijderset[#All],7,FALSE)*Inschrijfberekening!K13),0)+IFERROR((VLOOKUP(Inschrijfberekening!S13,Database_Overig_Materieel[#All],7,FALSE)*(Inschrijfberekening!L13/VLOOKUP(Inschrijfberekening!S13,Database_Overig_Materieel[#All],7,FALSE))),0)=0,Referentie_Backlog!K11,IFERROR((VLOOKUP(Inschrijfberekening!R13,Database_Asfalt_Verwijderset[#All],7,FALSE)*Inschrijfberekening!K13),0)+IFERROR((VLOOKUP(Inschrijfberekening!S13,Database_Overig_Materieel[#All],7,FALSE)*(Inschrijfberekening!L13/VLOOKUP(Inschrijfberekening!S13,Database_Overig_Materieel[#All],8,FALSE))),0)),0))</f>
        <v>0</v>
      </c>
      <c r="L11" s="11">
        <f>(IF(Inschrijfberekening!C13="Bestaande Situatie",_xlfn.IFNA(VLOOKUP(Inschrijfberekening!U13,Database_Transport[#All],7,FALSE)*(Inschrijfberekening!K13*Inschrijfberekening!T13),Referentie_Backlog!L11),0))</f>
        <v>0</v>
      </c>
      <c r="M11" s="11">
        <f>(IF(Inschrijfberekening!C13="Bestaande Situatie",_xlfn.IFNA(VLOOKUP(Inschrijfberekening!V13,Database_Asfalt_Verwerkingsset[#All],7,FALSE)*(Inschrijfberekening!K13/VLOOKUP(Inschrijfberekening!V13,Database_Asfalt_Verwerkingsset[#All],8,FALSE)),Referentie_Backlog!M11),0))</f>
        <v>0</v>
      </c>
      <c r="N11" s="11">
        <f>(IF(Inschrijfberekening!C13="Bestaande Situatie",_xlfn.IFNA(VLOOKUP(Inschrijf_MKI_Totaal[[#This Row],[Product]]&amp;", "&amp;Inschrijf_MKI_Totaal[[#Headers],[C4]],Database_Productkaarten[#All],13,FALSE)*Inschrijfberekening!K13,Referentie_Backlog!N11),0))</f>
        <v>0</v>
      </c>
      <c r="O11" s="11" cm="1">
        <f t="array" ref="O11">_xlfn.IFNA((IF(Inschrijfberekening!C13="Bestaande Situatie",_xlfn.IFS(Inschrijfberekening!E13="Bitumineuze_verhardingen",VLOOKUP(Inschrijf_MKI_Totaal[[#This Row],[Product]]&amp;", "&amp;Inschrijf_MKI_Totaal[[#Headers],[D1]],Database_Productkaarten[#All],13,FALSE)*Inschrijfberekening!K13,Inschrijfberekening!E13="Funderingslagen",VLOOKUP(Inschrijf_MKI_Totaal[[#This Row],[Product]]&amp;", "&amp;Inschrijf_MKI_Totaal[[#Headers],[D1]],Database_Productkaarten[#All],13,FALSE)*Inschrijfberekening!K13,Inschrijfberekening!E13="Grondwerken",VLOOKUP(Inschrijf_MKI_Totaal[[#This Row],[Product]]&amp;", "&amp;Inschrijf_MKI_Totaal[[#Headers],[D1]],Database_Productkaarten[#All],13,FALSE)*Inschrijfberekening!K13,Inschrijfberekening!E13="Categorie_1_LCA_Producten",VLOOKUP(Inschrijf_MKI_Totaal[[#This Row],[Product]],Categorie_1_Producten[#All],12,FALSE)*(Inschrijfberekening!K13)),0)),Referentie_Backlog!O11)</f>
        <v>0</v>
      </c>
      <c r="P11" s="38" cm="1">
        <f t="array" ref="P11">_xlfn.IFNA((IF(Inschrijfberekening!C13="Bestaande Situatie",_xlfn.IFS(Inschrijfberekening!E13="Bitumineuze_verhardingen",VLOOKUP(Inschrijf_MKI_Totaal[[#This Row],[Product]]&amp;", "&amp;Inschrijf_MKI_Totaal[[#Headers],[D2]],Database_Productkaarten[#All],13,FALSE)*Inschrijfberekening!K13,Inschrijfberekening!E13="Funderingslagen",VLOOKUP(Inschrijf_MKI_Totaal[[#This Row],[Product]]&amp;", "&amp;Inschrijf_MKI_Totaal[[#Headers],[D2]],Database_Productkaarten[#All],13,FALSE)*Inschrijfberekening!K13,Inschrijfberekening!E13="Grondwerken",VLOOKUP(Inschrijf_MKI_Totaal[[#This Row],[Product]]&amp;", "&amp;Inschrijf_MKI_Totaal[[#Headers],[D2]],Database_Productkaarten[#All],13,FALSE)*Inschrijfberekening!K13,Inschrijfberekening!E13="Categorie_1_LCA_Producten",VLOOKUP(Inschrijf_MKI_Totaal[[#This Row],[Product]],Categorie_1_Producten[#All],13,FALSE)*(Inschrijfberekening!K13)),0)),Referentie_Backlog!P11)</f>
        <v>0</v>
      </c>
      <c r="Q11" s="191">
        <f>SUM(Inschrijf_MKI_Totaal[[#This Row],[A1]:[D2]])</f>
        <v>13.234314852409494</v>
      </c>
    </row>
    <row r="12" spans="2:17" ht="18" x14ac:dyDescent="0.55000000000000004">
      <c r="B12" s="285">
        <f>Inschrijfberekening!B14</f>
        <v>0</v>
      </c>
      <c r="C12" s="23">
        <f>Inschrijfberekening!F14</f>
        <v>0</v>
      </c>
      <c r="D12" s="11" cm="1">
        <f t="array" ref="D12">(IF(Inschrijfberekening!C14="Nieuwe Situatie",_xlfn.IFNA(_xlfn.IFS(Inschrijfberekening!E14="Bitumineuze_verhardingen",VLOOKUP(Inschrijf_MKI_Totaal[[#This Row],[Product]]&amp;", "&amp;Inschrijf_MKI_Totaal[[#Headers],[A1]],Database_Productkaarten[#All],13,FALSE)*Inschrijfberekening!K14,Inschrijfberekening!E14="Funderingslagen",VLOOKUP(Inschrijf_MKI_Totaal[[#This Row],[Product]]&amp;", "&amp;Inschrijf_MKI_Totaal[[#Headers],[A1]],Database_Productkaarten[#All],13,FALSE)*Inschrijfberekening!K14,Inschrijfberekening!E14="Grondwerken",VLOOKUP(Inschrijf_MKI_Totaal[[#This Row],[Product]]&amp;", "&amp;Inschrijf_MKI_Totaal[[#Headers],[A1]],Database_Productkaarten[#All],13,FALSE)*Inschrijfberekening!K14,Inschrijfberekening!E14="Categorie_1_LCA_Producten",VLOOKUP(Inschrijf_MKI_Totaal[[#This Row],[Product]],Categorie_1_Producten[#All],8,FALSE)*(Inschrijfberekening!K14)),Referentie_Backlog!D12),0))</f>
        <v>0</v>
      </c>
      <c r="E12" s="11" cm="1">
        <f t="array" ref="E12">(IF(Inschrijfberekening!C14="Nieuwe Situatie",_xlfn.IFNA(_xlfn.IFS(Inschrijfberekening!E14="Bitumineuze_verhardingen",VLOOKUP(Inschrijf_MKI_Totaal[[#This Row],[Product]]&amp;", "&amp;Inschrijf_MKI_Totaal[[#Headers],[A2]],Database_Productkaarten[#All],13,FALSE)*Inschrijfberekening!K14,Inschrijfberekening!E14="Funderingslagen",VLOOKUP(Inschrijf_MKI_Totaal[[#This Row],[Product]]&amp;", "&amp;Inschrijf_MKI_Totaal[[#Headers],[A2]],Database_Productkaarten[#All],13,FALSE)*Inschrijfberekening!K14,Inschrijfberekening!E14="Grondwerken",VLOOKUP(Inschrijf_MKI_Totaal[[#This Row],[Product]]&amp;", "&amp;Inschrijf_MKI_Totaal[[#Headers],[A2]],Database_Productkaarten[#All],13,FALSE)*Inschrijfberekening!K14,Inschrijfberekening!E14="Categorie_1_LCA_Producten",VLOOKUP(Inschrijf_MKI_Totaal[[#This Row],[Product]],Categorie_1_Producten[#All],9,FALSE)*(Inschrijfberekening!K14)),Referentie_Backlog!E12),0))</f>
        <v>0</v>
      </c>
      <c r="F12" s="11" cm="1">
        <f t="array" ref="F12">(IF(Inschrijfberekening!C14="Nieuwe Situatie",_xlfn.IFNA(_xlfn.IFS(Inschrijfberekening!E14="Bitumineuze_verhardingen",VLOOKUP(Inschrijf_MKI_Totaal[[#This Row],[Product]]&amp;", "&amp;Inschrijf_MKI_Totaal[[#Headers],[A3]],Database_Productkaarten[#All],13,FALSE)*Inschrijfberekening!K14,Inschrijfberekening!E14="Funderingslagen",VLOOKUP(Inschrijf_MKI_Totaal[[#This Row],[Product]]&amp;", "&amp;Inschrijf_MKI_Totaal[[#Headers],[A3]],Database_Productkaarten[#All],13,FALSE)*Inschrijfberekening!K14,Inschrijfberekening!E14="Grondwerken",VLOOKUP(Inschrijf_MKI_Totaal[[#This Row],[Product]]&amp;", "&amp;Inschrijf_MKI_Totaal[[#Headers],[A3]],Database_Productkaarten[#All],13,FALSE)*Inschrijfberekening!K14,Inschrijfberekening!E14="Categorie_1_LCA_Producten",VLOOKUP(Inschrijf_MKI_Totaal[[#This Row],[Product]],Categorie_1_Producten[#All],10,FALSE)*(Inschrijfberekening!K14)),Referentie_Backlog!F12),0))</f>
        <v>0</v>
      </c>
      <c r="G12" s="11">
        <f>(IF(Inschrijfberekening!C14="Nieuwe Situatie",_xlfn.IFNA(VLOOKUP(Inschrijfberekening!O14,Database_Transport[#All],7,FALSE)*(Inschrijfberekening!K14*Inschrijfberekening!N14),Referentie_Backlog!G12),0))</f>
        <v>0</v>
      </c>
      <c r="H12" s="105">
        <f>_xlfn.IFNA((IF(Inschrijfberekening!C14="Nieuwe Situatie",(VLOOKUP(Inschrijfberekening!P14,Database_Asfalt_Aanlegset[#All],7,FALSE)*Inschrijfberekening!K14)+IFERROR(((VLOOKUP(Inschrijfberekening!Q14,Database_Overig_Materieel[#All],7,FALSE)*(Inschrijfberekening!L14/VLOOKUP(Inschrijfberekening!Q14,Database_Overig_Materieel[#All],8,FALSE)))),0),0)),Referentie_Backlog!H12)</f>
        <v>0</v>
      </c>
      <c r="I12" s="11" cm="1">
        <f t="array" ref="I12">_xlfn.IFNA((IF(Inschrijfberekening!C14="Nieuwe Situatie",_xlfn.IFS(Inschrijfberekening!E14="Bitumineuze_verhardingen",VLOOKUP(Inschrijf_MKI_Totaal[[#This Row],[Product]]&amp;", "&amp;Inschrijf_MKI_Totaal[[#Headers],[B1]],Database_Productkaarten[#All],13,FALSE)*Inschrijfberekening!K14,Inschrijfberekening!E14="Funderingslagen",VLOOKUP(Inschrijf_MKI_Totaal[[#This Row],[Product]]&amp;", "&amp;Inschrijf_MKI_Totaal[[#Headers],[B1]],Database_Productkaarten[#All],13,FALSE)*Inschrijfberekening!K14,Inschrijfberekening!E14="Grondwerken",VLOOKUP(Inschrijf_MKI_Totaal[[#This Row],[Product]]&amp;", "&amp;Inschrijf_MKI_Totaal[[#Headers],[B1]],Database_Productkaarten[#All],13,FALSE)*Inschrijfberekening!K14,Inschrijfberekening!E14="Categorie_1_LCA_Producten",VLOOKUP(Inschrijf_MKI_Totaal[[#This Row],[Product]],Categorie_1_Producten[#All],11,FALSE)*(Inschrijfberekening!K14)),0)),Referentie_Backlog!I12)</f>
        <v>0</v>
      </c>
      <c r="J12" s="11">
        <f>(IF(Inschrijfberekening!C14="Nieuwe Situatie",_xlfn.IFNA(SUM(Inschrijf_MKI_Totaal[[#This Row],[A1]:[B1]],Inschrijf_MKI_Totaal[[#This Row],[C1]:[D2]])*Inschrijfberekening!M14,0),0))</f>
        <v>0</v>
      </c>
      <c r="K12" s="110">
        <f>(IF(Inschrijfberekening!C14="Bestaande Situatie",IF(IFERROR((VLOOKUP(Inschrijfberekening!R14,Database_Asfalt_Verwijderset[#All],7,FALSE)*Inschrijfberekening!K14),0)+IFERROR((VLOOKUP(Inschrijfberekening!S14,Database_Overig_Materieel[#All],7,FALSE)*(Inschrijfberekening!L14/VLOOKUP(Inschrijfberekening!S14,Database_Overig_Materieel[#All],7,FALSE))),0)=0,Referentie_Backlog!K12,IFERROR((VLOOKUP(Inschrijfberekening!R14,Database_Asfalt_Verwijderset[#All],7,FALSE)*Inschrijfberekening!K14),0)+IFERROR((VLOOKUP(Inschrijfberekening!S14,Database_Overig_Materieel[#All],7,FALSE)*(Inschrijfberekening!L14/VLOOKUP(Inschrijfberekening!S14,Database_Overig_Materieel[#All],8,FALSE))),0)),0))</f>
        <v>0</v>
      </c>
      <c r="L12" s="11">
        <f>(IF(Inschrijfberekening!C14="Bestaande Situatie",_xlfn.IFNA(VLOOKUP(Inschrijfberekening!U14,Database_Transport[#All],7,FALSE)*(Inschrijfberekening!K14*Inschrijfberekening!T14),Referentie_Backlog!L12),0))</f>
        <v>0</v>
      </c>
      <c r="M12" s="11">
        <f>(IF(Inschrijfberekening!C14="Bestaande Situatie",_xlfn.IFNA(VLOOKUP(Inschrijfberekening!V14,Database_Asfalt_Verwerkingsset[#All],7,FALSE)*(Inschrijfberekening!K14/VLOOKUP(Inschrijfberekening!V14,Database_Asfalt_Verwerkingsset[#All],8,FALSE)),Referentie_Backlog!M12),0))</f>
        <v>0</v>
      </c>
      <c r="N12" s="11">
        <f>(IF(Inschrijfberekening!C14="Bestaande Situatie",_xlfn.IFNA(VLOOKUP(Inschrijf_MKI_Totaal[[#This Row],[Product]]&amp;", "&amp;Inschrijf_MKI_Totaal[[#Headers],[C4]],Database_Productkaarten[#All],13,FALSE)*Inschrijfberekening!K14,Referentie_Backlog!N12),0))</f>
        <v>0</v>
      </c>
      <c r="O12" s="11" cm="1">
        <f t="array" ref="O12">_xlfn.IFNA((IF(Inschrijfberekening!C14="Bestaande Situatie",_xlfn.IFS(Inschrijfberekening!E14="Bitumineuze_verhardingen",VLOOKUP(Inschrijf_MKI_Totaal[[#This Row],[Product]]&amp;", "&amp;Inschrijf_MKI_Totaal[[#Headers],[D1]],Database_Productkaarten[#All],13,FALSE)*Inschrijfberekening!K14,Inschrijfberekening!E14="Funderingslagen",VLOOKUP(Inschrijf_MKI_Totaal[[#This Row],[Product]]&amp;", "&amp;Inschrijf_MKI_Totaal[[#Headers],[D1]],Database_Productkaarten[#All],13,FALSE)*Inschrijfberekening!K14,Inschrijfberekening!E14="Grondwerken",VLOOKUP(Inschrijf_MKI_Totaal[[#This Row],[Product]]&amp;", "&amp;Inschrijf_MKI_Totaal[[#Headers],[D1]],Database_Productkaarten[#All],13,FALSE)*Inschrijfberekening!K14,Inschrijfberekening!E14="Categorie_1_LCA_Producten",VLOOKUP(Inschrijf_MKI_Totaal[[#This Row],[Product]],Categorie_1_Producten[#All],12,FALSE)*(Inschrijfberekening!K14)),0)),Referentie_Backlog!O12)</f>
        <v>0</v>
      </c>
      <c r="P12" s="38" cm="1">
        <f t="array" ref="P12">_xlfn.IFNA((IF(Inschrijfberekening!C14="Bestaande Situatie",_xlfn.IFS(Inschrijfberekening!E14="Bitumineuze_verhardingen",VLOOKUP(Inschrijf_MKI_Totaal[[#This Row],[Product]]&amp;", "&amp;Inschrijf_MKI_Totaal[[#Headers],[D2]],Database_Productkaarten[#All],13,FALSE)*Inschrijfberekening!K14,Inschrijfberekening!E14="Funderingslagen",VLOOKUP(Inschrijf_MKI_Totaal[[#This Row],[Product]]&amp;", "&amp;Inschrijf_MKI_Totaal[[#Headers],[D2]],Database_Productkaarten[#All],13,FALSE)*Inschrijfberekening!K14,Inschrijfberekening!E14="Grondwerken",VLOOKUP(Inschrijf_MKI_Totaal[[#This Row],[Product]]&amp;", "&amp;Inschrijf_MKI_Totaal[[#Headers],[D2]],Database_Productkaarten[#All],13,FALSE)*Inschrijfberekening!K14,Inschrijfberekening!E14="Categorie_1_LCA_Producten",VLOOKUP(Inschrijf_MKI_Totaal[[#This Row],[Product]],Categorie_1_Producten[#All],13,FALSE)*(Inschrijfberekening!K14)),0)),Referentie_Backlog!P12)</f>
        <v>0</v>
      </c>
      <c r="Q12" s="191">
        <f>SUM(Inschrijf_MKI_Totaal[[#This Row],[A1]:[D2]])</f>
        <v>0</v>
      </c>
    </row>
    <row r="13" spans="2:17" ht="18" x14ac:dyDescent="0.55000000000000004">
      <c r="B13" s="285">
        <f>Inschrijfberekening!B15</f>
        <v>0</v>
      </c>
      <c r="C13" s="23">
        <f>Inschrijfberekening!F15</f>
        <v>0</v>
      </c>
      <c r="D13" s="11" cm="1">
        <f t="array" ref="D13">(IF(Inschrijfberekening!C15="Nieuwe Situatie",_xlfn.IFNA(_xlfn.IFS(Inschrijfberekening!E15="Bitumineuze_verhardingen",VLOOKUP(Inschrijf_MKI_Totaal[[#This Row],[Product]]&amp;", "&amp;Inschrijf_MKI_Totaal[[#Headers],[A1]],Database_Productkaarten[#All],13,FALSE)*Inschrijfberekening!K15,Inschrijfberekening!E15="Funderingslagen",VLOOKUP(Inschrijf_MKI_Totaal[[#This Row],[Product]]&amp;", "&amp;Inschrijf_MKI_Totaal[[#Headers],[A1]],Database_Productkaarten[#All],13,FALSE)*Inschrijfberekening!K15,Inschrijfberekening!E15="Grondwerken",VLOOKUP(Inschrijf_MKI_Totaal[[#This Row],[Product]]&amp;", "&amp;Inschrijf_MKI_Totaal[[#Headers],[A1]],Database_Productkaarten[#All],13,FALSE)*Inschrijfberekening!K15,Inschrijfberekening!E15="Categorie_1_LCA_Producten",VLOOKUP(Inschrijf_MKI_Totaal[[#This Row],[Product]],Categorie_1_Producten[#All],8,FALSE)*(Inschrijfberekening!K15)),Referentie_Backlog!D13),0))</f>
        <v>0</v>
      </c>
      <c r="E13" s="11" cm="1">
        <f t="array" ref="E13">(IF(Inschrijfberekening!C15="Nieuwe Situatie",_xlfn.IFNA(_xlfn.IFS(Inschrijfberekening!E15="Bitumineuze_verhardingen",VLOOKUP(Inschrijf_MKI_Totaal[[#This Row],[Product]]&amp;", "&amp;Inschrijf_MKI_Totaal[[#Headers],[A2]],Database_Productkaarten[#All],13,FALSE)*Inschrijfberekening!K15,Inschrijfberekening!E15="Funderingslagen",VLOOKUP(Inschrijf_MKI_Totaal[[#This Row],[Product]]&amp;", "&amp;Inschrijf_MKI_Totaal[[#Headers],[A2]],Database_Productkaarten[#All],13,FALSE)*Inschrijfberekening!K15,Inschrijfberekening!E15="Grondwerken",VLOOKUP(Inschrijf_MKI_Totaal[[#This Row],[Product]]&amp;", "&amp;Inschrijf_MKI_Totaal[[#Headers],[A2]],Database_Productkaarten[#All],13,FALSE)*Inschrijfberekening!K15,Inschrijfberekening!E15="Categorie_1_LCA_Producten",VLOOKUP(Inschrijf_MKI_Totaal[[#This Row],[Product]],Categorie_1_Producten[#All],9,FALSE)*(Inschrijfberekening!K15)),Referentie_Backlog!E13),0))</f>
        <v>0</v>
      </c>
      <c r="F13" s="11" cm="1">
        <f t="array" ref="F13">(IF(Inschrijfberekening!C15="Nieuwe Situatie",_xlfn.IFNA(_xlfn.IFS(Inschrijfberekening!E15="Bitumineuze_verhardingen",VLOOKUP(Inschrijf_MKI_Totaal[[#This Row],[Product]]&amp;", "&amp;Inschrijf_MKI_Totaal[[#Headers],[A3]],Database_Productkaarten[#All],13,FALSE)*Inschrijfberekening!K15,Inschrijfberekening!E15="Funderingslagen",VLOOKUP(Inschrijf_MKI_Totaal[[#This Row],[Product]]&amp;", "&amp;Inschrijf_MKI_Totaal[[#Headers],[A3]],Database_Productkaarten[#All],13,FALSE)*Inschrijfberekening!K15,Inschrijfberekening!E15="Grondwerken",VLOOKUP(Inschrijf_MKI_Totaal[[#This Row],[Product]]&amp;", "&amp;Inschrijf_MKI_Totaal[[#Headers],[A3]],Database_Productkaarten[#All],13,FALSE)*Inschrijfberekening!K15,Inschrijfberekening!E15="Categorie_1_LCA_Producten",VLOOKUP(Inschrijf_MKI_Totaal[[#This Row],[Product]],Categorie_1_Producten[#All],10,FALSE)*(Inschrijfberekening!K15)),Referentie_Backlog!F13),0))</f>
        <v>0</v>
      </c>
      <c r="G13" s="11">
        <f>(IF(Inschrijfberekening!C15="Nieuwe Situatie",_xlfn.IFNA(VLOOKUP(Inschrijfberekening!O15,Database_Transport[#All],7,FALSE)*(Inschrijfberekening!K15*Inschrijfberekening!N15),Referentie_Backlog!G13),0))</f>
        <v>0</v>
      </c>
      <c r="H13" s="105">
        <f>_xlfn.IFNA((IF(Inschrijfberekening!C15="Nieuwe Situatie",(VLOOKUP(Inschrijfberekening!P15,Database_Asfalt_Aanlegset[#All],7,FALSE)*Inschrijfberekening!K15)+IFERROR(((VLOOKUP(Inschrijfberekening!Q15,Database_Overig_Materieel[#All],7,FALSE)*(Inschrijfberekening!L15/VLOOKUP(Inschrijfberekening!Q15,Database_Overig_Materieel[#All],8,FALSE)))),0),0)),Referentie_Backlog!H13)</f>
        <v>0</v>
      </c>
      <c r="I13" s="11" cm="1">
        <f t="array" ref="I13">_xlfn.IFNA((IF(Inschrijfberekening!C15="Nieuwe Situatie",_xlfn.IFS(Inschrijfberekening!E15="Bitumineuze_verhardingen",VLOOKUP(Inschrijf_MKI_Totaal[[#This Row],[Product]]&amp;", "&amp;Inschrijf_MKI_Totaal[[#Headers],[B1]],Database_Productkaarten[#All],13,FALSE)*Inschrijfberekening!K15,Inschrijfberekening!E15="Funderingslagen",VLOOKUP(Inschrijf_MKI_Totaal[[#This Row],[Product]]&amp;", "&amp;Inschrijf_MKI_Totaal[[#Headers],[B1]],Database_Productkaarten[#All],13,FALSE)*Inschrijfberekening!K15,Inschrijfberekening!E15="Grondwerken",VLOOKUP(Inschrijf_MKI_Totaal[[#This Row],[Product]]&amp;", "&amp;Inschrijf_MKI_Totaal[[#Headers],[B1]],Database_Productkaarten[#All],13,FALSE)*Inschrijfberekening!K15,Inschrijfberekening!E15="Categorie_1_LCA_Producten",VLOOKUP(Inschrijf_MKI_Totaal[[#This Row],[Product]],Categorie_1_Producten[#All],11,FALSE)*(Inschrijfberekening!K15)),0)),Referentie_Backlog!I13)</f>
        <v>0</v>
      </c>
      <c r="J13" s="11">
        <f>(IF(Inschrijfberekening!C15="Nieuwe Situatie",_xlfn.IFNA(SUM(Inschrijf_MKI_Totaal[[#This Row],[A1]:[B1]],Inschrijf_MKI_Totaal[[#This Row],[C1]:[D2]])*Inschrijfberekening!M15,0),0))</f>
        <v>0</v>
      </c>
      <c r="K13" s="110">
        <f>(IF(Inschrijfberekening!C15="Bestaande Situatie",IF(IFERROR((VLOOKUP(Inschrijfberekening!R15,Database_Asfalt_Verwijderset[#All],7,FALSE)*Inschrijfberekening!K15),0)+IFERROR((VLOOKUP(Inschrijfberekening!S15,Database_Overig_Materieel[#All],7,FALSE)*(Inschrijfberekening!L15/VLOOKUP(Inschrijfberekening!S15,Database_Overig_Materieel[#All],7,FALSE))),0)=0,Referentie_Backlog!K13,IFERROR((VLOOKUP(Inschrijfberekening!R15,Database_Asfalt_Verwijderset[#All],7,FALSE)*Inschrijfberekening!K15),0)+IFERROR((VLOOKUP(Inschrijfberekening!S15,Database_Overig_Materieel[#All],7,FALSE)*(Inschrijfberekening!L15/VLOOKUP(Inschrijfberekening!S15,Database_Overig_Materieel[#All],8,FALSE))),0)),0))</f>
        <v>0</v>
      </c>
      <c r="L13" s="11">
        <f>(IF(Inschrijfberekening!C15="Bestaande Situatie",_xlfn.IFNA(VLOOKUP(Inschrijfberekening!U15,Database_Transport[#All],7,FALSE)*(Inschrijfberekening!K15*Inschrijfberekening!T15),Referentie_Backlog!L13),0))</f>
        <v>0</v>
      </c>
      <c r="M13" s="11">
        <f>(IF(Inschrijfberekening!C15="Bestaande Situatie",_xlfn.IFNA(VLOOKUP(Inschrijfberekening!V15,Database_Asfalt_Verwerkingsset[#All],7,FALSE)*(Inschrijfberekening!K15/VLOOKUP(Inschrijfberekening!V15,Database_Asfalt_Verwerkingsset[#All],8,FALSE)),Referentie_Backlog!M13),0))</f>
        <v>0</v>
      </c>
      <c r="N13" s="11">
        <f>(IF(Inschrijfberekening!C15="Bestaande Situatie",_xlfn.IFNA(VLOOKUP(Inschrijf_MKI_Totaal[[#This Row],[Product]]&amp;", "&amp;Inschrijf_MKI_Totaal[[#Headers],[C4]],Database_Productkaarten[#All],13,FALSE)*Inschrijfberekening!K15,Referentie_Backlog!N13),0))</f>
        <v>0</v>
      </c>
      <c r="O13" s="11" cm="1">
        <f t="array" ref="O13">_xlfn.IFNA((IF(Inschrijfberekening!C15="Bestaande Situatie",_xlfn.IFS(Inschrijfberekening!E15="Bitumineuze_verhardingen",VLOOKUP(Inschrijf_MKI_Totaal[[#This Row],[Product]]&amp;", "&amp;Inschrijf_MKI_Totaal[[#Headers],[D1]],Database_Productkaarten[#All],13,FALSE)*Inschrijfberekening!K15,Inschrijfberekening!E15="Funderingslagen",VLOOKUP(Inschrijf_MKI_Totaal[[#This Row],[Product]]&amp;", "&amp;Inschrijf_MKI_Totaal[[#Headers],[D1]],Database_Productkaarten[#All],13,FALSE)*Inschrijfberekening!K15,Inschrijfberekening!E15="Grondwerken",VLOOKUP(Inschrijf_MKI_Totaal[[#This Row],[Product]]&amp;", "&amp;Inschrijf_MKI_Totaal[[#Headers],[D1]],Database_Productkaarten[#All],13,FALSE)*Inschrijfberekening!K15,Inschrijfberekening!E15="Categorie_1_LCA_Producten",VLOOKUP(Inschrijf_MKI_Totaal[[#This Row],[Product]],Categorie_1_Producten[#All],12,FALSE)*(Inschrijfberekening!K15)),0)),Referentie_Backlog!O13)</f>
        <v>0</v>
      </c>
      <c r="P13" s="38" cm="1">
        <f t="array" ref="P13">_xlfn.IFNA((IF(Inschrijfberekening!C15="Bestaande Situatie",_xlfn.IFS(Inschrijfberekening!E15="Bitumineuze_verhardingen",VLOOKUP(Inschrijf_MKI_Totaal[[#This Row],[Product]]&amp;", "&amp;Inschrijf_MKI_Totaal[[#Headers],[D2]],Database_Productkaarten[#All],13,FALSE)*Inschrijfberekening!K15,Inschrijfberekening!E15="Funderingslagen",VLOOKUP(Inschrijf_MKI_Totaal[[#This Row],[Product]]&amp;", "&amp;Inschrijf_MKI_Totaal[[#Headers],[D2]],Database_Productkaarten[#All],13,FALSE)*Inschrijfberekening!K15,Inschrijfberekening!E15="Grondwerken",VLOOKUP(Inschrijf_MKI_Totaal[[#This Row],[Product]]&amp;", "&amp;Inschrijf_MKI_Totaal[[#Headers],[D2]],Database_Productkaarten[#All],13,FALSE)*Inschrijfberekening!K15,Inschrijfberekening!E15="Categorie_1_LCA_Producten",VLOOKUP(Inschrijf_MKI_Totaal[[#This Row],[Product]],Categorie_1_Producten[#All],13,FALSE)*(Inschrijfberekening!K15)),0)),Referentie_Backlog!P13)</f>
        <v>0</v>
      </c>
      <c r="Q13" s="191">
        <f>SUM(Inschrijf_MKI_Totaal[[#This Row],[A1]:[D2]])</f>
        <v>0</v>
      </c>
    </row>
    <row r="14" spans="2:17" ht="18" x14ac:dyDescent="0.55000000000000004">
      <c r="B14" s="285">
        <f>Inschrijfberekening!B16</f>
        <v>0</v>
      </c>
      <c r="C14" s="23">
        <f>Inschrijfberekening!F16</f>
        <v>0</v>
      </c>
      <c r="D14" s="11" cm="1">
        <f t="array" ref="D14">(IF(Inschrijfberekening!C16="Nieuwe Situatie",_xlfn.IFNA(_xlfn.IFS(Inschrijfberekening!E16="Bitumineuze_verhardingen",VLOOKUP(Inschrijf_MKI_Totaal[[#This Row],[Product]]&amp;", "&amp;Inschrijf_MKI_Totaal[[#Headers],[A1]],Database_Productkaarten[#All],13,FALSE)*Inschrijfberekening!K16,Inschrijfberekening!E16="Funderingslagen",VLOOKUP(Inschrijf_MKI_Totaal[[#This Row],[Product]]&amp;", "&amp;Inschrijf_MKI_Totaal[[#Headers],[A1]],Database_Productkaarten[#All],13,FALSE)*Inschrijfberekening!K16,Inschrijfberekening!E16="Grondwerken",VLOOKUP(Inschrijf_MKI_Totaal[[#This Row],[Product]]&amp;", "&amp;Inschrijf_MKI_Totaal[[#Headers],[A1]],Database_Productkaarten[#All],13,FALSE)*Inschrijfberekening!K16,Inschrijfberekening!E16="Categorie_1_LCA_Producten",VLOOKUP(Inschrijf_MKI_Totaal[[#This Row],[Product]],Categorie_1_Producten[#All],8,FALSE)*(Inschrijfberekening!K16)),Referentie_Backlog!D14),0))</f>
        <v>0</v>
      </c>
      <c r="E14" s="11" cm="1">
        <f t="array" ref="E14">(IF(Inschrijfberekening!C16="Nieuwe Situatie",_xlfn.IFNA(_xlfn.IFS(Inschrijfberekening!E16="Bitumineuze_verhardingen",VLOOKUP(Inschrijf_MKI_Totaal[[#This Row],[Product]]&amp;", "&amp;Inschrijf_MKI_Totaal[[#Headers],[A2]],Database_Productkaarten[#All],13,FALSE)*Inschrijfberekening!K16,Inschrijfberekening!E16="Funderingslagen",VLOOKUP(Inschrijf_MKI_Totaal[[#This Row],[Product]]&amp;", "&amp;Inschrijf_MKI_Totaal[[#Headers],[A2]],Database_Productkaarten[#All],13,FALSE)*Inschrijfberekening!K16,Inschrijfberekening!E16="Grondwerken",VLOOKUP(Inschrijf_MKI_Totaal[[#This Row],[Product]]&amp;", "&amp;Inschrijf_MKI_Totaal[[#Headers],[A2]],Database_Productkaarten[#All],13,FALSE)*Inschrijfberekening!K16,Inschrijfberekening!E16="Categorie_1_LCA_Producten",VLOOKUP(Inschrijf_MKI_Totaal[[#This Row],[Product]],Categorie_1_Producten[#All],9,FALSE)*(Inschrijfberekening!K16)),Referentie_Backlog!E14),0))</f>
        <v>0</v>
      </c>
      <c r="F14" s="11" cm="1">
        <f t="array" ref="F14">(IF(Inschrijfberekening!C16="Nieuwe Situatie",_xlfn.IFNA(_xlfn.IFS(Inschrijfberekening!E16="Bitumineuze_verhardingen",VLOOKUP(Inschrijf_MKI_Totaal[[#This Row],[Product]]&amp;", "&amp;Inschrijf_MKI_Totaal[[#Headers],[A3]],Database_Productkaarten[#All],13,FALSE)*Inschrijfberekening!K16,Inschrijfberekening!E16="Funderingslagen",VLOOKUP(Inschrijf_MKI_Totaal[[#This Row],[Product]]&amp;", "&amp;Inschrijf_MKI_Totaal[[#Headers],[A3]],Database_Productkaarten[#All],13,FALSE)*Inschrijfberekening!K16,Inschrijfberekening!E16="Grondwerken",VLOOKUP(Inschrijf_MKI_Totaal[[#This Row],[Product]]&amp;", "&amp;Inschrijf_MKI_Totaal[[#Headers],[A3]],Database_Productkaarten[#All],13,FALSE)*Inschrijfberekening!K16,Inschrijfberekening!E16="Categorie_1_LCA_Producten",VLOOKUP(Inschrijf_MKI_Totaal[[#This Row],[Product]],Categorie_1_Producten[#All],10,FALSE)*(Inschrijfberekening!K16)),Referentie_Backlog!F14),0))</f>
        <v>0</v>
      </c>
      <c r="G14" s="11">
        <f>(IF(Inschrijfberekening!C16="Nieuwe Situatie",_xlfn.IFNA(VLOOKUP(Inschrijfberekening!O16,Database_Transport[#All],7,FALSE)*(Inschrijfberekening!K16*Inschrijfberekening!N16),Referentie_Backlog!G14),0))</f>
        <v>0</v>
      </c>
      <c r="H14" s="105">
        <f>_xlfn.IFNA((IF(Inschrijfberekening!C16="Nieuwe Situatie",(VLOOKUP(Inschrijfberekening!P16,Database_Asfalt_Aanlegset[#All],7,FALSE)*Inschrijfberekening!K16)+IFERROR(((VLOOKUP(Inschrijfberekening!Q16,Database_Overig_Materieel[#All],7,FALSE)*(Inschrijfberekening!L16/VLOOKUP(Inschrijfberekening!Q16,Database_Overig_Materieel[#All],8,FALSE)))),0),0)),Referentie_Backlog!H14)</f>
        <v>0</v>
      </c>
      <c r="I14" s="11" cm="1">
        <f t="array" ref="I14">_xlfn.IFNA((IF(Inschrijfberekening!C16="Nieuwe Situatie",_xlfn.IFS(Inschrijfberekening!E16="Bitumineuze_verhardingen",VLOOKUP(Inschrijf_MKI_Totaal[[#This Row],[Product]]&amp;", "&amp;Inschrijf_MKI_Totaal[[#Headers],[B1]],Database_Productkaarten[#All],13,FALSE)*Inschrijfberekening!K16,Inschrijfberekening!E16="Funderingslagen",VLOOKUP(Inschrijf_MKI_Totaal[[#This Row],[Product]]&amp;", "&amp;Inschrijf_MKI_Totaal[[#Headers],[B1]],Database_Productkaarten[#All],13,FALSE)*Inschrijfberekening!K16,Inschrijfberekening!E16="Grondwerken",VLOOKUP(Inschrijf_MKI_Totaal[[#This Row],[Product]]&amp;", "&amp;Inschrijf_MKI_Totaal[[#Headers],[B1]],Database_Productkaarten[#All],13,FALSE)*Inschrijfberekening!K16,Inschrijfberekening!E16="Categorie_1_LCA_Producten",VLOOKUP(Inschrijf_MKI_Totaal[[#This Row],[Product]],Categorie_1_Producten[#All],11,FALSE)*(Inschrijfberekening!K16)),0)),Referentie_Backlog!I14)</f>
        <v>0</v>
      </c>
      <c r="J14" s="11">
        <f>(IF(Inschrijfberekening!C16="Nieuwe Situatie",_xlfn.IFNA(SUM(Inschrijf_MKI_Totaal[[#This Row],[A1]:[B1]],Inschrijf_MKI_Totaal[[#This Row],[C1]:[D2]])*Inschrijfberekening!M16,0),0))</f>
        <v>0</v>
      </c>
      <c r="K14" s="110">
        <f>(IF(Inschrijfberekening!C16="Bestaande Situatie",IF(IFERROR((VLOOKUP(Inschrijfberekening!R16,Database_Asfalt_Verwijderset[#All],7,FALSE)*Inschrijfberekening!K16),0)+IFERROR((VLOOKUP(Inschrijfberekening!S16,Database_Overig_Materieel[#All],7,FALSE)*(Inschrijfberekening!L16/VLOOKUP(Inschrijfberekening!S16,Database_Overig_Materieel[#All],7,FALSE))),0)=0,Referentie_Backlog!K14,IFERROR((VLOOKUP(Inschrijfberekening!R16,Database_Asfalt_Verwijderset[#All],7,FALSE)*Inschrijfberekening!K16),0)+IFERROR((VLOOKUP(Inschrijfberekening!S16,Database_Overig_Materieel[#All],7,FALSE)*(Inschrijfberekening!L16/VLOOKUP(Inschrijfberekening!S16,Database_Overig_Materieel[#All],8,FALSE))),0)),0))</f>
        <v>0</v>
      </c>
      <c r="L14" s="11">
        <f>(IF(Inschrijfberekening!C16="Bestaande Situatie",_xlfn.IFNA(VLOOKUP(Inschrijfberekening!U16,Database_Transport[#All],7,FALSE)*(Inschrijfberekening!K16*Inschrijfberekening!T16),Referentie_Backlog!L14),0))</f>
        <v>0</v>
      </c>
      <c r="M14" s="11">
        <f>(IF(Inschrijfberekening!C16="Bestaande Situatie",_xlfn.IFNA(VLOOKUP(Inschrijfberekening!V16,Database_Asfalt_Verwerkingsset[#All],7,FALSE)*(Inschrijfberekening!K16/VLOOKUP(Inschrijfberekening!V16,Database_Asfalt_Verwerkingsset[#All],8,FALSE)),Referentie_Backlog!M14),0))</f>
        <v>0</v>
      </c>
      <c r="N14" s="11">
        <f>(IF(Inschrijfberekening!C16="Bestaande Situatie",_xlfn.IFNA(VLOOKUP(Inschrijf_MKI_Totaal[[#This Row],[Product]]&amp;", "&amp;Inschrijf_MKI_Totaal[[#Headers],[C4]],Database_Productkaarten[#All],13,FALSE)*Inschrijfberekening!K16,Referentie_Backlog!N14),0))</f>
        <v>0</v>
      </c>
      <c r="O14" s="11" cm="1">
        <f t="array" ref="O14">_xlfn.IFNA((IF(Inschrijfberekening!C16="Bestaande Situatie",_xlfn.IFS(Inschrijfberekening!E16="Bitumineuze_verhardingen",VLOOKUP(Inschrijf_MKI_Totaal[[#This Row],[Product]]&amp;", "&amp;Inschrijf_MKI_Totaal[[#Headers],[D1]],Database_Productkaarten[#All],13,FALSE)*Inschrijfberekening!K16,Inschrijfberekening!E16="Funderingslagen",VLOOKUP(Inschrijf_MKI_Totaal[[#This Row],[Product]]&amp;", "&amp;Inschrijf_MKI_Totaal[[#Headers],[D1]],Database_Productkaarten[#All],13,FALSE)*Inschrijfberekening!K16,Inschrijfberekening!E16="Grondwerken",VLOOKUP(Inschrijf_MKI_Totaal[[#This Row],[Product]]&amp;", "&amp;Inschrijf_MKI_Totaal[[#Headers],[D1]],Database_Productkaarten[#All],13,FALSE)*Inschrijfberekening!K16,Inschrijfberekening!E16="Categorie_1_LCA_Producten",VLOOKUP(Inschrijf_MKI_Totaal[[#This Row],[Product]],Categorie_1_Producten[#All],12,FALSE)*(Inschrijfberekening!K16)),0)),Referentie_Backlog!O14)</f>
        <v>0</v>
      </c>
      <c r="P14" s="38" cm="1">
        <f t="array" ref="P14">_xlfn.IFNA((IF(Inschrijfberekening!C16="Bestaande Situatie",_xlfn.IFS(Inschrijfberekening!E16="Bitumineuze_verhardingen",VLOOKUP(Inschrijf_MKI_Totaal[[#This Row],[Product]]&amp;", "&amp;Inschrijf_MKI_Totaal[[#Headers],[D2]],Database_Productkaarten[#All],13,FALSE)*Inschrijfberekening!K16,Inschrijfberekening!E16="Funderingslagen",VLOOKUP(Inschrijf_MKI_Totaal[[#This Row],[Product]]&amp;", "&amp;Inschrijf_MKI_Totaal[[#Headers],[D2]],Database_Productkaarten[#All],13,FALSE)*Inschrijfberekening!K16,Inschrijfberekening!E16="Grondwerken",VLOOKUP(Inschrijf_MKI_Totaal[[#This Row],[Product]]&amp;", "&amp;Inschrijf_MKI_Totaal[[#Headers],[D2]],Database_Productkaarten[#All],13,FALSE)*Inschrijfberekening!K16,Inschrijfberekening!E16="Categorie_1_LCA_Producten",VLOOKUP(Inschrijf_MKI_Totaal[[#This Row],[Product]],Categorie_1_Producten[#All],13,FALSE)*(Inschrijfberekening!K16)),0)),Referentie_Backlog!P14)</f>
        <v>0</v>
      </c>
      <c r="Q14" s="191">
        <f>SUM(Inschrijf_MKI_Totaal[[#This Row],[A1]:[D2]])</f>
        <v>0</v>
      </c>
    </row>
    <row r="15" spans="2:17" ht="18" x14ac:dyDescent="0.55000000000000004">
      <c r="B15" s="285">
        <f>Inschrijfberekening!B17</f>
        <v>0</v>
      </c>
      <c r="C15" s="39">
        <f>Inschrijfberekening!F17</f>
        <v>0</v>
      </c>
      <c r="D15" s="11" cm="1">
        <f t="array" ref="D15">(IF(Inschrijfberekening!C17="Nieuwe Situatie",_xlfn.IFNA(_xlfn.IFS(Inschrijfberekening!E17="Bitumineuze_verhardingen",VLOOKUP(Inschrijf_MKI_Totaal[[#This Row],[Product]]&amp;", "&amp;Inschrijf_MKI_Totaal[[#Headers],[A1]],Database_Productkaarten[#All],13,FALSE)*Inschrijfberekening!K17,Inschrijfberekening!E17="Funderingslagen",VLOOKUP(Inschrijf_MKI_Totaal[[#This Row],[Product]]&amp;", "&amp;Inschrijf_MKI_Totaal[[#Headers],[A1]],Database_Productkaarten[#All],13,FALSE)*Inschrijfberekening!K17,Inschrijfberekening!E17="Grondwerken",VLOOKUP(Inschrijf_MKI_Totaal[[#This Row],[Product]]&amp;", "&amp;Inschrijf_MKI_Totaal[[#Headers],[A1]],Database_Productkaarten[#All],13,FALSE)*Inschrijfberekening!K17,Inschrijfberekening!E17="Categorie_1_LCA_Producten",VLOOKUP(Inschrijf_MKI_Totaal[[#This Row],[Product]],Categorie_1_Producten[#All],8,FALSE)*(Inschrijfberekening!K17)),Referentie_Backlog!D15),0))</f>
        <v>0</v>
      </c>
      <c r="E15" s="11" cm="1">
        <f t="array" ref="E15">(IF(Inschrijfberekening!C17="Nieuwe Situatie",_xlfn.IFNA(_xlfn.IFS(Inschrijfberekening!E17="Bitumineuze_verhardingen",VLOOKUP(Inschrijf_MKI_Totaal[[#This Row],[Product]]&amp;", "&amp;Inschrijf_MKI_Totaal[[#Headers],[A2]],Database_Productkaarten[#All],13,FALSE)*Inschrijfberekening!K17,Inschrijfberekening!E17="Funderingslagen",VLOOKUP(Inschrijf_MKI_Totaal[[#This Row],[Product]]&amp;", "&amp;Inschrijf_MKI_Totaal[[#Headers],[A2]],Database_Productkaarten[#All],13,FALSE)*Inschrijfberekening!K17,Inschrijfberekening!E17="Grondwerken",VLOOKUP(Inschrijf_MKI_Totaal[[#This Row],[Product]]&amp;", "&amp;Inschrijf_MKI_Totaal[[#Headers],[A2]],Database_Productkaarten[#All],13,FALSE)*Inschrijfberekening!K17,Inschrijfberekening!E17="Categorie_1_LCA_Producten",VLOOKUP(Inschrijf_MKI_Totaal[[#This Row],[Product]],Categorie_1_Producten[#All],9,FALSE)*(Inschrijfberekening!K17)),Referentie_Backlog!E15),0))</f>
        <v>0</v>
      </c>
      <c r="F15" s="11" cm="1">
        <f t="array" ref="F15">(IF(Inschrijfberekening!C17="Nieuwe Situatie",_xlfn.IFNA(_xlfn.IFS(Inschrijfberekening!E17="Bitumineuze_verhardingen",VLOOKUP(Inschrijf_MKI_Totaal[[#This Row],[Product]]&amp;", "&amp;Inschrijf_MKI_Totaal[[#Headers],[A3]],Database_Productkaarten[#All],13,FALSE)*Inschrijfberekening!K17,Inschrijfberekening!E17="Funderingslagen",VLOOKUP(Inschrijf_MKI_Totaal[[#This Row],[Product]]&amp;", "&amp;Inschrijf_MKI_Totaal[[#Headers],[A3]],Database_Productkaarten[#All],13,FALSE)*Inschrijfberekening!K17,Inschrijfberekening!E17="Grondwerken",VLOOKUP(Inschrijf_MKI_Totaal[[#This Row],[Product]]&amp;", "&amp;Inschrijf_MKI_Totaal[[#Headers],[A3]],Database_Productkaarten[#All],13,FALSE)*Inschrijfberekening!K17,Inschrijfberekening!E17="Categorie_1_LCA_Producten",VLOOKUP(Inschrijf_MKI_Totaal[[#This Row],[Product]],Categorie_1_Producten[#All],10,FALSE)*(Inschrijfberekening!K17)),Referentie_Backlog!F15),0))</f>
        <v>0</v>
      </c>
      <c r="G15" s="11">
        <f>(IF(Inschrijfberekening!C17="Nieuwe Situatie",_xlfn.IFNA(VLOOKUP(Inschrijfberekening!O17,Database_Transport[#All],7,FALSE)*(Inschrijfberekening!K17*Inschrijfberekening!N17),Referentie_Backlog!G15),0))</f>
        <v>0</v>
      </c>
      <c r="H15" s="105">
        <f>_xlfn.IFNA((IF(Inschrijfberekening!C17="Nieuwe Situatie",(VLOOKUP(Inschrijfberekening!P17,Database_Asfalt_Aanlegset[#All],7,FALSE)*Inschrijfberekening!K17)+IFERROR(((VLOOKUP(Inschrijfberekening!Q17,Database_Overig_Materieel[#All],7,FALSE)*(Inschrijfberekening!L17/VLOOKUP(Inschrijfberekening!Q17,Database_Overig_Materieel[#All],8,FALSE)))),0),0)),Referentie_Backlog!H15)</f>
        <v>0</v>
      </c>
      <c r="I15" s="11" cm="1">
        <f t="array" ref="I15">_xlfn.IFNA((IF(Inschrijfberekening!C17="Nieuwe Situatie",_xlfn.IFS(Inschrijfberekening!E17="Bitumineuze_verhardingen",VLOOKUP(Inschrijf_MKI_Totaal[[#This Row],[Product]]&amp;", "&amp;Inschrijf_MKI_Totaal[[#Headers],[B1]],Database_Productkaarten[#All],13,FALSE)*Inschrijfberekening!K17,Inschrijfberekening!E17="Funderingslagen",VLOOKUP(Inschrijf_MKI_Totaal[[#This Row],[Product]]&amp;", "&amp;Inschrijf_MKI_Totaal[[#Headers],[B1]],Database_Productkaarten[#All],13,FALSE)*Inschrijfberekening!K17,Inschrijfberekening!E17="Grondwerken",VLOOKUP(Inschrijf_MKI_Totaal[[#This Row],[Product]]&amp;", "&amp;Inschrijf_MKI_Totaal[[#Headers],[B1]],Database_Productkaarten[#All],13,FALSE)*Inschrijfberekening!K17,Inschrijfberekening!E17="Categorie_1_LCA_Producten",VLOOKUP(Inschrijf_MKI_Totaal[[#This Row],[Product]],Categorie_1_Producten[#All],11,FALSE)*(Inschrijfberekening!K17)),0)),Referentie_Backlog!I15)</f>
        <v>0</v>
      </c>
      <c r="J15" s="11">
        <f>(IF(Inschrijfberekening!C17="Nieuwe Situatie",_xlfn.IFNA(SUM(Inschrijf_MKI_Totaal[[#This Row],[A1]:[B1]],Inschrijf_MKI_Totaal[[#This Row],[C1]:[D2]])*Inschrijfberekening!M17,0),0))</f>
        <v>0</v>
      </c>
      <c r="K15" s="110">
        <f>(IF(Inschrijfberekening!C17="Bestaande Situatie",IF(IFERROR((VLOOKUP(Inschrijfberekening!R17,Database_Asfalt_Verwijderset[#All],7,FALSE)*Inschrijfberekening!K17),0)+IFERROR((VLOOKUP(Inschrijfberekening!S17,Database_Overig_Materieel[#All],7,FALSE)*(Inschrijfberekening!L17/VLOOKUP(Inschrijfberekening!S17,Database_Overig_Materieel[#All],7,FALSE))),0)=0,Referentie_Backlog!K15,IFERROR((VLOOKUP(Inschrijfberekening!R17,Database_Asfalt_Verwijderset[#All],7,FALSE)*Inschrijfberekening!K17),0)+IFERROR((VLOOKUP(Inschrijfberekening!S17,Database_Overig_Materieel[#All],7,FALSE)*(Inschrijfberekening!L17/VLOOKUP(Inschrijfberekening!S17,Database_Overig_Materieel[#All],8,FALSE))),0)),0))</f>
        <v>0</v>
      </c>
      <c r="L15" s="11">
        <f>(IF(Inschrijfberekening!C17="Bestaande Situatie",_xlfn.IFNA(VLOOKUP(Inschrijfberekening!U17,Database_Transport[#All],7,FALSE)*(Inschrijfberekening!K17*Inschrijfberekening!T17),Referentie_Backlog!L15),0))</f>
        <v>0</v>
      </c>
      <c r="M15" s="11">
        <f>(IF(Inschrijfberekening!C17="Bestaande Situatie",_xlfn.IFNA(VLOOKUP(Inschrijfberekening!V17,Database_Asfalt_Verwerkingsset[#All],7,FALSE)*(Inschrijfberekening!K17/VLOOKUP(Inschrijfberekening!V17,Database_Asfalt_Verwerkingsset[#All],8,FALSE)),Referentie_Backlog!M15),0))</f>
        <v>0</v>
      </c>
      <c r="N15" s="11">
        <f>(IF(Inschrijfberekening!C17="Bestaande Situatie",_xlfn.IFNA(VLOOKUP(Inschrijf_MKI_Totaal[[#This Row],[Product]]&amp;", "&amp;Inschrijf_MKI_Totaal[[#Headers],[C4]],Database_Productkaarten[#All],13,FALSE)*Inschrijfberekening!K17,Referentie_Backlog!N15),0))</f>
        <v>0</v>
      </c>
      <c r="O15" s="11" cm="1">
        <f t="array" ref="O15">_xlfn.IFNA((IF(Inschrijfberekening!C17="Bestaande Situatie",_xlfn.IFS(Inschrijfberekening!E17="Bitumineuze_verhardingen",VLOOKUP(Inschrijf_MKI_Totaal[[#This Row],[Product]]&amp;", "&amp;Inschrijf_MKI_Totaal[[#Headers],[D1]],Database_Productkaarten[#All],13,FALSE)*Inschrijfberekening!K17,Inschrijfberekening!E17="Funderingslagen",VLOOKUP(Inschrijf_MKI_Totaal[[#This Row],[Product]]&amp;", "&amp;Inschrijf_MKI_Totaal[[#Headers],[D1]],Database_Productkaarten[#All],13,FALSE)*Inschrijfberekening!K17,Inschrijfberekening!E17="Grondwerken",VLOOKUP(Inschrijf_MKI_Totaal[[#This Row],[Product]]&amp;", "&amp;Inschrijf_MKI_Totaal[[#Headers],[D1]],Database_Productkaarten[#All],13,FALSE)*Inschrijfberekening!K17,Inschrijfberekening!E17="Categorie_1_LCA_Producten",VLOOKUP(Inschrijf_MKI_Totaal[[#This Row],[Product]],Categorie_1_Producten[#All],12,FALSE)*(Inschrijfberekening!K17)),0)),Referentie_Backlog!O15)</f>
        <v>0</v>
      </c>
      <c r="P15" s="11" cm="1">
        <f t="array" ref="P15">_xlfn.IFNA((IF(Inschrijfberekening!C17="Bestaande Situatie",_xlfn.IFS(Inschrijfberekening!E17="Bitumineuze_verhardingen",VLOOKUP(Inschrijf_MKI_Totaal[[#This Row],[Product]]&amp;", "&amp;Inschrijf_MKI_Totaal[[#Headers],[D2]],Database_Productkaarten[#All],13,FALSE)*Inschrijfberekening!K17,Inschrijfberekening!E17="Funderingslagen",VLOOKUP(Inschrijf_MKI_Totaal[[#This Row],[Product]]&amp;", "&amp;Inschrijf_MKI_Totaal[[#Headers],[D2]],Database_Productkaarten[#All],13,FALSE)*Inschrijfberekening!K17,Inschrijfberekening!E17="Grondwerken",VLOOKUP(Inschrijf_MKI_Totaal[[#This Row],[Product]]&amp;", "&amp;Inschrijf_MKI_Totaal[[#Headers],[D2]],Database_Productkaarten[#All],13,FALSE)*Inschrijfberekening!K17,Inschrijfberekening!E17="Categorie_1_LCA_Producten",VLOOKUP(Inschrijf_MKI_Totaal[[#This Row],[Product]],Categorie_1_Producten[#All],13,FALSE)*(Inschrijfberekening!K17)),0)),Referentie_Backlog!P15)</f>
        <v>0</v>
      </c>
      <c r="Q15" s="191">
        <f>SUM(Inschrijf_MKI_Totaal[[#This Row],[A1]:[D2]])</f>
        <v>0</v>
      </c>
    </row>
    <row r="16" spans="2:17" ht="18" x14ac:dyDescent="0.55000000000000004">
      <c r="B16" s="40">
        <f>Inschrijfberekening!B18</f>
        <v>0</v>
      </c>
      <c r="C16" s="39">
        <f>Inschrijfberekening!F18</f>
        <v>0</v>
      </c>
      <c r="D16" s="11" cm="1">
        <f t="array" ref="D16">(IF(Inschrijfberekening!C18="Nieuwe Situatie",_xlfn.IFNA(_xlfn.IFS(Inschrijfberekening!E18="Bitumineuze_verhardingen",VLOOKUP(Inschrijf_MKI_Totaal[[#This Row],[Product]]&amp;", "&amp;Inschrijf_MKI_Totaal[[#Headers],[A1]],Database_Productkaarten[#All],13,FALSE)*Inschrijfberekening!K18,Inschrijfberekening!E18="Funderingslagen",VLOOKUP(Inschrijf_MKI_Totaal[[#This Row],[Product]]&amp;", "&amp;Inschrijf_MKI_Totaal[[#Headers],[A1]],Database_Productkaarten[#All],13,FALSE)*Inschrijfberekening!K18,Inschrijfberekening!E18="Grondwerken",VLOOKUP(Inschrijf_MKI_Totaal[[#This Row],[Product]]&amp;", "&amp;Inschrijf_MKI_Totaal[[#Headers],[A1]],Database_Productkaarten[#All],13,FALSE)*Inschrijfberekening!K18,Inschrijfberekening!E18="Categorie_1_LCA_Producten",VLOOKUP(Inschrijf_MKI_Totaal[[#This Row],[Product]],Categorie_1_Producten[#All],8,FALSE)*(Inschrijfberekening!K18)),Referentie_Backlog!D16),0))</f>
        <v>0</v>
      </c>
      <c r="E16" s="11" cm="1">
        <f t="array" ref="E16">(IF(Inschrijfberekening!C18="Nieuwe Situatie",_xlfn.IFNA(_xlfn.IFS(Inschrijfberekening!E18="Bitumineuze_verhardingen",VLOOKUP(Inschrijf_MKI_Totaal[[#This Row],[Product]]&amp;", "&amp;Inschrijf_MKI_Totaal[[#Headers],[A2]],Database_Productkaarten[#All],13,FALSE)*Inschrijfberekening!K18,Inschrijfberekening!E18="Funderingslagen",VLOOKUP(Inschrijf_MKI_Totaal[[#This Row],[Product]]&amp;", "&amp;Inschrijf_MKI_Totaal[[#Headers],[A2]],Database_Productkaarten[#All],13,FALSE)*Inschrijfberekening!K18,Inschrijfberekening!E18="Grondwerken",VLOOKUP(Inschrijf_MKI_Totaal[[#This Row],[Product]]&amp;", "&amp;Inschrijf_MKI_Totaal[[#Headers],[A2]],Database_Productkaarten[#All],13,FALSE)*Inschrijfberekening!K18,Inschrijfberekening!E18="Categorie_1_LCA_Producten",VLOOKUP(Inschrijf_MKI_Totaal[[#This Row],[Product]],Categorie_1_Producten[#All],9,FALSE)*(Inschrijfberekening!K18)),Referentie_Backlog!E16),0))</f>
        <v>0</v>
      </c>
      <c r="F16" s="11" cm="1">
        <f t="array" ref="F16">(IF(Inschrijfberekening!C18="Nieuwe Situatie",_xlfn.IFNA(_xlfn.IFS(Inschrijfberekening!E18="Bitumineuze_verhardingen",VLOOKUP(Inschrijf_MKI_Totaal[[#This Row],[Product]]&amp;", "&amp;Inschrijf_MKI_Totaal[[#Headers],[A3]],Database_Productkaarten[#All],13,FALSE)*Inschrijfberekening!K18,Inschrijfberekening!E18="Funderingslagen",VLOOKUP(Inschrijf_MKI_Totaal[[#This Row],[Product]]&amp;", "&amp;Inschrijf_MKI_Totaal[[#Headers],[A3]],Database_Productkaarten[#All],13,FALSE)*Inschrijfberekening!K18,Inschrijfberekening!E18="Grondwerken",VLOOKUP(Inschrijf_MKI_Totaal[[#This Row],[Product]]&amp;", "&amp;Inschrijf_MKI_Totaal[[#Headers],[A3]],Database_Productkaarten[#All],13,FALSE)*Inschrijfberekening!K18,Inschrijfberekening!E18="Categorie_1_LCA_Producten",VLOOKUP(Inschrijf_MKI_Totaal[[#This Row],[Product]],Categorie_1_Producten[#All],10,FALSE)*(Inschrijfberekening!K18)),Referentie_Backlog!F16),0))</f>
        <v>0</v>
      </c>
      <c r="G16" s="11">
        <f>(IF(Inschrijfberekening!C18="Nieuwe Situatie",_xlfn.IFNA(VLOOKUP(Inschrijfberekening!O18,Database_Transport[#All],7,FALSE)*(Inschrijfberekening!K18*Inschrijfberekening!N18),Referentie_Backlog!G16),0))</f>
        <v>0</v>
      </c>
      <c r="H16" s="105">
        <f>_xlfn.IFNA((IF(Inschrijfberekening!C18="Nieuwe Situatie",(VLOOKUP(Inschrijfberekening!P18,Database_Asfalt_Aanlegset[#All],7,FALSE)*Inschrijfberekening!K18)+IFERROR(((VLOOKUP(Inschrijfberekening!Q18,Database_Overig_Materieel[#All],7,FALSE)*(Inschrijfberekening!L18/VLOOKUP(Inschrijfberekening!Q18,Database_Overig_Materieel[#All],8,FALSE)))),0),0)),Referentie_Backlog!H16)</f>
        <v>0</v>
      </c>
      <c r="I16" s="11" cm="1">
        <f t="array" ref="I16">_xlfn.IFNA((IF(Inschrijfberekening!C18="Nieuwe Situatie",_xlfn.IFS(Inschrijfberekening!E18="Bitumineuze_verhardingen",VLOOKUP(Inschrijf_MKI_Totaal[[#This Row],[Product]]&amp;", "&amp;Inschrijf_MKI_Totaal[[#Headers],[B1]],Database_Productkaarten[#All],13,FALSE)*Inschrijfberekening!K18,Inschrijfberekening!E18="Funderingslagen",VLOOKUP(Inschrijf_MKI_Totaal[[#This Row],[Product]]&amp;", "&amp;Inschrijf_MKI_Totaal[[#Headers],[B1]],Database_Productkaarten[#All],13,FALSE)*Inschrijfberekening!K18,Inschrijfberekening!E18="Grondwerken",VLOOKUP(Inschrijf_MKI_Totaal[[#This Row],[Product]]&amp;", "&amp;Inschrijf_MKI_Totaal[[#Headers],[B1]],Database_Productkaarten[#All],13,FALSE)*Inschrijfberekening!K18,Inschrijfberekening!E18="Categorie_1_LCA_Producten",VLOOKUP(Inschrijf_MKI_Totaal[[#This Row],[Product]],Categorie_1_Producten[#All],11,FALSE)*(Inschrijfberekening!K18)),0)),Referentie_Backlog!I16)</f>
        <v>0</v>
      </c>
      <c r="J16" s="11">
        <f>(IF(Inschrijfberekening!C18="Nieuwe Situatie",_xlfn.IFNA(SUM(Inschrijf_MKI_Totaal[[#This Row],[A1]:[B1]],Inschrijf_MKI_Totaal[[#This Row],[C1]:[D2]])*Inschrijfberekening!M18,0),0))</f>
        <v>0</v>
      </c>
      <c r="K16" s="110">
        <f>(IF(Inschrijfberekening!C18="Bestaande Situatie",IF(IFERROR((VLOOKUP(Inschrijfberekening!R18,Database_Asfalt_Verwijderset[#All],7,FALSE)*Inschrijfberekening!K18),0)+IFERROR((VLOOKUP(Inschrijfberekening!S18,Database_Overig_Materieel[#All],7,FALSE)*(Inschrijfberekening!L18/VLOOKUP(Inschrijfberekening!S18,Database_Overig_Materieel[#All],7,FALSE))),0)=0,Referentie_Backlog!K16,IFERROR((VLOOKUP(Inschrijfberekening!R18,Database_Asfalt_Verwijderset[#All],7,FALSE)*Inschrijfberekening!K18),0)+IFERROR((VLOOKUP(Inschrijfberekening!S18,Database_Overig_Materieel[#All],7,FALSE)*(Inschrijfberekening!L18/VLOOKUP(Inschrijfberekening!S18,Database_Overig_Materieel[#All],8,FALSE))),0)),0))</f>
        <v>0</v>
      </c>
      <c r="L16" s="11">
        <f>(IF(Inschrijfberekening!C18="Bestaande Situatie",_xlfn.IFNA(VLOOKUP(Inschrijfberekening!U18,Database_Transport[#All],7,FALSE)*(Inschrijfberekening!K18*Inschrijfberekening!T18),Referentie_Backlog!L16),0))</f>
        <v>0</v>
      </c>
      <c r="M16" s="11">
        <f>(IF(Inschrijfberekening!C18="Bestaande Situatie",_xlfn.IFNA(VLOOKUP(Inschrijfberekening!V18,Database_Asfalt_Verwerkingsset[#All],7,FALSE)*(Inschrijfberekening!K18/VLOOKUP(Inschrijfberekening!V18,Database_Asfalt_Verwerkingsset[#All],8,FALSE)),Referentie_Backlog!M16),0))</f>
        <v>0</v>
      </c>
      <c r="N16" s="11">
        <f>(IF(Inschrijfberekening!C18="Bestaande Situatie",_xlfn.IFNA(VLOOKUP(Inschrijf_MKI_Totaal[[#This Row],[Product]]&amp;", "&amp;Inschrijf_MKI_Totaal[[#Headers],[C4]],Database_Productkaarten[#All],13,FALSE)*Inschrijfberekening!K18,Referentie_Backlog!N16),0))</f>
        <v>0</v>
      </c>
      <c r="O16" s="11" cm="1">
        <f t="array" ref="O16">_xlfn.IFNA((IF(Inschrijfberekening!C18="Bestaande Situatie",_xlfn.IFS(Inschrijfberekening!E18="Bitumineuze_verhardingen",VLOOKUP(Inschrijf_MKI_Totaal[[#This Row],[Product]]&amp;", "&amp;Inschrijf_MKI_Totaal[[#Headers],[D1]],Database_Productkaarten[#All],13,FALSE)*Inschrijfberekening!K18,Inschrijfberekening!E18="Funderingslagen",VLOOKUP(Inschrijf_MKI_Totaal[[#This Row],[Product]]&amp;", "&amp;Inschrijf_MKI_Totaal[[#Headers],[D1]],Database_Productkaarten[#All],13,FALSE)*Inschrijfberekening!K18,Inschrijfberekening!E18="Grondwerken",VLOOKUP(Inschrijf_MKI_Totaal[[#This Row],[Product]]&amp;", "&amp;Inschrijf_MKI_Totaal[[#Headers],[D1]],Database_Productkaarten[#All],13,FALSE)*Inschrijfberekening!K18,Inschrijfberekening!E18="Categorie_1_LCA_Producten",VLOOKUP(Inschrijf_MKI_Totaal[[#This Row],[Product]],Categorie_1_Producten[#All],12,FALSE)*(Inschrijfberekening!K18)),0)),Referentie_Backlog!O16)</f>
        <v>0</v>
      </c>
      <c r="P16" s="11" cm="1">
        <f t="array" ref="P16">_xlfn.IFNA((IF(Inschrijfberekening!C18="Bestaande Situatie",_xlfn.IFS(Inschrijfberekening!E18="Bitumineuze_verhardingen",VLOOKUP(Inschrijf_MKI_Totaal[[#This Row],[Product]]&amp;", "&amp;Inschrijf_MKI_Totaal[[#Headers],[D2]],Database_Productkaarten[#All],13,FALSE)*Inschrijfberekening!K18,Inschrijfberekening!E18="Funderingslagen",VLOOKUP(Inschrijf_MKI_Totaal[[#This Row],[Product]]&amp;", "&amp;Inschrijf_MKI_Totaal[[#Headers],[D2]],Database_Productkaarten[#All],13,FALSE)*Inschrijfberekening!K18,Inschrijfberekening!E18="Grondwerken",VLOOKUP(Inschrijf_MKI_Totaal[[#This Row],[Product]]&amp;", "&amp;Inschrijf_MKI_Totaal[[#Headers],[D2]],Database_Productkaarten[#All],13,FALSE)*Inschrijfberekening!K18,Inschrijfberekening!E18="Categorie_1_LCA_Producten",VLOOKUP(Inschrijf_MKI_Totaal[[#This Row],[Product]],Categorie_1_Producten[#All],13,FALSE)*(Inschrijfberekening!K18)),0)),Referentie_Backlog!P16)</f>
        <v>0</v>
      </c>
      <c r="Q16" s="191">
        <f>SUM(Inschrijf_MKI_Totaal[[#This Row],[A1]:[D2]])</f>
        <v>0</v>
      </c>
    </row>
    <row r="17" spans="2:17" ht="18" x14ac:dyDescent="0.55000000000000004">
      <c r="B17" s="40">
        <f>Inschrijfberekening!B19</f>
        <v>0</v>
      </c>
      <c r="C17" s="39">
        <f>Inschrijfberekening!F19</f>
        <v>0</v>
      </c>
      <c r="D17" s="11" cm="1">
        <f t="array" ref="D17">(IF(Inschrijfberekening!C19="Nieuwe Situatie",_xlfn.IFNA(_xlfn.IFS(Inschrijfberekening!E19="Bitumineuze_verhardingen",VLOOKUP(Inschrijf_MKI_Totaal[[#This Row],[Product]]&amp;", "&amp;Inschrijf_MKI_Totaal[[#Headers],[A1]],Database_Productkaarten[#All],13,FALSE)*Inschrijfberekening!K19,Inschrijfberekening!E19="Funderingslagen",VLOOKUP(Inschrijf_MKI_Totaal[[#This Row],[Product]]&amp;", "&amp;Inschrijf_MKI_Totaal[[#Headers],[A1]],Database_Productkaarten[#All],13,FALSE)*Inschrijfberekening!K19,Inschrijfberekening!E19="Grondwerken",VLOOKUP(Inschrijf_MKI_Totaal[[#This Row],[Product]]&amp;", "&amp;Inschrijf_MKI_Totaal[[#Headers],[A1]],Database_Productkaarten[#All],13,FALSE)*Inschrijfberekening!K19,Inschrijfberekening!E19="Categorie_1_LCA_Producten",VLOOKUP(Inschrijf_MKI_Totaal[[#This Row],[Product]],Categorie_1_Producten[#All],8,FALSE)*(Inschrijfberekening!K19)),Referentie_Backlog!D17),0))</f>
        <v>0</v>
      </c>
      <c r="E17" s="11" cm="1">
        <f t="array" ref="E17">(IF(Inschrijfberekening!C19="Nieuwe Situatie",_xlfn.IFNA(_xlfn.IFS(Inschrijfberekening!E19="Bitumineuze_verhardingen",VLOOKUP(Inschrijf_MKI_Totaal[[#This Row],[Product]]&amp;", "&amp;Inschrijf_MKI_Totaal[[#Headers],[A2]],Database_Productkaarten[#All],13,FALSE)*Inschrijfberekening!K19,Inschrijfberekening!E19="Funderingslagen",VLOOKUP(Inschrijf_MKI_Totaal[[#This Row],[Product]]&amp;", "&amp;Inschrijf_MKI_Totaal[[#Headers],[A2]],Database_Productkaarten[#All],13,FALSE)*Inschrijfberekening!K19,Inschrijfberekening!E19="Grondwerken",VLOOKUP(Inschrijf_MKI_Totaal[[#This Row],[Product]]&amp;", "&amp;Inschrijf_MKI_Totaal[[#Headers],[A2]],Database_Productkaarten[#All],13,FALSE)*Inschrijfberekening!K19,Inschrijfberekening!E19="Categorie_1_LCA_Producten",VLOOKUP(Inschrijf_MKI_Totaal[[#This Row],[Product]],Categorie_1_Producten[#All],9,FALSE)*(Inschrijfberekening!K19)),Referentie_Backlog!E17),0))</f>
        <v>0</v>
      </c>
      <c r="F17" s="11" cm="1">
        <f t="array" ref="F17">(IF(Inschrijfberekening!C19="Nieuwe Situatie",_xlfn.IFNA(_xlfn.IFS(Inschrijfberekening!E19="Bitumineuze_verhardingen",VLOOKUP(Inschrijf_MKI_Totaal[[#This Row],[Product]]&amp;", "&amp;Inschrijf_MKI_Totaal[[#Headers],[A3]],Database_Productkaarten[#All],13,FALSE)*Inschrijfberekening!K19,Inschrijfberekening!E19="Funderingslagen",VLOOKUP(Inschrijf_MKI_Totaal[[#This Row],[Product]]&amp;", "&amp;Inschrijf_MKI_Totaal[[#Headers],[A3]],Database_Productkaarten[#All],13,FALSE)*Inschrijfberekening!K19,Inschrijfberekening!E19="Grondwerken",VLOOKUP(Inschrijf_MKI_Totaal[[#This Row],[Product]]&amp;", "&amp;Inschrijf_MKI_Totaal[[#Headers],[A3]],Database_Productkaarten[#All],13,FALSE)*Inschrijfberekening!K19,Inschrijfberekening!E19="Categorie_1_LCA_Producten",VLOOKUP(Inschrijf_MKI_Totaal[[#This Row],[Product]],Categorie_1_Producten[#All],10,FALSE)*(Inschrijfberekening!K19)),Referentie_Backlog!F17),0))</f>
        <v>0</v>
      </c>
      <c r="G17" s="11">
        <f>(IF(Inschrijfberekening!C19="Nieuwe Situatie",_xlfn.IFNA(VLOOKUP(Inschrijfberekening!O19,Database_Transport[#All],7,FALSE)*(Inschrijfberekening!K19*Inschrijfberekening!N19),Referentie_Backlog!G17),0))</f>
        <v>0</v>
      </c>
      <c r="H17" s="105">
        <f>_xlfn.IFNA((IF(Inschrijfberekening!C19="Nieuwe Situatie",(VLOOKUP(Inschrijfberekening!P19,Database_Asfalt_Aanlegset[#All],7,FALSE)*Inschrijfberekening!K19)+IFERROR(((VLOOKUP(Inschrijfberekening!Q19,Database_Overig_Materieel[#All],7,FALSE)*(Inschrijfberekening!L19/VLOOKUP(Inschrijfberekening!Q19,Database_Overig_Materieel[#All],8,FALSE)))),0),0)),Referentie_Backlog!H17)</f>
        <v>0</v>
      </c>
      <c r="I17" s="11" cm="1">
        <f t="array" ref="I17">_xlfn.IFNA((IF(Inschrijfberekening!C19="Nieuwe Situatie",_xlfn.IFS(Inschrijfberekening!E19="Bitumineuze_verhardingen",VLOOKUP(Inschrijf_MKI_Totaal[[#This Row],[Product]]&amp;", "&amp;Inschrijf_MKI_Totaal[[#Headers],[B1]],Database_Productkaarten[#All],13,FALSE)*Inschrijfberekening!K19,Inschrijfberekening!E19="Funderingslagen",VLOOKUP(Inschrijf_MKI_Totaal[[#This Row],[Product]]&amp;", "&amp;Inschrijf_MKI_Totaal[[#Headers],[B1]],Database_Productkaarten[#All],13,FALSE)*Inschrijfberekening!K19,Inschrijfberekening!E19="Grondwerken",VLOOKUP(Inschrijf_MKI_Totaal[[#This Row],[Product]]&amp;", "&amp;Inschrijf_MKI_Totaal[[#Headers],[B1]],Database_Productkaarten[#All],13,FALSE)*Inschrijfberekening!K19,Inschrijfberekening!E19="Categorie_1_LCA_Producten",VLOOKUP(Inschrijf_MKI_Totaal[[#This Row],[Product]],Categorie_1_Producten[#All],11,FALSE)*(Inschrijfberekening!K19)),0)),Referentie_Backlog!I17)</f>
        <v>0</v>
      </c>
      <c r="J17" s="11">
        <f>(IF(Inschrijfberekening!C19="Nieuwe Situatie",_xlfn.IFNA(SUM(Inschrijf_MKI_Totaal[[#This Row],[A1]:[B1]],Inschrijf_MKI_Totaal[[#This Row],[C1]:[D2]])*Inschrijfberekening!M19,0),0))</f>
        <v>0</v>
      </c>
      <c r="K17" s="110">
        <f>(IF(Inschrijfberekening!C19="Bestaande Situatie",IF(IFERROR((VLOOKUP(Inschrijfberekening!R19,Database_Asfalt_Verwijderset[#All],7,FALSE)*Inschrijfberekening!K19),0)+IFERROR((VLOOKUP(Inschrijfberekening!S19,Database_Overig_Materieel[#All],7,FALSE)*(Inschrijfberekening!L19/VLOOKUP(Inschrijfberekening!S19,Database_Overig_Materieel[#All],7,FALSE))),0)=0,Referentie_Backlog!K17,IFERROR((VLOOKUP(Inschrijfberekening!R19,Database_Asfalt_Verwijderset[#All],7,FALSE)*Inschrijfberekening!K19),0)+IFERROR((VLOOKUP(Inschrijfberekening!S19,Database_Overig_Materieel[#All],7,FALSE)*(Inschrijfberekening!L19/VLOOKUP(Inschrijfberekening!S19,Database_Overig_Materieel[#All],8,FALSE))),0)),0))</f>
        <v>0</v>
      </c>
      <c r="L17" s="11">
        <f>(IF(Inschrijfberekening!C19="Bestaande Situatie",_xlfn.IFNA(VLOOKUP(Inschrijfberekening!U19,Database_Transport[#All],7,FALSE)*(Inschrijfberekening!K19*Inschrijfberekening!T19),Referentie_Backlog!L17),0))</f>
        <v>0</v>
      </c>
      <c r="M17" s="11">
        <f>(IF(Inschrijfberekening!C19="Bestaande Situatie",_xlfn.IFNA(VLOOKUP(Inschrijfberekening!V19,Database_Asfalt_Verwerkingsset[#All],7,FALSE)*(Inschrijfberekening!K19/VLOOKUP(Inschrijfberekening!V19,Database_Asfalt_Verwerkingsset[#All],8,FALSE)),Referentie_Backlog!M17),0))</f>
        <v>0</v>
      </c>
      <c r="N17" s="11">
        <f>(IF(Inschrijfberekening!C19="Bestaande Situatie",_xlfn.IFNA(VLOOKUP(Inschrijf_MKI_Totaal[[#This Row],[Product]]&amp;", "&amp;Inschrijf_MKI_Totaal[[#Headers],[C4]],Database_Productkaarten[#All],13,FALSE)*Inschrijfberekening!K19,Referentie_Backlog!N17),0))</f>
        <v>0</v>
      </c>
      <c r="O17" s="11" cm="1">
        <f t="array" ref="O17">_xlfn.IFNA((IF(Inschrijfberekening!C19="Bestaande Situatie",_xlfn.IFS(Inschrijfberekening!E19="Bitumineuze_verhardingen",VLOOKUP(Inschrijf_MKI_Totaal[[#This Row],[Product]]&amp;", "&amp;Inschrijf_MKI_Totaal[[#Headers],[D1]],Database_Productkaarten[#All],13,FALSE)*Inschrijfberekening!K19,Inschrijfberekening!E19="Funderingslagen",VLOOKUP(Inschrijf_MKI_Totaal[[#This Row],[Product]]&amp;", "&amp;Inschrijf_MKI_Totaal[[#Headers],[D1]],Database_Productkaarten[#All],13,FALSE)*Inschrijfberekening!K19,Inschrijfberekening!E19="Grondwerken",VLOOKUP(Inschrijf_MKI_Totaal[[#This Row],[Product]]&amp;", "&amp;Inschrijf_MKI_Totaal[[#Headers],[D1]],Database_Productkaarten[#All],13,FALSE)*Inschrijfberekening!K19,Inschrijfberekening!E19="Categorie_1_LCA_Producten",VLOOKUP(Inschrijf_MKI_Totaal[[#This Row],[Product]],Categorie_1_Producten[#All],12,FALSE)*(Inschrijfberekening!K19)),0)),Referentie_Backlog!O17)</f>
        <v>0</v>
      </c>
      <c r="P17" s="11" cm="1">
        <f t="array" ref="P17">_xlfn.IFNA((IF(Inschrijfberekening!C19="Bestaande Situatie",_xlfn.IFS(Inschrijfberekening!E19="Bitumineuze_verhardingen",VLOOKUP(Inschrijf_MKI_Totaal[[#This Row],[Product]]&amp;", "&amp;Inschrijf_MKI_Totaal[[#Headers],[D2]],Database_Productkaarten[#All],13,FALSE)*Inschrijfberekening!K19,Inschrijfberekening!E19="Funderingslagen",VLOOKUP(Inschrijf_MKI_Totaal[[#This Row],[Product]]&amp;", "&amp;Inschrijf_MKI_Totaal[[#Headers],[D2]],Database_Productkaarten[#All],13,FALSE)*Inschrijfberekening!K19,Inschrijfberekening!E19="Grondwerken",VLOOKUP(Inschrijf_MKI_Totaal[[#This Row],[Product]]&amp;", "&amp;Inschrijf_MKI_Totaal[[#Headers],[D2]],Database_Productkaarten[#All],13,FALSE)*Inschrijfberekening!K19,Inschrijfberekening!E19="Categorie_1_LCA_Producten",VLOOKUP(Inschrijf_MKI_Totaal[[#This Row],[Product]],Categorie_1_Producten[#All],13,FALSE)*(Inschrijfberekening!K19)),0)),Referentie_Backlog!P17)</f>
        <v>0</v>
      </c>
      <c r="Q17" s="191">
        <f>SUM(Inschrijf_MKI_Totaal[[#This Row],[A1]:[D2]])</f>
        <v>0</v>
      </c>
    </row>
    <row r="18" spans="2:17" ht="18" x14ac:dyDescent="0.55000000000000004">
      <c r="B18" s="40">
        <f>Inschrijfberekening!B20</f>
        <v>0</v>
      </c>
      <c r="C18" s="39">
        <f>Inschrijfberekening!F20</f>
        <v>0</v>
      </c>
      <c r="D18" s="11" cm="1">
        <f t="array" ref="D18">(IF(Inschrijfberekening!C20="Nieuwe Situatie",_xlfn.IFNA(_xlfn.IFS(Inschrijfberekening!E20="Bitumineuze_verhardingen",VLOOKUP(Inschrijf_MKI_Totaal[[#This Row],[Product]]&amp;", "&amp;Inschrijf_MKI_Totaal[[#Headers],[A1]],Database_Productkaarten[#All],13,FALSE)*Inschrijfberekening!K20,Inschrijfberekening!E20="Funderingslagen",VLOOKUP(Inschrijf_MKI_Totaal[[#This Row],[Product]]&amp;", "&amp;Inschrijf_MKI_Totaal[[#Headers],[A1]],Database_Productkaarten[#All],13,FALSE)*Inschrijfberekening!K20,Inschrijfberekening!E20="Grondwerken",VLOOKUP(Inschrijf_MKI_Totaal[[#This Row],[Product]]&amp;", "&amp;Inschrijf_MKI_Totaal[[#Headers],[A1]],Database_Productkaarten[#All],13,FALSE)*Inschrijfberekening!K20,Inschrijfberekening!E20="Categorie_1_LCA_Producten",VLOOKUP(Inschrijf_MKI_Totaal[[#This Row],[Product]],Categorie_1_Producten[#All],8,FALSE)*(Inschrijfberekening!K20)),Referentie_Backlog!D18),0))</f>
        <v>0</v>
      </c>
      <c r="E18" s="11" cm="1">
        <f t="array" ref="E18">(IF(Inschrijfberekening!C20="Nieuwe Situatie",_xlfn.IFNA(_xlfn.IFS(Inschrijfberekening!E20="Bitumineuze_verhardingen",VLOOKUP(Inschrijf_MKI_Totaal[[#This Row],[Product]]&amp;", "&amp;Inschrijf_MKI_Totaal[[#Headers],[A2]],Database_Productkaarten[#All],13,FALSE)*Inschrijfberekening!K20,Inschrijfberekening!E20="Funderingslagen",VLOOKUP(Inschrijf_MKI_Totaal[[#This Row],[Product]]&amp;", "&amp;Inschrijf_MKI_Totaal[[#Headers],[A2]],Database_Productkaarten[#All],13,FALSE)*Inschrijfberekening!K20,Inschrijfberekening!E20="Grondwerken",VLOOKUP(Inschrijf_MKI_Totaal[[#This Row],[Product]]&amp;", "&amp;Inschrijf_MKI_Totaal[[#Headers],[A2]],Database_Productkaarten[#All],13,FALSE)*Inschrijfberekening!K20,Inschrijfberekening!E20="Categorie_1_LCA_Producten",VLOOKUP(Inschrijf_MKI_Totaal[[#This Row],[Product]],Categorie_1_Producten[#All],9,FALSE)*(Inschrijfberekening!K20)),Referentie_Backlog!E18),0))</f>
        <v>0</v>
      </c>
      <c r="F18" s="11" cm="1">
        <f t="array" ref="F18">(IF(Inschrijfberekening!C20="Nieuwe Situatie",_xlfn.IFNA(_xlfn.IFS(Inschrijfberekening!E20="Bitumineuze_verhardingen",VLOOKUP(Inschrijf_MKI_Totaal[[#This Row],[Product]]&amp;", "&amp;Inschrijf_MKI_Totaal[[#Headers],[A3]],Database_Productkaarten[#All],13,FALSE)*Inschrijfberekening!K20,Inschrijfberekening!E20="Funderingslagen",VLOOKUP(Inschrijf_MKI_Totaal[[#This Row],[Product]]&amp;", "&amp;Inschrijf_MKI_Totaal[[#Headers],[A3]],Database_Productkaarten[#All],13,FALSE)*Inschrijfberekening!K20,Inschrijfberekening!E20="Grondwerken",VLOOKUP(Inschrijf_MKI_Totaal[[#This Row],[Product]]&amp;", "&amp;Inschrijf_MKI_Totaal[[#Headers],[A3]],Database_Productkaarten[#All],13,FALSE)*Inschrijfberekening!K20,Inschrijfberekening!E20="Categorie_1_LCA_Producten",VLOOKUP(Inschrijf_MKI_Totaal[[#This Row],[Product]],Categorie_1_Producten[#All],10,FALSE)*(Inschrijfberekening!K20)),Referentie_Backlog!F18),0))</f>
        <v>0</v>
      </c>
      <c r="G18" s="11">
        <f>(IF(Inschrijfberekening!C20="Nieuwe Situatie",_xlfn.IFNA(VLOOKUP(Inschrijfberekening!O20,Database_Transport[#All],7,FALSE)*(Inschrijfberekening!K20*Inschrijfberekening!N20),Referentie_Backlog!G18),0))</f>
        <v>0</v>
      </c>
      <c r="H18" s="105">
        <f>_xlfn.IFNA((IF(Inschrijfberekening!C20="Nieuwe Situatie",(VLOOKUP(Inschrijfberekening!P20,Database_Asfalt_Aanlegset[#All],7,FALSE)*Inschrijfberekening!K20)+IFERROR(((VLOOKUP(Inschrijfberekening!Q20,Database_Overig_Materieel[#All],7,FALSE)*(Inschrijfberekening!L20/VLOOKUP(Inschrijfberekening!Q20,Database_Overig_Materieel[#All],8,FALSE)))),0),0)),Referentie_Backlog!H18)</f>
        <v>0</v>
      </c>
      <c r="I18" s="11" cm="1">
        <f t="array" ref="I18">_xlfn.IFNA((IF(Inschrijfberekening!C20="Nieuwe Situatie",_xlfn.IFS(Inschrijfberekening!E20="Bitumineuze_verhardingen",VLOOKUP(Inschrijf_MKI_Totaal[[#This Row],[Product]]&amp;", "&amp;Inschrijf_MKI_Totaal[[#Headers],[B1]],Database_Productkaarten[#All],13,FALSE)*Inschrijfberekening!K20,Inschrijfberekening!E20="Funderingslagen",VLOOKUP(Inschrijf_MKI_Totaal[[#This Row],[Product]]&amp;", "&amp;Inschrijf_MKI_Totaal[[#Headers],[B1]],Database_Productkaarten[#All],13,FALSE)*Inschrijfberekening!K20,Inschrijfberekening!E20="Grondwerken",VLOOKUP(Inschrijf_MKI_Totaal[[#This Row],[Product]]&amp;", "&amp;Inschrijf_MKI_Totaal[[#Headers],[B1]],Database_Productkaarten[#All],13,FALSE)*Inschrijfberekening!K20,Inschrijfberekening!E20="Categorie_1_LCA_Producten",VLOOKUP(Inschrijf_MKI_Totaal[[#This Row],[Product]],Categorie_1_Producten[#All],11,FALSE)*(Inschrijfberekening!K20)),0)),Referentie_Backlog!I18)</f>
        <v>0</v>
      </c>
      <c r="J18" s="11">
        <f>(IF(Inschrijfberekening!C20="Nieuwe Situatie",_xlfn.IFNA(SUM(Inschrijf_MKI_Totaal[[#This Row],[A1]:[B1]],Inschrijf_MKI_Totaal[[#This Row],[C1]:[D2]])*Inschrijfberekening!M20,0),0))</f>
        <v>0</v>
      </c>
      <c r="K18" s="110">
        <f>(IF(Inschrijfberekening!C20="Bestaande Situatie",IF(IFERROR((VLOOKUP(Inschrijfberekening!R20,Database_Asfalt_Verwijderset[#All],7,FALSE)*Inschrijfberekening!K20),0)+IFERROR((VLOOKUP(Inschrijfberekening!S20,Database_Overig_Materieel[#All],7,FALSE)*(Inschrijfberekening!L20/VLOOKUP(Inschrijfberekening!S20,Database_Overig_Materieel[#All],7,FALSE))),0)=0,Referentie_Backlog!K18,IFERROR((VLOOKUP(Inschrijfberekening!R20,Database_Asfalt_Verwijderset[#All],7,FALSE)*Inschrijfberekening!K20),0)+IFERROR((VLOOKUP(Inschrijfberekening!S20,Database_Overig_Materieel[#All],7,FALSE)*(Inschrijfberekening!L20/VLOOKUP(Inschrijfberekening!S20,Database_Overig_Materieel[#All],8,FALSE))),0)),0))</f>
        <v>0</v>
      </c>
      <c r="L18" s="11">
        <f>(IF(Inschrijfberekening!C20="Bestaande Situatie",_xlfn.IFNA(VLOOKUP(Inschrijfberekening!U20,Database_Transport[#All],7,FALSE)*(Inschrijfberekening!K20*Inschrijfberekening!T20),Referentie_Backlog!L18),0))</f>
        <v>0</v>
      </c>
      <c r="M18" s="11">
        <f>(IF(Inschrijfberekening!C20="Bestaande Situatie",_xlfn.IFNA(VLOOKUP(Inschrijfberekening!V20,Database_Asfalt_Verwerkingsset[#All],7,FALSE)*(Inschrijfberekening!K20/VLOOKUP(Inschrijfberekening!V20,Database_Asfalt_Verwerkingsset[#All],8,FALSE)),Referentie_Backlog!M18),0))</f>
        <v>0</v>
      </c>
      <c r="N18" s="11">
        <f>(IF(Inschrijfberekening!C20="Bestaande Situatie",_xlfn.IFNA(VLOOKUP(Inschrijf_MKI_Totaal[[#This Row],[Product]]&amp;", "&amp;Inschrijf_MKI_Totaal[[#Headers],[C4]],Database_Productkaarten[#All],13,FALSE)*Inschrijfberekening!K20,Referentie_Backlog!N18),0))</f>
        <v>0</v>
      </c>
      <c r="O18" s="11" cm="1">
        <f t="array" ref="O18">_xlfn.IFNA((IF(Inschrijfberekening!C20="Bestaande Situatie",_xlfn.IFS(Inschrijfberekening!E20="Bitumineuze_verhardingen",VLOOKUP(Inschrijf_MKI_Totaal[[#This Row],[Product]]&amp;", "&amp;Inschrijf_MKI_Totaal[[#Headers],[D1]],Database_Productkaarten[#All],13,FALSE)*Inschrijfberekening!K20,Inschrijfberekening!E20="Funderingslagen",VLOOKUP(Inschrijf_MKI_Totaal[[#This Row],[Product]]&amp;", "&amp;Inschrijf_MKI_Totaal[[#Headers],[D1]],Database_Productkaarten[#All],13,FALSE)*Inschrijfberekening!K20,Inschrijfberekening!E20="Grondwerken",VLOOKUP(Inschrijf_MKI_Totaal[[#This Row],[Product]]&amp;", "&amp;Inschrijf_MKI_Totaal[[#Headers],[D1]],Database_Productkaarten[#All],13,FALSE)*Inschrijfberekening!K20,Inschrijfberekening!E20="Categorie_1_LCA_Producten",VLOOKUP(Inschrijf_MKI_Totaal[[#This Row],[Product]],Categorie_1_Producten[#All],12,FALSE)*(Inschrijfberekening!K20)),0)),Referentie_Backlog!O18)</f>
        <v>0</v>
      </c>
      <c r="P18" s="11" cm="1">
        <f t="array" ref="P18">_xlfn.IFNA((IF(Inschrijfberekening!C20="Bestaande Situatie",_xlfn.IFS(Inschrijfberekening!E20="Bitumineuze_verhardingen",VLOOKUP(Inschrijf_MKI_Totaal[[#This Row],[Product]]&amp;", "&amp;Inschrijf_MKI_Totaal[[#Headers],[D2]],Database_Productkaarten[#All],13,FALSE)*Inschrijfberekening!K20,Inschrijfberekening!E20="Funderingslagen",VLOOKUP(Inschrijf_MKI_Totaal[[#This Row],[Product]]&amp;", "&amp;Inschrijf_MKI_Totaal[[#Headers],[D2]],Database_Productkaarten[#All],13,FALSE)*Inschrijfberekening!K20,Inschrijfberekening!E20="Grondwerken",VLOOKUP(Inschrijf_MKI_Totaal[[#This Row],[Product]]&amp;", "&amp;Inschrijf_MKI_Totaal[[#Headers],[D2]],Database_Productkaarten[#All],13,FALSE)*Inschrijfberekening!K20,Inschrijfberekening!E20="Categorie_1_LCA_Producten",VLOOKUP(Inschrijf_MKI_Totaal[[#This Row],[Product]],Categorie_1_Producten[#All],13,FALSE)*(Inschrijfberekening!K20)),0)),Referentie_Backlog!P18)</f>
        <v>0</v>
      </c>
      <c r="Q18" s="191">
        <f>SUM(Inschrijf_MKI_Totaal[[#This Row],[A1]:[D2]])</f>
        <v>0</v>
      </c>
    </row>
    <row r="19" spans="2:17" ht="18" x14ac:dyDescent="0.55000000000000004">
      <c r="B19" s="23" t="s">
        <v>16</v>
      </c>
      <c r="C19" s="15"/>
      <c r="D19" s="109">
        <f>SUBTOTAL(109,Inschrijf_MKI_Totaal[A1])</f>
        <v>1328.5030848345</v>
      </c>
      <c r="E19" s="109">
        <f>SUBTOTAL(109,Inschrijf_MKI_Totaal[A2])</f>
        <v>26.709011119293756</v>
      </c>
      <c r="F19" s="109">
        <f>SUBTOTAL(109,Inschrijf_MKI_Totaal[A3])</f>
        <v>16.906813285037057</v>
      </c>
      <c r="G19" s="109">
        <f>SUBTOTAL(109,Inschrijf_MKI_Totaal[A4])</f>
        <v>971.06809043166265</v>
      </c>
      <c r="H19" s="109">
        <f>SUBTOTAL(109,Inschrijf_MKI_Totaal[A5])</f>
        <v>535.48467385210813</v>
      </c>
      <c r="I19" s="109">
        <f>SUBTOTAL(109,Inschrijf_MKI_Totaal[B1])</f>
        <v>0.80027858624999992</v>
      </c>
      <c r="J19" s="109">
        <f>SUBTOTAL(109,Inschrijf_MKI_Totaal[B4])</f>
        <v>0</v>
      </c>
      <c r="K19" s="109">
        <f>SUBTOTAL(109,Inschrijf_MKI_Totaal[C1])</f>
        <v>0</v>
      </c>
      <c r="L19" s="109">
        <f>SUBTOTAL(109,Inschrijf_MKI_Totaal[C2])</f>
        <v>0</v>
      </c>
      <c r="M19" s="109">
        <f>SUBTOTAL(109,Inschrijf_MKI_Totaal[C3])</f>
        <v>0</v>
      </c>
      <c r="N19" s="109">
        <f>SUBTOTAL(109,Inschrijf_MKI_Totaal[C4])</f>
        <v>0</v>
      </c>
      <c r="O19" s="109">
        <f>SUBTOTAL(109,Inschrijf_MKI_Totaal[D1])</f>
        <v>0</v>
      </c>
      <c r="P19" s="109">
        <f>SUBTOTAL(109,Inschrijf_MKI_Totaal[D2])</f>
        <v>0</v>
      </c>
      <c r="Q19" s="109">
        <f>SUBTOTAL(109,Inschrijf_MKI_Totaal[Totaal])</f>
        <v>2879.4719521088518</v>
      </c>
    </row>
    <row r="20" spans="2:17" ht="18" x14ac:dyDescent="0.55000000000000004">
      <c r="B20" s="164"/>
      <c r="C20" s="166"/>
      <c r="D20" s="165"/>
      <c r="E20" s="165"/>
      <c r="F20" s="165"/>
      <c r="G20" s="165"/>
      <c r="H20" s="165"/>
      <c r="I20" s="165"/>
      <c r="J20" s="165"/>
      <c r="K20" s="165"/>
      <c r="L20" s="165"/>
      <c r="M20" s="165"/>
      <c r="N20" s="165"/>
      <c r="O20" s="165"/>
      <c r="P20" s="165"/>
    </row>
    <row r="22" spans="2:17" ht="22" x14ac:dyDescent="0.65">
      <c r="B22" s="134" t="s">
        <v>311</v>
      </c>
      <c r="C22" s="134"/>
      <c r="D22" s="134"/>
    </row>
    <row r="23" spans="2:17" ht="18" x14ac:dyDescent="0.55000000000000004">
      <c r="B23" s="23" t="s">
        <v>55</v>
      </c>
      <c r="C23" s="23" t="s">
        <v>4</v>
      </c>
      <c r="D23" s="24" t="s">
        <v>19</v>
      </c>
      <c r="E23" s="25" t="s">
        <v>20</v>
      </c>
      <c r="F23" s="26" t="s">
        <v>21</v>
      </c>
      <c r="G23" s="27" t="s">
        <v>22</v>
      </c>
      <c r="H23" s="28" t="s">
        <v>23</v>
      </c>
      <c r="I23" s="29" t="s">
        <v>24</v>
      </c>
      <c r="J23" s="30" t="s">
        <v>50</v>
      </c>
      <c r="K23" s="31" t="s">
        <v>25</v>
      </c>
      <c r="L23" s="32" t="s">
        <v>26</v>
      </c>
      <c r="M23" s="33" t="s">
        <v>27</v>
      </c>
      <c r="N23" s="34" t="s">
        <v>28</v>
      </c>
      <c r="O23" s="35" t="s">
        <v>51</v>
      </c>
      <c r="P23" s="36" t="s">
        <v>52</v>
      </c>
      <c r="Q23" s="192" t="s">
        <v>16</v>
      </c>
    </row>
    <row r="24" spans="2:17" ht="18" x14ac:dyDescent="0.55000000000000004">
      <c r="B24" s="285">
        <f>Inschrijfberekening!B6</f>
        <v>422410</v>
      </c>
      <c r="C24" s="23" t="str">
        <f>Inschrijfberekening!F6</f>
        <v>20460-TB - AC 16 Bin/Base 35/50 60% PR Bestone</v>
      </c>
      <c r="D24" s="111" cm="1">
        <f t="array" ref="D24">(IF(Inschrijfberekening!C6="Nieuwe Situatie",_xlfn.IFNA(_xlfn.IFS(Inschrijfberekening!E6="Bitumineuze_verhardingen",VLOOKUP(Inschrijf_CO2_Totaal[[#This Row],[Product]]&amp;", "&amp;Inschrijf_CO2_Totaal[[#Headers],[A1]],Database_Productkaarten[#All],17,FALSE)*Inschrijfberekening!K6,Inschrijfberekening!E6="Funderingslagen",VLOOKUP(Inschrijf_CO2_Totaal[[#This Row],[Product]]&amp;", "&amp;Inschrijf_CO2_Totaal[[#Headers],[A1]],Database_Productkaarten[#All],17,FALSE)*Inschrijfberekening!K6,Inschrijfberekening!E6="Grondwerken",VLOOKUP(Inschrijf_CO2_Totaal[[#This Row],[Product]]&amp;", "&amp;Inschrijf_CO2_Totaal[[#Headers],[A1]],Database_Productkaarten[#All],17,FALSE)*Inschrijfberekening!K6,Inschrijfberekening!E6="Categorie_1_LCA_Producten",VLOOKUP(Inschrijf_CO2_Totaal[[#This Row],[Product]],Categorie_1_Producten[#All],14,FALSE)*(Inschrijfberekening!K6)),Referentie_Backlog!D40),0))</f>
        <v>0</v>
      </c>
      <c r="E24" s="111" cm="1">
        <f t="array" ref="E24">(IF(Inschrijfberekening!C6="Nieuwe Situatie",_xlfn.IFNA(_xlfn.IFS(Inschrijfberekening!E6="Bitumineuze_verhardingen",VLOOKUP(Inschrijf_CO2_Totaal[[#This Row],[Product]]&amp;", "&amp;Inschrijf_CO2_Totaal[[#Headers],[A2]],Database_Productkaarten[#All],17,FALSE)*Inschrijfberekening!K6,Inschrijfberekening!E6="Funderingslagen",VLOOKUP(Inschrijf_CO2_Totaal[[#This Row],[Product]]&amp;", "&amp;Inschrijf_CO2_Totaal[[#Headers],[A2]],Database_Productkaarten[#All],17,FALSE)*Inschrijfberekening!K6,Inschrijfberekening!E6="Grondwerken",VLOOKUP(Inschrijf_CO2_Totaal[[#This Row],[Product]]&amp;", "&amp;Inschrijf_CO2_Totaal[[#Headers],[A2]],Database_Productkaarten[#All],17,FALSE)*Inschrijfberekening!K6,Inschrijfberekening!E6="Categorie_1_LCA_Producten",VLOOKUP(Inschrijf_CO2_Totaal[[#This Row],[Product]],Categorie_1_Producten[#All],15,FALSE)*(Inschrijfberekening!K6)),Referentie_Backlog!E40),0))</f>
        <v>0</v>
      </c>
      <c r="F24" s="111" cm="1">
        <f t="array" ref="F24">(IF(Inschrijfberekening!C6="Nieuwe Situatie",_xlfn.IFNA(_xlfn.IFS(Inschrijfberekening!E6="Bitumineuze_verhardingen",VLOOKUP(Inschrijf_CO2_Totaal[[#This Row],[Product]]&amp;", "&amp;Inschrijf_CO2_Totaal[[#Headers],[A3]],Database_Productkaarten[#All],17,FALSE)*Inschrijfberekening!K6,Inschrijfberekening!E6="Funderingslagen",VLOOKUP(Inschrijf_CO2_Totaal[[#This Row],[Product]]&amp;", "&amp;Inschrijf_CO2_Totaal[[#Headers],[A3]],Database_Productkaarten[#All],17,FALSE)*Inschrijfberekening!K6,Inschrijfberekening!E6="Grondwerken",VLOOKUP(Inschrijf_CO2_Totaal[[#This Row],[Product]]&amp;", "&amp;Inschrijf_CO2_Totaal[[#Headers],[A3]],Database_Productkaarten[#All],17,FALSE)*Inschrijfberekening!K6,Inschrijfberekening!E6="Categorie_1_LCA_Producten",VLOOKUP(Inschrijf_CO2_Totaal[[#This Row],[Product]],Categorie_1_Producten[#All],16,FALSE)*(Inschrijfberekening!K6)),Referentie_Backlog!F40),0))</f>
        <v>0</v>
      </c>
      <c r="G24" s="111">
        <f>(IF(Inschrijfberekening!C6="Nieuwe Situatie",_xlfn.IFNA(VLOOKUP(Inschrijfberekening!O6,Database_Transport[#All],12,FALSE)*(Inschrijfberekening!K6*Inschrijfberekening!N6),Referentie_Backlog!G40),0))</f>
        <v>1123.6875937</v>
      </c>
      <c r="H24" s="112">
        <f>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40)</f>
        <v>679.07924700000001</v>
      </c>
      <c r="I24" s="111" cm="1">
        <f t="array" ref="I24">(IF(Inschrijfberekening!C6="Nieuwe Situatie",_xlfn.IFNA(_xlfn.IFS(Inschrijfberekening!E6="Bitumineuze_verhardingen",VLOOKUP(Inschrijf_CO2_Totaal[[#This Row],[Product]]&amp;", "&amp;Inschrijf_CO2_Totaal[[#Headers],[B1]],Database_Productkaarten[#All],17,FALSE)*Inschrijfberekening!K6,Inschrijfberekening!E6="Funderingslagen",VLOOKUP(Inschrijf_CO2_Totaal[[#This Row],[Product]]&amp;", "&amp;Inschrijf_CO2_Totaal[[#Headers],[B1]],Database_Productkaarten[#All],17,FALSE)*Inschrijfberekening!K6,Inschrijfberekening!E6="Grondwerken",VLOOKUP(Inschrijf_CO2_Totaal[[#This Row],[Product]]&amp;", "&amp;Inschrijf_CO2_Totaal[[#Headers],[B1]],Database_Productkaarten[#All],17,FALSE)*Inschrijfberekening!K6,Inschrijfberekening!E6="Categorie_1_LCA_Producten",VLOOKUP(Inschrijf_CO2_Totaal[[#This Row],[Product]],Categorie_1_Producten[#All],17,FALSE)*(Inschrijfberekening!K6)),Referentie_Backlog!I40),0))</f>
        <v>0</v>
      </c>
      <c r="J24" s="111">
        <f>(IF(Inschrijfberekening!C6="Nieuwe Situatie",_xlfn.IFNA(SUM(Inschrijf_CO2_Totaal[[#This Row],[A1]:[B1]],Inschrijf_CO2_Totaal[[#This Row],[C1]:[D2]])*Inschrijfberekening!M6,0),0))</f>
        <v>0</v>
      </c>
      <c r="K24" s="113">
        <f>(IF(Inschrijfberekening!C6="Bestaande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40,IFERROR((VLOOKUP(Inschrijfberekening!R6,Database_Asfalt_Verwijderset[#All],12,FALSE)*Inschrijfberekening!K6),0)+IFERROR((VLOOKUP(Inschrijfberekening!S6,Database_Overig_Materieel[#All],12,FALSE)*(Inschrijfberekening!L6/VLOOKUP(Inschrijfberekening!S6,Database_Overig_Materieel[#All],12,FALSE))),0)),0))</f>
        <v>0</v>
      </c>
      <c r="L24" s="111">
        <f>(IF(Inschrijfberekening!C6="Bestaande Situatie",_xlfn.IFNA(VLOOKUP(Inschrijfberekening!U6,Database_Transport[#All],12,FALSE)*(Inschrijfberekening!K6*Inschrijfberekening!T6),Referentie_Backlog!L40),0))</f>
        <v>0</v>
      </c>
      <c r="M24" s="111">
        <f>(IF(Inschrijfberekening!C6="Bestaande Situatie",_xlfn.IFNA(VLOOKUP(Inschrijfberekening!V6,Database_Asfalt_Verwerkingsset[#All],12,FALSE)*(Inschrijfberekening!K6/VLOOKUP(Inschrijfberekening!V6,Database_Asfalt_Verwerkingsset[#All],12,FALSE)),Referentie_Backlog!M40),0))</f>
        <v>0</v>
      </c>
      <c r="N24" s="111">
        <f>(IF(Inschrijfberekening!C6="Bestaande Situatie",_xlfn.IFNA(VLOOKUP(Inschrijf_CO2_Totaal[[#This Row],[Product]]&amp;", "&amp;Inschrijf_MKI_Totaal[[#Headers],[C4]],Database_Productkaarten[#All],12,FALSE)*Inschrijfberekening!K6,Referentie_Backlog!N40),0))</f>
        <v>0</v>
      </c>
      <c r="O24" s="111" cm="1">
        <f t="array" ref="O24">_xlfn.IFNA((IF(Inschrijfberekening!C6="Bestaande Situatie",_xlfn.IFS(Inschrijfberekening!E6="Bitumineuze_verhardingen",VLOOKUP(Inschrijf_CO2_Totaal[[#This Row],[Product]]&amp;", "&amp;Inschrijf_CO2_Totaal[[#Headers],[D1]],Database_Productkaarten[#All],17,FALSE)*Inschrijfberekening!K6,Inschrijfberekening!E6="Funderingslagen",VLOOKUP(Inschrijf_CO2_Totaal[[#This Row],[Product]]&amp;", "&amp;Inschrijf_CO2_Totaal[[#Headers],[D1]],Database_Productkaarten[#All],17,FALSE)*Inschrijfberekening!K6,Inschrijfberekening!E6="Grondwerken",VLOOKUP(Inschrijf_CO2_Totaal[[#This Row],[Product]]&amp;", "&amp;Inschrijf_CO2_Totaal[[#Headers],[D1]],Database_Productkaarten[#All],17,FALSE)*Inschrijfberekening!K6,Inschrijfberekening!E6="Categorie_1_LCA_Producten",VLOOKUP(Inschrijf_CO2_Totaal[[#This Row],[Product]],Categorie_1_Producten[#All],18,FALSE)*(Inschrijfberekening!K6)),0)),Referentie_Backlog!O40)</f>
        <v>0</v>
      </c>
      <c r="P24" s="114" cm="1">
        <f t="array" ref="P24">_xlfn.IFNA((IF(Inschrijfberekening!C6="Bestaande Situatie",_xlfn.IFS(Inschrijfberekening!E6="Bitumineuze_verhardingen",VLOOKUP(Inschrijf_CO2_Totaal[[#This Row],[Product]]&amp;", "&amp;Inschrijf_CO2_Totaal[[#Headers],[D2]],Database_Productkaarten[#All],17,FALSE)*Inschrijfberekening!K6,Inschrijfberekening!E6="Funderingslagen",VLOOKUP(Inschrijf_CO2_Totaal[[#This Row],[Product]]&amp;", "&amp;Inschrijf_CO2_Totaal[[#Headers],[D2]],Database_Productkaarten[#All],17,FALSE)*Inschrijfberekening!K6,Inschrijfberekening!E6="Grondwerken",VLOOKUP(Inschrijf_CO2_Totaal[[#This Row],[Product]]&amp;", "&amp;Inschrijf_CO2_Totaal[[#Headers],[D2]],Database_Productkaarten[#All],17,FALSE)*Inschrijfberekening!K6,Inschrijfberekening!E6="Categorie_1_LCA_Producten",VLOOKUP(Inschrijf_CO2_Totaal[[#This Row],[Product]],Categorie_1_Producten[#All],19,FALSE)*(Inschrijfberekening!K6)),0)),Referentie_Backlog!P40)</f>
        <v>0</v>
      </c>
      <c r="Q24" s="111">
        <f>SUM(Inschrijf_CO2_Totaal[[#This Row],[A1]:[D2]])</f>
        <v>1802.7668407000001</v>
      </c>
    </row>
    <row r="25" spans="2:17" ht="18" x14ac:dyDescent="0.55000000000000004">
      <c r="B25" s="285">
        <f>Inschrijfberekening!B7</f>
        <v>422510</v>
      </c>
      <c r="C25" s="23" t="str">
        <f>Inschrijfberekening!F7</f>
        <v>AC 11 surf DL-A rood*</v>
      </c>
      <c r="D25" s="111" cm="1">
        <f t="array" ref="D25">(IF(Inschrijfberekening!C7="Nieuwe Situatie",_xlfn.IFNA(_xlfn.IFS(Inschrijfberekening!E7="Bitumineuze_verhardingen",VLOOKUP(Inschrijf_CO2_Totaal[[#This Row],[Product]]&amp;", "&amp;Inschrijf_CO2_Totaal[[#Headers],[A1]],Database_Productkaarten[#All],17,FALSE)*Inschrijfberekening!K7,Inschrijfberekening!E7="Funderingslagen",VLOOKUP(Inschrijf_CO2_Totaal[[#This Row],[Product]]&amp;", "&amp;Inschrijf_CO2_Totaal[[#Headers],[A1]],Database_Productkaarten[#All],17,FALSE)*Inschrijfberekening!K7,Inschrijfberekening!E7="Grondwerken",VLOOKUP(Inschrijf_CO2_Totaal[[#This Row],[Product]]&amp;", "&amp;Inschrijf_CO2_Totaal[[#Headers],[A1]],Database_Productkaarten[#All],17,FALSE)*Inschrijfberekening!K7,Inschrijfberekening!E7="Categorie_1_LCA_Producten",VLOOKUP(Inschrijf_CO2_Totaal[[#This Row],[Product]],Categorie_1_Producten[#All],14,FALSE)*(Inschrijfberekening!K7)),Referentie_Backlog!D41),0))</f>
        <v>696.04852996574994</v>
      </c>
      <c r="E25" s="111" cm="1">
        <f t="array" ref="E25">(IF(Inschrijfberekening!C7="Nieuwe Situatie",_xlfn.IFNA(_xlfn.IFS(Inschrijfberekening!E7="Bitumineuze_verhardingen",VLOOKUP(Inschrijf_CO2_Totaal[[#This Row],[Product]]&amp;", "&amp;Inschrijf_CO2_Totaal[[#Headers],[A2]],Database_Productkaarten[#All],17,FALSE)*Inschrijfberekening!K7,Inschrijfberekening!E7="Funderingslagen",VLOOKUP(Inschrijf_CO2_Totaal[[#This Row],[Product]]&amp;", "&amp;Inschrijf_CO2_Totaal[[#Headers],[A2]],Database_Productkaarten[#All],17,FALSE)*Inschrijfberekening!K7,Inschrijfberekening!E7="Grondwerken",VLOOKUP(Inschrijf_CO2_Totaal[[#This Row],[Product]]&amp;", "&amp;Inschrijf_CO2_Totaal[[#Headers],[A2]],Database_Productkaarten[#All],17,FALSE)*Inschrijfberekening!K7,Inschrijfberekening!E7="Categorie_1_LCA_Producten",VLOOKUP(Inschrijf_CO2_Totaal[[#This Row],[Product]],Categorie_1_Producten[#All],15,FALSE)*(Inschrijfberekening!K7)),Referentie_Backlog!E41),0))</f>
        <v>181.61975002450498</v>
      </c>
      <c r="F25" s="111" cm="1">
        <f t="array" ref="F25">(IF(Inschrijfberekening!C7="Nieuwe Situatie",_xlfn.IFNA(_xlfn.IFS(Inschrijfberekening!E7="Bitumineuze_verhardingen",VLOOKUP(Inschrijf_CO2_Totaal[[#This Row],[Product]]&amp;", "&amp;Inschrijf_CO2_Totaal[[#Headers],[A3]],Database_Productkaarten[#All],17,FALSE)*Inschrijfberekening!K7,Inschrijfberekening!E7="Funderingslagen",VLOOKUP(Inschrijf_CO2_Totaal[[#This Row],[Product]]&amp;", "&amp;Inschrijf_CO2_Totaal[[#Headers],[A3]],Database_Productkaarten[#All],17,FALSE)*Inschrijfberekening!K7,Inschrijfberekening!E7="Grondwerken",VLOOKUP(Inschrijf_CO2_Totaal[[#This Row],[Product]]&amp;", "&amp;Inschrijf_CO2_Totaal[[#Headers],[A3]],Database_Productkaarten[#All],17,FALSE)*Inschrijfberekening!K7,Inschrijfberekening!E7="Categorie_1_LCA_Producten",VLOOKUP(Inschrijf_CO2_Totaal[[#This Row],[Product]],Categorie_1_Producten[#All],16,FALSE)*(Inschrijfberekening!K7)),Referentie_Backlog!F41),0))</f>
        <v>234.77935906557838</v>
      </c>
      <c r="G25" s="111">
        <f>(IF(Inschrijfberekening!C7="Nieuwe Situatie",_xlfn.IFNA(VLOOKUP(Inschrijfberekening!O7,Database_Transport[#All],12,FALSE)*(Inschrijfberekening!K7*Inschrijfberekening!N7),Referentie_Backlog!G41),0))</f>
        <v>27.458531424999997</v>
      </c>
      <c r="H25" s="112">
        <f>_xlfn.IFNA((IF(Inschrijfberekening!C7="Nieuwe Situatie",(VLOOKUP(Inschrijfberekening!P7,Database_Asfalt_Aanlegset[#All],12,FALSE)*Inschrijfberekening!K7)+IFERROR(((VLOOKUP(Inschrijfberekening!Q7,Database_Overig_Materieel[#All],12,FALSE)*(Inschrijfberekening!L7/VLOOKUP(Inschrijfberekening!Q7,Database_Overig_Materieel[#All],12,FALSE)))),0),0)),Referentie_Backlog!H41)</f>
        <v>19.359999196808509</v>
      </c>
      <c r="I25" s="111" cm="1">
        <f t="array" ref="I25">(IF(Inschrijfberekening!C7="Nieuwe Situatie",_xlfn.IFNA(_xlfn.IFS(Inschrijfberekening!E7="Bitumineuze_verhardingen",VLOOKUP(Inschrijf_CO2_Totaal[[#This Row],[Product]]&amp;", "&amp;Inschrijf_CO2_Totaal[[#Headers],[B1]],Database_Productkaarten[#All],17,FALSE)*Inschrijfberekening!K7,Inschrijfberekening!E7="Funderingslagen",VLOOKUP(Inschrijf_CO2_Totaal[[#This Row],[Product]]&amp;", "&amp;Inschrijf_CO2_Totaal[[#Headers],[B1]],Database_Productkaarten[#All],17,FALSE)*Inschrijfberekening!K7,Inschrijfberekening!E7="Grondwerken",VLOOKUP(Inschrijf_CO2_Totaal[[#This Row],[Product]]&amp;", "&amp;Inschrijf_CO2_Totaal[[#Headers],[B1]],Database_Productkaarten[#All],17,FALSE)*Inschrijfberekening!K7,Inschrijfberekening!E7="Categorie_1_LCA_Producten",VLOOKUP(Inschrijf_CO2_Totaal[[#This Row],[Product]],Categorie_1_Producten[#All],17,FALSE)*(Inschrijfberekening!K7)),Referentie_Backlog!I41),0))</f>
        <v>0</v>
      </c>
      <c r="J25" s="111">
        <f>(IF(Inschrijfberekening!C7="Nieuwe Situatie",_xlfn.IFNA(SUM(Inschrijf_CO2_Totaal[[#This Row],[A1]:[B1]],Inschrijf_CO2_Totaal[[#This Row],[C1]:[D2]])*Inschrijfberekening!M7,0),0))</f>
        <v>0</v>
      </c>
      <c r="K25" s="113">
        <f>(IF(Inschrijfberekening!C7="Bestaande Situatie",IF(IFERROR((VLOOKUP(Inschrijfberekening!R7,Database_Asfalt_Verwijderset[#All],10,FALSE)*Inschrijfberekening!K7),0)+IFERROR((VLOOKUP(Inschrijfberekening!S7,Database_Overig_Materieel[#All],12,FALSE)*(Inschrijfberekening!L7/VLOOKUP(Inschrijfberekening!S7,Database_Overig_Materieel[#All],12,FALSE))),0)=0,Referentie_Backlog!K41,IFERROR((VLOOKUP(Inschrijfberekening!R7,Database_Asfalt_Verwijderset[#All],12,FALSE)*Inschrijfberekening!K7),0)+IFERROR((VLOOKUP(Inschrijfberekening!S7,Database_Overig_Materieel[#All],12,FALSE)*(Inschrijfberekening!L7/VLOOKUP(Inschrijfberekening!S7,Database_Overig_Materieel[#All],12,FALSE))),0)),0))</f>
        <v>0</v>
      </c>
      <c r="L25" s="111">
        <f>(IF(Inschrijfberekening!C7="Bestaande Situatie",_xlfn.IFNA(VLOOKUP(Inschrijfberekening!U7,Database_Transport[#All],12,FALSE)*(Inschrijfberekening!K7*Inschrijfberekening!T7),Referentie_Backlog!L41),0))</f>
        <v>0</v>
      </c>
      <c r="M25" s="111">
        <f>(IF(Inschrijfberekening!C7="Bestaande Situatie",_xlfn.IFNA(VLOOKUP(Inschrijfberekening!V7,Database_Asfalt_Verwerkingsset[#All],12,FALSE)*(Inschrijfberekening!K7/VLOOKUP(Inschrijfberekening!V7,Database_Asfalt_Verwerkingsset[#All],12,FALSE)),Referentie_Backlog!M41),0))</f>
        <v>0</v>
      </c>
      <c r="N25" s="111">
        <f>(IF(Inschrijfberekening!C7="Bestaande Situatie",_xlfn.IFNA(VLOOKUP(Inschrijf_CO2_Totaal[[#This Row],[Product]]&amp;", "&amp;Inschrijf_MKI_Totaal[[#Headers],[C4]],Database_Productkaarten[#All],12,FALSE)*Inschrijfberekening!K7,Referentie_Backlog!N41),0))</f>
        <v>0</v>
      </c>
      <c r="O25" s="111" cm="1">
        <f t="array" ref="O25">_xlfn.IFNA((IF(Inschrijfberekening!C7="Bestaande Situatie",_xlfn.IFS(Inschrijfberekening!E7="Bitumineuze_verhardingen",VLOOKUP(Inschrijf_CO2_Totaal[[#This Row],[Product]]&amp;", "&amp;Inschrijf_CO2_Totaal[[#Headers],[D1]],Database_Productkaarten[#All],17,FALSE)*Inschrijfberekening!K7,Inschrijfberekening!E7="Funderingslagen",VLOOKUP(Inschrijf_CO2_Totaal[[#This Row],[Product]]&amp;", "&amp;Inschrijf_CO2_Totaal[[#Headers],[D1]],Database_Productkaarten[#All],17,FALSE)*Inschrijfberekening!K7,Inschrijfberekening!E7="Grondwerken",VLOOKUP(Inschrijf_CO2_Totaal[[#This Row],[Product]]&amp;", "&amp;Inschrijf_CO2_Totaal[[#Headers],[D1]],Database_Productkaarten[#All],17,FALSE)*Inschrijfberekening!K7,Inschrijfberekening!E7="Categorie_1_LCA_Producten",VLOOKUP(Inschrijf_CO2_Totaal[[#This Row],[Product]],Categorie_1_Producten[#All],18,FALSE)*(Inschrijfberekening!K7)),0)),Referentie_Backlog!O41)</f>
        <v>0</v>
      </c>
      <c r="P25" s="114" cm="1">
        <f t="array" ref="P25">_xlfn.IFNA((IF(Inschrijfberekening!C7="Bestaande Situatie",_xlfn.IFS(Inschrijfberekening!E7="Bitumineuze_verhardingen",VLOOKUP(Inschrijf_CO2_Totaal[[#This Row],[Product]]&amp;", "&amp;Inschrijf_CO2_Totaal[[#Headers],[D2]],Database_Productkaarten[#All],17,FALSE)*Inschrijfberekening!K7,Inschrijfberekening!E7="Funderingslagen",VLOOKUP(Inschrijf_CO2_Totaal[[#This Row],[Product]]&amp;", "&amp;Inschrijf_CO2_Totaal[[#Headers],[D2]],Database_Productkaarten[#All],17,FALSE)*Inschrijfberekening!K7,Inschrijfberekening!E7="Grondwerken",VLOOKUP(Inschrijf_CO2_Totaal[[#This Row],[Product]]&amp;", "&amp;Inschrijf_CO2_Totaal[[#Headers],[D2]],Database_Productkaarten[#All],17,FALSE)*Inschrijfberekening!K7,Inschrijfberekening!E7="Categorie_1_LCA_Producten",VLOOKUP(Inschrijf_CO2_Totaal[[#This Row],[Product]],Categorie_1_Producten[#All],19,FALSE)*(Inschrijfberekening!K7)),0)),Referentie_Backlog!P41)</f>
        <v>0</v>
      </c>
      <c r="Q25" s="111">
        <f>SUM(Inschrijf_CO2_Totaal[[#This Row],[A1]:[D2]])</f>
        <v>1159.2661696776418</v>
      </c>
    </row>
    <row r="26" spans="2:17" ht="18" x14ac:dyDescent="0.55000000000000004">
      <c r="B26" s="285">
        <f>Inschrijfberekening!B8</f>
        <v>422520</v>
      </c>
      <c r="C26" s="23" t="str">
        <f>Inschrijfberekening!F8</f>
        <v>88405-TB - SMA-NL 11B 40/60 Bestone</v>
      </c>
      <c r="D26" s="111" cm="1">
        <f t="array" ref="D26">(IF(Inschrijfberekening!C8="Nieuwe Situatie",_xlfn.IFNA(_xlfn.IFS(Inschrijfberekening!E8="Bitumineuze_verhardingen",VLOOKUP(Inschrijf_CO2_Totaal[[#This Row],[Product]]&amp;", "&amp;Inschrijf_CO2_Totaal[[#Headers],[A1]],Database_Productkaarten[#All],17,FALSE)*Inschrijfberekening!K8,Inschrijfberekening!E8="Funderingslagen",VLOOKUP(Inschrijf_CO2_Totaal[[#This Row],[Product]]&amp;", "&amp;Inschrijf_CO2_Totaal[[#Headers],[A1]],Database_Productkaarten[#All],17,FALSE)*Inschrijfberekening!K8,Inschrijfberekening!E8="Grondwerken",VLOOKUP(Inschrijf_CO2_Totaal[[#This Row],[Product]]&amp;", "&amp;Inschrijf_CO2_Totaal[[#Headers],[A1]],Database_Productkaarten[#All],17,FALSE)*Inschrijfberekening!K8,Inschrijfberekening!E8="Categorie_1_LCA_Producten",VLOOKUP(Inschrijf_CO2_Totaal[[#This Row],[Product]],Categorie_1_Producten[#All],14,FALSE)*(Inschrijfberekening!K8)),Referentie_Backlog!D42),0))</f>
        <v>5898.1</v>
      </c>
      <c r="E26" s="111" cm="1">
        <f t="array" ref="E26">(IF(Inschrijfberekening!C8="Nieuwe Situatie",_xlfn.IFNA(_xlfn.IFS(Inschrijfberekening!E8="Bitumineuze_verhardingen",VLOOKUP(Inschrijf_CO2_Totaal[[#This Row],[Product]]&amp;", "&amp;Inschrijf_CO2_Totaal[[#Headers],[A2]],Database_Productkaarten[#All],17,FALSE)*Inschrijfberekening!K8,Inschrijfberekening!E8="Funderingslagen",VLOOKUP(Inschrijf_CO2_Totaal[[#This Row],[Product]]&amp;", "&amp;Inschrijf_CO2_Totaal[[#Headers],[A2]],Database_Productkaarten[#All],17,FALSE)*Inschrijfberekening!K8,Inschrijfberekening!E8="Grondwerken",VLOOKUP(Inschrijf_CO2_Totaal[[#This Row],[Product]]&amp;", "&amp;Inschrijf_CO2_Totaal[[#Headers],[A2]],Database_Productkaarten[#All],17,FALSE)*Inschrijfberekening!K8,Inschrijfberekening!E8="Categorie_1_LCA_Producten",VLOOKUP(Inschrijf_CO2_Totaal[[#This Row],[Product]],Categorie_1_Producten[#All],15,FALSE)*(Inschrijfberekening!K8)),Referentie_Backlog!E42),0))</f>
        <v>0</v>
      </c>
      <c r="F26" s="111" cm="1">
        <f t="array" ref="F26">(IF(Inschrijfberekening!C8="Nieuwe Situatie",_xlfn.IFNA(_xlfn.IFS(Inschrijfberekening!E8="Bitumineuze_verhardingen",VLOOKUP(Inschrijf_CO2_Totaal[[#This Row],[Product]]&amp;", "&amp;Inschrijf_CO2_Totaal[[#Headers],[A3]],Database_Productkaarten[#All],17,FALSE)*Inschrijfberekening!K8,Inschrijfberekening!E8="Funderingslagen",VLOOKUP(Inschrijf_CO2_Totaal[[#This Row],[Product]]&amp;", "&amp;Inschrijf_CO2_Totaal[[#Headers],[A3]],Database_Productkaarten[#All],17,FALSE)*Inschrijfberekening!K8,Inschrijfberekening!E8="Grondwerken",VLOOKUP(Inschrijf_CO2_Totaal[[#This Row],[Product]]&amp;", "&amp;Inschrijf_CO2_Totaal[[#Headers],[A3]],Database_Productkaarten[#All],17,FALSE)*Inschrijfberekening!K8,Inschrijfberekening!E8="Categorie_1_LCA_Producten",VLOOKUP(Inschrijf_CO2_Totaal[[#This Row],[Product]],Categorie_1_Producten[#All],16,FALSE)*(Inschrijfberekening!K8)),Referentie_Backlog!F42),0))</f>
        <v>0</v>
      </c>
      <c r="G26" s="111">
        <f>(IF(Inschrijfberekening!C8="Nieuwe Situatie",_xlfn.IFNA(VLOOKUP(Inschrijfberekening!O8,Database_Transport[#All],12,FALSE)*(Inschrijfberekening!K8*Inschrijfberekening!N8),Referentie_Backlog!G42),0))</f>
        <v>7181.4620649999997</v>
      </c>
      <c r="H26" s="112">
        <f>_xlfn.IFNA((IF(Inschrijfberekening!C8="Nieuwe Situatie",(VLOOKUP(Inschrijfberekening!P8,Database_Asfalt_Aanlegset[#All],12,FALSE)*Inschrijfberekening!K8)+IFERROR(((VLOOKUP(Inschrijfberekening!Q8,Database_Overig_Materieel[#All],12,FALSE)*(Inschrijfberekening!L8/VLOOKUP(Inschrijfberekening!Q8,Database_Overig_Materieel[#All],12,FALSE)))),0),0)),Referentie_Backlog!H42)</f>
        <v>4339.9801499999994</v>
      </c>
      <c r="I26" s="111" cm="1">
        <f t="array" ref="I26">(IF(Inschrijfberekening!C8="Nieuwe Situatie",_xlfn.IFNA(_xlfn.IFS(Inschrijfberekening!E8="Bitumineuze_verhardingen",VLOOKUP(Inschrijf_CO2_Totaal[[#This Row],[Product]]&amp;", "&amp;Inschrijf_CO2_Totaal[[#Headers],[B1]],Database_Productkaarten[#All],17,FALSE)*Inschrijfberekening!K8,Inschrijfberekening!E8="Funderingslagen",VLOOKUP(Inschrijf_CO2_Totaal[[#This Row],[Product]]&amp;", "&amp;Inschrijf_CO2_Totaal[[#Headers],[B1]],Database_Productkaarten[#All],17,FALSE)*Inschrijfberekening!K8,Inschrijfberekening!E8="Grondwerken",VLOOKUP(Inschrijf_CO2_Totaal[[#This Row],[Product]]&amp;", "&amp;Inschrijf_CO2_Totaal[[#Headers],[B1]],Database_Productkaarten[#All],17,FALSE)*Inschrijfberekening!K8,Inschrijfberekening!E8="Categorie_1_LCA_Producten",VLOOKUP(Inschrijf_CO2_Totaal[[#This Row],[Product]],Categorie_1_Producten[#All],17,FALSE)*(Inschrijfberekening!K8)),Referentie_Backlog!I42),0))</f>
        <v>0</v>
      </c>
      <c r="J26" s="111">
        <f>(IF(Inschrijfberekening!C8="Nieuwe Situatie",_xlfn.IFNA(SUM(Inschrijf_CO2_Totaal[[#This Row],[A1]:[B1]],Inschrijf_CO2_Totaal[[#This Row],[C1]:[D2]])*Inschrijfberekening!M8,0),0))</f>
        <v>0</v>
      </c>
      <c r="K26" s="113">
        <f>(IF(Inschrijfberekening!C8="Bestaande Situatie",IF(IFERROR((VLOOKUP(Inschrijfberekening!R8,Database_Asfalt_Verwijderset[#All],10,FALSE)*Inschrijfberekening!K8),0)+IFERROR((VLOOKUP(Inschrijfberekening!S8,Database_Overig_Materieel[#All],12,FALSE)*(Inschrijfberekening!L8/VLOOKUP(Inschrijfberekening!S8,Database_Overig_Materieel[#All],12,FALSE))),0)=0,Referentie_Backlog!K42,IFERROR((VLOOKUP(Inschrijfberekening!R8,Database_Asfalt_Verwijderset[#All],12,FALSE)*Inschrijfberekening!K8),0)+IFERROR((VLOOKUP(Inschrijfberekening!S8,Database_Overig_Materieel[#All],12,FALSE)*(Inschrijfberekening!L8/VLOOKUP(Inschrijfberekening!S8,Database_Overig_Materieel[#All],12,FALSE))),0)),0))</f>
        <v>0</v>
      </c>
      <c r="L26" s="111">
        <f>(IF(Inschrijfberekening!C8="Bestaande Situatie",_xlfn.IFNA(VLOOKUP(Inschrijfberekening!U8,Database_Transport[#All],12,FALSE)*(Inschrijfberekening!K8*Inschrijfberekening!T8),Referentie_Backlog!L42),0))</f>
        <v>0</v>
      </c>
      <c r="M26" s="111">
        <f>(IF(Inschrijfberekening!C8="Bestaande Situatie",_xlfn.IFNA(VLOOKUP(Inschrijfberekening!V8,Database_Asfalt_Verwerkingsset[#All],12,FALSE)*(Inschrijfberekening!K8/VLOOKUP(Inschrijfberekening!V8,Database_Asfalt_Verwerkingsset[#All],12,FALSE)),Referentie_Backlog!M42),0))</f>
        <v>0</v>
      </c>
      <c r="N26" s="111">
        <f>(IF(Inschrijfberekening!C8="Bestaande Situatie",_xlfn.IFNA(VLOOKUP(Inschrijf_CO2_Totaal[[#This Row],[Product]]&amp;", "&amp;Inschrijf_MKI_Totaal[[#Headers],[C4]],Database_Productkaarten[#All],12,FALSE)*Inschrijfberekening!K8,Referentie_Backlog!N42),0))</f>
        <v>0</v>
      </c>
      <c r="O26" s="111" cm="1">
        <f t="array" ref="O26">_xlfn.IFNA((IF(Inschrijfberekening!C8="Bestaande Situatie",_xlfn.IFS(Inschrijfberekening!E8="Bitumineuze_verhardingen",VLOOKUP(Inschrijf_CO2_Totaal[[#This Row],[Product]]&amp;", "&amp;Inschrijf_CO2_Totaal[[#Headers],[D1]],Database_Productkaarten[#All],17,FALSE)*Inschrijfberekening!K8,Inschrijfberekening!E8="Funderingslagen",VLOOKUP(Inschrijf_CO2_Totaal[[#This Row],[Product]]&amp;", "&amp;Inschrijf_CO2_Totaal[[#Headers],[D1]],Database_Productkaarten[#All],17,FALSE)*Inschrijfberekening!K8,Inschrijfberekening!E8="Grondwerken",VLOOKUP(Inschrijf_CO2_Totaal[[#This Row],[Product]]&amp;", "&amp;Inschrijf_CO2_Totaal[[#Headers],[D1]],Database_Productkaarten[#All],17,FALSE)*Inschrijfberekening!K8,Inschrijfberekening!E8="Categorie_1_LCA_Producten",VLOOKUP(Inschrijf_CO2_Totaal[[#This Row],[Product]],Categorie_1_Producten[#All],18,FALSE)*(Inschrijfberekening!K8)),0)),Referentie_Backlog!O42)</f>
        <v>0</v>
      </c>
      <c r="P26" s="114" cm="1">
        <f t="array" ref="P26">_xlfn.IFNA((IF(Inschrijfberekening!C8="Bestaande Situatie",_xlfn.IFS(Inschrijfberekening!E8="Bitumineuze_verhardingen",VLOOKUP(Inschrijf_CO2_Totaal[[#This Row],[Product]]&amp;", "&amp;Inschrijf_CO2_Totaal[[#Headers],[D2]],Database_Productkaarten[#All],17,FALSE)*Inschrijfberekening!K8,Inschrijfberekening!E8="Funderingslagen",VLOOKUP(Inschrijf_CO2_Totaal[[#This Row],[Product]]&amp;", "&amp;Inschrijf_CO2_Totaal[[#Headers],[D2]],Database_Productkaarten[#All],17,FALSE)*Inschrijfberekening!K8,Inschrijfberekening!E8="Grondwerken",VLOOKUP(Inschrijf_CO2_Totaal[[#This Row],[Product]]&amp;", "&amp;Inschrijf_CO2_Totaal[[#Headers],[D2]],Database_Productkaarten[#All],17,FALSE)*Inschrijfberekening!K8,Inschrijfberekening!E8="Categorie_1_LCA_Producten",VLOOKUP(Inschrijf_CO2_Totaal[[#This Row],[Product]],Categorie_1_Producten[#All],19,FALSE)*(Inschrijfberekening!K8)),0)),Referentie_Backlog!P42)</f>
        <v>0</v>
      </c>
      <c r="Q26" s="111">
        <f>SUM(Inschrijf_CO2_Totaal[[#This Row],[A1]:[D2]])</f>
        <v>17419.542215000001</v>
      </c>
    </row>
    <row r="27" spans="2:17" ht="18" x14ac:dyDescent="0.55000000000000004">
      <c r="B27" s="285">
        <f>Inschrijfberekening!B9</f>
        <v>601230</v>
      </c>
      <c r="C27" s="23" t="str">
        <f>Inschrijfberekening!F9</f>
        <v>20060-TB - AC 22 Bin/Base 35/50 60% PR Bestone</v>
      </c>
      <c r="D27" s="111" cm="1">
        <f t="array" ref="D27">(IF(Inschrijfberekening!C9="Nieuwe Situatie",_xlfn.IFNA(_xlfn.IFS(Inschrijfberekening!E9="Bitumineuze_verhardingen",VLOOKUP(Inschrijf_CO2_Totaal[[#This Row],[Product]]&amp;", "&amp;Inschrijf_CO2_Totaal[[#Headers],[A1]],Database_Productkaarten[#All],17,FALSE)*Inschrijfberekening!K9,Inschrijfberekening!E9="Funderingslagen",VLOOKUP(Inschrijf_CO2_Totaal[[#This Row],[Product]]&amp;", "&amp;Inschrijf_CO2_Totaal[[#Headers],[A1]],Database_Productkaarten[#All],17,FALSE)*Inschrijfberekening!K9,Inschrijfberekening!E9="Grondwerken",VLOOKUP(Inschrijf_CO2_Totaal[[#This Row],[Product]]&amp;", "&amp;Inschrijf_CO2_Totaal[[#Headers],[A1]],Database_Productkaarten[#All],17,FALSE)*Inschrijfberekening!K9,Inschrijfberekening!E9="Categorie_1_LCA_Producten",VLOOKUP(Inschrijf_CO2_Totaal[[#This Row],[Product]],Categorie_1_Producten[#All],14,FALSE)*(Inschrijfberekening!K9)),Referentie_Backlog!D43),0))</f>
        <v>718.00920000000008</v>
      </c>
      <c r="E27" s="111" cm="1">
        <f t="array" ref="E27">(IF(Inschrijfberekening!C9="Nieuwe Situatie",_xlfn.IFNA(_xlfn.IFS(Inschrijfberekening!E9="Bitumineuze_verhardingen",VLOOKUP(Inschrijf_CO2_Totaal[[#This Row],[Product]]&amp;", "&amp;Inschrijf_CO2_Totaal[[#Headers],[A2]],Database_Productkaarten[#All],17,FALSE)*Inschrijfberekening!K9,Inschrijfberekening!E9="Funderingslagen",VLOOKUP(Inschrijf_CO2_Totaal[[#This Row],[Product]]&amp;", "&amp;Inschrijf_CO2_Totaal[[#Headers],[A2]],Database_Productkaarten[#All],17,FALSE)*Inschrijfberekening!K9,Inschrijfberekening!E9="Grondwerken",VLOOKUP(Inschrijf_CO2_Totaal[[#This Row],[Product]]&amp;", "&amp;Inschrijf_CO2_Totaal[[#Headers],[A2]],Database_Productkaarten[#All],17,FALSE)*Inschrijfberekening!K9,Inschrijfberekening!E9="Categorie_1_LCA_Producten",VLOOKUP(Inschrijf_CO2_Totaal[[#This Row],[Product]],Categorie_1_Producten[#All],15,FALSE)*(Inschrijfberekening!K9)),Referentie_Backlog!E43),0))</f>
        <v>0</v>
      </c>
      <c r="F27" s="111" cm="1">
        <f t="array" ref="F27">(IF(Inschrijfberekening!C9="Nieuwe Situatie",_xlfn.IFNA(_xlfn.IFS(Inschrijfberekening!E9="Bitumineuze_verhardingen",VLOOKUP(Inschrijf_CO2_Totaal[[#This Row],[Product]]&amp;", "&amp;Inschrijf_CO2_Totaal[[#Headers],[A3]],Database_Productkaarten[#All],17,FALSE)*Inschrijfberekening!K9,Inschrijfberekening!E9="Funderingslagen",VLOOKUP(Inschrijf_CO2_Totaal[[#This Row],[Product]]&amp;", "&amp;Inschrijf_CO2_Totaal[[#Headers],[A3]],Database_Productkaarten[#All],17,FALSE)*Inschrijfberekening!K9,Inschrijfberekening!E9="Grondwerken",VLOOKUP(Inschrijf_CO2_Totaal[[#This Row],[Product]]&amp;", "&amp;Inschrijf_CO2_Totaal[[#Headers],[A3]],Database_Productkaarten[#All],17,FALSE)*Inschrijfberekening!K9,Inschrijfberekening!E9="Categorie_1_LCA_Producten",VLOOKUP(Inschrijf_CO2_Totaal[[#This Row],[Product]],Categorie_1_Producten[#All],16,FALSE)*(Inschrijfberekening!K9)),Referentie_Backlog!F43),0))</f>
        <v>0</v>
      </c>
      <c r="G27" s="111">
        <f>(IF(Inschrijfberekening!C9="Nieuwe Situatie",_xlfn.IFNA(VLOOKUP(Inschrijfberekening!O9,Database_Transport[#All],12,FALSE)*(Inschrijfberekening!K9*Inschrijfberekening!N9),Referentie_Backlog!G43),0))</f>
        <v>5.4917062849999994</v>
      </c>
      <c r="H27" s="112">
        <f>_xlfn.IFNA((IF(Inschrijfberekening!C9="Nieuwe Situatie",(VLOOKUP(Inschrijfberekening!P9,Database_Asfalt_Aanlegset[#All],12,FALSE)*Inschrijfberekening!K9)+IFERROR(((VLOOKUP(Inschrijfberekening!Q9,Database_Overig_Materieel[#All],12,FALSE)*(Inschrijfberekening!L9/VLOOKUP(Inschrijfberekening!Q9,Database_Overig_Materieel[#All],12,FALSE)))),0),0)),Referentie_Backlog!H43)</f>
        <v>3.3188083499999999</v>
      </c>
      <c r="I27" s="111" cm="1">
        <f t="array" ref="I27">(IF(Inschrijfberekening!C9="Nieuwe Situatie",_xlfn.IFNA(_xlfn.IFS(Inschrijfberekening!E9="Bitumineuze_verhardingen",VLOOKUP(Inschrijf_CO2_Totaal[[#This Row],[Product]]&amp;", "&amp;Inschrijf_CO2_Totaal[[#Headers],[B1]],Database_Productkaarten[#All],17,FALSE)*Inschrijfberekening!K9,Inschrijfberekening!E9="Funderingslagen",VLOOKUP(Inschrijf_CO2_Totaal[[#This Row],[Product]]&amp;", "&amp;Inschrijf_CO2_Totaal[[#Headers],[B1]],Database_Productkaarten[#All],17,FALSE)*Inschrijfberekening!K9,Inschrijfberekening!E9="Grondwerken",VLOOKUP(Inschrijf_CO2_Totaal[[#This Row],[Product]]&amp;", "&amp;Inschrijf_CO2_Totaal[[#Headers],[B1]],Database_Productkaarten[#All],17,FALSE)*Inschrijfberekening!K9,Inschrijfberekening!E9="Categorie_1_LCA_Producten",VLOOKUP(Inschrijf_CO2_Totaal[[#This Row],[Product]],Categorie_1_Producten[#All],17,FALSE)*(Inschrijfberekening!K9)),Referentie_Backlog!I43),0))</f>
        <v>0</v>
      </c>
      <c r="J27" s="111">
        <f>(IF(Inschrijfberekening!C9="Nieuwe Situatie",_xlfn.IFNA(SUM(Inschrijf_CO2_Totaal[[#This Row],[A1]:[B1]],Inschrijf_CO2_Totaal[[#This Row],[C1]:[D2]])*Inschrijfberekening!M9,0),0))</f>
        <v>0</v>
      </c>
      <c r="K27" s="113">
        <f>(IF(Inschrijfberekening!C9="Bestaande Situatie",IF(IFERROR((VLOOKUP(Inschrijfberekening!R9,Database_Asfalt_Verwijderset[#All],10,FALSE)*Inschrijfberekening!K9),0)+IFERROR((VLOOKUP(Inschrijfberekening!S9,Database_Overig_Materieel[#All],12,FALSE)*(Inschrijfberekening!L9/VLOOKUP(Inschrijfberekening!S9,Database_Overig_Materieel[#All],12,FALSE))),0)=0,Referentie_Backlog!K43,IFERROR((VLOOKUP(Inschrijfberekening!R9,Database_Asfalt_Verwijderset[#All],12,FALSE)*Inschrijfberekening!K9),0)+IFERROR((VLOOKUP(Inschrijfberekening!S9,Database_Overig_Materieel[#All],12,FALSE)*(Inschrijfberekening!L9/VLOOKUP(Inschrijfberekening!S9,Database_Overig_Materieel[#All],12,FALSE))),0)),0))</f>
        <v>0</v>
      </c>
      <c r="L27" s="111">
        <f>(IF(Inschrijfberekening!C9="Bestaande Situatie",_xlfn.IFNA(VLOOKUP(Inschrijfberekening!U9,Database_Transport[#All],12,FALSE)*(Inschrijfberekening!K9*Inschrijfberekening!T9),Referentie_Backlog!L43),0))</f>
        <v>0</v>
      </c>
      <c r="M27" s="111">
        <f>(IF(Inschrijfberekening!C9="Bestaande Situatie",_xlfn.IFNA(VLOOKUP(Inschrijfberekening!V9,Database_Asfalt_Verwerkingsset[#All],12,FALSE)*(Inschrijfberekening!K9/VLOOKUP(Inschrijfberekening!V9,Database_Asfalt_Verwerkingsset[#All],12,FALSE)),Referentie_Backlog!M43),0))</f>
        <v>0</v>
      </c>
      <c r="N27" s="111">
        <f>(IF(Inschrijfberekening!C9="Bestaande Situatie",_xlfn.IFNA(VLOOKUP(Inschrijf_CO2_Totaal[[#This Row],[Product]]&amp;", "&amp;Inschrijf_MKI_Totaal[[#Headers],[C4]],Database_Productkaarten[#All],12,FALSE)*Inschrijfberekening!K9,Referentie_Backlog!N43),0))</f>
        <v>0</v>
      </c>
      <c r="O27" s="111" cm="1">
        <f t="array" ref="O27">_xlfn.IFNA((IF(Inschrijfberekening!C9="Bestaande Situatie",_xlfn.IFS(Inschrijfberekening!E9="Bitumineuze_verhardingen",VLOOKUP(Inschrijf_CO2_Totaal[[#This Row],[Product]]&amp;", "&amp;Inschrijf_CO2_Totaal[[#Headers],[D1]],Database_Productkaarten[#All],17,FALSE)*Inschrijfberekening!K9,Inschrijfberekening!E9="Funderingslagen",VLOOKUP(Inschrijf_CO2_Totaal[[#This Row],[Product]]&amp;", "&amp;Inschrijf_CO2_Totaal[[#Headers],[D1]],Database_Productkaarten[#All],17,FALSE)*Inschrijfberekening!K9,Inschrijfberekening!E9="Grondwerken",VLOOKUP(Inschrijf_CO2_Totaal[[#This Row],[Product]]&amp;", "&amp;Inschrijf_CO2_Totaal[[#Headers],[D1]],Database_Productkaarten[#All],17,FALSE)*Inschrijfberekening!K9,Inschrijfberekening!E9="Categorie_1_LCA_Producten",VLOOKUP(Inschrijf_CO2_Totaal[[#This Row],[Product]],Categorie_1_Producten[#All],18,FALSE)*(Inschrijfberekening!K9)),0)),Referentie_Backlog!O43)</f>
        <v>0</v>
      </c>
      <c r="P27" s="114" cm="1">
        <f t="array" ref="P27">_xlfn.IFNA((IF(Inschrijfberekening!C9="Bestaande Situatie",_xlfn.IFS(Inschrijfberekening!E9="Bitumineuze_verhardingen",VLOOKUP(Inschrijf_CO2_Totaal[[#This Row],[Product]]&amp;", "&amp;Inschrijf_CO2_Totaal[[#Headers],[D2]],Database_Productkaarten[#All],17,FALSE)*Inschrijfberekening!K9,Inschrijfberekening!E9="Funderingslagen",VLOOKUP(Inschrijf_CO2_Totaal[[#This Row],[Product]]&amp;", "&amp;Inschrijf_CO2_Totaal[[#Headers],[D2]],Database_Productkaarten[#All],17,FALSE)*Inschrijfberekening!K9,Inschrijfberekening!E9="Grondwerken",VLOOKUP(Inschrijf_CO2_Totaal[[#This Row],[Product]]&amp;", "&amp;Inschrijf_CO2_Totaal[[#Headers],[D2]],Database_Productkaarten[#All],17,FALSE)*Inschrijfberekening!K9,Inschrijfberekening!E9="Categorie_1_LCA_Producten",VLOOKUP(Inschrijf_CO2_Totaal[[#This Row],[Product]],Categorie_1_Producten[#All],19,FALSE)*(Inschrijfberekening!K9)),0)),Referentie_Backlog!P43)</f>
        <v>0</v>
      </c>
      <c r="Q27" s="111">
        <f>SUM(Inschrijf_CO2_Totaal[[#This Row],[A1]:[D2]])</f>
        <v>726.81971463500008</v>
      </c>
    </row>
    <row r="28" spans="2:17" ht="18" x14ac:dyDescent="0.55000000000000004">
      <c r="B28" s="285">
        <f>Inschrijfberekening!B10</f>
        <v>601240</v>
      </c>
      <c r="C28" s="23" t="str">
        <f>Inschrijfberekening!F10</f>
        <v>20060-TB - AC 22 Bin/Base 35/50 60% PR Bestone</v>
      </c>
      <c r="D28" s="111" cm="1">
        <f t="array" ref="D28">(IF(Inschrijfberekening!C10="Nieuwe Situatie",_xlfn.IFNA(_xlfn.IFS(Inschrijfberekening!E10="Bitumineuze_verhardingen",VLOOKUP(Inschrijf_CO2_Totaal[[#This Row],[Product]]&amp;", "&amp;Inschrijf_CO2_Totaal[[#Headers],[A1]],Database_Productkaarten[#All],17,FALSE)*Inschrijfberekening!K10,Inschrijfberekening!E10="Funderingslagen",VLOOKUP(Inschrijf_CO2_Totaal[[#This Row],[Product]]&amp;", "&amp;Inschrijf_CO2_Totaal[[#Headers],[A1]],Database_Productkaarten[#All],17,FALSE)*Inschrijfberekening!K10,Inschrijfberekening!E10="Grondwerken",VLOOKUP(Inschrijf_CO2_Totaal[[#This Row],[Product]]&amp;", "&amp;Inschrijf_CO2_Totaal[[#Headers],[A1]],Database_Productkaarten[#All],17,FALSE)*Inschrijfberekening!K10,Inschrijfberekening!E10="Categorie_1_LCA_Producten",VLOOKUP(Inschrijf_CO2_Totaal[[#This Row],[Product]],Categorie_1_Producten[#All],14,FALSE)*(Inschrijfberekening!K10)),Referentie_Backlog!D55),0))</f>
        <v>1929.6</v>
      </c>
      <c r="E28" s="111" cm="1">
        <f t="array" ref="E28">(IF(Inschrijfberekening!C10="Nieuwe Situatie",_xlfn.IFNA(_xlfn.IFS(Inschrijfberekening!E10="Bitumineuze_verhardingen",VLOOKUP(Inschrijf_CO2_Totaal[[#This Row],[Product]]&amp;", "&amp;Inschrijf_CO2_Totaal[[#Headers],[A2]],Database_Productkaarten[#All],17,FALSE)*Inschrijfberekening!K10,Inschrijfberekening!E10="Funderingslagen",VLOOKUP(Inschrijf_CO2_Totaal[[#This Row],[Product]]&amp;", "&amp;Inschrijf_CO2_Totaal[[#Headers],[A2]],Database_Productkaarten[#All],17,FALSE)*Inschrijfberekening!K10,Inschrijfberekening!E10="Grondwerken",VLOOKUP(Inschrijf_CO2_Totaal[[#This Row],[Product]]&amp;", "&amp;Inschrijf_CO2_Totaal[[#Headers],[A2]],Database_Productkaarten[#All],17,FALSE)*Inschrijfberekening!K10,Inschrijfberekening!E10="Categorie_1_LCA_Producten",VLOOKUP(Inschrijf_CO2_Totaal[[#This Row],[Product]],Categorie_1_Producten[#All],15,FALSE)*(Inschrijfberekening!K10)),Referentie_Backlog!E55),0))</f>
        <v>0</v>
      </c>
      <c r="F28" s="111" cm="1">
        <f t="array" ref="F28">(IF(Inschrijfberekening!C10="Nieuwe Situatie",_xlfn.IFNA(_xlfn.IFS(Inschrijfberekening!E10="Bitumineuze_verhardingen",VLOOKUP(Inschrijf_CO2_Totaal[[#This Row],[Product]]&amp;", "&amp;Inschrijf_CO2_Totaal[[#Headers],[A3]],Database_Productkaarten[#All],17,FALSE)*Inschrijfberekening!K10,Inschrijfberekening!E10="Funderingslagen",VLOOKUP(Inschrijf_CO2_Totaal[[#This Row],[Product]]&amp;", "&amp;Inschrijf_CO2_Totaal[[#Headers],[A3]],Database_Productkaarten[#All],17,FALSE)*Inschrijfberekening!K10,Inschrijfberekening!E10="Grondwerken",VLOOKUP(Inschrijf_CO2_Totaal[[#This Row],[Product]]&amp;", "&amp;Inschrijf_CO2_Totaal[[#Headers],[A3]],Database_Productkaarten[#All],17,FALSE)*Inschrijfberekening!K10,Inschrijfberekening!E10="Categorie_1_LCA_Producten",VLOOKUP(Inschrijf_CO2_Totaal[[#This Row],[Product]],Categorie_1_Producten[#All],16,FALSE)*(Inschrijfberekening!K10)),Referentie_Backlog!F55),0))</f>
        <v>0</v>
      </c>
      <c r="G28" s="111">
        <f>(IF(Inschrijfberekening!C10="Nieuwe Situatie",_xlfn.IFNA(VLOOKUP(Inschrijfberekening!O10,Database_Transport[#All],12,FALSE)*(Inschrijfberekening!K10*Inschrijfberekening!N10),Referentie_Backlog!G55),0))</f>
        <v>54.917062849999994</v>
      </c>
      <c r="H28" s="112">
        <f>_xlfn.IFNA((IF(Inschrijfberekening!C10="Nieuwe Situatie",(VLOOKUP(Inschrijfberekening!P10,Database_Asfalt_Aanlegset[#All],12,FALSE)*Inschrijfberekening!K10)+IFERROR(((VLOOKUP(Inschrijfberekening!Q10,Database_Overig_Materieel[#All],12,FALSE)*(Inschrijfberekening!L10/VLOOKUP(Inschrijfberekening!Q10,Database_Overig_Materieel[#All],12,FALSE)))),0),0)),Referentie_Backlog!H55)</f>
        <v>33.188083499999998</v>
      </c>
      <c r="I28" s="111" cm="1">
        <f t="array" ref="I28">(IF(Inschrijfberekening!C10="Nieuwe Situatie",_xlfn.IFNA(_xlfn.IFS(Inschrijfberekening!E10="Bitumineuze_verhardingen",VLOOKUP(Inschrijf_CO2_Totaal[[#This Row],[Product]]&amp;", "&amp;Inschrijf_CO2_Totaal[[#Headers],[B1]],Database_Productkaarten[#All],17,FALSE)*Inschrijfberekening!K10,Inschrijfberekening!E10="Funderingslagen",VLOOKUP(Inschrijf_CO2_Totaal[[#This Row],[Product]]&amp;", "&amp;Inschrijf_CO2_Totaal[[#Headers],[B1]],Database_Productkaarten[#All],17,FALSE)*Inschrijfberekening!K10,Inschrijfberekening!E10="Grondwerken",VLOOKUP(Inschrijf_CO2_Totaal[[#This Row],[Product]]&amp;", "&amp;Inschrijf_CO2_Totaal[[#Headers],[B1]],Database_Productkaarten[#All],17,FALSE)*Inschrijfberekening!K10,Inschrijfberekening!E10="Categorie_1_LCA_Producten",VLOOKUP(Inschrijf_CO2_Totaal[[#This Row],[Product]],Categorie_1_Producten[#All],17,FALSE)*(Inschrijfberekening!K10)),Referentie_Backlog!I55),0))</f>
        <v>0</v>
      </c>
      <c r="J28" s="111">
        <f>(IF(Inschrijfberekening!C10="Nieuwe Situatie",_xlfn.IFNA(SUM(Inschrijf_CO2_Totaal[[#This Row],[A1]:[B1]],Inschrijf_CO2_Totaal[[#This Row],[C1]:[D2]])*Inschrijfberekening!M10,0),0))</f>
        <v>0</v>
      </c>
      <c r="K28" s="113">
        <f>(IF(Inschrijfberekening!C10="Bestaande Situatie",IF(IFERROR((VLOOKUP(Inschrijfberekening!R10,Database_Asfalt_Verwijderset[#All],10,FALSE)*Inschrijfberekening!K10),0)+IFERROR((VLOOKUP(Inschrijfberekening!S10,Database_Overig_Materieel[#All],12,FALSE)*(Inschrijfberekening!L10/VLOOKUP(Inschrijfberekening!S10,Database_Overig_Materieel[#All],12,FALSE))),0)=0,Referentie_Backlog!K55,IFERROR((VLOOKUP(Inschrijfberekening!R10,Database_Asfalt_Verwijderset[#All],12,FALSE)*Inschrijfberekening!K10),0)+IFERROR((VLOOKUP(Inschrijfberekening!S10,Database_Overig_Materieel[#All],12,FALSE)*(Inschrijfberekening!L10/VLOOKUP(Inschrijfberekening!S10,Database_Overig_Materieel[#All],12,FALSE))),0)),0))</f>
        <v>0</v>
      </c>
      <c r="L28" s="111">
        <f>(IF(Inschrijfberekening!C10="Bestaande Situatie",_xlfn.IFNA(VLOOKUP(Inschrijfberekening!U10,Database_Transport[#All],12,FALSE)*(Inschrijfberekening!K10*Inschrijfberekening!T10),Referentie_Backlog!L55),0))</f>
        <v>0</v>
      </c>
      <c r="M28" s="111">
        <f>(IF(Inschrijfberekening!C10="Bestaande Situatie",_xlfn.IFNA(VLOOKUP(Inschrijfberekening!V10,Database_Asfalt_Verwerkingsset[#All],12,FALSE)*(Inschrijfberekening!K10/VLOOKUP(Inschrijfberekening!V10,Database_Asfalt_Verwerkingsset[#All],12,FALSE)),Referentie_Backlog!M55),0))</f>
        <v>0</v>
      </c>
      <c r="N28" s="111">
        <f>(IF(Inschrijfberekening!C10="Bestaande Situatie",_xlfn.IFNA(VLOOKUP(Inschrijf_CO2_Totaal[[#This Row],[Product]]&amp;", "&amp;Inschrijf_MKI_Totaal[[#Headers],[C4]],Database_Productkaarten[#All],12,FALSE)*Inschrijfberekening!K10,Referentie_Backlog!N55),0))</f>
        <v>0</v>
      </c>
      <c r="O28" s="111" cm="1">
        <f t="array" ref="O28">_xlfn.IFNA((IF(Inschrijfberekening!C10="Bestaande Situatie",_xlfn.IFS(Inschrijfberekening!E10="Bitumineuze_verhardingen",VLOOKUP(Inschrijf_CO2_Totaal[[#This Row],[Product]]&amp;", "&amp;Inschrijf_CO2_Totaal[[#Headers],[D1]],Database_Productkaarten[#All],17,FALSE)*Inschrijfberekening!K10,Inschrijfberekening!E10="Funderingslagen",VLOOKUP(Inschrijf_CO2_Totaal[[#This Row],[Product]]&amp;", "&amp;Inschrijf_CO2_Totaal[[#Headers],[D1]],Database_Productkaarten[#All],17,FALSE)*Inschrijfberekening!K10,Inschrijfberekening!E10="Grondwerken",VLOOKUP(Inschrijf_CO2_Totaal[[#This Row],[Product]]&amp;", "&amp;Inschrijf_CO2_Totaal[[#Headers],[D1]],Database_Productkaarten[#All],17,FALSE)*Inschrijfberekening!K10,Inschrijfberekening!E10="Categorie_1_LCA_Producten",VLOOKUP(Inschrijf_CO2_Totaal[[#This Row],[Product]],Categorie_1_Producten[#All],18,FALSE)*(Inschrijfberekening!K10)),0)),Referentie_Backlog!O55)</f>
        <v>0</v>
      </c>
      <c r="P28" s="114" cm="1">
        <f t="array" ref="P28">_xlfn.IFNA((IF(Inschrijfberekening!C10="Bestaande Situatie",_xlfn.IFS(Inschrijfberekening!E10="Bitumineuze_verhardingen",VLOOKUP(Inschrijf_CO2_Totaal[[#This Row],[Product]]&amp;", "&amp;Inschrijf_CO2_Totaal[[#Headers],[D2]],Database_Productkaarten[#All],17,FALSE)*Inschrijfberekening!K10,Inschrijfberekening!E10="Funderingslagen",VLOOKUP(Inschrijf_CO2_Totaal[[#This Row],[Product]]&amp;", "&amp;Inschrijf_CO2_Totaal[[#Headers],[D2]],Database_Productkaarten[#All],17,FALSE)*Inschrijfberekening!K10,Inschrijfberekening!E10="Grondwerken",VLOOKUP(Inschrijf_CO2_Totaal[[#This Row],[Product]]&amp;", "&amp;Inschrijf_CO2_Totaal[[#Headers],[D2]],Database_Productkaarten[#All],17,FALSE)*Inschrijfberekening!K10,Inschrijfberekening!E10="Categorie_1_LCA_Producten",VLOOKUP(Inschrijf_CO2_Totaal[[#This Row],[Product]],Categorie_1_Producten[#All],19,FALSE)*(Inschrijfberekening!K10)),0)),Referentie_Backlog!P55)</f>
        <v>0</v>
      </c>
      <c r="Q28" s="111">
        <f>SUM(Inschrijf_CO2_Totaal[[#This Row],[A1]:[D2]])</f>
        <v>2017.7051463499999</v>
      </c>
    </row>
    <row r="29" spans="2:17" ht="18" x14ac:dyDescent="0.55000000000000004">
      <c r="B29" s="285">
        <f>Inschrijfberekening!B11</f>
        <v>601250</v>
      </c>
      <c r="C29" s="23" t="str">
        <f>Inschrijfberekening!F11</f>
        <v>20460-TB - AC 16 Bin/Base 35/50 60% PR Bestone</v>
      </c>
      <c r="D29" s="111" cm="1">
        <f t="array" ref="D29">(IF(Inschrijfberekening!C11="Nieuwe Situatie",_xlfn.IFNA(_xlfn.IFS(Inschrijfberekening!E11="Bitumineuze_verhardingen",VLOOKUP(Inschrijf_CO2_Totaal[[#This Row],[Product]]&amp;", "&amp;Inschrijf_CO2_Totaal[[#Headers],[A1]],Database_Productkaarten[#All],17,FALSE)*Inschrijfberekening!K11,Inschrijfberekening!E11="Funderingslagen",VLOOKUP(Inschrijf_CO2_Totaal[[#This Row],[Product]]&amp;", "&amp;Inschrijf_CO2_Totaal[[#Headers],[A1]],Database_Productkaarten[#All],17,FALSE)*Inschrijfberekening!K11,Inschrijfberekening!E11="Grondwerken",VLOOKUP(Inschrijf_CO2_Totaal[[#This Row],[Product]]&amp;", "&amp;Inschrijf_CO2_Totaal[[#Headers],[A1]],Database_Productkaarten[#All],17,FALSE)*Inschrijfberekening!K11,Inschrijfberekening!E11="Categorie_1_LCA_Producten",VLOOKUP(Inschrijf_CO2_Totaal[[#This Row],[Product]],Categorie_1_Producten[#All],14,FALSE)*(Inschrijfberekening!K11)),Referentie_Backlog!D56),0))</f>
        <v>17383.3</v>
      </c>
      <c r="E29" s="111" cm="1">
        <f t="array" ref="E29">(IF(Inschrijfberekening!C11="Nieuwe Situatie",_xlfn.IFNA(_xlfn.IFS(Inschrijfberekening!E11="Bitumineuze_verhardingen",VLOOKUP(Inschrijf_CO2_Totaal[[#This Row],[Product]]&amp;", "&amp;Inschrijf_CO2_Totaal[[#Headers],[A2]],Database_Productkaarten[#All],17,FALSE)*Inschrijfberekening!K11,Inschrijfberekening!E11="Funderingslagen",VLOOKUP(Inschrijf_CO2_Totaal[[#This Row],[Product]]&amp;", "&amp;Inschrijf_CO2_Totaal[[#Headers],[A2]],Database_Productkaarten[#All],17,FALSE)*Inschrijfberekening!K11,Inschrijfberekening!E11="Grondwerken",VLOOKUP(Inschrijf_CO2_Totaal[[#This Row],[Product]]&amp;", "&amp;Inschrijf_CO2_Totaal[[#Headers],[A2]],Database_Productkaarten[#All],17,FALSE)*Inschrijfberekening!K11,Inschrijfberekening!E11="Categorie_1_LCA_Producten",VLOOKUP(Inschrijf_CO2_Totaal[[#This Row],[Product]],Categorie_1_Producten[#All],15,FALSE)*(Inschrijfberekening!K11)),Referentie_Backlog!E56),0))</f>
        <v>0</v>
      </c>
      <c r="F29" s="111" cm="1">
        <f t="array" ref="F29">(IF(Inschrijfberekening!C11="Nieuwe Situatie",_xlfn.IFNA(_xlfn.IFS(Inschrijfberekening!E11="Bitumineuze_verhardingen",VLOOKUP(Inschrijf_CO2_Totaal[[#This Row],[Product]]&amp;", "&amp;Inschrijf_CO2_Totaal[[#Headers],[A3]],Database_Productkaarten[#All],17,FALSE)*Inschrijfberekening!K11,Inschrijfberekening!E11="Funderingslagen",VLOOKUP(Inschrijf_CO2_Totaal[[#This Row],[Product]]&amp;", "&amp;Inschrijf_CO2_Totaal[[#Headers],[A3]],Database_Productkaarten[#All],17,FALSE)*Inschrijfberekening!K11,Inschrijfberekening!E11="Grondwerken",VLOOKUP(Inschrijf_CO2_Totaal[[#This Row],[Product]]&amp;", "&amp;Inschrijf_CO2_Totaal[[#Headers],[A3]],Database_Productkaarten[#All],17,FALSE)*Inschrijfberekening!K11,Inschrijfberekening!E11="Categorie_1_LCA_Producten",VLOOKUP(Inschrijf_CO2_Totaal[[#This Row],[Product]],Categorie_1_Producten[#All],16,FALSE)*(Inschrijfberekening!K11)),Referentie_Backlog!F56),0))</f>
        <v>0</v>
      </c>
      <c r="G29" s="111">
        <f>(IF(Inschrijfberekening!C11="Nieuwe Situatie",_xlfn.IFNA(VLOOKUP(Inschrijfberekening!O11,Database_Transport[#All],12,FALSE)*(Inschrijfberekening!K11*Inschrijfberekening!N11),Referentie_Backlog!G56),0))</f>
        <v>97.16095734999999</v>
      </c>
      <c r="H29" s="112">
        <f>_xlfn.IFNA((IF(Inschrijfberekening!C11="Nieuwe Situatie",(VLOOKUP(Inschrijfberekening!P11,Database_Asfalt_Aanlegset[#All],12,FALSE)*Inschrijfberekening!K11)+IFERROR(((VLOOKUP(Inschrijfberekening!Q11,Database_Overig_Materieel[#All],12,FALSE)*(Inschrijfberekening!L11/VLOOKUP(Inschrijfberekening!Q11,Database_Overig_Materieel[#All],12,FALSE)))),0),0)),Referentie_Backlog!H56)</f>
        <v>58.717378499999995</v>
      </c>
      <c r="I29" s="111" cm="1">
        <f t="array" ref="I29">(IF(Inschrijfberekening!C11="Nieuwe Situatie",_xlfn.IFNA(_xlfn.IFS(Inschrijfberekening!E11="Bitumineuze_verhardingen",VLOOKUP(Inschrijf_CO2_Totaal[[#This Row],[Product]]&amp;", "&amp;Inschrijf_CO2_Totaal[[#Headers],[B1]],Database_Productkaarten[#All],17,FALSE)*Inschrijfberekening!K11,Inschrijfberekening!E11="Funderingslagen",VLOOKUP(Inschrijf_CO2_Totaal[[#This Row],[Product]]&amp;", "&amp;Inschrijf_CO2_Totaal[[#Headers],[B1]],Database_Productkaarten[#All],17,FALSE)*Inschrijfberekening!K11,Inschrijfberekening!E11="Grondwerken",VLOOKUP(Inschrijf_CO2_Totaal[[#This Row],[Product]]&amp;", "&amp;Inschrijf_CO2_Totaal[[#Headers],[B1]],Database_Productkaarten[#All],17,FALSE)*Inschrijfberekening!K11,Inschrijfberekening!E11="Categorie_1_LCA_Producten",VLOOKUP(Inschrijf_CO2_Totaal[[#This Row],[Product]],Categorie_1_Producten[#All],17,FALSE)*(Inschrijfberekening!K11)),Referentie_Backlog!I56),0))</f>
        <v>0</v>
      </c>
      <c r="J29" s="111">
        <f>(IF(Inschrijfberekening!C11="Nieuwe Situatie",_xlfn.IFNA(SUM(Inschrijf_CO2_Totaal[[#This Row],[A1]:[B1]],Inschrijf_CO2_Totaal[[#This Row],[C1]:[D2]])*Inschrijfberekening!M11,0),0))</f>
        <v>0</v>
      </c>
      <c r="K29" s="113">
        <f>(IF(Inschrijfberekening!C11="Bestaande Situatie",IF(IFERROR((VLOOKUP(Inschrijfberekening!R11,Database_Asfalt_Verwijderset[#All],10,FALSE)*Inschrijfberekening!K11),0)+IFERROR((VLOOKUP(Inschrijfberekening!S11,Database_Overig_Materieel[#All],12,FALSE)*(Inschrijfberekening!L11/VLOOKUP(Inschrijfberekening!S11,Database_Overig_Materieel[#All],12,FALSE))),0)=0,Referentie_Backlog!K56,IFERROR((VLOOKUP(Inschrijfberekening!R11,Database_Asfalt_Verwijderset[#All],12,FALSE)*Inschrijfberekening!K11),0)+IFERROR((VLOOKUP(Inschrijfberekening!S11,Database_Overig_Materieel[#All],12,FALSE)*(Inschrijfberekening!L11/VLOOKUP(Inschrijfberekening!S11,Database_Overig_Materieel[#All],12,FALSE))),0)),0))</f>
        <v>0</v>
      </c>
      <c r="L29" s="111">
        <f>(IF(Inschrijfberekening!C11="Bestaande Situatie",_xlfn.IFNA(VLOOKUP(Inschrijfberekening!U11,Database_Transport[#All],12,FALSE)*(Inschrijfberekening!K11*Inschrijfberekening!T11),Referentie_Backlog!L56),0))</f>
        <v>0</v>
      </c>
      <c r="M29" s="111">
        <f>(IF(Inschrijfberekening!C11="Bestaande Situatie",_xlfn.IFNA(VLOOKUP(Inschrijfberekening!V11,Database_Asfalt_Verwerkingsset[#All],12,FALSE)*(Inschrijfberekening!K11/VLOOKUP(Inschrijfberekening!V11,Database_Asfalt_Verwerkingsset[#All],12,FALSE)),Referentie_Backlog!M56),0))</f>
        <v>0</v>
      </c>
      <c r="N29" s="111">
        <f>(IF(Inschrijfberekening!C11="Bestaande Situatie",_xlfn.IFNA(VLOOKUP(Inschrijf_CO2_Totaal[[#This Row],[Product]]&amp;", "&amp;Inschrijf_MKI_Totaal[[#Headers],[C4]],Database_Productkaarten[#All],12,FALSE)*Inschrijfberekening!K11,Referentie_Backlog!N56),0))</f>
        <v>0</v>
      </c>
      <c r="O29" s="111" cm="1">
        <f t="array" ref="O29">_xlfn.IFNA((IF(Inschrijfberekening!C11="Bestaande Situatie",_xlfn.IFS(Inschrijfberekening!E11="Bitumineuze_verhardingen",VLOOKUP(Inschrijf_CO2_Totaal[[#This Row],[Product]]&amp;", "&amp;Inschrijf_CO2_Totaal[[#Headers],[D1]],Database_Productkaarten[#All],17,FALSE)*Inschrijfberekening!K11,Inschrijfberekening!E11="Funderingslagen",VLOOKUP(Inschrijf_CO2_Totaal[[#This Row],[Product]]&amp;", "&amp;Inschrijf_CO2_Totaal[[#Headers],[D1]],Database_Productkaarten[#All],17,FALSE)*Inschrijfberekening!K11,Inschrijfberekening!E11="Grondwerken",VLOOKUP(Inschrijf_CO2_Totaal[[#This Row],[Product]]&amp;", "&amp;Inschrijf_CO2_Totaal[[#Headers],[D1]],Database_Productkaarten[#All],17,FALSE)*Inschrijfberekening!K11,Inschrijfberekening!E11="Categorie_1_LCA_Producten",VLOOKUP(Inschrijf_CO2_Totaal[[#This Row],[Product]],Categorie_1_Producten[#All],18,FALSE)*(Inschrijfberekening!K11)),0)),Referentie_Backlog!O56)</f>
        <v>0</v>
      </c>
      <c r="P29" s="114" cm="1">
        <f t="array" ref="P29">_xlfn.IFNA((IF(Inschrijfberekening!C11="Bestaande Situatie",_xlfn.IFS(Inschrijfberekening!E11="Bitumineuze_verhardingen",VLOOKUP(Inschrijf_CO2_Totaal[[#This Row],[Product]]&amp;", "&amp;Inschrijf_CO2_Totaal[[#Headers],[D2]],Database_Productkaarten[#All],17,FALSE)*Inschrijfberekening!K11,Inschrijfberekening!E11="Funderingslagen",VLOOKUP(Inschrijf_CO2_Totaal[[#This Row],[Product]]&amp;", "&amp;Inschrijf_CO2_Totaal[[#Headers],[D2]],Database_Productkaarten[#All],17,FALSE)*Inschrijfberekening!K11,Inschrijfberekening!E11="Grondwerken",VLOOKUP(Inschrijf_CO2_Totaal[[#This Row],[Product]]&amp;", "&amp;Inschrijf_CO2_Totaal[[#Headers],[D2]],Database_Productkaarten[#All],17,FALSE)*Inschrijfberekening!K11,Inschrijfberekening!E11="Categorie_1_LCA_Producten",VLOOKUP(Inschrijf_CO2_Totaal[[#This Row],[Product]],Categorie_1_Producten[#All],19,FALSE)*(Inschrijfberekening!K11)),0)),Referentie_Backlog!P56)</f>
        <v>0</v>
      </c>
      <c r="Q29" s="111">
        <f>SUM(Inschrijf_CO2_Totaal[[#This Row],[A1]:[D2]])</f>
        <v>17539.17833585</v>
      </c>
    </row>
    <row r="30" spans="2:17" ht="18" x14ac:dyDescent="0.55000000000000004">
      <c r="B30" s="285">
        <f>Inschrijfberekening!B12</f>
        <v>601260</v>
      </c>
      <c r="C30" s="23" t="str">
        <f>Inschrijfberekening!F12</f>
        <v>88405-TB - SMA-NL 11B 40/60 Bestone</v>
      </c>
      <c r="D30" s="111" cm="1">
        <f t="array" ref="D30">(IF(Inschrijfberekening!C12="Nieuwe Situatie",_xlfn.IFNA(_xlfn.IFS(Inschrijfberekening!E12="Bitumineuze_verhardingen",VLOOKUP(Inschrijf_CO2_Totaal[[#This Row],[Product]]&amp;", "&amp;Inschrijf_CO2_Totaal[[#Headers],[A1]],Database_Productkaarten[#All],17,FALSE)*Inschrijfberekening!K12,Inschrijfberekening!E12="Funderingslagen",VLOOKUP(Inschrijf_CO2_Totaal[[#This Row],[Product]]&amp;", "&amp;Inschrijf_CO2_Totaal[[#Headers],[A1]],Database_Productkaarten[#All],17,FALSE)*Inschrijfberekening!K12,Inschrijfberekening!E12="Grondwerken",VLOOKUP(Inschrijf_CO2_Totaal[[#This Row],[Product]]&amp;", "&amp;Inschrijf_CO2_Totaal[[#Headers],[A1]],Database_Productkaarten[#All],17,FALSE)*Inschrijfberekening!K12,Inschrijfberekening!E12="Categorie_1_LCA_Producten",VLOOKUP(Inschrijf_CO2_Totaal[[#This Row],[Product]],Categorie_1_Producten[#All],14,FALSE)*(Inschrijfberekening!K12)),Referentie_Backlog!D57),0))</f>
        <v>4160.4750000000004</v>
      </c>
      <c r="E30" s="111" cm="1">
        <f t="array" ref="E30">(IF(Inschrijfberekening!C12="Nieuwe Situatie",_xlfn.IFNA(_xlfn.IFS(Inschrijfberekening!E12="Bitumineuze_verhardingen",VLOOKUP(Inschrijf_CO2_Totaal[[#This Row],[Product]]&amp;", "&amp;Inschrijf_CO2_Totaal[[#Headers],[A2]],Database_Productkaarten[#All],17,FALSE)*Inschrijfberekening!K12,Inschrijfberekening!E12="Funderingslagen",VLOOKUP(Inschrijf_CO2_Totaal[[#This Row],[Product]]&amp;", "&amp;Inschrijf_CO2_Totaal[[#Headers],[A2]],Database_Productkaarten[#All],17,FALSE)*Inschrijfberekening!K12,Inschrijfberekening!E12="Grondwerken",VLOOKUP(Inschrijf_CO2_Totaal[[#This Row],[Product]]&amp;", "&amp;Inschrijf_CO2_Totaal[[#Headers],[A2]],Database_Productkaarten[#All],17,FALSE)*Inschrijfberekening!K12,Inschrijfberekening!E12="Categorie_1_LCA_Producten",VLOOKUP(Inschrijf_CO2_Totaal[[#This Row],[Product]],Categorie_1_Producten[#All],15,FALSE)*(Inschrijfberekening!K12)),Referentie_Backlog!E57),0))</f>
        <v>0</v>
      </c>
      <c r="F30" s="111" cm="1">
        <f t="array" ref="F30">(IF(Inschrijfberekening!C12="Nieuwe Situatie",_xlfn.IFNA(_xlfn.IFS(Inschrijfberekening!E12="Bitumineuze_verhardingen",VLOOKUP(Inschrijf_CO2_Totaal[[#This Row],[Product]]&amp;", "&amp;Inschrijf_CO2_Totaal[[#Headers],[A3]],Database_Productkaarten[#All],17,FALSE)*Inschrijfberekening!K12,Inschrijfberekening!E12="Funderingslagen",VLOOKUP(Inschrijf_CO2_Totaal[[#This Row],[Product]]&amp;", "&amp;Inschrijf_CO2_Totaal[[#Headers],[A3]],Database_Productkaarten[#All],17,FALSE)*Inschrijfberekening!K12,Inschrijfberekening!E12="Grondwerken",VLOOKUP(Inschrijf_CO2_Totaal[[#This Row],[Product]]&amp;", "&amp;Inschrijf_CO2_Totaal[[#Headers],[A3]],Database_Productkaarten[#All],17,FALSE)*Inschrijfberekening!K12,Inschrijfberekening!E12="Categorie_1_LCA_Producten",VLOOKUP(Inschrijf_CO2_Totaal[[#This Row],[Product]],Categorie_1_Producten[#All],16,FALSE)*(Inschrijfberekening!K12)),Referentie_Backlog!F57),0))</f>
        <v>0</v>
      </c>
      <c r="G30" s="111">
        <f>(IF(Inschrijfberekening!C12="Nieuwe Situatie",_xlfn.IFNA(VLOOKUP(Inschrijfberekening!O12,Database_Transport[#All],12,FALSE)*(Inschrijfberekening!K12*Inschrijfberekening!N12),Referentie_Backlog!G57),0))</f>
        <v>88.712178449999996</v>
      </c>
      <c r="H30" s="112">
        <f>_xlfn.IFNA((IF(Inschrijfberekening!C12="Nieuwe Situatie",(VLOOKUP(Inschrijfberekening!P12,Database_Asfalt_Aanlegset[#All],12,FALSE)*Inschrijfberekening!K12)+IFERROR(((VLOOKUP(Inschrijfberekening!Q12,Database_Overig_Materieel[#All],12,FALSE)*(Inschrijfberekening!L12/VLOOKUP(Inschrijfberekening!Q12,Database_Overig_Materieel[#All],12,FALSE)))),0),0)),Referentie_Backlog!H57)</f>
        <v>53.6115195</v>
      </c>
      <c r="I30" s="111" cm="1">
        <f t="array" ref="I30">(IF(Inschrijfberekening!C12="Nieuwe Situatie",_xlfn.IFNA(_xlfn.IFS(Inschrijfberekening!E12="Bitumineuze_verhardingen",VLOOKUP(Inschrijf_CO2_Totaal[[#This Row],[Product]]&amp;", "&amp;Inschrijf_CO2_Totaal[[#Headers],[B1]],Database_Productkaarten[#All],17,FALSE)*Inschrijfberekening!K12,Inschrijfberekening!E12="Funderingslagen",VLOOKUP(Inschrijf_CO2_Totaal[[#This Row],[Product]]&amp;", "&amp;Inschrijf_CO2_Totaal[[#Headers],[B1]],Database_Productkaarten[#All],17,FALSE)*Inschrijfberekening!K12,Inschrijfberekening!E12="Grondwerken",VLOOKUP(Inschrijf_CO2_Totaal[[#This Row],[Product]]&amp;", "&amp;Inschrijf_CO2_Totaal[[#Headers],[B1]],Database_Productkaarten[#All],17,FALSE)*Inschrijfberekening!K12,Inschrijfberekening!E12="Categorie_1_LCA_Producten",VLOOKUP(Inschrijf_CO2_Totaal[[#This Row],[Product]],Categorie_1_Producten[#All],17,FALSE)*(Inschrijfberekening!K12)),Referentie_Backlog!I57),0))</f>
        <v>0</v>
      </c>
      <c r="J30" s="111">
        <f>(IF(Inschrijfberekening!C12="Nieuwe Situatie",_xlfn.IFNA(SUM(Inschrijf_CO2_Totaal[[#This Row],[A1]:[B1]],Inschrijf_CO2_Totaal[[#This Row],[C1]:[D2]])*Inschrijfberekening!M12,0),0))</f>
        <v>0</v>
      </c>
      <c r="K30" s="113">
        <f>(IF(Inschrijfberekening!C12="Bestaande Situatie",IF(IFERROR((VLOOKUP(Inschrijfberekening!R12,Database_Asfalt_Verwijderset[#All],10,FALSE)*Inschrijfberekening!K12),0)+IFERROR((VLOOKUP(Inschrijfberekening!S12,Database_Overig_Materieel[#All],12,FALSE)*(Inschrijfberekening!L12/VLOOKUP(Inschrijfberekening!S12,Database_Overig_Materieel[#All],12,FALSE))),0)=0,Referentie_Backlog!K57,IFERROR((VLOOKUP(Inschrijfberekening!R12,Database_Asfalt_Verwijderset[#All],12,FALSE)*Inschrijfberekening!K12),0)+IFERROR((VLOOKUP(Inschrijfberekening!S12,Database_Overig_Materieel[#All],12,FALSE)*(Inschrijfberekening!L12/VLOOKUP(Inschrijfberekening!S12,Database_Overig_Materieel[#All],12,FALSE))),0)),0))</f>
        <v>0</v>
      </c>
      <c r="L30" s="111">
        <f>(IF(Inschrijfberekening!C12="Bestaande Situatie",_xlfn.IFNA(VLOOKUP(Inschrijfberekening!U12,Database_Transport[#All],12,FALSE)*(Inschrijfberekening!K12*Inschrijfberekening!T12),Referentie_Backlog!L57),0))</f>
        <v>0</v>
      </c>
      <c r="M30" s="111">
        <f>(IF(Inschrijfberekening!C12="Bestaande Situatie",_xlfn.IFNA(VLOOKUP(Inschrijfberekening!V12,Database_Asfalt_Verwerkingsset[#All],12,FALSE)*(Inschrijfberekening!K12/VLOOKUP(Inschrijfberekening!V12,Database_Asfalt_Verwerkingsset[#All],12,FALSE)),Referentie_Backlog!M57),0))</f>
        <v>0</v>
      </c>
      <c r="N30" s="111">
        <f>(IF(Inschrijfberekening!C12="Bestaande Situatie",_xlfn.IFNA(VLOOKUP(Inschrijf_CO2_Totaal[[#This Row],[Product]]&amp;", "&amp;Inschrijf_MKI_Totaal[[#Headers],[C4]],Database_Productkaarten[#All],12,FALSE)*Inschrijfberekening!K12,Referentie_Backlog!N57),0))</f>
        <v>0</v>
      </c>
      <c r="O30" s="111" cm="1">
        <f t="array" ref="O30">_xlfn.IFNA((IF(Inschrijfberekening!C12="Bestaande Situatie",_xlfn.IFS(Inschrijfberekening!E12="Bitumineuze_verhardingen",VLOOKUP(Inschrijf_CO2_Totaal[[#This Row],[Product]]&amp;", "&amp;Inschrijf_CO2_Totaal[[#Headers],[D1]],Database_Productkaarten[#All],17,FALSE)*Inschrijfberekening!K12,Inschrijfberekening!E12="Funderingslagen",VLOOKUP(Inschrijf_CO2_Totaal[[#This Row],[Product]]&amp;", "&amp;Inschrijf_CO2_Totaal[[#Headers],[D1]],Database_Productkaarten[#All],17,FALSE)*Inschrijfberekening!K12,Inschrijfberekening!E12="Grondwerken",VLOOKUP(Inschrijf_CO2_Totaal[[#This Row],[Product]]&amp;", "&amp;Inschrijf_CO2_Totaal[[#Headers],[D1]],Database_Productkaarten[#All],17,FALSE)*Inschrijfberekening!K12,Inschrijfberekening!E12="Categorie_1_LCA_Producten",VLOOKUP(Inschrijf_CO2_Totaal[[#This Row],[Product]],Categorie_1_Producten[#All],18,FALSE)*(Inschrijfberekening!K12)),0)),Referentie_Backlog!O57)</f>
        <v>0</v>
      </c>
      <c r="P30" s="114" cm="1">
        <f t="array" ref="P30">_xlfn.IFNA((IF(Inschrijfberekening!C12="Bestaande Situatie",_xlfn.IFS(Inschrijfberekening!E12="Bitumineuze_verhardingen",VLOOKUP(Inschrijf_CO2_Totaal[[#This Row],[Product]]&amp;", "&amp;Inschrijf_CO2_Totaal[[#Headers],[D2]],Database_Productkaarten[#All],17,FALSE)*Inschrijfberekening!K12,Inschrijfberekening!E12="Funderingslagen",VLOOKUP(Inschrijf_CO2_Totaal[[#This Row],[Product]]&amp;", "&amp;Inschrijf_CO2_Totaal[[#Headers],[D2]],Database_Productkaarten[#All],17,FALSE)*Inschrijfberekening!K12,Inschrijfberekening!E12="Grondwerken",VLOOKUP(Inschrijf_CO2_Totaal[[#This Row],[Product]]&amp;", "&amp;Inschrijf_CO2_Totaal[[#Headers],[D2]],Database_Productkaarten[#All],17,FALSE)*Inschrijfberekening!K12,Inschrijfberekening!E12="Categorie_1_LCA_Producten",VLOOKUP(Inschrijf_CO2_Totaal[[#This Row],[Product]],Categorie_1_Producten[#All],19,FALSE)*(Inschrijfberekening!K12)),0)),Referentie_Backlog!P57)</f>
        <v>0</v>
      </c>
      <c r="Q30" s="111">
        <f>SUM(Inschrijf_CO2_Totaal[[#This Row],[A1]:[D2]])</f>
        <v>4302.7986979500001</v>
      </c>
    </row>
    <row r="31" spans="2:17" ht="18" x14ac:dyDescent="0.55000000000000004">
      <c r="B31" s="285">
        <f>Inschrijfberekening!B13</f>
        <v>601270</v>
      </c>
      <c r="C31" s="23" t="str">
        <f>Inschrijfberekening!F13</f>
        <v>88405-TB - SMA-NL 11B 40/60 Bestone</v>
      </c>
      <c r="D31" s="111" cm="1">
        <f t="array" ref="D31">(IF(Inschrijfberekening!C13="Nieuwe Situatie",_xlfn.IFNA(_xlfn.IFS(Inschrijfberekening!E13="Bitumineuze_verhardingen",VLOOKUP(Inschrijf_CO2_Totaal[[#This Row],[Product]]&amp;", "&amp;Inschrijf_CO2_Totaal[[#Headers],[A1]],Database_Productkaarten[#All],17,FALSE)*Inschrijfberekening!K13,Inschrijfberekening!E13="Funderingslagen",VLOOKUP(Inschrijf_CO2_Totaal[[#This Row],[Product]]&amp;", "&amp;Inschrijf_CO2_Totaal[[#Headers],[A1]],Database_Productkaarten[#All],17,FALSE)*Inschrijfberekening!K13,Inschrijfberekening!E13="Grondwerken",VLOOKUP(Inschrijf_CO2_Totaal[[#This Row],[Product]]&amp;", "&amp;Inschrijf_CO2_Totaal[[#Headers],[A1]],Database_Productkaarten[#All],17,FALSE)*Inschrijfberekening!K13,Inschrijfberekening!E13="Categorie_1_LCA_Producten",VLOOKUP(Inschrijf_CO2_Totaal[[#This Row],[Product]],Categorie_1_Producten[#All],14,FALSE)*(Inschrijfberekening!K13)),Referentie_Backlog!D58),0))</f>
        <v>10684.992</v>
      </c>
      <c r="E31" s="111" cm="1">
        <f t="array" ref="E31">(IF(Inschrijfberekening!C13="Nieuwe Situatie",_xlfn.IFNA(_xlfn.IFS(Inschrijfberekening!E13="Bitumineuze_verhardingen",VLOOKUP(Inschrijf_CO2_Totaal[[#This Row],[Product]]&amp;", "&amp;Inschrijf_CO2_Totaal[[#Headers],[A2]],Database_Productkaarten[#All],17,FALSE)*Inschrijfberekening!K13,Inschrijfberekening!E13="Funderingslagen",VLOOKUP(Inschrijf_CO2_Totaal[[#This Row],[Product]]&amp;", "&amp;Inschrijf_CO2_Totaal[[#Headers],[A2]],Database_Productkaarten[#All],17,FALSE)*Inschrijfberekening!K13,Inschrijfberekening!E13="Grondwerken",VLOOKUP(Inschrijf_CO2_Totaal[[#This Row],[Product]]&amp;", "&amp;Inschrijf_CO2_Totaal[[#Headers],[A2]],Database_Productkaarten[#All],17,FALSE)*Inschrijfberekening!K13,Inschrijfberekening!E13="Categorie_1_LCA_Producten",VLOOKUP(Inschrijf_CO2_Totaal[[#This Row],[Product]],Categorie_1_Producten[#All],15,FALSE)*(Inschrijfberekening!K13)),Referentie_Backlog!E58),0))</f>
        <v>0</v>
      </c>
      <c r="F31" s="111" cm="1">
        <f t="array" ref="F31">(IF(Inschrijfberekening!C13="Nieuwe Situatie",_xlfn.IFNA(_xlfn.IFS(Inschrijfberekening!E13="Bitumineuze_verhardingen",VLOOKUP(Inschrijf_CO2_Totaal[[#This Row],[Product]]&amp;", "&amp;Inschrijf_CO2_Totaal[[#Headers],[A3]],Database_Productkaarten[#All],17,FALSE)*Inschrijfberekening!K13,Inschrijfberekening!E13="Funderingslagen",VLOOKUP(Inschrijf_CO2_Totaal[[#This Row],[Product]]&amp;", "&amp;Inschrijf_CO2_Totaal[[#Headers],[A3]],Database_Productkaarten[#All],17,FALSE)*Inschrijfberekening!K13,Inschrijfberekening!E13="Grondwerken",VLOOKUP(Inschrijf_CO2_Totaal[[#This Row],[Product]]&amp;", "&amp;Inschrijf_CO2_Totaal[[#Headers],[A3]],Database_Productkaarten[#All],17,FALSE)*Inschrijfberekening!K13,Inschrijfberekening!E13="Categorie_1_LCA_Producten",VLOOKUP(Inschrijf_CO2_Totaal[[#This Row],[Product]],Categorie_1_Producten[#All],16,FALSE)*(Inschrijfberekening!K13)),Referentie_Backlog!F58),0))</f>
        <v>0</v>
      </c>
      <c r="G31" s="111">
        <f>(IF(Inschrijfberekening!C13="Nieuwe Situatie",_xlfn.IFNA(VLOOKUP(Inschrijfberekening!O13,Database_Transport[#All],12,FALSE)*(Inschrijfberekening!K13*Inschrijfberekening!N13),Referentie_Backlog!G58),0))</f>
        <v>76.039010099999999</v>
      </c>
      <c r="H31" s="112">
        <f>_xlfn.IFNA((IF(Inschrijfberekening!C13="Nieuwe Situatie",(VLOOKUP(Inschrijfberekening!P13,Database_Asfalt_Aanlegset[#All],12,FALSE)*Inschrijfberekening!K13)+IFERROR(((VLOOKUP(Inschrijfberekening!Q13,Database_Overig_Materieel[#All],12,FALSE)*(Inschrijfberekening!L13/VLOOKUP(Inschrijfberekening!Q13,Database_Overig_Materieel[#All],12,FALSE)))),0),0)),Referentie_Backlog!H58)</f>
        <v>45.952731</v>
      </c>
      <c r="I31" s="111" cm="1">
        <f t="array" ref="I31">(IF(Inschrijfberekening!C13="Nieuwe Situatie",_xlfn.IFNA(_xlfn.IFS(Inschrijfberekening!E13="Bitumineuze_verhardingen",VLOOKUP(Inschrijf_CO2_Totaal[[#This Row],[Product]]&amp;", "&amp;Inschrijf_CO2_Totaal[[#Headers],[B1]],Database_Productkaarten[#All],17,FALSE)*Inschrijfberekening!K13,Inschrijfberekening!E13="Funderingslagen",VLOOKUP(Inschrijf_CO2_Totaal[[#This Row],[Product]]&amp;", "&amp;Inschrijf_CO2_Totaal[[#Headers],[B1]],Database_Productkaarten[#All],17,FALSE)*Inschrijfberekening!K13,Inschrijfberekening!E13="Grondwerken",VLOOKUP(Inschrijf_CO2_Totaal[[#This Row],[Product]]&amp;", "&amp;Inschrijf_CO2_Totaal[[#Headers],[B1]],Database_Productkaarten[#All],17,FALSE)*Inschrijfberekening!K13,Inschrijfberekening!E13="Categorie_1_LCA_Producten",VLOOKUP(Inschrijf_CO2_Totaal[[#This Row],[Product]],Categorie_1_Producten[#All],17,FALSE)*(Inschrijfberekening!K13)),Referentie_Backlog!I58),0))</f>
        <v>0</v>
      </c>
      <c r="J31" s="111">
        <f>(IF(Inschrijfberekening!C13="Nieuwe Situatie",_xlfn.IFNA(SUM(Inschrijf_CO2_Totaal[[#This Row],[A1]:[B1]],Inschrijf_CO2_Totaal[[#This Row],[C1]:[D2]])*Inschrijfberekening!M13,0),0))</f>
        <v>0</v>
      </c>
      <c r="K31" s="113">
        <f>(IF(Inschrijfberekening!C13="Bestaande Situatie",IF(IFERROR((VLOOKUP(Inschrijfberekening!R13,Database_Asfalt_Verwijderset[#All],10,FALSE)*Inschrijfberekening!K13),0)+IFERROR((VLOOKUP(Inschrijfberekening!S13,Database_Overig_Materieel[#All],12,FALSE)*(Inschrijfberekening!L13/VLOOKUP(Inschrijfberekening!S13,Database_Overig_Materieel[#All],12,FALSE))),0)=0,Referentie_Backlog!K58,IFERROR((VLOOKUP(Inschrijfberekening!R13,Database_Asfalt_Verwijderset[#All],12,FALSE)*Inschrijfberekening!K13),0)+IFERROR((VLOOKUP(Inschrijfberekening!S13,Database_Overig_Materieel[#All],12,FALSE)*(Inschrijfberekening!L13/VLOOKUP(Inschrijfberekening!S13,Database_Overig_Materieel[#All],12,FALSE))),0)),0))</f>
        <v>0</v>
      </c>
      <c r="L31" s="111">
        <f>(IF(Inschrijfberekening!C13="Bestaande Situatie",_xlfn.IFNA(VLOOKUP(Inschrijfberekening!U13,Database_Transport[#All],12,FALSE)*(Inschrijfberekening!K13*Inschrijfberekening!T13),Referentie_Backlog!L58),0))</f>
        <v>0</v>
      </c>
      <c r="M31" s="111">
        <f>(IF(Inschrijfberekening!C13="Bestaande Situatie",_xlfn.IFNA(VLOOKUP(Inschrijfberekening!V13,Database_Asfalt_Verwerkingsset[#All],12,FALSE)*(Inschrijfberekening!K13/VLOOKUP(Inschrijfberekening!V13,Database_Asfalt_Verwerkingsset[#All],12,FALSE)),Referentie_Backlog!M58),0))</f>
        <v>0</v>
      </c>
      <c r="N31" s="111">
        <f>(IF(Inschrijfberekening!C13="Bestaande Situatie",_xlfn.IFNA(VLOOKUP(Inschrijf_CO2_Totaal[[#This Row],[Product]]&amp;", "&amp;Inschrijf_MKI_Totaal[[#Headers],[C4]],Database_Productkaarten[#All],12,FALSE)*Inschrijfberekening!K13,Referentie_Backlog!N58),0))</f>
        <v>0</v>
      </c>
      <c r="O31" s="111" cm="1">
        <f t="array" ref="O31">_xlfn.IFNA((IF(Inschrijfberekening!C13="Bestaande Situatie",_xlfn.IFS(Inschrijfberekening!E13="Bitumineuze_verhardingen",VLOOKUP(Inschrijf_CO2_Totaal[[#This Row],[Product]]&amp;", "&amp;Inschrijf_CO2_Totaal[[#Headers],[D1]],Database_Productkaarten[#All],17,FALSE)*Inschrijfberekening!K13,Inschrijfberekening!E13="Funderingslagen",VLOOKUP(Inschrijf_CO2_Totaal[[#This Row],[Product]]&amp;", "&amp;Inschrijf_CO2_Totaal[[#Headers],[D1]],Database_Productkaarten[#All],17,FALSE)*Inschrijfberekening!K13,Inschrijfberekening!E13="Grondwerken",VLOOKUP(Inschrijf_CO2_Totaal[[#This Row],[Product]]&amp;", "&amp;Inschrijf_CO2_Totaal[[#Headers],[D1]],Database_Productkaarten[#All],17,FALSE)*Inschrijfberekening!K13,Inschrijfberekening!E13="Categorie_1_LCA_Producten",VLOOKUP(Inschrijf_CO2_Totaal[[#This Row],[Product]],Categorie_1_Producten[#All],18,FALSE)*(Inschrijfberekening!K13)),0)),Referentie_Backlog!O58)</f>
        <v>0</v>
      </c>
      <c r="P31" s="114" cm="1">
        <f t="array" ref="P31">_xlfn.IFNA((IF(Inschrijfberekening!C13="Bestaande Situatie",_xlfn.IFS(Inschrijfberekening!E13="Bitumineuze_verhardingen",VLOOKUP(Inschrijf_CO2_Totaal[[#This Row],[Product]]&amp;", "&amp;Inschrijf_CO2_Totaal[[#Headers],[D2]],Database_Productkaarten[#All],17,FALSE)*Inschrijfberekening!K13,Inschrijfberekening!E13="Funderingslagen",VLOOKUP(Inschrijf_CO2_Totaal[[#This Row],[Product]]&amp;", "&amp;Inschrijf_CO2_Totaal[[#Headers],[D2]],Database_Productkaarten[#All],17,FALSE)*Inschrijfberekening!K13,Inschrijfberekening!E13="Grondwerken",VLOOKUP(Inschrijf_CO2_Totaal[[#This Row],[Product]]&amp;", "&amp;Inschrijf_CO2_Totaal[[#Headers],[D2]],Database_Productkaarten[#All],17,FALSE)*Inschrijfberekening!K13,Inschrijfberekening!E13="Categorie_1_LCA_Producten",VLOOKUP(Inschrijf_CO2_Totaal[[#This Row],[Product]],Categorie_1_Producten[#All],19,FALSE)*(Inschrijfberekening!K13)),0)),Referentie_Backlog!P58)</f>
        <v>0</v>
      </c>
      <c r="Q31" s="111">
        <f>SUM(Inschrijf_CO2_Totaal[[#This Row],[A1]:[D2]])</f>
        <v>10806.983741099999</v>
      </c>
    </row>
    <row r="32" spans="2:17" ht="18" x14ac:dyDescent="0.55000000000000004">
      <c r="B32" s="285">
        <f>Inschrijfberekening!B14</f>
        <v>0</v>
      </c>
      <c r="C32" s="23">
        <f>Inschrijfberekening!F14</f>
        <v>0</v>
      </c>
      <c r="D32" s="111" cm="1">
        <f t="array" ref="D32">(IF(Inschrijfberekening!C14="Nieuwe Situatie",_xlfn.IFNA(_xlfn.IFS(Inschrijfberekening!E14="Bitumineuze_verhardingen",VLOOKUP(Inschrijf_CO2_Totaal[[#This Row],[Product]]&amp;", "&amp;Inschrijf_CO2_Totaal[[#Headers],[A1]],Database_Productkaarten[#All],17,FALSE)*Inschrijfberekening!K14,Inschrijfberekening!E14="Funderingslagen",VLOOKUP(Inschrijf_CO2_Totaal[[#This Row],[Product]]&amp;", "&amp;Inschrijf_CO2_Totaal[[#Headers],[A1]],Database_Productkaarten[#All],17,FALSE)*Inschrijfberekening!K14,Inschrijfberekening!E14="Grondwerken",VLOOKUP(Inschrijf_CO2_Totaal[[#This Row],[Product]]&amp;", "&amp;Inschrijf_CO2_Totaal[[#Headers],[A1]],Database_Productkaarten[#All],17,FALSE)*Inschrijfberekening!K14,Inschrijfberekening!E14="Categorie_1_LCA_Producten",VLOOKUP(Inschrijf_CO2_Totaal[[#This Row],[Product]],Categorie_1_Producten[#All],14,FALSE)*(Inschrijfberekening!K14)),Referentie_Backlog!D59),0))</f>
        <v>0</v>
      </c>
      <c r="E32" s="111" cm="1">
        <f t="array" ref="E32">(IF(Inschrijfberekening!C14="Nieuwe Situatie",_xlfn.IFNA(_xlfn.IFS(Inschrijfberekening!E14="Bitumineuze_verhardingen",VLOOKUP(Inschrijf_CO2_Totaal[[#This Row],[Product]]&amp;", "&amp;Inschrijf_CO2_Totaal[[#Headers],[A2]],Database_Productkaarten[#All],17,FALSE)*Inschrijfberekening!K14,Inschrijfberekening!E14="Funderingslagen",VLOOKUP(Inschrijf_CO2_Totaal[[#This Row],[Product]]&amp;", "&amp;Inschrijf_CO2_Totaal[[#Headers],[A2]],Database_Productkaarten[#All],17,FALSE)*Inschrijfberekening!K14,Inschrijfberekening!E14="Grondwerken",VLOOKUP(Inschrijf_CO2_Totaal[[#This Row],[Product]]&amp;", "&amp;Inschrijf_CO2_Totaal[[#Headers],[A2]],Database_Productkaarten[#All],17,FALSE)*Inschrijfberekening!K14,Inschrijfberekening!E14="Categorie_1_LCA_Producten",VLOOKUP(Inschrijf_CO2_Totaal[[#This Row],[Product]],Categorie_1_Producten[#All],15,FALSE)*(Inschrijfberekening!K14)),Referentie_Backlog!E59),0))</f>
        <v>0</v>
      </c>
      <c r="F32" s="111" cm="1">
        <f t="array" ref="F32">(IF(Inschrijfberekening!C14="Nieuwe Situatie",_xlfn.IFNA(_xlfn.IFS(Inschrijfberekening!E14="Bitumineuze_verhardingen",VLOOKUP(Inschrijf_CO2_Totaal[[#This Row],[Product]]&amp;", "&amp;Inschrijf_CO2_Totaal[[#Headers],[A3]],Database_Productkaarten[#All],17,FALSE)*Inschrijfberekening!K14,Inschrijfberekening!E14="Funderingslagen",VLOOKUP(Inschrijf_CO2_Totaal[[#This Row],[Product]]&amp;", "&amp;Inschrijf_CO2_Totaal[[#Headers],[A3]],Database_Productkaarten[#All],17,FALSE)*Inschrijfberekening!K14,Inschrijfberekening!E14="Grondwerken",VLOOKUP(Inschrijf_CO2_Totaal[[#This Row],[Product]]&amp;", "&amp;Inschrijf_CO2_Totaal[[#Headers],[A3]],Database_Productkaarten[#All],17,FALSE)*Inschrijfberekening!K14,Inschrijfberekening!E14="Categorie_1_LCA_Producten",VLOOKUP(Inschrijf_CO2_Totaal[[#This Row],[Product]],Categorie_1_Producten[#All],16,FALSE)*(Inschrijfberekening!K14)),Referentie_Backlog!F59),0))</f>
        <v>0</v>
      </c>
      <c r="G32" s="111">
        <f>(IF(Inschrijfberekening!C14="Nieuwe Situatie",_xlfn.IFNA(VLOOKUP(Inschrijfberekening!O14,Database_Transport[#All],12,FALSE)*(Inschrijfberekening!K14*Inschrijfberekening!N14),Referentie_Backlog!G59),0))</f>
        <v>0</v>
      </c>
      <c r="H32" s="112">
        <f>_xlfn.IFNA((IF(Inschrijfberekening!C14="Nieuwe Situatie",(VLOOKUP(Inschrijfberekening!P14,Database_Asfalt_Aanlegset[#All],12,FALSE)*Inschrijfberekening!K14)+IFERROR(((VLOOKUP(Inschrijfberekening!Q14,Database_Overig_Materieel[#All],12,FALSE)*(Inschrijfberekening!L14/VLOOKUP(Inschrijfberekening!Q14,Database_Overig_Materieel[#All],12,FALSE)))),0),0)),Referentie_Backlog!H59)</f>
        <v>0</v>
      </c>
      <c r="I32" s="111" cm="1">
        <f t="array" ref="I32">(IF(Inschrijfberekening!C14="Nieuwe Situatie",_xlfn.IFNA(_xlfn.IFS(Inschrijfberekening!E14="Bitumineuze_verhardingen",VLOOKUP(Inschrijf_CO2_Totaal[[#This Row],[Product]]&amp;", "&amp;Inschrijf_CO2_Totaal[[#Headers],[B1]],Database_Productkaarten[#All],17,FALSE)*Inschrijfberekening!K14,Inschrijfberekening!E14="Funderingslagen",VLOOKUP(Inschrijf_CO2_Totaal[[#This Row],[Product]]&amp;", "&amp;Inschrijf_CO2_Totaal[[#Headers],[B1]],Database_Productkaarten[#All],17,FALSE)*Inschrijfberekening!K14,Inschrijfberekening!E14="Grondwerken",VLOOKUP(Inschrijf_CO2_Totaal[[#This Row],[Product]]&amp;", "&amp;Inschrijf_CO2_Totaal[[#Headers],[B1]],Database_Productkaarten[#All],17,FALSE)*Inschrijfberekening!K14,Inschrijfberekening!E14="Categorie_1_LCA_Producten",VLOOKUP(Inschrijf_CO2_Totaal[[#This Row],[Product]],Categorie_1_Producten[#All],17,FALSE)*(Inschrijfberekening!K14)),Referentie_Backlog!I59),0))</f>
        <v>0</v>
      </c>
      <c r="J32" s="111">
        <f>(IF(Inschrijfberekening!C14="Nieuwe Situatie",_xlfn.IFNA(SUM(Inschrijf_CO2_Totaal[[#This Row],[A1]:[B1]],Inschrijf_CO2_Totaal[[#This Row],[C1]:[D2]])*Inschrijfberekening!M14,0),0))</f>
        <v>0</v>
      </c>
      <c r="K32" s="113">
        <f>(IF(Inschrijfberekening!C14="Bestaande Situatie",IF(IFERROR((VLOOKUP(Inschrijfberekening!R14,Database_Asfalt_Verwijderset[#All],10,FALSE)*Inschrijfberekening!K14),0)+IFERROR((VLOOKUP(Inschrijfberekening!S14,Database_Overig_Materieel[#All],12,FALSE)*(Inschrijfberekening!L14/VLOOKUP(Inschrijfberekening!S14,Database_Overig_Materieel[#All],12,FALSE))),0)=0,Referentie_Backlog!K59,IFERROR((VLOOKUP(Inschrijfberekening!R14,Database_Asfalt_Verwijderset[#All],12,FALSE)*Inschrijfberekening!K14),0)+IFERROR((VLOOKUP(Inschrijfberekening!S14,Database_Overig_Materieel[#All],12,FALSE)*(Inschrijfberekening!L14/VLOOKUP(Inschrijfberekening!S14,Database_Overig_Materieel[#All],12,FALSE))),0)),0))</f>
        <v>0</v>
      </c>
      <c r="L32" s="111">
        <f>(IF(Inschrijfberekening!C14="Bestaande Situatie",_xlfn.IFNA(VLOOKUP(Inschrijfberekening!U14,Database_Transport[#All],12,FALSE)*(Inschrijfberekening!K14*Inschrijfberekening!T14),Referentie_Backlog!L59),0))</f>
        <v>0</v>
      </c>
      <c r="M32" s="111">
        <f>(IF(Inschrijfberekening!C14="Bestaande Situatie",_xlfn.IFNA(VLOOKUP(Inschrijfberekening!V14,Database_Asfalt_Verwerkingsset[#All],12,FALSE)*(Inschrijfberekening!K14/VLOOKUP(Inschrijfberekening!V14,Database_Asfalt_Verwerkingsset[#All],12,FALSE)),Referentie_Backlog!M59),0))</f>
        <v>0</v>
      </c>
      <c r="N32" s="111">
        <f>(IF(Inschrijfberekening!C14="Bestaande Situatie",_xlfn.IFNA(VLOOKUP(Inschrijf_CO2_Totaal[[#This Row],[Product]]&amp;", "&amp;Inschrijf_MKI_Totaal[[#Headers],[C4]],Database_Productkaarten[#All],12,FALSE)*Inschrijfberekening!K14,Referentie_Backlog!N59),0))</f>
        <v>0</v>
      </c>
      <c r="O32" s="111" cm="1">
        <f t="array" ref="O32">_xlfn.IFNA((IF(Inschrijfberekening!C14="Bestaande Situatie",_xlfn.IFS(Inschrijfberekening!E14="Bitumineuze_verhardingen",VLOOKUP(Inschrijf_CO2_Totaal[[#This Row],[Product]]&amp;", "&amp;Inschrijf_CO2_Totaal[[#Headers],[D1]],Database_Productkaarten[#All],17,FALSE)*Inschrijfberekening!K14,Inschrijfberekening!E14="Funderingslagen",VLOOKUP(Inschrijf_CO2_Totaal[[#This Row],[Product]]&amp;", "&amp;Inschrijf_CO2_Totaal[[#Headers],[D1]],Database_Productkaarten[#All],17,FALSE)*Inschrijfberekening!K14,Inschrijfberekening!E14="Grondwerken",VLOOKUP(Inschrijf_CO2_Totaal[[#This Row],[Product]]&amp;", "&amp;Inschrijf_CO2_Totaal[[#Headers],[D1]],Database_Productkaarten[#All],17,FALSE)*Inschrijfberekening!K14,Inschrijfberekening!E14="Categorie_1_LCA_Producten",VLOOKUP(Inschrijf_CO2_Totaal[[#This Row],[Product]],Categorie_1_Producten[#All],18,FALSE)*(Inschrijfberekening!K14)),0)),Referentie_Backlog!O59)</f>
        <v>0</v>
      </c>
      <c r="P32" s="114" cm="1">
        <f t="array" ref="P32">_xlfn.IFNA((IF(Inschrijfberekening!C14="Bestaande Situatie",_xlfn.IFS(Inschrijfberekening!E14="Bitumineuze_verhardingen",VLOOKUP(Inschrijf_CO2_Totaal[[#This Row],[Product]]&amp;", "&amp;Inschrijf_CO2_Totaal[[#Headers],[D2]],Database_Productkaarten[#All],17,FALSE)*Inschrijfberekening!K14,Inschrijfberekening!E14="Funderingslagen",VLOOKUP(Inschrijf_CO2_Totaal[[#This Row],[Product]]&amp;", "&amp;Inschrijf_CO2_Totaal[[#Headers],[D2]],Database_Productkaarten[#All],17,FALSE)*Inschrijfberekening!K14,Inschrijfberekening!E14="Grondwerken",VLOOKUP(Inschrijf_CO2_Totaal[[#This Row],[Product]]&amp;", "&amp;Inschrijf_CO2_Totaal[[#Headers],[D2]],Database_Productkaarten[#All],17,FALSE)*Inschrijfberekening!K14,Inschrijfberekening!E14="Categorie_1_LCA_Producten",VLOOKUP(Inschrijf_CO2_Totaal[[#This Row],[Product]],Categorie_1_Producten[#All],19,FALSE)*(Inschrijfberekening!K14)),0)),Referentie_Backlog!P59)</f>
        <v>0</v>
      </c>
      <c r="Q32" s="111">
        <f>SUM(Inschrijf_CO2_Totaal[[#This Row],[A1]:[D2]])</f>
        <v>0</v>
      </c>
    </row>
    <row r="33" spans="2:17" ht="18" x14ac:dyDescent="0.55000000000000004">
      <c r="B33" s="285">
        <f>Inschrijfberekening!B15</f>
        <v>0</v>
      </c>
      <c r="C33" s="39">
        <f>Inschrijfberekening!F15</f>
        <v>0</v>
      </c>
      <c r="D33" s="111" cm="1">
        <f t="array" ref="D33">(IF(Inschrijfberekening!C15="Nieuwe Situatie",_xlfn.IFNA(_xlfn.IFS(Inschrijfberekening!E15="Bitumineuze_verhardingen",VLOOKUP(Inschrijf_CO2_Totaal[[#This Row],[Product]]&amp;", "&amp;Inschrijf_CO2_Totaal[[#Headers],[A1]],Database_Productkaarten[#All],17,FALSE)*Inschrijfberekening!K15,Inschrijfberekening!E15="Funderingslagen",VLOOKUP(Inschrijf_CO2_Totaal[[#This Row],[Product]]&amp;", "&amp;Inschrijf_CO2_Totaal[[#Headers],[A1]],Database_Productkaarten[#All],17,FALSE)*Inschrijfberekening!K15,Inschrijfberekening!E15="Grondwerken",VLOOKUP(Inschrijf_CO2_Totaal[[#This Row],[Product]]&amp;", "&amp;Inschrijf_CO2_Totaal[[#Headers],[A1]],Database_Productkaarten[#All],17,FALSE)*Inschrijfberekening!K15,Inschrijfberekening!E15="Categorie_1_LCA_Producten",VLOOKUP(Inschrijf_CO2_Totaal[[#This Row],[Product]],Categorie_1_Producten[#All],14,FALSE)*(Inschrijfberekening!K15)),Referentie_Backlog!D60),0))</f>
        <v>0</v>
      </c>
      <c r="E33" s="111" cm="1">
        <f t="array" ref="E33">(IF(Inschrijfberekening!C15="Nieuwe Situatie",_xlfn.IFNA(_xlfn.IFS(Inschrijfberekening!E15="Bitumineuze_verhardingen",VLOOKUP(Inschrijf_CO2_Totaal[[#This Row],[Product]]&amp;", "&amp;Inschrijf_CO2_Totaal[[#Headers],[A2]],Database_Productkaarten[#All],17,FALSE)*Inschrijfberekening!K15,Inschrijfberekening!E15="Funderingslagen",VLOOKUP(Inschrijf_CO2_Totaal[[#This Row],[Product]]&amp;", "&amp;Inschrijf_CO2_Totaal[[#Headers],[A2]],Database_Productkaarten[#All],17,FALSE)*Inschrijfberekening!K15,Inschrijfberekening!E15="Grondwerken",VLOOKUP(Inschrijf_CO2_Totaal[[#This Row],[Product]]&amp;", "&amp;Inschrijf_CO2_Totaal[[#Headers],[A2]],Database_Productkaarten[#All],17,FALSE)*Inschrijfberekening!K15,Inschrijfberekening!E15="Categorie_1_LCA_Producten",VLOOKUP(Inschrijf_CO2_Totaal[[#This Row],[Product]],Categorie_1_Producten[#All],15,FALSE)*(Inschrijfberekening!K15)),Referentie_Backlog!E60),0))</f>
        <v>0</v>
      </c>
      <c r="F33" s="111" cm="1">
        <f t="array" ref="F33">(IF(Inschrijfberekening!C15="Nieuwe Situatie",_xlfn.IFNA(_xlfn.IFS(Inschrijfberekening!E15="Bitumineuze_verhardingen",VLOOKUP(Inschrijf_CO2_Totaal[[#This Row],[Product]]&amp;", "&amp;Inschrijf_CO2_Totaal[[#Headers],[A3]],Database_Productkaarten[#All],17,FALSE)*Inschrijfberekening!K15,Inschrijfberekening!E15="Funderingslagen",VLOOKUP(Inschrijf_CO2_Totaal[[#This Row],[Product]]&amp;", "&amp;Inschrijf_CO2_Totaal[[#Headers],[A3]],Database_Productkaarten[#All],17,FALSE)*Inschrijfberekening!K15,Inschrijfberekening!E15="Grondwerken",VLOOKUP(Inschrijf_CO2_Totaal[[#This Row],[Product]]&amp;", "&amp;Inschrijf_CO2_Totaal[[#Headers],[A3]],Database_Productkaarten[#All],17,FALSE)*Inschrijfberekening!K15,Inschrijfberekening!E15="Categorie_1_LCA_Producten",VLOOKUP(Inschrijf_CO2_Totaal[[#This Row],[Product]],Categorie_1_Producten[#All],16,FALSE)*(Inschrijfberekening!K15)),Referentie_Backlog!F60),0))</f>
        <v>0</v>
      </c>
      <c r="G33" s="111">
        <f>(IF(Inschrijfberekening!C15="Nieuwe Situatie",_xlfn.IFNA(VLOOKUP(Inschrijfberekening!O15,Database_Transport[#All],12,FALSE)*(Inschrijfberekening!K15*Inschrijfberekening!N15),Referentie_Backlog!G60),0))</f>
        <v>0</v>
      </c>
      <c r="H33" s="112">
        <f>_xlfn.IFNA((IF(Inschrijfberekening!C15="Nieuwe Situatie",(VLOOKUP(Inschrijfberekening!P15,Database_Asfalt_Aanlegset[#All],12,FALSE)*Inschrijfberekening!K15)+IFERROR(((VLOOKUP(Inschrijfberekening!Q15,Database_Overig_Materieel[#All],12,FALSE)*(Inschrijfberekening!L15/VLOOKUP(Inschrijfberekening!Q15,Database_Overig_Materieel[#All],12,FALSE)))),0),0)),Referentie_Backlog!H60)</f>
        <v>0</v>
      </c>
      <c r="I33" s="111" cm="1">
        <f t="array" ref="I33">(IF(Inschrijfberekening!C15="Nieuwe Situatie",_xlfn.IFNA(_xlfn.IFS(Inschrijfberekening!E15="Bitumineuze_verhardingen",VLOOKUP(Inschrijf_CO2_Totaal[[#This Row],[Product]]&amp;", "&amp;Inschrijf_CO2_Totaal[[#Headers],[B1]],Database_Productkaarten[#All],17,FALSE)*Inschrijfberekening!K15,Inschrijfberekening!E15="Funderingslagen",VLOOKUP(Inschrijf_CO2_Totaal[[#This Row],[Product]]&amp;", "&amp;Inschrijf_CO2_Totaal[[#Headers],[B1]],Database_Productkaarten[#All],17,FALSE)*Inschrijfberekening!K15,Inschrijfberekening!E15="Grondwerken",VLOOKUP(Inschrijf_CO2_Totaal[[#This Row],[Product]]&amp;", "&amp;Inschrijf_CO2_Totaal[[#Headers],[B1]],Database_Productkaarten[#All],17,FALSE)*Inschrijfberekening!K15,Inschrijfberekening!E15="Categorie_1_LCA_Producten",VLOOKUP(Inschrijf_CO2_Totaal[[#This Row],[Product]],Categorie_1_Producten[#All],17,FALSE)*(Inschrijfberekening!K15)),Referentie_Backlog!I60),0))</f>
        <v>0</v>
      </c>
      <c r="J33" s="111">
        <f>(IF(Inschrijfberekening!C15="Nieuwe Situatie",_xlfn.IFNA(SUM(Inschrijf_CO2_Totaal[[#This Row],[A1]:[B1]],Inschrijf_CO2_Totaal[[#This Row],[C1]:[D2]])*Inschrijfberekening!M15,0),0))</f>
        <v>0</v>
      </c>
      <c r="K33" s="113">
        <f>(IF(Inschrijfberekening!C15="Bestaande Situatie",IF(IFERROR((VLOOKUP(Inschrijfberekening!R15,Database_Asfalt_Verwijderset[#All],10,FALSE)*Inschrijfberekening!K15),0)+IFERROR((VLOOKUP(Inschrijfberekening!S15,Database_Overig_Materieel[#All],12,FALSE)*(Inschrijfberekening!L15/VLOOKUP(Inschrijfberekening!S15,Database_Overig_Materieel[#All],12,FALSE))),0)=0,Referentie_Backlog!K60,IFERROR((VLOOKUP(Inschrijfberekening!R15,Database_Asfalt_Verwijderset[#All],12,FALSE)*Inschrijfberekening!K15),0)+IFERROR((VLOOKUP(Inschrijfberekening!S15,Database_Overig_Materieel[#All],12,FALSE)*(Inschrijfberekening!L15/VLOOKUP(Inschrijfberekening!S15,Database_Overig_Materieel[#All],12,FALSE))),0)),0))</f>
        <v>0</v>
      </c>
      <c r="L33" s="111">
        <f>(IF(Inschrijfberekening!C15="Bestaande Situatie",_xlfn.IFNA(VLOOKUP(Inschrijfberekening!U15,Database_Transport[#All],12,FALSE)*(Inschrijfberekening!K15*Inschrijfberekening!T15),Referentie_Backlog!L60),0))</f>
        <v>0</v>
      </c>
      <c r="M33" s="111">
        <f>(IF(Inschrijfberekening!C15="Bestaande Situatie",_xlfn.IFNA(VLOOKUP(Inschrijfberekening!V15,Database_Asfalt_Verwerkingsset[#All],12,FALSE)*(Inschrijfberekening!K15/VLOOKUP(Inschrijfberekening!V15,Database_Asfalt_Verwerkingsset[#All],12,FALSE)),Referentie_Backlog!M60),0))</f>
        <v>0</v>
      </c>
      <c r="N33" s="111">
        <f>(IF(Inschrijfberekening!C15="Bestaande Situatie",_xlfn.IFNA(VLOOKUP(Inschrijf_CO2_Totaal[[#This Row],[Product]]&amp;", "&amp;Inschrijf_MKI_Totaal[[#Headers],[C4]],Database_Productkaarten[#All],12,FALSE)*Inschrijfberekening!K15,Referentie_Backlog!N60),0))</f>
        <v>0</v>
      </c>
      <c r="O33" s="111" cm="1">
        <f t="array" ref="O33">_xlfn.IFNA((IF(Inschrijfberekening!C15="Bestaande Situatie",_xlfn.IFS(Inschrijfberekening!E15="Bitumineuze_verhardingen",VLOOKUP(Inschrijf_CO2_Totaal[[#This Row],[Product]]&amp;", "&amp;Inschrijf_CO2_Totaal[[#Headers],[D1]],Database_Productkaarten[#All],17,FALSE)*Inschrijfberekening!K15,Inschrijfberekening!E15="Funderingslagen",VLOOKUP(Inschrijf_CO2_Totaal[[#This Row],[Product]]&amp;", "&amp;Inschrijf_CO2_Totaal[[#Headers],[D1]],Database_Productkaarten[#All],17,FALSE)*Inschrijfberekening!K15,Inschrijfberekening!E15="Grondwerken",VLOOKUP(Inschrijf_CO2_Totaal[[#This Row],[Product]]&amp;", "&amp;Inschrijf_CO2_Totaal[[#Headers],[D1]],Database_Productkaarten[#All],17,FALSE)*Inschrijfberekening!K15,Inschrijfberekening!E15="Categorie_1_LCA_Producten",VLOOKUP(Inschrijf_CO2_Totaal[[#This Row],[Product]],Categorie_1_Producten[#All],18,FALSE)*(Inschrijfberekening!K15)),0)),Referentie_Backlog!O60)</f>
        <v>0</v>
      </c>
      <c r="P33" s="114" cm="1">
        <f t="array" ref="P33">_xlfn.IFNA((IF(Inschrijfberekening!C15="Bestaande Situatie",_xlfn.IFS(Inschrijfberekening!E15="Bitumineuze_verhardingen",VLOOKUP(Inschrijf_CO2_Totaal[[#This Row],[Product]]&amp;", "&amp;Inschrijf_CO2_Totaal[[#Headers],[D2]],Database_Productkaarten[#All],17,FALSE)*Inschrijfberekening!K15,Inschrijfberekening!E15="Funderingslagen",VLOOKUP(Inschrijf_CO2_Totaal[[#This Row],[Product]]&amp;", "&amp;Inschrijf_CO2_Totaal[[#Headers],[D2]],Database_Productkaarten[#All],17,FALSE)*Inschrijfberekening!K15,Inschrijfberekening!E15="Grondwerken",VLOOKUP(Inschrijf_CO2_Totaal[[#This Row],[Product]]&amp;", "&amp;Inschrijf_CO2_Totaal[[#Headers],[D2]],Database_Productkaarten[#All],17,FALSE)*Inschrijfberekening!K15,Inschrijfberekening!E15="Categorie_1_LCA_Producten",VLOOKUP(Inschrijf_CO2_Totaal[[#This Row],[Product]],Categorie_1_Producten[#All],19,FALSE)*(Inschrijfberekening!K15)),0)),Referentie_Backlog!P60)</f>
        <v>0</v>
      </c>
      <c r="Q33" s="111">
        <f>SUM(Inschrijf_CO2_Totaal[[#This Row],[A1]:[D2]])</f>
        <v>0</v>
      </c>
    </row>
    <row r="34" spans="2:17" ht="18" x14ac:dyDescent="0.55000000000000004">
      <c r="B34" s="285">
        <f>Inschrijfberekening!B16</f>
        <v>0</v>
      </c>
      <c r="C34" s="39">
        <f>Inschrijfberekening!F16</f>
        <v>0</v>
      </c>
      <c r="D34" s="111" cm="1">
        <f t="array" ref="D34">(IF(Inschrijfberekening!C16="Nieuwe Situatie",_xlfn.IFNA(_xlfn.IFS(Inschrijfberekening!E16="Bitumineuze_verhardingen",VLOOKUP(Inschrijf_CO2_Totaal[[#This Row],[Product]]&amp;", "&amp;Inschrijf_CO2_Totaal[[#Headers],[A1]],Database_Productkaarten[#All],17,FALSE)*Inschrijfberekening!K16,Inschrijfberekening!E16="Funderingslagen",VLOOKUP(Inschrijf_CO2_Totaal[[#This Row],[Product]]&amp;", "&amp;Inschrijf_CO2_Totaal[[#Headers],[A1]],Database_Productkaarten[#All],17,FALSE)*Inschrijfberekening!K16,Inschrijfberekening!E16="Grondwerken",VLOOKUP(Inschrijf_CO2_Totaal[[#This Row],[Product]]&amp;", "&amp;Inschrijf_CO2_Totaal[[#Headers],[A1]],Database_Productkaarten[#All],17,FALSE)*Inschrijfberekening!K16,Inschrijfberekening!E16="Categorie_1_LCA_Producten",VLOOKUP(Inschrijf_CO2_Totaal[[#This Row],[Product]],Categorie_1_Producten[#All],14,FALSE)*(Inschrijfberekening!K16)),Referentie_Backlog!D61),0))</f>
        <v>0</v>
      </c>
      <c r="E34" s="111" cm="1">
        <f t="array" ref="E34">(IF(Inschrijfberekening!C16="Nieuwe Situatie",_xlfn.IFNA(_xlfn.IFS(Inschrijfberekening!E16="Bitumineuze_verhardingen",VLOOKUP(Inschrijf_CO2_Totaal[[#This Row],[Product]]&amp;", "&amp;Inschrijf_CO2_Totaal[[#Headers],[A2]],Database_Productkaarten[#All],17,FALSE)*Inschrijfberekening!K16,Inschrijfberekening!E16="Funderingslagen",VLOOKUP(Inschrijf_CO2_Totaal[[#This Row],[Product]]&amp;", "&amp;Inschrijf_CO2_Totaal[[#Headers],[A2]],Database_Productkaarten[#All],17,FALSE)*Inschrijfberekening!K16,Inschrijfberekening!E16="Grondwerken",VLOOKUP(Inschrijf_CO2_Totaal[[#This Row],[Product]]&amp;", "&amp;Inschrijf_CO2_Totaal[[#Headers],[A2]],Database_Productkaarten[#All],17,FALSE)*Inschrijfberekening!K16,Inschrijfberekening!E16="Categorie_1_LCA_Producten",VLOOKUP(Inschrijf_CO2_Totaal[[#This Row],[Product]],Categorie_1_Producten[#All],15,FALSE)*(Inschrijfberekening!K16)),Referentie_Backlog!E61),0))</f>
        <v>0</v>
      </c>
      <c r="F34" s="111" cm="1">
        <f t="array" ref="F34">(IF(Inschrijfberekening!C16="Nieuwe Situatie",_xlfn.IFNA(_xlfn.IFS(Inschrijfberekening!E16="Bitumineuze_verhardingen",VLOOKUP(Inschrijf_CO2_Totaal[[#This Row],[Product]]&amp;", "&amp;Inschrijf_CO2_Totaal[[#Headers],[A3]],Database_Productkaarten[#All],17,FALSE)*Inschrijfberekening!K16,Inschrijfberekening!E16="Funderingslagen",VLOOKUP(Inschrijf_CO2_Totaal[[#This Row],[Product]]&amp;", "&amp;Inschrijf_CO2_Totaal[[#Headers],[A3]],Database_Productkaarten[#All],17,FALSE)*Inschrijfberekening!K16,Inschrijfberekening!E16="Grondwerken",VLOOKUP(Inschrijf_CO2_Totaal[[#This Row],[Product]]&amp;", "&amp;Inschrijf_CO2_Totaal[[#Headers],[A3]],Database_Productkaarten[#All],17,FALSE)*Inschrijfberekening!K16,Inschrijfberekening!E16="Categorie_1_LCA_Producten",VLOOKUP(Inschrijf_CO2_Totaal[[#This Row],[Product]],Categorie_1_Producten[#All],16,FALSE)*(Inschrijfberekening!K16)),Referentie_Backlog!F61),0))</f>
        <v>0</v>
      </c>
      <c r="G34" s="111">
        <f>(IF(Inschrijfberekening!C16="Nieuwe Situatie",_xlfn.IFNA(VLOOKUP(Inschrijfberekening!O16,Database_Transport[#All],12,FALSE)*(Inschrijfberekening!K16*Inschrijfberekening!N16),Referentie_Backlog!G61),0))</f>
        <v>0</v>
      </c>
      <c r="H34" s="112">
        <f>_xlfn.IFNA((IF(Inschrijfberekening!C16="Nieuwe Situatie",(VLOOKUP(Inschrijfberekening!P16,Database_Asfalt_Aanlegset[#All],12,FALSE)*Inschrijfberekening!K16)+IFERROR(((VLOOKUP(Inschrijfberekening!Q16,Database_Overig_Materieel[#All],12,FALSE)*(Inschrijfberekening!L16/VLOOKUP(Inschrijfberekening!Q16,Database_Overig_Materieel[#All],12,FALSE)))),0),0)),Referentie_Backlog!H61)</f>
        <v>0</v>
      </c>
      <c r="I34" s="111" cm="1">
        <f t="array" ref="I34">(IF(Inschrijfberekening!C16="Nieuwe Situatie",_xlfn.IFNA(_xlfn.IFS(Inschrijfberekening!E16="Bitumineuze_verhardingen",VLOOKUP(Inschrijf_CO2_Totaal[[#This Row],[Product]]&amp;", "&amp;Inschrijf_CO2_Totaal[[#Headers],[B1]],Database_Productkaarten[#All],17,FALSE)*Inschrijfberekening!K16,Inschrijfberekening!E16="Funderingslagen",VLOOKUP(Inschrijf_CO2_Totaal[[#This Row],[Product]]&amp;", "&amp;Inschrijf_CO2_Totaal[[#Headers],[B1]],Database_Productkaarten[#All],17,FALSE)*Inschrijfberekening!K16,Inschrijfberekening!E16="Grondwerken",VLOOKUP(Inschrijf_CO2_Totaal[[#This Row],[Product]]&amp;", "&amp;Inschrijf_CO2_Totaal[[#Headers],[B1]],Database_Productkaarten[#All],17,FALSE)*Inschrijfberekening!K16,Inschrijfberekening!E16="Categorie_1_LCA_Producten",VLOOKUP(Inschrijf_CO2_Totaal[[#This Row],[Product]],Categorie_1_Producten[#All],17,FALSE)*(Inschrijfberekening!K16)),Referentie_Backlog!I61),0))</f>
        <v>0</v>
      </c>
      <c r="J34" s="111">
        <f>(IF(Inschrijfberekening!C16="Nieuwe Situatie",_xlfn.IFNA(SUM(Inschrijf_CO2_Totaal[[#This Row],[A1]:[B1]],Inschrijf_CO2_Totaal[[#This Row],[C1]:[D2]])*Inschrijfberekening!M16,0),0))</f>
        <v>0</v>
      </c>
      <c r="K34" s="113">
        <f>(IF(Inschrijfberekening!C16="Bestaande Situatie",IF(IFERROR((VLOOKUP(Inschrijfberekening!R16,Database_Asfalt_Verwijderset[#All],10,FALSE)*Inschrijfberekening!K16),0)+IFERROR((VLOOKUP(Inschrijfberekening!S16,Database_Overig_Materieel[#All],12,FALSE)*(Inschrijfberekening!L16/VLOOKUP(Inschrijfberekening!S16,Database_Overig_Materieel[#All],12,FALSE))),0)=0,Referentie_Backlog!K61,IFERROR((VLOOKUP(Inschrijfberekening!R16,Database_Asfalt_Verwijderset[#All],12,FALSE)*Inschrijfberekening!K16),0)+IFERROR((VLOOKUP(Inschrijfberekening!S16,Database_Overig_Materieel[#All],12,FALSE)*(Inschrijfberekening!L16/VLOOKUP(Inschrijfberekening!S16,Database_Overig_Materieel[#All],12,FALSE))),0)),0))</f>
        <v>0</v>
      </c>
      <c r="L34" s="111">
        <f>(IF(Inschrijfberekening!C16="Bestaande Situatie",_xlfn.IFNA(VLOOKUP(Inschrijfberekening!U16,Database_Transport[#All],12,FALSE)*(Inschrijfberekening!K16*Inschrijfberekening!T16),Referentie_Backlog!L61),0))</f>
        <v>0</v>
      </c>
      <c r="M34" s="111">
        <f>(IF(Inschrijfberekening!C16="Bestaande Situatie",_xlfn.IFNA(VLOOKUP(Inschrijfberekening!V16,Database_Asfalt_Verwerkingsset[#All],12,FALSE)*(Inschrijfberekening!K16/VLOOKUP(Inschrijfberekening!V16,Database_Asfalt_Verwerkingsset[#All],12,FALSE)),Referentie_Backlog!M61),0))</f>
        <v>0</v>
      </c>
      <c r="N34" s="111">
        <f>(IF(Inschrijfberekening!C16="Bestaande Situatie",_xlfn.IFNA(VLOOKUP(Inschrijf_CO2_Totaal[[#This Row],[Product]]&amp;", "&amp;Inschrijf_MKI_Totaal[[#Headers],[C4]],Database_Productkaarten[#All],12,FALSE)*Inschrijfberekening!K16,Referentie_Backlog!N61),0))</f>
        <v>0</v>
      </c>
      <c r="O34" s="111" cm="1">
        <f t="array" ref="O34">_xlfn.IFNA((IF(Inschrijfberekening!C16="Bestaande Situatie",_xlfn.IFS(Inschrijfberekening!E16="Bitumineuze_verhardingen",VLOOKUP(Inschrijf_CO2_Totaal[[#This Row],[Product]]&amp;", "&amp;Inschrijf_CO2_Totaal[[#Headers],[D1]],Database_Productkaarten[#All],17,FALSE)*Inschrijfberekening!K16,Inschrijfberekening!E16="Funderingslagen",VLOOKUP(Inschrijf_CO2_Totaal[[#This Row],[Product]]&amp;", "&amp;Inschrijf_CO2_Totaal[[#Headers],[D1]],Database_Productkaarten[#All],17,FALSE)*Inschrijfberekening!K16,Inschrijfberekening!E16="Grondwerken",VLOOKUP(Inschrijf_CO2_Totaal[[#This Row],[Product]]&amp;", "&amp;Inschrijf_CO2_Totaal[[#Headers],[D1]],Database_Productkaarten[#All],17,FALSE)*Inschrijfberekening!K16,Inschrijfberekening!E16="Categorie_1_LCA_Producten",VLOOKUP(Inschrijf_CO2_Totaal[[#This Row],[Product]],Categorie_1_Producten[#All],18,FALSE)*(Inschrijfberekening!K16)),0)),Referentie_Backlog!O61)</f>
        <v>0</v>
      </c>
      <c r="P34" s="114" cm="1">
        <f t="array" ref="P34">_xlfn.IFNA((IF(Inschrijfberekening!C16="Bestaande Situatie",_xlfn.IFS(Inschrijfberekening!E16="Bitumineuze_verhardingen",VLOOKUP(Inschrijf_CO2_Totaal[[#This Row],[Product]]&amp;", "&amp;Inschrijf_CO2_Totaal[[#Headers],[D2]],Database_Productkaarten[#All],17,FALSE)*Inschrijfberekening!K16,Inschrijfberekening!E16="Funderingslagen",VLOOKUP(Inschrijf_CO2_Totaal[[#This Row],[Product]]&amp;", "&amp;Inschrijf_CO2_Totaal[[#Headers],[D2]],Database_Productkaarten[#All],17,FALSE)*Inschrijfberekening!K16,Inschrijfberekening!E16="Grondwerken",VLOOKUP(Inschrijf_CO2_Totaal[[#This Row],[Product]]&amp;", "&amp;Inschrijf_CO2_Totaal[[#Headers],[D2]],Database_Productkaarten[#All],17,FALSE)*Inschrijfberekening!K16,Inschrijfberekening!E16="Categorie_1_LCA_Producten",VLOOKUP(Inschrijf_CO2_Totaal[[#This Row],[Product]],Categorie_1_Producten[#All],19,FALSE)*(Inschrijfberekening!K16)),0)),Referentie_Backlog!P61)</f>
        <v>0</v>
      </c>
      <c r="Q34" s="111">
        <f>SUM(Inschrijf_CO2_Totaal[[#This Row],[A1]:[D2]])</f>
        <v>0</v>
      </c>
    </row>
    <row r="35" spans="2:17" ht="18" x14ac:dyDescent="0.55000000000000004">
      <c r="B35" s="285">
        <f>Inschrijfberekening!B17</f>
        <v>0</v>
      </c>
      <c r="C35" s="39">
        <f>Inschrijfberekening!F17</f>
        <v>0</v>
      </c>
      <c r="D35" s="111" cm="1">
        <f t="array" ref="D35">(IF(Inschrijfberekening!C17="Nieuwe Situatie",_xlfn.IFNA(_xlfn.IFS(Inschrijfberekening!E17="Bitumineuze_verhardingen",VLOOKUP(Inschrijf_CO2_Totaal[[#This Row],[Product]]&amp;", "&amp;Inschrijf_CO2_Totaal[[#Headers],[A1]],Database_Productkaarten[#All],17,FALSE)*Inschrijfberekening!K17,Inschrijfberekening!E17="Funderingslagen",VLOOKUP(Inschrijf_CO2_Totaal[[#This Row],[Product]]&amp;", "&amp;Inschrijf_CO2_Totaal[[#Headers],[A1]],Database_Productkaarten[#All],17,FALSE)*Inschrijfberekening!K17,Inschrijfberekening!E17="Grondwerken",VLOOKUP(Inschrijf_CO2_Totaal[[#This Row],[Product]]&amp;", "&amp;Inschrijf_CO2_Totaal[[#Headers],[A1]],Database_Productkaarten[#All],17,FALSE)*Inschrijfberekening!K17,Inschrijfberekening!E17="Categorie_1_LCA_Producten",VLOOKUP(Inschrijf_CO2_Totaal[[#This Row],[Product]],Categorie_1_Producten[#All],14,FALSE)*(Inschrijfberekening!K17)),Referentie_Backlog!D62),0))</f>
        <v>0</v>
      </c>
      <c r="E35" s="111" cm="1">
        <f t="array" ref="E35">(IF(Inschrijfberekening!C17="Nieuwe Situatie",_xlfn.IFNA(_xlfn.IFS(Inschrijfberekening!E17="Bitumineuze_verhardingen",VLOOKUP(Inschrijf_CO2_Totaal[[#This Row],[Product]]&amp;", "&amp;Inschrijf_CO2_Totaal[[#Headers],[A2]],Database_Productkaarten[#All],17,FALSE)*Inschrijfberekening!K17,Inschrijfberekening!E17="Funderingslagen",VLOOKUP(Inschrijf_CO2_Totaal[[#This Row],[Product]]&amp;", "&amp;Inschrijf_CO2_Totaal[[#Headers],[A2]],Database_Productkaarten[#All],17,FALSE)*Inschrijfberekening!K17,Inschrijfberekening!E17="Grondwerken",VLOOKUP(Inschrijf_CO2_Totaal[[#This Row],[Product]]&amp;", "&amp;Inschrijf_CO2_Totaal[[#Headers],[A2]],Database_Productkaarten[#All],17,FALSE)*Inschrijfberekening!K17,Inschrijfberekening!E17="Categorie_1_LCA_Producten",VLOOKUP(Inschrijf_CO2_Totaal[[#This Row],[Product]],Categorie_1_Producten[#All],15,FALSE)*(Inschrijfberekening!K17)),Referentie_Backlog!E62),0))</f>
        <v>0</v>
      </c>
      <c r="F35" s="111" cm="1">
        <f t="array" ref="F35">(IF(Inschrijfberekening!C17="Nieuwe Situatie",_xlfn.IFNA(_xlfn.IFS(Inschrijfberekening!E17="Bitumineuze_verhardingen",VLOOKUP(Inschrijf_CO2_Totaal[[#This Row],[Product]]&amp;", "&amp;Inschrijf_CO2_Totaal[[#Headers],[A3]],Database_Productkaarten[#All],17,FALSE)*Inschrijfberekening!K17,Inschrijfberekening!E17="Funderingslagen",VLOOKUP(Inschrijf_CO2_Totaal[[#This Row],[Product]]&amp;", "&amp;Inschrijf_CO2_Totaal[[#Headers],[A3]],Database_Productkaarten[#All],17,FALSE)*Inschrijfberekening!K17,Inschrijfberekening!E17="Grondwerken",VLOOKUP(Inschrijf_CO2_Totaal[[#This Row],[Product]]&amp;", "&amp;Inschrijf_CO2_Totaal[[#Headers],[A3]],Database_Productkaarten[#All],17,FALSE)*Inschrijfberekening!K17,Inschrijfberekening!E17="Categorie_1_LCA_Producten",VLOOKUP(Inschrijf_CO2_Totaal[[#This Row],[Product]],Categorie_1_Producten[#All],16,FALSE)*(Inschrijfberekening!K17)),Referentie_Backlog!F62),0))</f>
        <v>0</v>
      </c>
      <c r="G35" s="111">
        <f>(IF(Inschrijfberekening!C17="Nieuwe Situatie",_xlfn.IFNA(VLOOKUP(Inschrijfberekening!O17,Database_Transport[#All],12,FALSE)*(Inschrijfberekening!K17*Inschrijfberekening!N17),Referentie_Backlog!G62),0))</f>
        <v>0</v>
      </c>
      <c r="H35" s="272">
        <f>_xlfn.IFNA((IF(Inschrijfberekening!C17="Nieuwe Situatie",(VLOOKUP(Inschrijfberekening!P17,Database_Asfalt_Aanlegset[#All],12,FALSE)*Inschrijfberekening!K17)+IFERROR(((VLOOKUP(Inschrijfberekening!Q17,Database_Overig_Materieel[#All],12,FALSE)*(Inschrijfberekening!L17/VLOOKUP(Inschrijfberekening!Q17,Database_Overig_Materieel[#All],12,FALSE)))),0),0)),Referentie_Backlog!H62)</f>
        <v>0</v>
      </c>
      <c r="I35" s="111" cm="1">
        <f t="array" ref="I35">(IF(Inschrijfberekening!C17="Nieuwe Situatie",_xlfn.IFNA(_xlfn.IFS(Inschrijfberekening!E17="Bitumineuze_verhardingen",VLOOKUP(Inschrijf_CO2_Totaal[[#This Row],[Product]]&amp;", "&amp;Inschrijf_CO2_Totaal[[#Headers],[B1]],Database_Productkaarten[#All],17,FALSE)*Inschrijfberekening!K17,Inschrijfberekening!E17="Funderingslagen",VLOOKUP(Inschrijf_CO2_Totaal[[#This Row],[Product]]&amp;", "&amp;Inschrijf_CO2_Totaal[[#Headers],[B1]],Database_Productkaarten[#All],17,FALSE)*Inschrijfberekening!K17,Inschrijfberekening!E17="Grondwerken",VLOOKUP(Inschrijf_CO2_Totaal[[#This Row],[Product]]&amp;", "&amp;Inschrijf_CO2_Totaal[[#Headers],[B1]],Database_Productkaarten[#All],17,FALSE)*Inschrijfberekening!K17,Inschrijfberekening!E17="Categorie_1_LCA_Producten",VLOOKUP(Inschrijf_CO2_Totaal[[#This Row],[Product]],Categorie_1_Producten[#All],17,FALSE)*(Inschrijfberekening!K17)),Referentie_Backlog!I62),0))</f>
        <v>0</v>
      </c>
      <c r="J35" s="111">
        <f>(IF(Inschrijfberekening!C17="Nieuwe Situatie",_xlfn.IFNA(SUM(Inschrijf_CO2_Totaal[[#This Row],[A1]:[B1]],Inschrijf_CO2_Totaal[[#This Row],[C1]:[D2]])*Inschrijfberekening!M17,0),0))</f>
        <v>0</v>
      </c>
      <c r="K35" s="273">
        <f>(IF(Inschrijfberekening!C17="Bestaande Situatie",IF(IFERROR((VLOOKUP(Inschrijfberekening!R17,Database_Asfalt_Verwijderset[#All],10,FALSE)*Inschrijfberekening!K17),0)+IFERROR((VLOOKUP(Inschrijfberekening!S17,Database_Overig_Materieel[#All],12,FALSE)*(Inschrijfberekening!L17/VLOOKUP(Inschrijfberekening!S17,Database_Overig_Materieel[#All],12,FALSE))),0)=0,Referentie_Backlog!K62,IFERROR((VLOOKUP(Inschrijfberekening!R17,Database_Asfalt_Verwijderset[#All],12,FALSE)*Inschrijfberekening!K17),0)+IFERROR((VLOOKUP(Inschrijfberekening!S17,Database_Overig_Materieel[#All],12,FALSE)*(Inschrijfberekening!L17/VLOOKUP(Inschrijfberekening!S17,Database_Overig_Materieel[#All],12,FALSE))),0)),0))</f>
        <v>0</v>
      </c>
      <c r="L35" s="111">
        <f>(IF(Inschrijfberekening!C17="Bestaande Situatie",_xlfn.IFNA(VLOOKUP(Inschrijfberekening!U17,Database_Transport[#All],12,FALSE)*(Inschrijfberekening!K17*Inschrijfberekening!T17),Referentie_Backlog!L62),0))</f>
        <v>0</v>
      </c>
      <c r="M35" s="111">
        <f>(IF(Inschrijfberekening!C17="Bestaande Situatie",_xlfn.IFNA(VLOOKUP(Inschrijfberekening!V17,Database_Asfalt_Verwerkingsset[#All],12,FALSE)*(Inschrijfberekening!K17/VLOOKUP(Inschrijfberekening!V17,Database_Asfalt_Verwerkingsset[#All],12,FALSE)),Referentie_Backlog!M62),0))</f>
        <v>0</v>
      </c>
      <c r="N35" s="111">
        <f>(IF(Inschrijfberekening!C17="Bestaande Situatie",_xlfn.IFNA(VLOOKUP(Inschrijf_CO2_Totaal[[#This Row],[Product]]&amp;", "&amp;Inschrijf_MKI_Totaal[[#Headers],[C4]],Database_Productkaarten[#All],12,FALSE)*Inschrijfberekening!K17,Referentie_Backlog!N62),0))</f>
        <v>0</v>
      </c>
      <c r="O35" s="111" cm="1">
        <f t="array" ref="O35">_xlfn.IFNA((IF(Inschrijfberekening!C17="Bestaande Situatie",_xlfn.IFS(Inschrijfberekening!E17="Bitumineuze_verhardingen",VLOOKUP(Inschrijf_CO2_Totaal[[#This Row],[Product]]&amp;", "&amp;Inschrijf_CO2_Totaal[[#Headers],[D1]],Database_Productkaarten[#All],17,FALSE)*Inschrijfberekening!K17,Inschrijfberekening!E17="Funderingslagen",VLOOKUP(Inschrijf_CO2_Totaal[[#This Row],[Product]]&amp;", "&amp;Inschrijf_CO2_Totaal[[#Headers],[D1]],Database_Productkaarten[#All],17,FALSE)*Inschrijfberekening!K17,Inschrijfberekening!E17="Grondwerken",VLOOKUP(Inschrijf_CO2_Totaal[[#This Row],[Product]]&amp;", "&amp;Inschrijf_CO2_Totaal[[#Headers],[D1]],Database_Productkaarten[#All],17,FALSE)*Inschrijfberekening!K17,Inschrijfberekening!E17="Categorie_1_LCA_Producten",VLOOKUP(Inschrijf_CO2_Totaal[[#This Row],[Product]],Categorie_1_Producten[#All],18,FALSE)*(Inschrijfberekening!K17)),0)),Referentie_Backlog!O62)</f>
        <v>0</v>
      </c>
      <c r="P35" s="111" cm="1">
        <f t="array" ref="P35">_xlfn.IFNA((IF(Inschrijfberekening!C17="Bestaande Situatie",_xlfn.IFS(Inschrijfberekening!E17="Bitumineuze_verhardingen",VLOOKUP(Inschrijf_CO2_Totaal[[#This Row],[Product]]&amp;", "&amp;Inschrijf_CO2_Totaal[[#Headers],[D2]],Database_Productkaarten[#All],17,FALSE)*Inschrijfberekening!K17,Inschrijfberekening!E17="Funderingslagen",VLOOKUP(Inschrijf_CO2_Totaal[[#This Row],[Product]]&amp;", "&amp;Inschrijf_CO2_Totaal[[#Headers],[D2]],Database_Productkaarten[#All],17,FALSE)*Inschrijfberekening!K17,Inschrijfberekening!E17="Grondwerken",VLOOKUP(Inschrijf_CO2_Totaal[[#This Row],[Product]]&amp;", "&amp;Inschrijf_CO2_Totaal[[#Headers],[D2]],Database_Productkaarten[#All],17,FALSE)*Inschrijfberekening!K17,Inschrijfberekening!E17="Categorie_1_LCA_Producten",VLOOKUP(Inschrijf_CO2_Totaal[[#This Row],[Product]],Categorie_1_Producten[#All],19,FALSE)*(Inschrijfberekening!K17)),0)),Referentie_Backlog!P62)</f>
        <v>0</v>
      </c>
      <c r="Q35" s="111">
        <f>SUM(Inschrijf_CO2_Totaal[[#This Row],[A1]:[D2]])</f>
        <v>0</v>
      </c>
    </row>
    <row r="36" spans="2:17" ht="18" x14ac:dyDescent="0.55000000000000004">
      <c r="B36" s="285">
        <f>Inschrijfberekening!B18</f>
        <v>0</v>
      </c>
      <c r="C36" s="39">
        <f>Inschrijfberekening!F18</f>
        <v>0</v>
      </c>
      <c r="D36" s="111" cm="1">
        <f t="array" ref="D36">(IF(Inschrijfberekening!C18="Nieuwe Situatie",_xlfn.IFNA(_xlfn.IFS(Inschrijfberekening!E18="Bitumineuze_verhardingen",VLOOKUP(Inschrijf_CO2_Totaal[[#This Row],[Product]]&amp;", "&amp;Inschrijf_CO2_Totaal[[#Headers],[A1]],Database_Productkaarten[#All],17,FALSE)*Inschrijfberekening!K18,Inschrijfberekening!E18="Funderingslagen",VLOOKUP(Inschrijf_CO2_Totaal[[#This Row],[Product]]&amp;", "&amp;Inschrijf_CO2_Totaal[[#Headers],[A1]],Database_Productkaarten[#All],17,FALSE)*Inschrijfberekening!K18,Inschrijfberekening!E18="Grondwerken",VLOOKUP(Inschrijf_CO2_Totaal[[#This Row],[Product]]&amp;", "&amp;Inschrijf_CO2_Totaal[[#Headers],[A1]],Database_Productkaarten[#All],17,FALSE)*Inschrijfberekening!K18,Inschrijfberekening!E18="Categorie_1_LCA_Producten",VLOOKUP(Inschrijf_CO2_Totaal[[#This Row],[Product]],Categorie_1_Producten[#All],14,FALSE)*(Inschrijfberekening!K18)),Referentie_Backlog!D68),0))</f>
        <v>0</v>
      </c>
      <c r="E36" s="111" cm="1">
        <f t="array" ref="E36">(IF(Inschrijfberekening!C18="Nieuwe Situatie",_xlfn.IFNA(_xlfn.IFS(Inschrijfberekening!E18="Bitumineuze_verhardingen",VLOOKUP(Inschrijf_CO2_Totaal[[#This Row],[Product]]&amp;", "&amp;Inschrijf_CO2_Totaal[[#Headers],[A2]],Database_Productkaarten[#All],17,FALSE)*Inschrijfberekening!K18,Inschrijfberekening!E18="Funderingslagen",VLOOKUP(Inschrijf_CO2_Totaal[[#This Row],[Product]]&amp;", "&amp;Inschrijf_CO2_Totaal[[#Headers],[A2]],Database_Productkaarten[#All],17,FALSE)*Inschrijfberekening!K18,Inschrijfberekening!E18="Grondwerken",VLOOKUP(Inschrijf_CO2_Totaal[[#This Row],[Product]]&amp;", "&amp;Inschrijf_CO2_Totaal[[#Headers],[A2]],Database_Productkaarten[#All],17,FALSE)*Inschrijfberekening!K18,Inschrijfberekening!E18="Categorie_1_LCA_Producten",VLOOKUP(Inschrijf_CO2_Totaal[[#This Row],[Product]],Categorie_1_Producten[#All],15,FALSE)*(Inschrijfberekening!K18)),Referentie_Backlog!E68),0))</f>
        <v>0</v>
      </c>
      <c r="F36" s="111" cm="1">
        <f t="array" ref="F36">(IF(Inschrijfberekening!C18="Nieuwe Situatie",_xlfn.IFNA(_xlfn.IFS(Inschrijfberekening!E18="Bitumineuze_verhardingen",VLOOKUP(Inschrijf_CO2_Totaal[[#This Row],[Product]]&amp;", "&amp;Inschrijf_CO2_Totaal[[#Headers],[A3]],Database_Productkaarten[#All],17,FALSE)*Inschrijfberekening!K18,Inschrijfberekening!E18="Funderingslagen",VLOOKUP(Inschrijf_CO2_Totaal[[#This Row],[Product]]&amp;", "&amp;Inschrijf_CO2_Totaal[[#Headers],[A3]],Database_Productkaarten[#All],17,FALSE)*Inschrijfberekening!K18,Inschrijfberekening!E18="Grondwerken",VLOOKUP(Inschrijf_CO2_Totaal[[#This Row],[Product]]&amp;", "&amp;Inschrijf_CO2_Totaal[[#Headers],[A3]],Database_Productkaarten[#All],17,FALSE)*Inschrijfberekening!K18,Inschrijfberekening!E18="Categorie_1_LCA_Producten",VLOOKUP(Inschrijf_CO2_Totaal[[#This Row],[Product]],Categorie_1_Producten[#All],16,FALSE)*(Inschrijfberekening!K18)),Referentie_Backlog!F68),0))</f>
        <v>0</v>
      </c>
      <c r="G36" s="111">
        <f>(IF(Inschrijfberekening!C18="Nieuwe Situatie",_xlfn.IFNA(VLOOKUP(Inschrijfberekening!O18,Database_Transport[#All],12,FALSE)*(Inschrijfberekening!K18*Inschrijfberekening!N18),Referentie_Backlog!G68),0))</f>
        <v>0</v>
      </c>
      <c r="H36" s="272">
        <f>_xlfn.IFNA((IF(Inschrijfberekening!C18="Nieuwe Situatie",(VLOOKUP(Inschrijfberekening!P18,Database_Asfalt_Aanlegset[#All],12,FALSE)*Inschrijfberekening!K18)+IFERROR(((VLOOKUP(Inschrijfberekening!Q18,Database_Overig_Materieel[#All],12,FALSE)*(Inschrijfberekening!L18/VLOOKUP(Inschrijfberekening!Q18,Database_Overig_Materieel[#All],12,FALSE)))),0),0)),Referentie_Backlog!H68)</f>
        <v>0</v>
      </c>
      <c r="I36" s="111" cm="1">
        <f t="array" ref="I36">(IF(Inschrijfberekening!C18="Nieuwe Situatie",_xlfn.IFNA(_xlfn.IFS(Inschrijfberekening!E18="Bitumineuze_verhardingen",VLOOKUP(Inschrijf_CO2_Totaal[[#This Row],[Product]]&amp;", "&amp;Inschrijf_CO2_Totaal[[#Headers],[B1]],Database_Productkaarten[#All],17,FALSE)*Inschrijfberekening!K18,Inschrijfberekening!E18="Funderingslagen",VLOOKUP(Inschrijf_CO2_Totaal[[#This Row],[Product]]&amp;", "&amp;Inschrijf_CO2_Totaal[[#Headers],[B1]],Database_Productkaarten[#All],17,FALSE)*Inschrijfberekening!K18,Inschrijfberekening!E18="Grondwerken",VLOOKUP(Inschrijf_CO2_Totaal[[#This Row],[Product]]&amp;", "&amp;Inschrijf_CO2_Totaal[[#Headers],[B1]],Database_Productkaarten[#All],17,FALSE)*Inschrijfberekening!K18,Inschrijfberekening!E18="Categorie_1_LCA_Producten",VLOOKUP(Inschrijf_CO2_Totaal[[#This Row],[Product]],Categorie_1_Producten[#All],17,FALSE)*(Inschrijfberekening!K18)),Referentie_Backlog!I68),0))</f>
        <v>0</v>
      </c>
      <c r="J36" s="111">
        <f>(IF(Inschrijfberekening!C18="Nieuwe Situatie",_xlfn.IFNA(SUM(Inschrijf_CO2_Totaal[[#This Row],[A1]:[B1]],Inschrijf_CO2_Totaal[[#This Row],[C1]:[D2]])*Inschrijfberekening!M18,0),0))</f>
        <v>0</v>
      </c>
      <c r="K36" s="273">
        <f>(IF(Inschrijfberekening!C18="Bestaande Situatie",IF(IFERROR((VLOOKUP(Inschrijfberekening!R18,Database_Asfalt_Verwijderset[#All],10,FALSE)*Inschrijfberekening!K18),0)+IFERROR((VLOOKUP(Inschrijfberekening!S18,Database_Overig_Materieel[#All],12,FALSE)*(Inschrijfberekening!L18/VLOOKUP(Inschrijfberekening!S18,Database_Overig_Materieel[#All],12,FALSE))),0)=0,Referentie_Backlog!K68,IFERROR((VLOOKUP(Inschrijfberekening!R18,Database_Asfalt_Verwijderset[#All],12,FALSE)*Inschrijfberekening!K18),0)+IFERROR((VLOOKUP(Inschrijfberekening!S18,Database_Overig_Materieel[#All],12,FALSE)*(Inschrijfberekening!L18/VLOOKUP(Inschrijfberekening!S18,Database_Overig_Materieel[#All],12,FALSE))),0)),0))</f>
        <v>0</v>
      </c>
      <c r="L36" s="111">
        <f>(IF(Inschrijfberekening!C18="Bestaande Situatie",_xlfn.IFNA(VLOOKUP(Inschrijfberekening!U18,Database_Transport[#All],12,FALSE)*(Inschrijfberekening!K18*Inschrijfberekening!T18),Referentie_Backlog!L68),0))</f>
        <v>0</v>
      </c>
      <c r="M36" s="111">
        <f>(IF(Inschrijfberekening!C18="Bestaande Situatie",_xlfn.IFNA(VLOOKUP(Inschrijfberekening!V18,Database_Asfalt_Verwerkingsset[#All],12,FALSE)*(Inschrijfberekening!K18/VLOOKUP(Inschrijfberekening!V18,Database_Asfalt_Verwerkingsset[#All],12,FALSE)),Referentie_Backlog!M68),0))</f>
        <v>0</v>
      </c>
      <c r="N36" s="111">
        <f>(IF(Inschrijfberekening!C18="Bestaande Situatie",_xlfn.IFNA(VLOOKUP(Inschrijf_CO2_Totaal[[#This Row],[Product]]&amp;", "&amp;Inschrijf_MKI_Totaal[[#Headers],[C4]],Database_Productkaarten[#All],12,FALSE)*Inschrijfberekening!K18,Referentie_Backlog!N68),0))</f>
        <v>0</v>
      </c>
      <c r="O36" s="111" cm="1">
        <f t="array" ref="O36">_xlfn.IFNA((IF(Inschrijfberekening!C18="Bestaande Situatie",_xlfn.IFS(Inschrijfberekening!E18="Bitumineuze_verhardingen",VLOOKUP(Inschrijf_CO2_Totaal[[#This Row],[Product]]&amp;", "&amp;Inschrijf_CO2_Totaal[[#Headers],[D1]],Database_Productkaarten[#All],17,FALSE)*Inschrijfberekening!K18,Inschrijfberekening!E18="Funderingslagen",VLOOKUP(Inschrijf_CO2_Totaal[[#This Row],[Product]]&amp;", "&amp;Inschrijf_CO2_Totaal[[#Headers],[D1]],Database_Productkaarten[#All],17,FALSE)*Inschrijfberekening!K18,Inschrijfberekening!E18="Grondwerken",VLOOKUP(Inschrijf_CO2_Totaal[[#This Row],[Product]]&amp;", "&amp;Inschrijf_CO2_Totaal[[#Headers],[D1]],Database_Productkaarten[#All],17,FALSE)*Inschrijfberekening!K18,Inschrijfberekening!E18="Categorie_1_LCA_Producten",VLOOKUP(Inschrijf_CO2_Totaal[[#This Row],[Product]],Categorie_1_Producten[#All],18,FALSE)*(Inschrijfberekening!K18)),0)),Referentie_Backlog!O68)</f>
        <v>0</v>
      </c>
      <c r="P36" s="111" cm="1">
        <f t="array" ref="P36">_xlfn.IFNA((IF(Inschrijfberekening!C18="Bestaande Situatie",_xlfn.IFS(Inschrijfberekening!E18="Bitumineuze_verhardingen",VLOOKUP(Inschrijf_CO2_Totaal[[#This Row],[Product]]&amp;", "&amp;Inschrijf_CO2_Totaal[[#Headers],[D2]],Database_Productkaarten[#All],17,FALSE)*Inschrijfberekening!K18,Inschrijfberekening!E18="Funderingslagen",VLOOKUP(Inschrijf_CO2_Totaal[[#This Row],[Product]]&amp;", "&amp;Inschrijf_CO2_Totaal[[#Headers],[D2]],Database_Productkaarten[#All],17,FALSE)*Inschrijfberekening!K18,Inschrijfberekening!E18="Grondwerken",VLOOKUP(Inschrijf_CO2_Totaal[[#This Row],[Product]]&amp;", "&amp;Inschrijf_CO2_Totaal[[#Headers],[D2]],Database_Productkaarten[#All],17,FALSE)*Inschrijfberekening!K18,Inschrijfberekening!E18="Categorie_1_LCA_Producten",VLOOKUP(Inschrijf_CO2_Totaal[[#This Row],[Product]],Categorie_1_Producten[#All],19,FALSE)*(Inschrijfberekening!K18)),0)),Referentie_Backlog!P68)</f>
        <v>0</v>
      </c>
      <c r="Q36" s="111">
        <f>SUM(Inschrijf_CO2_Totaal[[#This Row],[A1]:[D2]])</f>
        <v>0</v>
      </c>
    </row>
    <row r="37" spans="2:17" ht="18" x14ac:dyDescent="0.55000000000000004">
      <c r="B37" s="285">
        <f>Inschrijfberekening!B19</f>
        <v>0</v>
      </c>
      <c r="C37" s="39">
        <f>Inschrijfberekening!F19</f>
        <v>0</v>
      </c>
      <c r="D37" s="111" cm="1">
        <f t="array" ref="D37">(IF(Inschrijfberekening!C19="Nieuwe Situatie",_xlfn.IFNA(_xlfn.IFS(Inschrijfberekening!E19="Bitumineuze_verhardingen",VLOOKUP(Inschrijf_CO2_Totaal[[#This Row],[Product]]&amp;", "&amp;Inschrijf_CO2_Totaal[[#Headers],[A1]],Database_Productkaarten[#All],17,FALSE)*Inschrijfberekening!K19,Inschrijfberekening!E19="Funderingslagen",VLOOKUP(Inschrijf_CO2_Totaal[[#This Row],[Product]]&amp;", "&amp;Inschrijf_CO2_Totaal[[#Headers],[A1]],Database_Productkaarten[#All],17,FALSE)*Inschrijfberekening!K19,Inschrijfberekening!E19="Grondwerken",VLOOKUP(Inschrijf_CO2_Totaal[[#This Row],[Product]]&amp;", "&amp;Inschrijf_CO2_Totaal[[#Headers],[A1]],Database_Productkaarten[#All],17,FALSE)*Inschrijfberekening!K19,Inschrijfberekening!E19="Categorie_1_LCA_Producten",VLOOKUP(Inschrijf_CO2_Totaal[[#This Row],[Product]],Categorie_1_Producten[#All],14,FALSE)*(Inschrijfberekening!K19)),Referentie_Backlog!D69),0))</f>
        <v>0</v>
      </c>
      <c r="E37" s="111" cm="1">
        <f t="array" ref="E37">(IF(Inschrijfberekening!C19="Nieuwe Situatie",_xlfn.IFNA(_xlfn.IFS(Inschrijfberekening!E19="Bitumineuze_verhardingen",VLOOKUP(Inschrijf_CO2_Totaal[[#This Row],[Product]]&amp;", "&amp;Inschrijf_CO2_Totaal[[#Headers],[A2]],Database_Productkaarten[#All],17,FALSE)*Inschrijfberekening!K19,Inschrijfberekening!E19="Funderingslagen",VLOOKUP(Inschrijf_CO2_Totaal[[#This Row],[Product]]&amp;", "&amp;Inschrijf_CO2_Totaal[[#Headers],[A2]],Database_Productkaarten[#All],17,FALSE)*Inschrijfberekening!K19,Inschrijfberekening!E19="Grondwerken",VLOOKUP(Inschrijf_CO2_Totaal[[#This Row],[Product]]&amp;", "&amp;Inschrijf_CO2_Totaal[[#Headers],[A2]],Database_Productkaarten[#All],17,FALSE)*Inschrijfberekening!K19,Inschrijfberekening!E19="Categorie_1_LCA_Producten",VLOOKUP(Inschrijf_CO2_Totaal[[#This Row],[Product]],Categorie_1_Producten[#All],15,FALSE)*(Inschrijfberekening!K19)),Referentie_Backlog!E69),0))</f>
        <v>0</v>
      </c>
      <c r="F37" s="111" cm="1">
        <f t="array" ref="F37">(IF(Inschrijfberekening!C19="Nieuwe Situatie",_xlfn.IFNA(_xlfn.IFS(Inschrijfberekening!E19="Bitumineuze_verhardingen",VLOOKUP(Inschrijf_CO2_Totaal[[#This Row],[Product]]&amp;", "&amp;Inschrijf_CO2_Totaal[[#Headers],[A3]],Database_Productkaarten[#All],17,FALSE)*Inschrijfberekening!K19,Inschrijfberekening!E19="Funderingslagen",VLOOKUP(Inschrijf_CO2_Totaal[[#This Row],[Product]]&amp;", "&amp;Inschrijf_CO2_Totaal[[#Headers],[A3]],Database_Productkaarten[#All],17,FALSE)*Inschrijfberekening!K19,Inschrijfberekening!E19="Grondwerken",VLOOKUP(Inschrijf_CO2_Totaal[[#This Row],[Product]]&amp;", "&amp;Inschrijf_CO2_Totaal[[#Headers],[A3]],Database_Productkaarten[#All],17,FALSE)*Inschrijfberekening!K19,Inschrijfberekening!E19="Categorie_1_LCA_Producten",VLOOKUP(Inschrijf_CO2_Totaal[[#This Row],[Product]],Categorie_1_Producten[#All],16,FALSE)*(Inschrijfberekening!K19)),Referentie_Backlog!F69),0))</f>
        <v>0</v>
      </c>
      <c r="G37" s="111">
        <f>(IF(Inschrijfberekening!C19="Nieuwe Situatie",_xlfn.IFNA(VLOOKUP(Inschrijfberekening!O19,Database_Transport[#All],12,FALSE)*(Inschrijfberekening!K19*Inschrijfberekening!N19),Referentie_Backlog!G69),0))</f>
        <v>0</v>
      </c>
      <c r="H37" s="272">
        <f>_xlfn.IFNA((IF(Inschrijfberekening!C19="Nieuwe Situatie",(VLOOKUP(Inschrijfberekening!P19,Database_Asfalt_Aanlegset[#All],12,FALSE)*Inschrijfberekening!K19)+IFERROR(((VLOOKUP(Inschrijfberekening!Q19,Database_Overig_Materieel[#All],12,FALSE)*(Inschrijfberekening!L19/VLOOKUP(Inschrijfberekening!Q19,Database_Overig_Materieel[#All],12,FALSE)))),0),0)),Referentie_Backlog!H69)</f>
        <v>0</v>
      </c>
      <c r="I37" s="111" cm="1">
        <f t="array" ref="I37">(IF(Inschrijfberekening!C19="Nieuwe Situatie",_xlfn.IFNA(_xlfn.IFS(Inschrijfberekening!E19="Bitumineuze_verhardingen",VLOOKUP(Inschrijf_CO2_Totaal[[#This Row],[Product]]&amp;", "&amp;Inschrijf_CO2_Totaal[[#Headers],[B1]],Database_Productkaarten[#All],17,FALSE)*Inschrijfberekening!K19,Inschrijfberekening!E19="Funderingslagen",VLOOKUP(Inschrijf_CO2_Totaal[[#This Row],[Product]]&amp;", "&amp;Inschrijf_CO2_Totaal[[#Headers],[B1]],Database_Productkaarten[#All],17,FALSE)*Inschrijfberekening!K19,Inschrijfberekening!E19="Grondwerken",VLOOKUP(Inschrijf_CO2_Totaal[[#This Row],[Product]]&amp;", "&amp;Inschrijf_CO2_Totaal[[#Headers],[B1]],Database_Productkaarten[#All],17,FALSE)*Inschrijfberekening!K19,Inschrijfberekening!E19="Categorie_1_LCA_Producten",VLOOKUP(Inschrijf_CO2_Totaal[[#This Row],[Product]],Categorie_1_Producten[#All],17,FALSE)*(Inschrijfberekening!K19)),Referentie_Backlog!I69),0))</f>
        <v>0</v>
      </c>
      <c r="J37" s="111">
        <f>(IF(Inschrijfberekening!C19="Nieuwe Situatie",_xlfn.IFNA(SUM(Inschrijf_CO2_Totaal[[#This Row],[A1]:[B1]],Inschrijf_CO2_Totaal[[#This Row],[C1]:[D2]])*Inschrijfberekening!M19,0),0))</f>
        <v>0</v>
      </c>
      <c r="K37" s="273">
        <f>(IF(Inschrijfberekening!C19="Bestaande Situatie",IF(IFERROR((VLOOKUP(Inschrijfberekening!R19,Database_Asfalt_Verwijderset[#All],10,FALSE)*Inschrijfberekening!K19),0)+IFERROR((VLOOKUP(Inschrijfberekening!S19,Database_Overig_Materieel[#All],12,FALSE)*(Inschrijfberekening!L19/VLOOKUP(Inschrijfberekening!S19,Database_Overig_Materieel[#All],12,FALSE))),0)=0,Referentie_Backlog!K69,IFERROR((VLOOKUP(Inschrijfberekening!R19,Database_Asfalt_Verwijderset[#All],12,FALSE)*Inschrijfberekening!K19),0)+IFERROR((VLOOKUP(Inschrijfberekening!S19,Database_Overig_Materieel[#All],12,FALSE)*(Inschrijfberekening!L19/VLOOKUP(Inschrijfberekening!S19,Database_Overig_Materieel[#All],12,FALSE))),0)),0))</f>
        <v>0</v>
      </c>
      <c r="L37" s="111">
        <f>(IF(Inschrijfberekening!C19="Bestaande Situatie",_xlfn.IFNA(VLOOKUP(Inschrijfberekening!U19,Database_Transport[#All],12,FALSE)*(Inschrijfberekening!K19*Inschrijfberekening!T19),Referentie_Backlog!L69),0))</f>
        <v>0</v>
      </c>
      <c r="M37" s="111">
        <f>(IF(Inschrijfberekening!C19="Bestaande Situatie",_xlfn.IFNA(VLOOKUP(Inschrijfberekening!V19,Database_Asfalt_Verwerkingsset[#All],12,FALSE)*(Inschrijfberekening!K19/VLOOKUP(Inschrijfberekening!V19,Database_Asfalt_Verwerkingsset[#All],12,FALSE)),Referentie_Backlog!M69),0))</f>
        <v>0</v>
      </c>
      <c r="N37" s="111">
        <f>(IF(Inschrijfberekening!C19="Bestaande Situatie",_xlfn.IFNA(VLOOKUP(Inschrijf_CO2_Totaal[[#This Row],[Product]]&amp;", "&amp;Inschrijf_MKI_Totaal[[#Headers],[C4]],Database_Productkaarten[#All],12,FALSE)*Inschrijfberekening!K19,Referentie_Backlog!N69),0))</f>
        <v>0</v>
      </c>
      <c r="O37" s="111" cm="1">
        <f t="array" ref="O37">_xlfn.IFNA((IF(Inschrijfberekening!C19="Bestaande Situatie",_xlfn.IFS(Inschrijfberekening!E19="Bitumineuze_verhardingen",VLOOKUP(Inschrijf_CO2_Totaal[[#This Row],[Product]]&amp;", "&amp;Inschrijf_CO2_Totaal[[#Headers],[D1]],Database_Productkaarten[#All],17,FALSE)*Inschrijfberekening!K19,Inschrijfberekening!E19="Funderingslagen",VLOOKUP(Inschrijf_CO2_Totaal[[#This Row],[Product]]&amp;", "&amp;Inschrijf_CO2_Totaal[[#Headers],[D1]],Database_Productkaarten[#All],17,FALSE)*Inschrijfberekening!K19,Inschrijfberekening!E19="Grondwerken",VLOOKUP(Inschrijf_CO2_Totaal[[#This Row],[Product]]&amp;", "&amp;Inschrijf_CO2_Totaal[[#Headers],[D1]],Database_Productkaarten[#All],17,FALSE)*Inschrijfberekening!K19,Inschrijfberekening!E19="Categorie_1_LCA_Producten",VLOOKUP(Inschrijf_CO2_Totaal[[#This Row],[Product]],Categorie_1_Producten[#All],18,FALSE)*(Inschrijfberekening!K19)),0)),Referentie_Backlog!O69)</f>
        <v>0</v>
      </c>
      <c r="P37" s="111" cm="1">
        <f t="array" ref="P37">_xlfn.IFNA((IF(Inschrijfberekening!C19="Bestaande Situatie",_xlfn.IFS(Inschrijfberekening!E19="Bitumineuze_verhardingen",VLOOKUP(Inschrijf_CO2_Totaal[[#This Row],[Product]]&amp;", "&amp;Inschrijf_CO2_Totaal[[#Headers],[D2]],Database_Productkaarten[#All],17,FALSE)*Inschrijfberekening!K19,Inschrijfberekening!E19="Funderingslagen",VLOOKUP(Inschrijf_CO2_Totaal[[#This Row],[Product]]&amp;", "&amp;Inschrijf_CO2_Totaal[[#Headers],[D2]],Database_Productkaarten[#All],17,FALSE)*Inschrijfberekening!K19,Inschrijfberekening!E19="Grondwerken",VLOOKUP(Inschrijf_CO2_Totaal[[#This Row],[Product]]&amp;", "&amp;Inschrijf_CO2_Totaal[[#Headers],[D2]],Database_Productkaarten[#All],17,FALSE)*Inschrijfberekening!K19,Inschrijfberekening!E19="Categorie_1_LCA_Producten",VLOOKUP(Inschrijf_CO2_Totaal[[#This Row],[Product]],Categorie_1_Producten[#All],19,FALSE)*(Inschrijfberekening!K19)),0)),Referentie_Backlog!P69)</f>
        <v>0</v>
      </c>
      <c r="Q37" s="111">
        <f>SUM(Inschrijf_CO2_Totaal[[#This Row],[A1]:[D2]])</f>
        <v>0</v>
      </c>
    </row>
    <row r="38" spans="2:17" ht="18" x14ac:dyDescent="0.55000000000000004">
      <c r="B38" s="285">
        <f>Inschrijfberekening!B20</f>
        <v>0</v>
      </c>
      <c r="C38" s="39">
        <f>Inschrijfberekening!F20</f>
        <v>0</v>
      </c>
      <c r="D38" s="111" cm="1">
        <f t="array" ref="D38">(IF(Inschrijfberekening!C20="Nieuwe Situatie",_xlfn.IFNA(_xlfn.IFS(Inschrijfberekening!E20="Bitumineuze_verhardingen",VLOOKUP(Inschrijf_CO2_Totaal[[#This Row],[Product]]&amp;", "&amp;Inschrijf_CO2_Totaal[[#Headers],[A1]],Database_Productkaarten[#All],17,FALSE)*Inschrijfberekening!K20,Inschrijfberekening!E20="Funderingslagen",VLOOKUP(Inschrijf_CO2_Totaal[[#This Row],[Product]]&amp;", "&amp;Inschrijf_CO2_Totaal[[#Headers],[A1]],Database_Productkaarten[#All],17,FALSE)*Inschrijfberekening!K20,Inschrijfberekening!E20="Grondwerken",VLOOKUP(Inschrijf_CO2_Totaal[[#This Row],[Product]]&amp;", "&amp;Inschrijf_CO2_Totaal[[#Headers],[A1]],Database_Productkaarten[#All],17,FALSE)*Inschrijfberekening!K20,Inschrijfberekening!E20="Categorie_1_LCA_Producten",VLOOKUP(Inschrijf_CO2_Totaal[[#This Row],[Product]],Categorie_1_Producten[#All],14,FALSE)*(Inschrijfberekening!K20)),Referentie_Backlog!D70),0))</f>
        <v>0</v>
      </c>
      <c r="E38" s="111" cm="1">
        <f t="array" ref="E38">(IF(Inschrijfberekening!C20="Nieuwe Situatie",_xlfn.IFNA(_xlfn.IFS(Inschrijfberekening!E20="Bitumineuze_verhardingen",VLOOKUP(Inschrijf_CO2_Totaal[[#This Row],[Product]]&amp;", "&amp;Inschrijf_CO2_Totaal[[#Headers],[A2]],Database_Productkaarten[#All],17,FALSE)*Inschrijfberekening!K20,Inschrijfberekening!E20="Funderingslagen",VLOOKUP(Inschrijf_CO2_Totaal[[#This Row],[Product]]&amp;", "&amp;Inschrijf_CO2_Totaal[[#Headers],[A2]],Database_Productkaarten[#All],17,FALSE)*Inschrijfberekening!K20,Inschrijfberekening!E20="Grondwerken",VLOOKUP(Inschrijf_CO2_Totaal[[#This Row],[Product]]&amp;", "&amp;Inschrijf_CO2_Totaal[[#Headers],[A2]],Database_Productkaarten[#All],17,FALSE)*Inschrijfberekening!K20,Inschrijfberekening!E20="Categorie_1_LCA_Producten",VLOOKUP(Inschrijf_CO2_Totaal[[#This Row],[Product]],Categorie_1_Producten[#All],15,FALSE)*(Inschrijfberekening!K20)),Referentie_Backlog!E70),0))</f>
        <v>0</v>
      </c>
      <c r="F38" s="111" cm="1">
        <f t="array" ref="F38">(IF(Inschrijfberekening!C20="Nieuwe Situatie",_xlfn.IFNA(_xlfn.IFS(Inschrijfberekening!E20="Bitumineuze_verhardingen",VLOOKUP(Inschrijf_CO2_Totaal[[#This Row],[Product]]&amp;", "&amp;Inschrijf_CO2_Totaal[[#Headers],[A3]],Database_Productkaarten[#All],17,FALSE)*Inschrijfberekening!K20,Inschrijfberekening!E20="Funderingslagen",VLOOKUP(Inschrijf_CO2_Totaal[[#This Row],[Product]]&amp;", "&amp;Inschrijf_CO2_Totaal[[#Headers],[A3]],Database_Productkaarten[#All],17,FALSE)*Inschrijfberekening!K20,Inschrijfberekening!E20="Grondwerken",VLOOKUP(Inschrijf_CO2_Totaal[[#This Row],[Product]]&amp;", "&amp;Inschrijf_CO2_Totaal[[#Headers],[A3]],Database_Productkaarten[#All],17,FALSE)*Inschrijfberekening!K20,Inschrijfberekening!E20="Categorie_1_LCA_Producten",VLOOKUP(Inschrijf_CO2_Totaal[[#This Row],[Product]],Categorie_1_Producten[#All],16,FALSE)*(Inschrijfberekening!K20)),Referentie_Backlog!F70),0))</f>
        <v>0</v>
      </c>
      <c r="G38" s="111">
        <f>(IF(Inschrijfberekening!C20="Nieuwe Situatie",_xlfn.IFNA(VLOOKUP(Inschrijfberekening!O20,Database_Transport[#All],12,FALSE)*(Inschrijfberekening!K20*Inschrijfberekening!N20),Referentie_Backlog!G70),0))</f>
        <v>0</v>
      </c>
      <c r="H38" s="272">
        <f>_xlfn.IFNA((IF(Inschrijfberekening!C20="Nieuwe Situatie",(VLOOKUP(Inschrijfberekening!P20,Database_Asfalt_Aanlegset[#All],12,FALSE)*Inschrijfberekening!K20)+IFERROR(((VLOOKUP(Inschrijfberekening!Q20,Database_Overig_Materieel[#All],12,FALSE)*(Inschrijfberekening!L20/VLOOKUP(Inschrijfberekening!Q20,Database_Overig_Materieel[#All],12,FALSE)))),0),0)),Referentie_Backlog!H70)</f>
        <v>0</v>
      </c>
      <c r="I38" s="111" cm="1">
        <f t="array" ref="I38">(IF(Inschrijfberekening!C20="Nieuwe Situatie",_xlfn.IFNA(_xlfn.IFS(Inschrijfberekening!E20="Bitumineuze_verhardingen",VLOOKUP(Inschrijf_CO2_Totaal[[#This Row],[Product]]&amp;", "&amp;Inschrijf_CO2_Totaal[[#Headers],[B1]],Database_Productkaarten[#All],17,FALSE)*Inschrijfberekening!K20,Inschrijfberekening!E20="Funderingslagen",VLOOKUP(Inschrijf_CO2_Totaal[[#This Row],[Product]]&amp;", "&amp;Inschrijf_CO2_Totaal[[#Headers],[B1]],Database_Productkaarten[#All],17,FALSE)*Inschrijfberekening!K20,Inschrijfberekening!E20="Grondwerken",VLOOKUP(Inschrijf_CO2_Totaal[[#This Row],[Product]]&amp;", "&amp;Inschrijf_CO2_Totaal[[#Headers],[B1]],Database_Productkaarten[#All],17,FALSE)*Inschrijfberekening!K20,Inschrijfberekening!E20="Categorie_1_LCA_Producten",VLOOKUP(Inschrijf_CO2_Totaal[[#This Row],[Product]],Categorie_1_Producten[#All],17,FALSE)*(Inschrijfberekening!K20)),Referentie_Backlog!I70),0))</f>
        <v>0</v>
      </c>
      <c r="J38" s="111">
        <f>(IF(Inschrijfberekening!C20="Nieuwe Situatie",_xlfn.IFNA(SUM(Inschrijf_CO2_Totaal[[#This Row],[A1]:[B1]],Inschrijf_CO2_Totaal[[#This Row],[C1]:[D2]])*Inschrijfberekening!M20,0),0))</f>
        <v>0</v>
      </c>
      <c r="K38" s="273">
        <f>(IF(Inschrijfberekening!C20="Bestaande Situatie",IF(IFERROR((VLOOKUP(Inschrijfberekening!R20,Database_Asfalt_Verwijderset[#All],10,FALSE)*Inschrijfberekening!K20),0)+IFERROR((VLOOKUP(Inschrijfberekening!S20,Database_Overig_Materieel[#All],12,FALSE)*(Inschrijfberekening!L20/VLOOKUP(Inschrijfberekening!S20,Database_Overig_Materieel[#All],12,FALSE))),0)=0,Referentie_Backlog!K70,IFERROR((VLOOKUP(Inschrijfberekening!R20,Database_Asfalt_Verwijderset[#All],12,FALSE)*Inschrijfberekening!K20),0)+IFERROR((VLOOKUP(Inschrijfberekening!S20,Database_Overig_Materieel[#All],12,FALSE)*(Inschrijfberekening!L20/VLOOKUP(Inschrijfberekening!S20,Database_Overig_Materieel[#All],12,FALSE))),0)),0))</f>
        <v>0</v>
      </c>
      <c r="L38" s="111">
        <f>(IF(Inschrijfberekening!C20="Bestaande Situatie",_xlfn.IFNA(VLOOKUP(Inschrijfberekening!U20,Database_Transport[#All],12,FALSE)*(Inschrijfberekening!K20*Inschrijfberekening!T20),Referentie_Backlog!L70),0))</f>
        <v>0</v>
      </c>
      <c r="M38" s="111">
        <f>(IF(Inschrijfberekening!C20="Bestaande Situatie",_xlfn.IFNA(VLOOKUP(Inschrijfberekening!V20,Database_Asfalt_Verwerkingsset[#All],12,FALSE)*(Inschrijfberekening!K20/VLOOKUP(Inschrijfberekening!V20,Database_Asfalt_Verwerkingsset[#All],12,FALSE)),Referentie_Backlog!M70),0))</f>
        <v>0</v>
      </c>
      <c r="N38" s="111">
        <f>(IF(Inschrijfberekening!C20="Bestaande Situatie",_xlfn.IFNA(VLOOKUP(Inschrijf_CO2_Totaal[[#This Row],[Product]]&amp;", "&amp;Inschrijf_MKI_Totaal[[#Headers],[C4]],Database_Productkaarten[#All],12,FALSE)*Inschrijfberekening!K20,Referentie_Backlog!N70),0))</f>
        <v>0</v>
      </c>
      <c r="O38" s="111" cm="1">
        <f t="array" ref="O38">_xlfn.IFNA((IF(Inschrijfberekening!C20="Bestaande Situatie",_xlfn.IFS(Inschrijfberekening!E20="Bitumineuze_verhardingen",VLOOKUP(Inschrijf_CO2_Totaal[[#This Row],[Product]]&amp;", "&amp;Inschrijf_CO2_Totaal[[#Headers],[D1]],Database_Productkaarten[#All],17,FALSE)*Inschrijfberekening!K20,Inschrijfberekening!E20="Funderingslagen",VLOOKUP(Inschrijf_CO2_Totaal[[#This Row],[Product]]&amp;", "&amp;Inschrijf_CO2_Totaal[[#Headers],[D1]],Database_Productkaarten[#All],17,FALSE)*Inschrijfberekening!K20,Inschrijfberekening!E20="Grondwerken",VLOOKUP(Inschrijf_CO2_Totaal[[#This Row],[Product]]&amp;", "&amp;Inschrijf_CO2_Totaal[[#Headers],[D1]],Database_Productkaarten[#All],17,FALSE)*Inschrijfberekening!K20,Inschrijfberekening!E20="Categorie_1_LCA_Producten",VLOOKUP(Inschrijf_CO2_Totaal[[#This Row],[Product]],Categorie_1_Producten[#All],18,FALSE)*(Inschrijfberekening!K20)),0)),Referentie_Backlog!O70)</f>
        <v>0</v>
      </c>
      <c r="P38" s="111" cm="1">
        <f t="array" ref="P38">_xlfn.IFNA((IF(Inschrijfberekening!C20="Bestaande Situatie",_xlfn.IFS(Inschrijfberekening!E20="Bitumineuze_verhardingen",VLOOKUP(Inschrijf_CO2_Totaal[[#This Row],[Product]]&amp;", "&amp;Inschrijf_CO2_Totaal[[#Headers],[D2]],Database_Productkaarten[#All],17,FALSE)*Inschrijfberekening!K20,Inschrijfberekening!E20="Funderingslagen",VLOOKUP(Inschrijf_CO2_Totaal[[#This Row],[Product]]&amp;", "&amp;Inschrijf_CO2_Totaal[[#Headers],[D2]],Database_Productkaarten[#All],17,FALSE)*Inschrijfberekening!K20,Inschrijfberekening!E20="Grondwerken",VLOOKUP(Inschrijf_CO2_Totaal[[#This Row],[Product]]&amp;", "&amp;Inschrijf_CO2_Totaal[[#Headers],[D2]],Database_Productkaarten[#All],17,FALSE)*Inschrijfberekening!K20,Inschrijfberekening!E20="Categorie_1_LCA_Producten",VLOOKUP(Inschrijf_CO2_Totaal[[#This Row],[Product]],Categorie_1_Producten[#All],19,FALSE)*(Inschrijfberekening!K20)),0)),Referentie_Backlog!P70)</f>
        <v>0</v>
      </c>
      <c r="Q38" s="111">
        <f>SUM(Inschrijf_CO2_Totaal[[#This Row],[A1]:[D2]])</f>
        <v>0</v>
      </c>
    </row>
    <row r="39" spans="2:17" ht="18" x14ac:dyDescent="0.55000000000000004">
      <c r="B39" s="23" t="s">
        <v>16</v>
      </c>
      <c r="C39" s="23"/>
      <c r="D39" s="77">
        <f>SUBTOTAL(109,Inschrijf_CO2_Totaal[A1])</f>
        <v>41470.524729965749</v>
      </c>
      <c r="E39" s="77">
        <f>SUBTOTAL(109,Inschrijf_CO2_Totaal[A2])</f>
        <v>181.61975002450498</v>
      </c>
      <c r="F39" s="77">
        <f>SUBTOTAL(109,Inschrijf_CO2_Totaal[A3])</f>
        <v>234.77935906557838</v>
      </c>
      <c r="G39" s="77">
        <f>SUBTOTAL(109,Inschrijf_CO2_Totaal[A4])</f>
        <v>8654.9291051599976</v>
      </c>
      <c r="H39" s="77">
        <f>SUBTOTAL(109,Inschrijf_CO2_Totaal[A5])</f>
        <v>5233.2079170468087</v>
      </c>
      <c r="I39" s="77">
        <f>SUBTOTAL(109,Inschrijf_CO2_Totaal[B1])</f>
        <v>0</v>
      </c>
      <c r="J39" s="77">
        <f>SUBTOTAL(109,Inschrijf_CO2_Totaal[B4])</f>
        <v>0</v>
      </c>
      <c r="K39" s="77">
        <f>SUBTOTAL(109,Inschrijf_CO2_Totaal[C1])</f>
        <v>0</v>
      </c>
      <c r="L39" s="77">
        <f>SUBTOTAL(109,Inschrijf_CO2_Totaal[C2])</f>
        <v>0</v>
      </c>
      <c r="M39" s="77">
        <f>SUBTOTAL(109,Inschrijf_CO2_Totaal[C3])</f>
        <v>0</v>
      </c>
      <c r="N39" s="77">
        <f>SUBTOTAL(109,Inschrijf_CO2_Totaal[C4])</f>
        <v>0</v>
      </c>
      <c r="O39" s="77">
        <f>SUBTOTAL(109,Inschrijf_CO2_Totaal[D1])</f>
        <v>0</v>
      </c>
      <c r="P39" s="77">
        <f>SUBTOTAL(109,Inschrijf_CO2_Totaal[D2])</f>
        <v>0</v>
      </c>
      <c r="Q39" s="190">
        <f>SUBTOTAL(109,Inschrijf_CO2_Totaal[Totaal])</f>
        <v>55775.060861262638</v>
      </c>
    </row>
    <row r="42" spans="2:17" ht="22" x14ac:dyDescent="0.65">
      <c r="B42" s="134" t="s">
        <v>314</v>
      </c>
      <c r="C42" s="134"/>
      <c r="D42" s="134"/>
    </row>
    <row r="43" spans="2:17" ht="18.5" thickBot="1" x14ac:dyDescent="0.6">
      <c r="B43" s="65" t="s">
        <v>55</v>
      </c>
      <c r="C43" s="66" t="s">
        <v>4</v>
      </c>
      <c r="D43" s="74" t="s">
        <v>2</v>
      </c>
      <c r="E43" s="75" t="s">
        <v>310</v>
      </c>
      <c r="F43" s="75" t="s">
        <v>312</v>
      </c>
      <c r="G43" s="75" t="s">
        <v>313</v>
      </c>
      <c r="H43" s="74" t="s">
        <v>486</v>
      </c>
      <c r="I43" s="75" t="s">
        <v>487</v>
      </c>
      <c r="J43" s="75" t="s">
        <v>488</v>
      </c>
      <c r="K43" s="195" t="s">
        <v>494</v>
      </c>
      <c r="L43" s="195" t="s">
        <v>495</v>
      </c>
      <c r="M43" s="195" t="s">
        <v>493</v>
      </c>
    </row>
    <row r="44" spans="2:17" ht="18.5" thickTop="1" x14ac:dyDescent="0.55000000000000004">
      <c r="B44" s="286">
        <f>Inschrijfberekening!B6</f>
        <v>422410</v>
      </c>
      <c r="C44" s="67" t="str">
        <f>Inschrijfberekening!F6</f>
        <v>20460-TB - AC 16 Bin/Base 35/50 60% PR Bestone</v>
      </c>
      <c r="D44" s="117">
        <f>Inschrijfberekening!K6</f>
        <v>266</v>
      </c>
      <c r="E44" s="76">
        <f>_xlfn.IFNA(IF(Inschrijfberekening!E6="Categorie_1_LCA_Producten",VLOOKUP(Inschrijfberekening!F6,Categorie_1_Producten[#All],6,FALSE),VLOOKUP(Inschrijfberekening!F6&amp;", "&amp;"Totaal",Database_Productkaarten[#All],63,FALSE)),0)</f>
        <v>0</v>
      </c>
      <c r="F44" s="118">
        <f>Inschrijf_Materiaal_Totaal[[#This Row],[Hoeveelheid '[ton']]]*(1-Inschrijf_Materiaal_Totaal[[#This Row],[% Secundair]])</f>
        <v>266</v>
      </c>
      <c r="G44" s="118">
        <f>Inschrijf_Materiaal_Totaal[[#This Row],[Hoeveelheid '[ton']]]*Inschrijf_Materiaal_Totaal[[#This Row],[% Secundair]]</f>
        <v>0</v>
      </c>
      <c r="H44" s="176">
        <f>Inschrijfberekening!K6*Inschrijfberekening!M6</f>
        <v>0</v>
      </c>
      <c r="I44" s="176">
        <f>Inschrijf_Materiaal_Totaal[[#This Row],[Hoeveelheid Vervangingen '[ton']]]*(1-Inschrijf_Materiaal_Totaal[[#This Row],[% Secundair]])</f>
        <v>0</v>
      </c>
      <c r="J44" s="176">
        <f>Inschrijf_Materiaal_Totaal[[#This Row],[Primair materiaalverbruik Vervangingen]]*Inschrijf_Materiaal_Totaal[[#This Row],[% Secundair]]</f>
        <v>0</v>
      </c>
      <c r="K44" s="176">
        <f>Inschrijf_Materiaal_Totaal[[#This Row],[Primair materiaalverbruik]]+Inschrijf_Materiaal_Totaal[[#This Row],[Secundair Materiaalverbruik Vervangingen]]</f>
        <v>266</v>
      </c>
      <c r="L44" s="176">
        <f>Inschrijf_Materiaal_Totaal[[#This Row],[Secundair Materiaalverbruik]]+Inschrijf_Materiaal_Totaal[[#This Row],[Secundair Materiaalverbruik Vervangingen]]</f>
        <v>0</v>
      </c>
      <c r="M44" s="176">
        <f>Inschrijf_Materiaal_Totaal[[#This Row],[Totaal Primair Materieelgebruik]]+Inschrijf_Materiaal_Totaal[[#This Row],[Totaal Secundair Materieelgebruik]]</f>
        <v>266</v>
      </c>
    </row>
    <row r="45" spans="2:17" ht="18" x14ac:dyDescent="0.55000000000000004">
      <c r="B45" s="286">
        <f>Inschrijfberekening!B7</f>
        <v>422510</v>
      </c>
      <c r="C45" s="67" t="str">
        <f>Inschrijfberekening!F7</f>
        <v>AC 11 surf DL-A rood*</v>
      </c>
      <c r="D45" s="117">
        <f>Inschrijfberekening!K7</f>
        <v>6.5</v>
      </c>
      <c r="E45" s="76">
        <f>_xlfn.IFNA(IF(Inschrijfberekening!E7="Categorie_1_LCA_Producten",VLOOKUP(Inschrijfberekening!F7,Categorie_1_Producten[#All],6,FALSE),VLOOKUP(Inschrijfberekening!F7&amp;", "&amp;"Totaal",Database_Productkaarten[#All],63,FALSE)),0)</f>
        <v>0</v>
      </c>
      <c r="F45" s="117">
        <f>Inschrijf_Materiaal_Totaal[[#This Row],[Hoeveelheid '[ton']]]*(1-Inschrijf_Materiaal_Totaal[[#This Row],[% Secundair]])</f>
        <v>6.5</v>
      </c>
      <c r="G45" s="117">
        <f>Inschrijf_Materiaal_Totaal[[#This Row],[Hoeveelheid '[ton']]]*Inschrijf_Materiaal_Totaal[[#This Row],[% Secundair]]</f>
        <v>0</v>
      </c>
      <c r="H45" s="175">
        <f>Inschrijfberekening!K7*Inschrijfberekening!M7</f>
        <v>0</v>
      </c>
      <c r="I45" s="175">
        <f>Inschrijf_Materiaal_Totaal[[#This Row],[Hoeveelheid Vervangingen '[ton']]]*(1-Inschrijf_Materiaal_Totaal[[#This Row],[% Secundair]])</f>
        <v>0</v>
      </c>
      <c r="J45" s="175">
        <f>Inschrijf_Materiaal_Totaal[[#This Row],[Primair materiaalverbruik Vervangingen]]*Inschrijf_Materiaal_Totaal[[#This Row],[% Secundair]]</f>
        <v>0</v>
      </c>
      <c r="K45" s="175">
        <f>Inschrijf_Materiaal_Totaal[[#This Row],[Primair materiaalverbruik]]+Inschrijf_Materiaal_Totaal[[#This Row],[Secundair Materiaalverbruik Vervangingen]]</f>
        <v>6.5</v>
      </c>
      <c r="L45" s="175">
        <f>Inschrijf_Materiaal_Totaal[[#This Row],[Secundair Materiaalverbruik]]+Inschrijf_Materiaal_Totaal[[#This Row],[Secundair Materiaalverbruik Vervangingen]]</f>
        <v>0</v>
      </c>
      <c r="M45" s="175">
        <f>Inschrijf_Materiaal_Totaal[[#This Row],[Totaal Primair Materieelgebruik]]+Inschrijf_Materiaal_Totaal[[#This Row],[Totaal Secundair Materieelgebruik]]</f>
        <v>6.5</v>
      </c>
    </row>
    <row r="46" spans="2:17" ht="18" x14ac:dyDescent="0.55000000000000004">
      <c r="B46" s="286">
        <f>Inschrijfberekening!B8</f>
        <v>422520</v>
      </c>
      <c r="C46" s="67" t="str">
        <f>Inschrijfberekening!F8</f>
        <v>88405-TB - SMA-NL 11B 40/60 Bestone</v>
      </c>
      <c r="D46" s="117">
        <f>Inschrijfberekening!K8</f>
        <v>1700</v>
      </c>
      <c r="E46" s="76">
        <f>_xlfn.IFNA(IF(Inschrijfberekening!E8="Categorie_1_LCA_Producten",VLOOKUP(Inschrijfberekening!F8,Categorie_1_Producten[#All],6,FALSE),VLOOKUP(Inschrijfberekening!F8&amp;", "&amp;"Totaal",Database_Productkaarten[#All],63,FALSE)),0)</f>
        <v>0</v>
      </c>
      <c r="F46" s="117">
        <f>Inschrijf_Materiaal_Totaal[[#This Row],[Hoeveelheid '[ton']]]*(1-Inschrijf_Materiaal_Totaal[[#This Row],[% Secundair]])</f>
        <v>1700</v>
      </c>
      <c r="G46" s="117">
        <f>Inschrijf_Materiaal_Totaal[[#This Row],[Hoeveelheid '[ton']]]*Inschrijf_Materiaal_Totaal[[#This Row],[% Secundair]]</f>
        <v>0</v>
      </c>
      <c r="H46" s="175">
        <f>Inschrijfberekening!K8*Inschrijfberekening!M8</f>
        <v>0</v>
      </c>
      <c r="I46" s="175">
        <f>Inschrijf_Materiaal_Totaal[[#This Row],[Hoeveelheid Vervangingen '[ton']]]*(1-Inschrijf_Materiaal_Totaal[[#This Row],[% Secundair]])</f>
        <v>0</v>
      </c>
      <c r="J46" s="175">
        <f>Inschrijf_Materiaal_Totaal[[#This Row],[Primair materiaalverbruik Vervangingen]]*Inschrijf_Materiaal_Totaal[[#This Row],[% Secundair]]</f>
        <v>0</v>
      </c>
      <c r="K46" s="175">
        <f>Inschrijf_Materiaal_Totaal[[#This Row],[Primair materiaalverbruik]]+Inschrijf_Materiaal_Totaal[[#This Row],[Secundair Materiaalverbruik Vervangingen]]</f>
        <v>1700</v>
      </c>
      <c r="L46" s="175">
        <f>Inschrijf_Materiaal_Totaal[[#This Row],[Secundair Materiaalverbruik]]+Inschrijf_Materiaal_Totaal[[#This Row],[Secundair Materiaalverbruik Vervangingen]]</f>
        <v>0</v>
      </c>
      <c r="M46" s="175">
        <f>Inschrijf_Materiaal_Totaal[[#This Row],[Totaal Primair Materieelgebruik]]+Inschrijf_Materiaal_Totaal[[#This Row],[Totaal Secundair Materieelgebruik]]</f>
        <v>1700</v>
      </c>
    </row>
    <row r="47" spans="2:17" ht="18" x14ac:dyDescent="0.55000000000000004">
      <c r="B47" s="286">
        <f>Inschrijfberekening!B9</f>
        <v>601230</v>
      </c>
      <c r="C47" s="67" t="str">
        <f>Inschrijfberekening!F9</f>
        <v>20060-TB - AC 22 Bin/Base 35/50 60% PR Bestone</v>
      </c>
      <c r="D47" s="117">
        <f>Inschrijfberekening!K9</f>
        <v>1.3</v>
      </c>
      <c r="E47" s="76">
        <f>_xlfn.IFNA(IF(Inschrijfberekening!E9="Categorie_1_LCA_Producten",VLOOKUP(Inschrijfberekening!F9,Categorie_1_Producten[#All],6,FALSE),VLOOKUP(Inschrijfberekening!F9&amp;", "&amp;"Totaal",Database_Productkaarten[#All],63,FALSE)),0)</f>
        <v>0</v>
      </c>
      <c r="F47" s="117">
        <f>Inschrijf_Materiaal_Totaal[[#This Row],[Hoeveelheid '[ton']]]*(1-Inschrijf_Materiaal_Totaal[[#This Row],[% Secundair]])</f>
        <v>1.3</v>
      </c>
      <c r="G47" s="117">
        <f>Inschrijf_Materiaal_Totaal[[#This Row],[Hoeveelheid '[ton']]]*Inschrijf_Materiaal_Totaal[[#This Row],[% Secundair]]</f>
        <v>0</v>
      </c>
      <c r="H47" s="175">
        <f>Inschrijfberekening!K9*Inschrijfberekening!M9</f>
        <v>0</v>
      </c>
      <c r="I47" s="175">
        <f>Inschrijf_Materiaal_Totaal[[#This Row],[Hoeveelheid Vervangingen '[ton']]]*(1-Inschrijf_Materiaal_Totaal[[#This Row],[% Secundair]])</f>
        <v>0</v>
      </c>
      <c r="J47" s="175">
        <f>Inschrijf_Materiaal_Totaal[[#This Row],[Primair materiaalverbruik Vervangingen]]*Inschrijf_Materiaal_Totaal[[#This Row],[% Secundair]]</f>
        <v>0</v>
      </c>
      <c r="K47" s="175">
        <f>Inschrijf_Materiaal_Totaal[[#This Row],[Primair materiaalverbruik]]+Inschrijf_Materiaal_Totaal[[#This Row],[Secundair Materiaalverbruik Vervangingen]]</f>
        <v>1.3</v>
      </c>
      <c r="L47" s="175">
        <f>Inschrijf_Materiaal_Totaal[[#This Row],[Secundair Materiaalverbruik]]+Inschrijf_Materiaal_Totaal[[#This Row],[Secundair Materiaalverbruik Vervangingen]]</f>
        <v>0</v>
      </c>
      <c r="M47" s="175">
        <f>Inschrijf_Materiaal_Totaal[[#This Row],[Totaal Primair Materieelgebruik]]+Inschrijf_Materiaal_Totaal[[#This Row],[Totaal Secundair Materieelgebruik]]</f>
        <v>1.3</v>
      </c>
    </row>
    <row r="48" spans="2:17" ht="18" x14ac:dyDescent="0.55000000000000004">
      <c r="B48" s="286">
        <f>Inschrijfberekening!B10</f>
        <v>601240</v>
      </c>
      <c r="C48" s="67" t="str">
        <f>Inschrijfberekening!F10</f>
        <v>20060-TB - AC 22 Bin/Base 35/50 60% PR Bestone</v>
      </c>
      <c r="D48" s="117">
        <f>Inschrijfberekening!K10</f>
        <v>13</v>
      </c>
      <c r="E48" s="76">
        <f>_xlfn.IFNA(IF(Inschrijfberekening!E10="Categorie_1_LCA_Producten",VLOOKUP(Inschrijfberekening!F10,Categorie_1_Producten[#All],6,FALSE),VLOOKUP(Inschrijfberekening!F10&amp;", "&amp;"Totaal",Database_Productkaarten[#All],63,FALSE)),0)</f>
        <v>0</v>
      </c>
      <c r="F48" s="117">
        <f>Inschrijf_Materiaal_Totaal[[#This Row],[Hoeveelheid '[ton']]]*(1-Inschrijf_Materiaal_Totaal[[#This Row],[% Secundair]])</f>
        <v>13</v>
      </c>
      <c r="G48" s="117">
        <f>Inschrijf_Materiaal_Totaal[[#This Row],[Hoeveelheid '[ton']]]*Inschrijf_Materiaal_Totaal[[#This Row],[% Secundair]]</f>
        <v>0</v>
      </c>
      <c r="H48" s="175">
        <f>Inschrijfberekening!K10*Inschrijfberekening!M10</f>
        <v>0</v>
      </c>
      <c r="I48" s="175">
        <f>Inschrijf_Materiaal_Totaal[[#This Row],[Hoeveelheid Vervangingen '[ton']]]*(1-Inschrijf_Materiaal_Totaal[[#This Row],[% Secundair]])</f>
        <v>0</v>
      </c>
      <c r="J48" s="175">
        <f>Inschrijf_Materiaal_Totaal[[#This Row],[Primair materiaalverbruik Vervangingen]]*Inschrijf_Materiaal_Totaal[[#This Row],[% Secundair]]</f>
        <v>0</v>
      </c>
      <c r="K48" s="175">
        <f>Inschrijf_Materiaal_Totaal[[#This Row],[Primair materiaalverbruik]]+Inschrijf_Materiaal_Totaal[[#This Row],[Secundair Materiaalverbruik Vervangingen]]</f>
        <v>13</v>
      </c>
      <c r="L48" s="175">
        <f>Inschrijf_Materiaal_Totaal[[#This Row],[Secundair Materiaalverbruik]]+Inschrijf_Materiaal_Totaal[[#This Row],[Secundair Materiaalverbruik Vervangingen]]</f>
        <v>0</v>
      </c>
      <c r="M48" s="175">
        <f>Inschrijf_Materiaal_Totaal[[#This Row],[Totaal Primair Materieelgebruik]]+Inschrijf_Materiaal_Totaal[[#This Row],[Totaal Secundair Materieelgebruik]]</f>
        <v>13</v>
      </c>
    </row>
    <row r="49" spans="2:17" ht="18" x14ac:dyDescent="0.55000000000000004">
      <c r="B49" s="286">
        <f>Inschrijfberekening!B11</f>
        <v>601250</v>
      </c>
      <c r="C49" s="67" t="str">
        <f>Inschrijfberekening!F11</f>
        <v>20460-TB - AC 16 Bin/Base 35/50 60% PR Bestone</v>
      </c>
      <c r="D49" s="117">
        <f>Inschrijfberekening!K11</f>
        <v>23</v>
      </c>
      <c r="E49" s="76">
        <f>_xlfn.IFNA(IF(Inschrijfberekening!E11="Categorie_1_LCA_Producten",VLOOKUP(Inschrijfberekening!F11,Categorie_1_Producten[#All],6,FALSE),VLOOKUP(Inschrijfberekening!F11&amp;", "&amp;"Totaal",Database_Productkaarten[#All],63,FALSE)),0)</f>
        <v>0</v>
      </c>
      <c r="F49" s="117">
        <f>Inschrijf_Materiaal_Totaal[[#This Row],[Hoeveelheid '[ton']]]*(1-Inschrijf_Materiaal_Totaal[[#This Row],[% Secundair]])</f>
        <v>23</v>
      </c>
      <c r="G49" s="117">
        <f>Inschrijf_Materiaal_Totaal[[#This Row],[Hoeveelheid '[ton']]]*Inschrijf_Materiaal_Totaal[[#This Row],[% Secundair]]</f>
        <v>0</v>
      </c>
      <c r="H49" s="175">
        <f>Inschrijfberekening!K11*Inschrijfberekening!M11</f>
        <v>0</v>
      </c>
      <c r="I49" s="175">
        <f>Inschrijf_Materiaal_Totaal[[#This Row],[Hoeveelheid Vervangingen '[ton']]]*(1-Inschrijf_Materiaal_Totaal[[#This Row],[% Secundair]])</f>
        <v>0</v>
      </c>
      <c r="J49" s="175">
        <f>Inschrijf_Materiaal_Totaal[[#This Row],[Primair materiaalverbruik Vervangingen]]*Inschrijf_Materiaal_Totaal[[#This Row],[% Secundair]]</f>
        <v>0</v>
      </c>
      <c r="K49" s="175">
        <f>Inschrijf_Materiaal_Totaal[[#This Row],[Primair materiaalverbruik]]+Inschrijf_Materiaal_Totaal[[#This Row],[Secundair Materiaalverbruik Vervangingen]]</f>
        <v>23</v>
      </c>
      <c r="L49" s="175">
        <f>Inschrijf_Materiaal_Totaal[[#This Row],[Secundair Materiaalverbruik]]+Inschrijf_Materiaal_Totaal[[#This Row],[Secundair Materiaalverbruik Vervangingen]]</f>
        <v>0</v>
      </c>
      <c r="M49" s="175">
        <f>Inschrijf_Materiaal_Totaal[[#This Row],[Totaal Primair Materieelgebruik]]+Inschrijf_Materiaal_Totaal[[#This Row],[Totaal Secundair Materieelgebruik]]</f>
        <v>23</v>
      </c>
    </row>
    <row r="50" spans="2:17" ht="18" x14ac:dyDescent="0.55000000000000004">
      <c r="B50" s="286">
        <f>Inschrijfberekening!B12</f>
        <v>601260</v>
      </c>
      <c r="C50" s="67" t="str">
        <f>Inschrijfberekening!F12</f>
        <v>88405-TB - SMA-NL 11B 40/60 Bestone</v>
      </c>
      <c r="D50" s="117">
        <f>Inschrijfberekening!K12</f>
        <v>21</v>
      </c>
      <c r="E50" s="76">
        <f>_xlfn.IFNA(IF(Inschrijfberekening!E12="Categorie_1_LCA_Producten",VLOOKUP(Inschrijfberekening!F12,Categorie_1_Producten[#All],6,FALSE),VLOOKUP(Inschrijfberekening!F12&amp;", "&amp;"Totaal",Database_Productkaarten[#All],63,FALSE)),0)</f>
        <v>0</v>
      </c>
      <c r="F50" s="117">
        <f>Inschrijf_Materiaal_Totaal[[#This Row],[Hoeveelheid '[ton']]]*(1-Inschrijf_Materiaal_Totaal[[#This Row],[% Secundair]])</f>
        <v>21</v>
      </c>
      <c r="G50" s="117">
        <f>Inschrijf_Materiaal_Totaal[[#This Row],[Hoeveelheid '[ton']]]*Inschrijf_Materiaal_Totaal[[#This Row],[% Secundair]]</f>
        <v>0</v>
      </c>
      <c r="H50" s="175">
        <f>Inschrijfberekening!K12*Inschrijfberekening!M12</f>
        <v>0</v>
      </c>
      <c r="I50" s="175">
        <f>Inschrijf_Materiaal_Totaal[[#This Row],[Hoeveelheid Vervangingen '[ton']]]*(1-Inschrijf_Materiaal_Totaal[[#This Row],[% Secundair]])</f>
        <v>0</v>
      </c>
      <c r="J50" s="175">
        <f>Inschrijf_Materiaal_Totaal[[#This Row],[Primair materiaalverbruik Vervangingen]]*Inschrijf_Materiaal_Totaal[[#This Row],[% Secundair]]</f>
        <v>0</v>
      </c>
      <c r="K50" s="175">
        <f>Inschrijf_Materiaal_Totaal[[#This Row],[Primair materiaalverbruik]]+Inschrijf_Materiaal_Totaal[[#This Row],[Secundair Materiaalverbruik Vervangingen]]</f>
        <v>21</v>
      </c>
      <c r="L50" s="175">
        <f>Inschrijf_Materiaal_Totaal[[#This Row],[Secundair Materiaalverbruik]]+Inschrijf_Materiaal_Totaal[[#This Row],[Secundair Materiaalverbruik Vervangingen]]</f>
        <v>0</v>
      </c>
      <c r="M50" s="175">
        <f>Inschrijf_Materiaal_Totaal[[#This Row],[Totaal Primair Materieelgebruik]]+Inschrijf_Materiaal_Totaal[[#This Row],[Totaal Secundair Materieelgebruik]]</f>
        <v>21</v>
      </c>
    </row>
    <row r="51" spans="2:17" ht="18" x14ac:dyDescent="0.55000000000000004">
      <c r="B51" s="286">
        <f>Inschrijfberekening!B13</f>
        <v>601270</v>
      </c>
      <c r="C51" s="67" t="str">
        <f>Inschrijfberekening!F13</f>
        <v>88405-TB - SMA-NL 11B 40/60 Bestone</v>
      </c>
      <c r="D51" s="117">
        <f>Inschrijfberekening!K13</f>
        <v>18</v>
      </c>
      <c r="E51" s="76">
        <f>_xlfn.IFNA(IF(Inschrijfberekening!E13="Categorie_1_LCA_Producten",VLOOKUP(Inschrijfberekening!F13,Categorie_1_Producten[#All],6,FALSE),VLOOKUP(Inschrijfberekening!F13&amp;", "&amp;"Totaal",Database_Productkaarten[#All],63,FALSE)),0)</f>
        <v>0</v>
      </c>
      <c r="F51" s="117">
        <f>Inschrijf_Materiaal_Totaal[[#This Row],[Hoeveelheid '[ton']]]*(1-Inschrijf_Materiaal_Totaal[[#This Row],[% Secundair]])</f>
        <v>18</v>
      </c>
      <c r="G51" s="117">
        <f>Inschrijf_Materiaal_Totaal[[#This Row],[Hoeveelheid '[ton']]]*Inschrijf_Materiaal_Totaal[[#This Row],[% Secundair]]</f>
        <v>0</v>
      </c>
      <c r="H51" s="175">
        <f>Inschrijfberekening!K13*Inschrijfberekening!M13</f>
        <v>0</v>
      </c>
      <c r="I51" s="175">
        <f>Inschrijf_Materiaal_Totaal[[#This Row],[Hoeveelheid Vervangingen '[ton']]]*(1-Inschrijf_Materiaal_Totaal[[#This Row],[% Secundair]])</f>
        <v>0</v>
      </c>
      <c r="J51" s="175">
        <f>Inschrijf_Materiaal_Totaal[[#This Row],[Primair materiaalverbruik Vervangingen]]*Inschrijf_Materiaal_Totaal[[#This Row],[% Secundair]]</f>
        <v>0</v>
      </c>
      <c r="K51" s="175">
        <f>Inschrijf_Materiaal_Totaal[[#This Row],[Primair materiaalverbruik]]+Inschrijf_Materiaal_Totaal[[#This Row],[Secundair Materiaalverbruik Vervangingen]]</f>
        <v>18</v>
      </c>
      <c r="L51" s="175">
        <f>Inschrijf_Materiaal_Totaal[[#This Row],[Secundair Materiaalverbruik]]+Inschrijf_Materiaal_Totaal[[#This Row],[Secundair Materiaalverbruik Vervangingen]]</f>
        <v>0</v>
      </c>
      <c r="M51" s="175">
        <f>Inschrijf_Materiaal_Totaal[[#This Row],[Totaal Primair Materieelgebruik]]+Inschrijf_Materiaal_Totaal[[#This Row],[Totaal Secundair Materieelgebruik]]</f>
        <v>18</v>
      </c>
    </row>
    <row r="52" spans="2:17" ht="18" x14ac:dyDescent="0.55000000000000004">
      <c r="B52" s="286">
        <f>Inschrijfberekening!B14</f>
        <v>0</v>
      </c>
      <c r="C52" s="67">
        <f>Inschrijfberekening!F14</f>
        <v>0</v>
      </c>
      <c r="D52" s="117">
        <f>Inschrijfberekening!K14</f>
        <v>0</v>
      </c>
      <c r="E52" s="76">
        <f>_xlfn.IFNA(IF(Inschrijfberekening!E14="Categorie_1_LCA_Producten",VLOOKUP(Inschrijfberekening!F14,Categorie_1_Producten[#All],6,FALSE),VLOOKUP(Inschrijfberekening!F14&amp;", "&amp;"Totaal",Database_Productkaarten[#All],63,FALSE)),0)</f>
        <v>0</v>
      </c>
      <c r="F52" s="117">
        <f>Inschrijf_Materiaal_Totaal[[#This Row],[Hoeveelheid '[ton']]]*(1-Inschrijf_Materiaal_Totaal[[#This Row],[% Secundair]])</f>
        <v>0</v>
      </c>
      <c r="G52" s="117">
        <f>Inschrijf_Materiaal_Totaal[[#This Row],[Hoeveelheid '[ton']]]*Inschrijf_Materiaal_Totaal[[#This Row],[% Secundair]]</f>
        <v>0</v>
      </c>
      <c r="H52" s="175">
        <f>Inschrijfberekening!K14*Inschrijfberekening!M14</f>
        <v>0</v>
      </c>
      <c r="I52" s="175">
        <f>Inschrijf_Materiaal_Totaal[[#This Row],[Hoeveelheid Vervangingen '[ton']]]*(1-Inschrijf_Materiaal_Totaal[[#This Row],[% Secundair]])</f>
        <v>0</v>
      </c>
      <c r="J52" s="175">
        <f>Inschrijf_Materiaal_Totaal[[#This Row],[Primair materiaalverbruik Vervangingen]]*Inschrijf_Materiaal_Totaal[[#This Row],[% Secundair]]</f>
        <v>0</v>
      </c>
      <c r="K52" s="175">
        <f>Inschrijf_Materiaal_Totaal[[#This Row],[Primair materiaalverbruik]]+Inschrijf_Materiaal_Totaal[[#This Row],[Secundair Materiaalverbruik Vervangingen]]</f>
        <v>0</v>
      </c>
      <c r="L52" s="175">
        <f>Inschrijf_Materiaal_Totaal[[#This Row],[Secundair Materiaalverbruik]]+Inschrijf_Materiaal_Totaal[[#This Row],[Secundair Materiaalverbruik Vervangingen]]</f>
        <v>0</v>
      </c>
      <c r="M52" s="175">
        <f>Inschrijf_Materiaal_Totaal[[#This Row],[Totaal Primair Materieelgebruik]]+Inschrijf_Materiaal_Totaal[[#This Row],[Totaal Secundair Materieelgebruik]]</f>
        <v>0</v>
      </c>
    </row>
    <row r="53" spans="2:17" ht="18" x14ac:dyDescent="0.55000000000000004">
      <c r="B53" s="286">
        <f>Inschrijfberekening!B15</f>
        <v>0</v>
      </c>
      <c r="C53" s="67">
        <f>Inschrijfberekening!F15</f>
        <v>0</v>
      </c>
      <c r="D53" s="117">
        <f>Inschrijfberekening!K15</f>
        <v>0</v>
      </c>
      <c r="E53" s="76">
        <f>_xlfn.IFNA(IF(Inschrijfberekening!E15="Categorie_1_LCA_Producten",VLOOKUP(Inschrijfberekening!F15,Categorie_1_Producten[#All],6,FALSE),VLOOKUP(Inschrijfberekening!F15&amp;", "&amp;"Totaal",Database_Productkaarten[#All],63,FALSE)),0)</f>
        <v>0</v>
      </c>
      <c r="F53" s="117">
        <f>Inschrijf_Materiaal_Totaal[[#This Row],[Hoeveelheid '[ton']]]*(1-Inschrijf_Materiaal_Totaal[[#This Row],[% Secundair]])</f>
        <v>0</v>
      </c>
      <c r="G53" s="117">
        <f>Inschrijf_Materiaal_Totaal[[#This Row],[Hoeveelheid '[ton']]]*Inschrijf_Materiaal_Totaal[[#This Row],[% Secundair]]</f>
        <v>0</v>
      </c>
      <c r="H53" s="175">
        <f>Inschrijfberekening!K15*Inschrijfberekening!M15</f>
        <v>0</v>
      </c>
      <c r="I53" s="175">
        <f>Inschrijf_Materiaal_Totaal[[#This Row],[Hoeveelheid Vervangingen '[ton']]]*(1-Inschrijf_Materiaal_Totaal[[#This Row],[% Secundair]])</f>
        <v>0</v>
      </c>
      <c r="J53" s="175">
        <f>Inschrijf_Materiaal_Totaal[[#This Row],[Primair materiaalverbruik Vervangingen]]*Inschrijf_Materiaal_Totaal[[#This Row],[% Secundair]]</f>
        <v>0</v>
      </c>
      <c r="K53" s="175">
        <f>Inschrijf_Materiaal_Totaal[[#This Row],[Primair materiaalverbruik]]+Inschrijf_Materiaal_Totaal[[#This Row],[Secundair Materiaalverbruik Vervangingen]]</f>
        <v>0</v>
      </c>
      <c r="L53" s="175">
        <f>Inschrijf_Materiaal_Totaal[[#This Row],[Secundair Materiaalverbruik]]+Inschrijf_Materiaal_Totaal[[#This Row],[Secundair Materiaalverbruik Vervangingen]]</f>
        <v>0</v>
      </c>
      <c r="M53" s="175">
        <f>Inschrijf_Materiaal_Totaal[[#This Row],[Totaal Primair Materieelgebruik]]+Inschrijf_Materiaal_Totaal[[#This Row],[Totaal Secundair Materieelgebruik]]</f>
        <v>0</v>
      </c>
    </row>
    <row r="54" spans="2:17" ht="18" x14ac:dyDescent="0.55000000000000004">
      <c r="B54" s="286">
        <f>Inschrijfberekening!B16</f>
        <v>0</v>
      </c>
      <c r="C54" s="67">
        <f>Inschrijfberekening!F16</f>
        <v>0</v>
      </c>
      <c r="D54" s="117">
        <f>Inschrijfberekening!K16</f>
        <v>0</v>
      </c>
      <c r="E54" s="76">
        <f>_xlfn.IFNA(IF(Inschrijfberekening!E16="Categorie_1_LCA_Producten",VLOOKUP(Inschrijfberekening!F16,Categorie_1_Producten[#All],6,FALSE),VLOOKUP(Inschrijfberekening!F16&amp;", "&amp;"Totaal",Database_Productkaarten[#All],63,FALSE)),0)</f>
        <v>0</v>
      </c>
      <c r="F54" s="117">
        <f>Inschrijf_Materiaal_Totaal[[#This Row],[Hoeveelheid '[ton']]]*(1-Inschrijf_Materiaal_Totaal[[#This Row],[% Secundair]])</f>
        <v>0</v>
      </c>
      <c r="G54" s="117">
        <f>Inschrijf_Materiaal_Totaal[[#This Row],[Hoeveelheid '[ton']]]*Inschrijf_Materiaal_Totaal[[#This Row],[% Secundair]]</f>
        <v>0</v>
      </c>
      <c r="H54" s="177">
        <f>Inschrijfberekening!K16*Inschrijfberekening!M16</f>
        <v>0</v>
      </c>
      <c r="I54" s="177">
        <f>Inschrijf_Materiaal_Totaal[[#This Row],[Hoeveelheid Vervangingen '[ton']]]*(1-Inschrijf_Materiaal_Totaal[[#This Row],[% Secundair]])</f>
        <v>0</v>
      </c>
      <c r="J54" s="177">
        <f>Inschrijf_Materiaal_Totaal[[#This Row],[Primair materiaalverbruik Vervangingen]]*Inschrijf_Materiaal_Totaal[[#This Row],[% Secundair]]</f>
        <v>0</v>
      </c>
      <c r="K54" s="177">
        <f>Inschrijf_Materiaal_Totaal[[#This Row],[Primair materiaalverbruik]]+Inschrijf_Materiaal_Totaal[[#This Row],[Secundair Materiaalverbruik Vervangingen]]</f>
        <v>0</v>
      </c>
      <c r="L54" s="177">
        <f>Inschrijf_Materiaal_Totaal[[#This Row],[Secundair Materiaalverbruik]]+Inschrijf_Materiaal_Totaal[[#This Row],[Secundair Materiaalverbruik Vervangingen]]</f>
        <v>0</v>
      </c>
      <c r="M54" s="177">
        <f>Inschrijf_Materiaal_Totaal[[#This Row],[Totaal Primair Materieelgebruik]]+Inschrijf_Materiaal_Totaal[[#This Row],[Totaal Secundair Materieelgebruik]]</f>
        <v>0</v>
      </c>
    </row>
    <row r="55" spans="2:17" ht="18" x14ac:dyDescent="0.55000000000000004">
      <c r="B55" s="286">
        <f>Inschrijfberekening!B17</f>
        <v>0</v>
      </c>
      <c r="C55" s="67">
        <f>Inschrijfberekening!F17</f>
        <v>0</v>
      </c>
      <c r="D55" s="117">
        <f>Inschrijfberekening!K17</f>
        <v>0</v>
      </c>
      <c r="E55" s="270">
        <f>_xlfn.IFNA(IF(Inschrijfberekening!E17="Categorie_1_LCA_Producten",VLOOKUP(Inschrijfberekening!F17,Categorie_1_Producten[#All],6,FALSE),VLOOKUP(Inschrijfberekening!F17&amp;", "&amp;"Totaal",Database_Productkaarten[#All],63,FALSE)),0)</f>
        <v>0</v>
      </c>
      <c r="F55" s="117">
        <f>Inschrijf_Materiaal_Totaal[[#This Row],[Hoeveelheid '[ton']]]*(1-Inschrijf_Materiaal_Totaal[[#This Row],[% Secundair]])</f>
        <v>0</v>
      </c>
      <c r="G55" s="175">
        <f>Inschrijf_Materiaal_Totaal[[#This Row],[Hoeveelheid '[ton']]]*Inschrijf_Materiaal_Totaal[[#This Row],[% Secundair]]</f>
        <v>0</v>
      </c>
      <c r="H55" s="175">
        <f>Inschrijfberekening!K17*Inschrijfberekening!M17</f>
        <v>0</v>
      </c>
      <c r="I55" s="175">
        <f>Inschrijf_Materiaal_Totaal[[#This Row],[Hoeveelheid Vervangingen '[ton']]]*(1-Inschrijf_Materiaal_Totaal[[#This Row],[% Secundair]])</f>
        <v>0</v>
      </c>
      <c r="J55" s="175">
        <f>Inschrijf_Materiaal_Totaal[[#This Row],[Primair materiaalverbruik Vervangingen]]*Inschrijf_Materiaal_Totaal[[#This Row],[% Secundair]]</f>
        <v>0</v>
      </c>
      <c r="K55" s="175">
        <f>Inschrijf_Materiaal_Totaal[[#This Row],[Primair materiaalverbruik]]+Inschrijf_Materiaal_Totaal[[#This Row],[Secundair Materiaalverbruik Vervangingen]]</f>
        <v>0</v>
      </c>
      <c r="L55" s="175">
        <f>Inschrijf_Materiaal_Totaal[[#This Row],[Secundair Materiaalverbruik]]+Inschrijf_Materiaal_Totaal[[#This Row],[Secundair Materiaalverbruik Vervangingen]]</f>
        <v>0</v>
      </c>
      <c r="M55" s="175">
        <f>Inschrijf_Materiaal_Totaal[[#This Row],[Totaal Primair Materieelgebruik]]+Inschrijf_Materiaal_Totaal[[#This Row],[Totaal Secundair Materieelgebruik]]</f>
        <v>0</v>
      </c>
    </row>
    <row r="56" spans="2:17" ht="18" x14ac:dyDescent="0.55000000000000004">
      <c r="B56" s="286">
        <f>Inschrijfberekening!B18</f>
        <v>0</v>
      </c>
      <c r="C56" s="67">
        <f>Inschrijfberekening!F18</f>
        <v>0</v>
      </c>
      <c r="D56" s="117">
        <f>Inschrijfberekening!K18</f>
        <v>0</v>
      </c>
      <c r="E56" s="270">
        <f>_xlfn.IFNA(IF(Inschrijfberekening!E18="Categorie_1_LCA_Producten",VLOOKUP(Inschrijfberekening!F18,Categorie_1_Producten[#All],6,FALSE),VLOOKUP(Inschrijfberekening!F18&amp;", "&amp;"Totaal",Database_Productkaarten[#All],63,FALSE)),0)</f>
        <v>0</v>
      </c>
      <c r="F56" s="117">
        <f>Inschrijf_Materiaal_Totaal[[#This Row],[Hoeveelheid '[ton']]]*(1-Inschrijf_Materiaal_Totaal[[#This Row],[% Secundair]])</f>
        <v>0</v>
      </c>
      <c r="G56" s="175">
        <f>Inschrijf_Materiaal_Totaal[[#This Row],[Hoeveelheid '[ton']]]*Inschrijf_Materiaal_Totaal[[#This Row],[% Secundair]]</f>
        <v>0</v>
      </c>
      <c r="H56" s="175">
        <f>Inschrijfberekening!K18*Inschrijfberekening!M18</f>
        <v>0</v>
      </c>
      <c r="I56" s="175">
        <f>Inschrijf_Materiaal_Totaal[[#This Row],[Hoeveelheid Vervangingen '[ton']]]*(1-Inschrijf_Materiaal_Totaal[[#This Row],[% Secundair]])</f>
        <v>0</v>
      </c>
      <c r="J56" s="175">
        <f>Inschrijf_Materiaal_Totaal[[#This Row],[Primair materiaalverbruik Vervangingen]]*Inschrijf_Materiaal_Totaal[[#This Row],[% Secundair]]</f>
        <v>0</v>
      </c>
      <c r="K56" s="175">
        <f>Inschrijf_Materiaal_Totaal[[#This Row],[Primair materiaalverbruik]]+Inschrijf_Materiaal_Totaal[[#This Row],[Secundair Materiaalverbruik Vervangingen]]</f>
        <v>0</v>
      </c>
      <c r="L56" s="175">
        <f>Inschrijf_Materiaal_Totaal[[#This Row],[Secundair Materiaalverbruik]]+Inschrijf_Materiaal_Totaal[[#This Row],[Secundair Materiaalverbruik Vervangingen]]</f>
        <v>0</v>
      </c>
      <c r="M56" s="175">
        <f>Inschrijf_Materiaal_Totaal[[#This Row],[Totaal Primair Materieelgebruik]]+Inschrijf_Materiaal_Totaal[[#This Row],[Totaal Secundair Materieelgebruik]]</f>
        <v>0</v>
      </c>
    </row>
    <row r="57" spans="2:17" ht="18" x14ac:dyDescent="0.55000000000000004">
      <c r="B57" s="286">
        <f>Inschrijfberekening!B19</f>
        <v>0</v>
      </c>
      <c r="C57" s="67">
        <f>Inschrijfberekening!F19</f>
        <v>0</v>
      </c>
      <c r="D57" s="117">
        <f>Inschrijfberekening!K19</f>
        <v>0</v>
      </c>
      <c r="E57" s="270">
        <f>_xlfn.IFNA(IF(Inschrijfberekening!E19="Categorie_1_LCA_Producten",VLOOKUP(Inschrijfberekening!F19,Categorie_1_Producten[#All],6,FALSE),VLOOKUP(Inschrijfberekening!F19&amp;", "&amp;"Totaal",Database_Productkaarten[#All],63,FALSE)),0)</f>
        <v>0</v>
      </c>
      <c r="F57" s="117">
        <f>Inschrijf_Materiaal_Totaal[[#This Row],[Hoeveelheid '[ton']]]*(1-Inschrijf_Materiaal_Totaal[[#This Row],[% Secundair]])</f>
        <v>0</v>
      </c>
      <c r="G57" s="175">
        <f>Inschrijf_Materiaal_Totaal[[#This Row],[Hoeveelheid '[ton']]]*Inschrijf_Materiaal_Totaal[[#This Row],[% Secundair]]</f>
        <v>0</v>
      </c>
      <c r="H57" s="175">
        <f>Inschrijfberekening!K19*Inschrijfberekening!M19</f>
        <v>0</v>
      </c>
      <c r="I57" s="175">
        <f>Inschrijf_Materiaal_Totaal[[#This Row],[Hoeveelheid Vervangingen '[ton']]]*(1-Inschrijf_Materiaal_Totaal[[#This Row],[% Secundair]])</f>
        <v>0</v>
      </c>
      <c r="J57" s="175">
        <f>Inschrijf_Materiaal_Totaal[[#This Row],[Primair materiaalverbruik Vervangingen]]*Inschrijf_Materiaal_Totaal[[#This Row],[% Secundair]]</f>
        <v>0</v>
      </c>
      <c r="K57" s="175">
        <f>Inschrijf_Materiaal_Totaal[[#This Row],[Primair materiaalverbruik]]+Inschrijf_Materiaal_Totaal[[#This Row],[Secundair Materiaalverbruik Vervangingen]]</f>
        <v>0</v>
      </c>
      <c r="L57" s="175">
        <f>Inschrijf_Materiaal_Totaal[[#This Row],[Secundair Materiaalverbruik]]+Inschrijf_Materiaal_Totaal[[#This Row],[Secundair Materiaalverbruik Vervangingen]]</f>
        <v>0</v>
      </c>
      <c r="M57" s="175">
        <f>Inschrijf_Materiaal_Totaal[[#This Row],[Totaal Primair Materieelgebruik]]+Inschrijf_Materiaal_Totaal[[#This Row],[Totaal Secundair Materieelgebruik]]</f>
        <v>0</v>
      </c>
    </row>
    <row r="58" spans="2:17" ht="18.5" thickBot="1" x14ac:dyDescent="0.6">
      <c r="B58" s="286">
        <f>Inschrijfberekening!B20</f>
        <v>0</v>
      </c>
      <c r="C58" s="67">
        <f>Inschrijfberekening!F20</f>
        <v>0</v>
      </c>
      <c r="D58" s="117">
        <f>Inschrijfberekening!K20</f>
        <v>0</v>
      </c>
      <c r="E58" s="270">
        <f>_xlfn.IFNA(IF(Inschrijfberekening!E20="Categorie_1_LCA_Producten",VLOOKUP(Inschrijfberekening!F20,Categorie_1_Producten[#All],6,FALSE),VLOOKUP(Inschrijfberekening!F20&amp;", "&amp;"Totaal",Database_Productkaarten[#All],63,FALSE)),0)</f>
        <v>0</v>
      </c>
      <c r="F58" s="117">
        <f>Inschrijf_Materiaal_Totaal[[#This Row],[Hoeveelheid '[ton']]]*(1-Inschrijf_Materiaal_Totaal[[#This Row],[% Secundair]])</f>
        <v>0</v>
      </c>
      <c r="G58" s="175">
        <f>Inschrijf_Materiaal_Totaal[[#This Row],[Hoeveelheid '[ton']]]*Inschrijf_Materiaal_Totaal[[#This Row],[% Secundair]]</f>
        <v>0</v>
      </c>
      <c r="H58" s="175">
        <f>Inschrijfberekening!K20*Inschrijfberekening!M20</f>
        <v>0</v>
      </c>
      <c r="I58" s="175">
        <f>Inschrijf_Materiaal_Totaal[[#This Row],[Hoeveelheid Vervangingen '[ton']]]*(1-Inschrijf_Materiaal_Totaal[[#This Row],[% Secundair]])</f>
        <v>0</v>
      </c>
      <c r="J58" s="175">
        <f>Inschrijf_Materiaal_Totaal[[#This Row],[Primair materiaalverbruik Vervangingen]]*Inschrijf_Materiaal_Totaal[[#This Row],[% Secundair]]</f>
        <v>0</v>
      </c>
      <c r="K58" s="175">
        <f>Inschrijf_Materiaal_Totaal[[#This Row],[Primair materiaalverbruik]]+Inschrijf_Materiaal_Totaal[[#This Row],[Secundair Materiaalverbruik Vervangingen]]</f>
        <v>0</v>
      </c>
      <c r="L58" s="175">
        <f>Inschrijf_Materiaal_Totaal[[#This Row],[Secundair Materiaalverbruik]]+Inschrijf_Materiaal_Totaal[[#This Row],[Secundair Materiaalverbruik Vervangingen]]</f>
        <v>0</v>
      </c>
      <c r="M58" s="175">
        <f>Inschrijf_Materiaal_Totaal[[#This Row],[Totaal Primair Materieelgebruik]]+Inschrijf_Materiaal_Totaal[[#This Row],[Totaal Secundair Materieelgebruik]]</f>
        <v>0</v>
      </c>
    </row>
    <row r="59" spans="2:17" ht="18.5" thickTop="1" x14ac:dyDescent="0.55000000000000004">
      <c r="B59" s="68" t="s">
        <v>16</v>
      </c>
      <c r="C59" s="69"/>
      <c r="D59" s="97">
        <f>SUBTOTAL(109,Inschrijf_Materiaal_Totaal[Hoeveelheid '[ton']])</f>
        <v>2048.8000000000002</v>
      </c>
      <c r="E59" s="69"/>
      <c r="F59" s="97">
        <f>SUBTOTAL(109,Inschrijf_Materiaal_Totaal[Primair materiaalverbruik])</f>
        <v>2048.8000000000002</v>
      </c>
      <c r="G59" s="97">
        <f>SUBTOTAL(109,Inschrijf_Materiaal_Totaal[Secundair Materiaalverbruik])</f>
        <v>0</v>
      </c>
      <c r="H59" s="97">
        <f>SUBTOTAL(109,Inschrijf_Materiaal_Totaal[Hoeveelheid Vervangingen '[ton']])</f>
        <v>0</v>
      </c>
      <c r="I59" s="97">
        <f>SUBTOTAL(109,Inschrijf_Materiaal_Totaal[Primair materiaalverbruik Vervangingen])</f>
        <v>0</v>
      </c>
      <c r="J59" s="180">
        <f>SUBTOTAL(109,Inschrijf_Materiaal_Totaal[Secundair Materiaalverbruik Vervangingen])</f>
        <v>0</v>
      </c>
      <c r="K59" s="180">
        <f>SUBTOTAL(109,Inschrijf_Materiaal_Totaal[Totaal Primair Materieelgebruik])</f>
        <v>2048.8000000000002</v>
      </c>
      <c r="L59" s="180">
        <f>SUBTOTAL(109,Inschrijf_Materiaal_Totaal[Totaal Secundair Materieelgebruik])</f>
        <v>0</v>
      </c>
      <c r="M59" s="180">
        <f>SUBTOTAL(109,Inschrijf_Materiaal_Totaal[Totaal Materieelgebruik])</f>
        <v>2048.8000000000002</v>
      </c>
    </row>
    <row r="62" spans="2:17" ht="22" x14ac:dyDescent="0.65">
      <c r="B62" s="134" t="s">
        <v>339</v>
      </c>
      <c r="C62" s="134"/>
      <c r="D62" s="134"/>
    </row>
    <row r="63" spans="2:17" ht="18" x14ac:dyDescent="0.55000000000000004">
      <c r="B63" s="23" t="s">
        <v>55</v>
      </c>
      <c r="C63" s="23" t="s">
        <v>4</v>
      </c>
      <c r="D63" s="24" t="s">
        <v>19</v>
      </c>
      <c r="E63" s="25" t="s">
        <v>20</v>
      </c>
      <c r="F63" s="26" t="s">
        <v>21</v>
      </c>
      <c r="G63" s="27" t="s">
        <v>22</v>
      </c>
      <c r="H63" s="28" t="s">
        <v>23</v>
      </c>
      <c r="I63" s="29" t="s">
        <v>24</v>
      </c>
      <c r="J63" s="30" t="s">
        <v>50</v>
      </c>
      <c r="K63" s="31" t="s">
        <v>25</v>
      </c>
      <c r="L63" s="32" t="s">
        <v>26</v>
      </c>
      <c r="M63" s="33" t="s">
        <v>27</v>
      </c>
      <c r="N63" s="34" t="s">
        <v>28</v>
      </c>
      <c r="O63" s="35" t="s">
        <v>51</v>
      </c>
      <c r="P63" s="36" t="s">
        <v>52</v>
      </c>
      <c r="Q63" s="192" t="s">
        <v>16</v>
      </c>
    </row>
    <row r="64" spans="2:17" ht="18" x14ac:dyDescent="0.55000000000000004">
      <c r="B64" s="285">
        <f>Inschrijfberekening!B6</f>
        <v>422410</v>
      </c>
      <c r="C64" s="23" t="str">
        <f>Inschrijfberekening!F6</f>
        <v>20460-TB - AC 16 Bin/Base 35/50 60% PR Bestone</v>
      </c>
      <c r="D64" s="111" cm="1">
        <f t="array" ref="D64">(IF(Inschrijfberekening!C6="Nieuwe Situatie",_xlfn.IFNA(_xlfn.IFS(Inschrijfberekening!E6="Bitumineuze_verhardingen",VLOOKUP(Inschrijf_Hernieuwbare_Energie_Totaal[[#This Row],[Product]]&amp;", "&amp;Inschrijf_Hernieuwbare_Energie_Totaal[[#Headers],[A1]],Database_Productkaarten[#All],47,FALSE)*Inschrijfberekening!K6,Inschrijfberekening!E6="Funderingslagen",VLOOKUP(Inschrijf_Hernieuwbare_Energie_Totaal[[#This Row],[Product]]&amp;", "&amp;Inschrijf_Hernieuwbare_Energie_Totaal[[#Headers],[A1]],Database_Productkaarten[#All],47,FALSE)*Inschrijfberekening!K6,Inschrijfberekening!E6="Grondwerken",VLOOKUP(Inschrijf_Hernieuwbare_Energie_Totaal[[#This Row],[Product]]&amp;", "&amp;Inschrijf_Hernieuwbare_Energie_Totaal[[#Headers],[A1]],Database_Productkaarten[#All],47,FALSE)*Inschrijfberekening!K6,Inschrijfberekening!E6="Categorie_1_LCA_Producten",VLOOKUP(Inschrijf_Hernieuwbare_Energie_Totaal[[#This Row],[Product]],Categorie_1_Producten[#All],20,FALSE)*(Inschrijfberekening!K6)),Referentie_Backlog!D112),0))</f>
        <v>0</v>
      </c>
      <c r="E64" s="111" cm="1">
        <f t="array" ref="E64">(IF(Inschrijfberekening!C6="Nieuwe Situatie",_xlfn.IFNA(_xlfn.IFS(Inschrijfberekening!E6="Bitumineuze_verhardingen",VLOOKUP(Inschrijf_Hernieuwbare_Energie_Totaal[[#This Row],[Product]]&amp;", "&amp;Inschrijf_Hernieuwbare_Energie_Totaal[[#Headers],[A2]],Database_Productkaarten[#All],47,FALSE)*Inschrijfberekening!K6,Inschrijfberekening!E6="Funderingslagen",VLOOKUP(Inschrijf_Hernieuwbare_Energie_Totaal[[#This Row],[Product]]&amp;", "&amp;Inschrijf_Hernieuwbare_Energie_Totaal[[#Headers],[A2]],Database_Productkaarten[#All],47,FALSE)*Inschrijfberekening!K6,Inschrijfberekening!E6="Grondwerken",VLOOKUP(Inschrijf_Hernieuwbare_Energie_Totaal[[#This Row],[Product]]&amp;", "&amp;Inschrijf_Hernieuwbare_Energie_Totaal[[#Headers],[A2]],Database_Productkaarten[#All],47,FALSE)*Inschrijfberekening!K6,Inschrijfberekening!E6="Categorie_1_LCA_Producten",VLOOKUP(Inschrijf_Hernieuwbare_Energie_Totaal[[#This Row],[Product]],Categorie_1_Producten[#All],21,FALSE)*(Inschrijfberekening!K6)),Referentie_Backlog!E112),0))</f>
        <v>0</v>
      </c>
      <c r="F64" s="111" cm="1">
        <f t="array" ref="F64">(IF(Inschrijfberekening!C6="Nieuwe Situatie",_xlfn.IFNA(_xlfn.IFS(Inschrijfberekening!E6="Bitumineuze_verhardingen",VLOOKUP(Inschrijf_Hernieuwbare_Energie_Totaal[[#This Row],[Product]]&amp;", "&amp;Inschrijf_Hernieuwbare_Energie_Totaal[[#Headers],[A3]],Database_Productkaarten[#All],47,FALSE)*Inschrijfberekening!K6,Inschrijfberekening!E6="Funderingslagen",VLOOKUP(Inschrijf_Hernieuwbare_Energie_Totaal[[#This Row],[Product]]&amp;", "&amp;Inschrijf_Hernieuwbare_Energie_Totaal[[#Headers],[A3]],Database_Productkaarten[#All],47,FALSE)*Inschrijfberekening!K6,Inschrijfberekening!E6="Grondwerken",VLOOKUP(Inschrijf_Hernieuwbare_Energie_Totaal[[#This Row],[Product]]&amp;", "&amp;Inschrijf_Hernieuwbare_Energie_Totaal[[#Headers],[A3]],Database_Productkaarten[#All],47,FALSE)*Inschrijfberekening!K6,Inschrijfberekening!E6="Categorie_1_LCA_Producten",VLOOKUP(Inschrijf_Hernieuwbare_Energie_Totaal[[#This Row],[Product]],Categorie_1_Producten[#All],22,FALSE)*(Inschrijfberekening!K6)),Referentie_Backlog!D112),0))</f>
        <v>0</v>
      </c>
      <c r="G64" s="111">
        <f>(IF(Inschrijfberekening!C6="Nieuwe Situatie",_xlfn.IFNA(VLOOKUP(Inschrijfberekening!O6,Database_Transport[#All],42,FALSE)*(Inschrijfberekening!K6*Inschrijfberekening!N6),Referentie_Backlog!G112),0))</f>
        <v>303.8315973</v>
      </c>
      <c r="H64" s="112">
        <f>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112)</f>
        <v>43.656999960000007</v>
      </c>
      <c r="I64" s="111" cm="1">
        <f t="array" ref="I64">(IF(Inschrijfberekening!C6="Nieuwe Situatie",_xlfn.IFNA(_xlfn.IFS(Inschrijfberekening!E6="Bitumineuze_verhardingen",VLOOKUP(Inschrijf_Hernieuwbare_Energie_Totaal[[#This Row],[Product]]&amp;", "&amp;Inschrijf_Hernieuwbare_Energie_Totaal[[#Headers],[B1]],Database_Productkaarten[#All],47,FALSE)*Inschrijfberekening!K6,Inschrijfberekening!E6="Funderingslagen",VLOOKUP(Inschrijf_Hernieuwbare_Energie_Totaal[[#This Row],[Product]]&amp;", "&amp;Inschrijf_Hernieuwbare_Energie_Totaal[[#Headers],[B1]],Database_Productkaarten[#All],47,FALSE)*Inschrijfberekening!K6,Inschrijfberekening!E6="Grondwerken",VLOOKUP(Inschrijf_Hernieuwbare_Energie_Totaal[[#This Row],[Product]]&amp;", "&amp;Inschrijf_Hernieuwbare_Energie_Totaal[[#Headers],[B1]],Database_Productkaarten[#All],47,FALSE)*Inschrijfberekening!K6,Inschrijfberekening!E6="Categorie_1_LCA_Producten",VLOOKUP(Inschrijf_Hernieuwbare_Energie_Totaal[[#This Row],[Product]],Categorie_1_Producten[#All],23,FALSE)*(Inschrijfberekening!K6)),Referentie_Backlog!D112),0))</f>
        <v>0</v>
      </c>
      <c r="J64" s="174">
        <f>(IF(Inschrijfberekening!C6="Nieuwe Situatie",_xlfn.IFNA(SUM(Inschrijf_Hernieuwbare_Energie_Totaal[[#This Row],[A1]:[B1]],Inschrijf_Hernieuwbare_Energie_Totaal[[#This Row],[C1]:[D2]])*Inschrijfberekening!M6,0),0))</f>
        <v>0</v>
      </c>
      <c r="K64" s="113">
        <f>(IF(Inschrijfberekening!C6="Bestaande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112,IFERROR((VLOOKUP(Inschrijfberekening!R6,Database_Asfalt_Verwijderset[#All],42,FALSE)*Inschrijfberekening!K6),0)+IFERROR((VLOOKUP(Inschrijfberekening!S6,Database_Overig_Materieel[#All],42,FALSE)*(Inschrijfberekening!L6/VLOOKUP(Inschrijfberekening!S6,Database_Overig_Materieel[#All],42,FALSE))),0)),0))</f>
        <v>0</v>
      </c>
      <c r="L64" s="111">
        <f>(IF(Inschrijfberekening!C6="Bestaande Situatie",_xlfn.IFNA(VLOOKUP(Inschrijfberekening!U6,Database_Transport[#All],42,FALSE)*(Inschrijfberekening!K6*Inschrijfberekening!T6),Referentie_Backlog!L112),0))</f>
        <v>0</v>
      </c>
      <c r="M64" s="111">
        <f>(IF(Inschrijfberekening!C6="Bestaande Situatie",_xlfn.IFNA(VLOOKUP(Inschrijfberekening!V6,Database_Asfalt_Verwerkingsset[#All],42,FALSE)*(Inschrijfberekening!K6/VLOOKUP(Inschrijfberekening!V6,Database_Asfalt_Verwerkingsset[#All],42,FALSE)),Referentie_Backlog!M112),0))</f>
        <v>0</v>
      </c>
      <c r="N64" s="111">
        <f>(IF(Inschrijfberekening!C6="Bestaande Situatie",_xlfn.IFNA(VLOOKUP(Inschrijf_Hernieuwbare_Energie_Totaal[[#This Row],[Product]]&amp;", "&amp;Inschrijf_MKI_Totaal[[#Headers],[C4]],Database_Productkaarten[#All],47,FALSE)*Inschrijfberekening!K6,Referentie_Backlog!N112),0))</f>
        <v>0</v>
      </c>
      <c r="O64" s="111" cm="1">
        <f t="array" ref="O64">_xlfn.IFNA((IF(Inschrijfberekening!C6="Bestaande Situatie",_xlfn.IFS(Inschrijfberekening!E6="Bitumineuze_verhardingen",VLOOKUP(Inschrijf_Hernieuwbare_Energie_Totaal[[#This Row],[Product]]&amp;", "&amp;Inschrijf_Hernieuwbare_Energie_Totaal[[#Headers],[D1]],Database_Productkaarten[#All],47,FALSE)*Inschrijfberekening!K6,Inschrijfberekening!E6="Funderingslagen",VLOOKUP(Inschrijf_Hernieuwbare_Energie_Totaal[[#This Row],[Product]]&amp;", "&amp;Inschrijf_Hernieuwbare_Energie_Totaal[[#Headers],[D1]],Database_Productkaarten[#All],47,FALSE)*Inschrijfberekening!K6,Inschrijfberekening!E6="Grondwerken",VLOOKUP(Inschrijf_Hernieuwbare_Energie_Totaal[[#This Row],[Product]]&amp;", "&amp;Inschrijf_Hernieuwbare_Energie_Totaal[[#Headers],[D1]],Database_Productkaarten[#All],47,FALSE)*Inschrijfberekening!K6,Inschrijfberekening!E6="Categorie_1_LCA_Producten",VLOOKUP(Inschrijf_Hernieuwbare_Energie_Totaal[[#This Row],[Product]],Categorie_1_Producten[#All],24,FALSE)*(Inschrijfberekening!K6)),0)),Referentie_Backlog!O112)</f>
        <v>0</v>
      </c>
      <c r="P64" s="114" cm="1">
        <f t="array" ref="P64">_xlfn.IFNA((IF(Inschrijfberekening!C6="Bestaande Situatie",_xlfn.IFS(Inschrijfberekening!E6="Bitumineuze_verhardingen",VLOOKUP(Inschrijf_Hernieuwbare_Energie_Totaal[[#This Row],[Product]]&amp;", "&amp;Inschrijf_Hernieuwbare_Energie_Totaal[[#Headers],[D2]],Database_Productkaarten[#All],47,FALSE)*Inschrijfberekening!K6,Inschrijfberekening!E6="Funderingslagen",VLOOKUP(Inschrijf_Hernieuwbare_Energie_Totaal[[#This Row],[Product]]&amp;", "&amp;Inschrijf_Hernieuwbare_Energie_Totaal[[#Headers],[D2]],Database_Productkaarten[#All],47,FALSE)*Inschrijfberekening!K6,Inschrijfberekening!E6="Grondwerken",VLOOKUP(Inschrijf_Hernieuwbare_Energie_Totaal[[#This Row],[Product]]&amp;", "&amp;Inschrijf_Hernieuwbare_Energie_Totaal[[#Headers],[D2]],Database_Productkaarten[#All],47,FALSE)*Inschrijfberekening!K6,Inschrijfberekening!E6="Categorie_1_LCA_Producten",VLOOKUP(Inschrijf_Hernieuwbare_Energie_Totaal[[#This Row],[Product]],Categorie_1_Producten[#All],25,FALSE)*(Inschrijfberekening!K6)),0)),Referentie_Backlog!P112)</f>
        <v>0</v>
      </c>
      <c r="Q64" s="111">
        <f>SUM(Inschrijf_Hernieuwbare_Energie_Totaal[[#This Row],[A1]:[D2]])</f>
        <v>347.48859726000001</v>
      </c>
    </row>
    <row r="65" spans="2:17" ht="18" x14ac:dyDescent="0.55000000000000004">
      <c r="B65" s="285">
        <f>Inschrijfberekening!B7</f>
        <v>422510</v>
      </c>
      <c r="C65" s="23" t="str">
        <f>Inschrijfberekening!F7</f>
        <v>AC 11 surf DL-A rood*</v>
      </c>
      <c r="D65" s="111" cm="1">
        <f t="array" ref="D65">(IF(Inschrijfberekening!C7="Nieuwe Situatie",_xlfn.IFNA(_xlfn.IFS(Inschrijfberekening!E7="Bitumineuze_verhardingen",VLOOKUP(Inschrijf_Hernieuwbare_Energie_Totaal[[#This Row],[Product]]&amp;", "&amp;Inschrijf_Hernieuwbare_Energie_Totaal[[#Headers],[A1]],Database_Productkaarten[#All],47,FALSE)*Inschrijfberekening!K7,Inschrijfberekening!E7="Funderingslagen",VLOOKUP(Inschrijf_Hernieuwbare_Energie_Totaal[[#This Row],[Product]]&amp;", "&amp;Inschrijf_Hernieuwbare_Energie_Totaal[[#Headers],[A1]],Database_Productkaarten[#All],47,FALSE)*Inschrijfberekening!K7,Inschrijfberekening!E7="Grondwerken",VLOOKUP(Inschrijf_Hernieuwbare_Energie_Totaal[[#This Row],[Product]]&amp;", "&amp;Inschrijf_Hernieuwbare_Energie_Totaal[[#Headers],[A1]],Database_Productkaarten[#All],47,FALSE)*Inschrijfberekening!K7,Inschrijfberekening!E7="Categorie_1_LCA_Producten",VLOOKUP(Inschrijf_Hernieuwbare_Energie_Totaal[[#This Row],[Product]],Categorie_1_Producten[#All],20,FALSE)*(Inschrijfberekening!K7)),Referentie_Backlog!D113),0))</f>
        <v>393.13035980400002</v>
      </c>
      <c r="E65" s="111" cm="1">
        <f t="array" ref="E65">(IF(Inschrijfberekening!C7="Nieuwe Situatie",_xlfn.IFNA(_xlfn.IFS(Inschrijfberekening!E7="Bitumineuze_verhardingen",VLOOKUP(Inschrijf_Hernieuwbare_Energie_Totaal[[#This Row],[Product]]&amp;", "&amp;Inschrijf_Hernieuwbare_Energie_Totaal[[#Headers],[A2]],Database_Productkaarten[#All],47,FALSE)*Inschrijfberekening!K7,Inschrijfberekening!E7="Funderingslagen",VLOOKUP(Inschrijf_Hernieuwbare_Energie_Totaal[[#This Row],[Product]]&amp;", "&amp;Inschrijf_Hernieuwbare_Energie_Totaal[[#Headers],[A2]],Database_Productkaarten[#All],47,FALSE)*Inschrijfberekening!K7,Inschrijfberekening!E7="Grondwerken",VLOOKUP(Inschrijf_Hernieuwbare_Energie_Totaal[[#This Row],[Product]]&amp;", "&amp;Inschrijf_Hernieuwbare_Energie_Totaal[[#Headers],[A2]],Database_Productkaarten[#All],47,FALSE)*Inschrijfberekening!K7,Inschrijfberekening!E7="Categorie_1_LCA_Producten",VLOOKUP(Inschrijf_Hernieuwbare_Energie_Totaal[[#This Row],[Product]],Categorie_1_Producten[#All],21,FALSE)*(Inschrijfberekening!K7)),Referentie_Backlog!E113),0))</f>
        <v>50.361389015973749</v>
      </c>
      <c r="F65" s="111" cm="1">
        <f t="array" ref="F65">(IF(Inschrijfberekening!C7="Nieuwe Situatie",_xlfn.IFNA(_xlfn.IFS(Inschrijfberekening!E7="Bitumineuze_verhardingen",VLOOKUP(Inschrijf_Hernieuwbare_Energie_Totaal[[#This Row],[Product]]&amp;", "&amp;Inschrijf_Hernieuwbare_Energie_Totaal[[#Headers],[A3]],Database_Productkaarten[#All],47,FALSE)*Inschrijfberekening!K7,Inschrijfberekening!E7="Funderingslagen",VLOOKUP(Inschrijf_Hernieuwbare_Energie_Totaal[[#This Row],[Product]]&amp;", "&amp;Inschrijf_Hernieuwbare_Energie_Totaal[[#Headers],[A3]],Database_Productkaarten[#All],47,FALSE)*Inschrijfberekening!K7,Inschrijfberekening!E7="Grondwerken",VLOOKUP(Inschrijf_Hernieuwbare_Energie_Totaal[[#This Row],[Product]]&amp;", "&amp;Inschrijf_Hernieuwbare_Energie_Totaal[[#Headers],[A3]],Database_Productkaarten[#All],47,FALSE)*Inschrijfberekening!K7,Inschrijfberekening!E7="Categorie_1_LCA_Producten",VLOOKUP(Inschrijf_Hernieuwbare_Energie_Totaal[[#This Row],[Product]],Categorie_1_Producten[#All],22,FALSE)*(Inschrijfberekening!K7)),Referentie_Backlog!D113),0))</f>
        <v>71.271649218997325</v>
      </c>
      <c r="G65" s="111">
        <f>(IF(Inschrijfberekening!C7="Nieuwe Situatie",_xlfn.IFNA(VLOOKUP(Inschrijfberekening!O7,Database_Transport[#All],42,FALSE)*(Inschrijfberekening!K7*Inschrijfberekening!N7),Referentie_Backlog!G113),0))</f>
        <v>7.4244563249999995</v>
      </c>
      <c r="H65" s="112">
        <f>_xlfn.IFNA((IF(Inschrijfberekening!C7="Nieuwe Situatie",(VLOOKUP(Inschrijfberekening!P7,Database_Asfalt_Aanlegset[#All],42,FALSE)*Inschrijfberekening!K7)+IFERROR(((VLOOKUP(Inschrijfberekening!Q7,Database_Overig_Materieel[#All],42,FALSE)*(Inschrijfberekening!L7/VLOOKUP(Inschrijfberekening!Q7,Database_Overig_Materieel[#All],42,FALSE)))),0),0)),Referentie_Backlog!H113)</f>
        <v>3.8327638368085104</v>
      </c>
      <c r="I65" s="111" cm="1">
        <f t="array" ref="I65">(IF(Inschrijfberekening!C7="Nieuwe Situatie",_xlfn.IFNA(_xlfn.IFS(Inschrijfberekening!E7="Bitumineuze_verhardingen",VLOOKUP(Inschrijf_Hernieuwbare_Energie_Totaal[[#This Row],[Product]]&amp;", "&amp;Inschrijf_Hernieuwbare_Energie_Totaal[[#Headers],[B1]],Database_Productkaarten[#All],47,FALSE)*Inschrijfberekening!K7,Inschrijfberekening!E7="Funderingslagen",VLOOKUP(Inschrijf_Hernieuwbare_Energie_Totaal[[#This Row],[Product]]&amp;", "&amp;Inschrijf_Hernieuwbare_Energie_Totaal[[#Headers],[B1]],Database_Productkaarten[#All],47,FALSE)*Inschrijfberekening!K7,Inschrijfberekening!E7="Grondwerken",VLOOKUP(Inschrijf_Hernieuwbare_Energie_Totaal[[#This Row],[Product]]&amp;", "&amp;Inschrijf_Hernieuwbare_Energie_Totaal[[#Headers],[B1]],Database_Productkaarten[#All],47,FALSE)*Inschrijfberekening!K7,Inschrijfberekening!E7="Categorie_1_LCA_Producten",VLOOKUP(Inschrijf_Hernieuwbare_Energie_Totaal[[#This Row],[Product]],Categorie_1_Producten[#All],23,FALSE)*(Inschrijfberekening!K7)),Referentie_Backlog!D113),0))</f>
        <v>0</v>
      </c>
      <c r="J65" s="174">
        <f>(IF(Inschrijfberekening!C7="Nieuwe Situatie",_xlfn.IFNA(SUM(Inschrijf_Hernieuwbare_Energie_Totaal[[#This Row],[A1]:[B1]],Inschrijf_Hernieuwbare_Energie_Totaal[[#This Row],[C1]:[D2]])*Inschrijfberekening!M7,0),0))</f>
        <v>0</v>
      </c>
      <c r="K65" s="113">
        <f>(IF(Inschrijfberekening!C7="Bestaande Situatie",IF(IFERROR((VLOOKUP(Inschrijfberekening!R7,Database_Asfalt_Verwijderset[#All],42,FALSE)*Inschrijfberekening!K7),0)+IFERROR((VLOOKUP(Inschrijfberekening!S7,Database_Overig_Materieel[#All],42,FALSE)*(Inschrijfberekening!L7/VLOOKUP(Inschrijfberekening!S7,Database_Overig_Materieel[#All],42,FALSE))),0)=0,Referentie_Backlog!K113,IFERROR((VLOOKUP(Inschrijfberekening!R7,Database_Asfalt_Verwijderset[#All],42,FALSE)*Inschrijfberekening!K7),0)+IFERROR((VLOOKUP(Inschrijfberekening!S7,Database_Overig_Materieel[#All],42,FALSE)*(Inschrijfberekening!L7/VLOOKUP(Inschrijfberekening!S7,Database_Overig_Materieel[#All],42,FALSE))),0)),0))</f>
        <v>0</v>
      </c>
      <c r="L65" s="111">
        <f>(IF(Inschrijfberekening!C7="Bestaande Situatie",_xlfn.IFNA(VLOOKUP(Inschrijfberekening!U7,Database_Transport[#All],42,FALSE)*(Inschrijfberekening!K7*Inschrijfberekening!T7),Referentie_Backlog!L113),0))</f>
        <v>0</v>
      </c>
      <c r="M65" s="111">
        <f>(IF(Inschrijfberekening!C7="Bestaande Situatie",_xlfn.IFNA(VLOOKUP(Inschrijfberekening!V7,Database_Asfalt_Verwerkingsset[#All],42,FALSE)*(Inschrijfberekening!K7/VLOOKUP(Inschrijfberekening!V7,Database_Asfalt_Verwerkingsset[#All],42,FALSE)),Referentie_Backlog!M113),0))</f>
        <v>0</v>
      </c>
      <c r="N65" s="111">
        <f>(IF(Inschrijfberekening!C7="Bestaande Situatie",_xlfn.IFNA(VLOOKUP(Inschrijf_Hernieuwbare_Energie_Totaal[[#This Row],[Product]]&amp;", "&amp;Inschrijf_MKI_Totaal[[#Headers],[C4]],Database_Productkaarten[#All],47,FALSE)*Inschrijfberekening!K7,Referentie_Backlog!N113),0))</f>
        <v>0</v>
      </c>
      <c r="O65" s="111" cm="1">
        <f t="array" ref="O65">_xlfn.IFNA((IF(Inschrijfberekening!C7="Bestaande Situatie",_xlfn.IFS(Inschrijfberekening!E7="Bitumineuze_verhardingen",VLOOKUP(Inschrijf_Hernieuwbare_Energie_Totaal[[#This Row],[Product]]&amp;", "&amp;Inschrijf_Hernieuwbare_Energie_Totaal[[#Headers],[D1]],Database_Productkaarten[#All],47,FALSE)*Inschrijfberekening!K7,Inschrijfberekening!E7="Funderingslagen",VLOOKUP(Inschrijf_Hernieuwbare_Energie_Totaal[[#This Row],[Product]]&amp;", "&amp;Inschrijf_Hernieuwbare_Energie_Totaal[[#Headers],[D1]],Database_Productkaarten[#All],47,FALSE)*Inschrijfberekening!K7,Inschrijfberekening!E7="Grondwerken",VLOOKUP(Inschrijf_Hernieuwbare_Energie_Totaal[[#This Row],[Product]]&amp;", "&amp;Inschrijf_Hernieuwbare_Energie_Totaal[[#Headers],[D1]],Database_Productkaarten[#All],47,FALSE)*Inschrijfberekening!K7,Inschrijfberekening!E7="Categorie_1_LCA_Producten",VLOOKUP(Inschrijf_Hernieuwbare_Energie_Totaal[[#This Row],[Product]],Categorie_1_Producten[#All],24,FALSE)*(Inschrijfberekening!K7)),0)),Referentie_Backlog!O113)</f>
        <v>0</v>
      </c>
      <c r="P65" s="114" cm="1">
        <f t="array" ref="P65">_xlfn.IFNA((IF(Inschrijfberekening!C7="Bestaande Situatie",_xlfn.IFS(Inschrijfberekening!E7="Bitumineuze_verhardingen",VLOOKUP(Inschrijf_Hernieuwbare_Energie_Totaal[[#This Row],[Product]]&amp;", "&amp;Inschrijf_Hernieuwbare_Energie_Totaal[[#Headers],[D2]],Database_Productkaarten[#All],47,FALSE)*Inschrijfberekening!K7,Inschrijfberekening!E7="Funderingslagen",VLOOKUP(Inschrijf_Hernieuwbare_Energie_Totaal[[#This Row],[Product]]&amp;", "&amp;Inschrijf_Hernieuwbare_Energie_Totaal[[#Headers],[D2]],Database_Productkaarten[#All],47,FALSE)*Inschrijfberekening!K7,Inschrijfberekening!E7="Grondwerken",VLOOKUP(Inschrijf_Hernieuwbare_Energie_Totaal[[#This Row],[Product]]&amp;", "&amp;Inschrijf_Hernieuwbare_Energie_Totaal[[#Headers],[D2]],Database_Productkaarten[#All],47,FALSE)*Inschrijfberekening!K7,Inschrijfberekening!E7="Categorie_1_LCA_Producten",VLOOKUP(Inschrijf_Hernieuwbare_Energie_Totaal[[#This Row],[Product]],Categorie_1_Producten[#All],25,FALSE)*(Inschrijfberekening!K7)),0)),Referentie_Backlog!P113)</f>
        <v>0</v>
      </c>
      <c r="Q65" s="111">
        <f>SUM(Inschrijf_Hernieuwbare_Energie_Totaal[[#This Row],[A1]:[D2]])</f>
        <v>526.02061820077961</v>
      </c>
    </row>
    <row r="66" spans="2:17" ht="18" x14ac:dyDescent="0.55000000000000004">
      <c r="B66" s="285">
        <f>Inschrijfberekening!B8</f>
        <v>422520</v>
      </c>
      <c r="C66" s="23" t="str">
        <f>Inschrijfberekening!F8</f>
        <v>88405-TB - SMA-NL 11B 40/60 Bestone</v>
      </c>
      <c r="D66" s="111" cm="1">
        <f t="array" ref="D66">(IF(Inschrijfberekening!C8="Nieuwe Situatie",_xlfn.IFNA(_xlfn.IFS(Inschrijfberekening!E8="Bitumineuze_verhardingen",VLOOKUP(Inschrijf_Hernieuwbare_Energie_Totaal[[#This Row],[Product]]&amp;", "&amp;Inschrijf_Hernieuwbare_Energie_Totaal[[#Headers],[A1]],Database_Productkaarten[#All],47,FALSE)*Inschrijfberekening!K8,Inschrijfberekening!E8="Funderingslagen",VLOOKUP(Inschrijf_Hernieuwbare_Energie_Totaal[[#This Row],[Product]]&amp;", "&amp;Inschrijf_Hernieuwbare_Energie_Totaal[[#Headers],[A1]],Database_Productkaarten[#All],47,FALSE)*Inschrijfberekening!K8,Inschrijfberekening!E8="Grondwerken",VLOOKUP(Inschrijf_Hernieuwbare_Energie_Totaal[[#This Row],[Product]]&amp;", "&amp;Inschrijf_Hernieuwbare_Energie_Totaal[[#Headers],[A1]],Database_Productkaarten[#All],47,FALSE)*Inschrijfberekening!K8,Inschrijfberekening!E8="Categorie_1_LCA_Producten",VLOOKUP(Inschrijf_Hernieuwbare_Energie_Totaal[[#This Row],[Product]],Categorie_1_Producten[#All],20,FALSE)*(Inschrijfberekening!K8)),Referentie_Backlog!D114),0))</f>
        <v>0</v>
      </c>
      <c r="E66" s="111" cm="1">
        <f t="array" ref="E66">(IF(Inschrijfberekening!C8="Nieuwe Situatie",_xlfn.IFNA(_xlfn.IFS(Inschrijfberekening!E8="Bitumineuze_verhardingen",VLOOKUP(Inschrijf_Hernieuwbare_Energie_Totaal[[#This Row],[Product]]&amp;", "&amp;Inschrijf_Hernieuwbare_Energie_Totaal[[#Headers],[A2]],Database_Productkaarten[#All],47,FALSE)*Inschrijfberekening!K8,Inschrijfberekening!E8="Funderingslagen",VLOOKUP(Inschrijf_Hernieuwbare_Energie_Totaal[[#This Row],[Product]]&amp;", "&amp;Inschrijf_Hernieuwbare_Energie_Totaal[[#Headers],[A2]],Database_Productkaarten[#All],47,FALSE)*Inschrijfberekening!K8,Inschrijfberekening!E8="Grondwerken",VLOOKUP(Inschrijf_Hernieuwbare_Energie_Totaal[[#This Row],[Product]]&amp;", "&amp;Inschrijf_Hernieuwbare_Energie_Totaal[[#Headers],[A2]],Database_Productkaarten[#All],47,FALSE)*Inschrijfberekening!K8,Inschrijfberekening!E8="Categorie_1_LCA_Producten",VLOOKUP(Inschrijf_Hernieuwbare_Energie_Totaal[[#This Row],[Product]],Categorie_1_Producten[#All],21,FALSE)*(Inschrijfberekening!K8)),Referentie_Backlog!E114),0))</f>
        <v>0</v>
      </c>
      <c r="F66" s="111" cm="1">
        <f t="array" ref="F66">(IF(Inschrijfberekening!C8="Nieuwe Situatie",_xlfn.IFNA(_xlfn.IFS(Inschrijfberekening!E8="Bitumineuze_verhardingen",VLOOKUP(Inschrijf_Hernieuwbare_Energie_Totaal[[#This Row],[Product]]&amp;", "&amp;Inschrijf_Hernieuwbare_Energie_Totaal[[#Headers],[A3]],Database_Productkaarten[#All],47,FALSE)*Inschrijfberekening!K8,Inschrijfberekening!E8="Funderingslagen",VLOOKUP(Inschrijf_Hernieuwbare_Energie_Totaal[[#This Row],[Product]]&amp;", "&amp;Inschrijf_Hernieuwbare_Energie_Totaal[[#Headers],[A3]],Database_Productkaarten[#All],47,FALSE)*Inschrijfberekening!K8,Inschrijfberekening!E8="Grondwerken",VLOOKUP(Inschrijf_Hernieuwbare_Energie_Totaal[[#This Row],[Product]]&amp;", "&amp;Inschrijf_Hernieuwbare_Energie_Totaal[[#Headers],[A3]],Database_Productkaarten[#All],47,FALSE)*Inschrijfberekening!K8,Inschrijfberekening!E8="Categorie_1_LCA_Producten",VLOOKUP(Inschrijf_Hernieuwbare_Energie_Totaal[[#This Row],[Product]],Categorie_1_Producten[#All],22,FALSE)*(Inschrijfberekening!K8)),Referentie_Backlog!D114),0))</f>
        <v>0</v>
      </c>
      <c r="G66" s="111">
        <f>(IF(Inschrijfberekening!C8="Nieuwe Situatie",_xlfn.IFNA(VLOOKUP(Inschrijfberekening!O8,Database_Transport[#All],42,FALSE)*(Inschrijfberekening!K8*Inschrijfberekening!N8),Referentie_Backlog!G114),0))</f>
        <v>1941.7808849999999</v>
      </c>
      <c r="H66" s="112">
        <f>_xlfn.IFNA((IF(Inschrijfberekening!C8="Nieuwe Situatie",(VLOOKUP(Inschrijfberekening!P8,Database_Asfalt_Aanlegset[#All],42,FALSE)*Inschrijfberekening!K8)+IFERROR(((VLOOKUP(Inschrijfberekening!Q8,Database_Overig_Materieel[#All],42,FALSE)*(Inschrijfberekening!L8/VLOOKUP(Inschrijfberekening!Q8,Database_Overig_Materieel[#All],42,FALSE)))),0),0)),Referentie_Backlog!H114)</f>
        <v>279.01090200000004</v>
      </c>
      <c r="I66" s="111" cm="1">
        <f t="array" ref="I66">(IF(Inschrijfberekening!C8="Nieuwe Situatie",_xlfn.IFNA(_xlfn.IFS(Inschrijfberekening!E8="Bitumineuze_verhardingen",VLOOKUP(Inschrijf_Hernieuwbare_Energie_Totaal[[#This Row],[Product]]&amp;", "&amp;Inschrijf_Hernieuwbare_Energie_Totaal[[#Headers],[B1]],Database_Productkaarten[#All],47,FALSE)*Inschrijfberekening!K8,Inschrijfberekening!E8="Funderingslagen",VLOOKUP(Inschrijf_Hernieuwbare_Energie_Totaal[[#This Row],[Product]]&amp;", "&amp;Inschrijf_Hernieuwbare_Energie_Totaal[[#Headers],[B1]],Database_Productkaarten[#All],47,FALSE)*Inschrijfberekening!K8,Inschrijfberekening!E8="Grondwerken",VLOOKUP(Inschrijf_Hernieuwbare_Energie_Totaal[[#This Row],[Product]]&amp;", "&amp;Inschrijf_Hernieuwbare_Energie_Totaal[[#Headers],[B1]],Database_Productkaarten[#All],47,FALSE)*Inschrijfberekening!K8,Inschrijfberekening!E8="Categorie_1_LCA_Producten",VLOOKUP(Inschrijf_Hernieuwbare_Energie_Totaal[[#This Row],[Product]],Categorie_1_Producten[#All],23,FALSE)*(Inschrijfberekening!K8)),Referentie_Backlog!D114),0))</f>
        <v>0</v>
      </c>
      <c r="J66" s="174">
        <f>(IF(Inschrijfberekening!C8="Nieuwe Situatie",_xlfn.IFNA(SUM(Inschrijf_Hernieuwbare_Energie_Totaal[[#This Row],[A1]:[B1]],Inschrijf_Hernieuwbare_Energie_Totaal[[#This Row],[C1]:[D2]])*Inschrijfberekening!M8,0),0))</f>
        <v>0</v>
      </c>
      <c r="K66" s="113">
        <f>(IF(Inschrijfberekening!C8="Bestaande Situatie",IF(IFERROR((VLOOKUP(Inschrijfberekening!R8,Database_Asfalt_Verwijderset[#All],42,FALSE)*Inschrijfberekening!K8),0)+IFERROR((VLOOKUP(Inschrijfberekening!S8,Database_Overig_Materieel[#All],42,FALSE)*(Inschrijfberekening!L8/VLOOKUP(Inschrijfberekening!S8,Database_Overig_Materieel[#All],42,FALSE))),0)=0,Referentie_Backlog!K114,IFERROR((VLOOKUP(Inschrijfberekening!R8,Database_Asfalt_Verwijderset[#All],42,FALSE)*Inschrijfberekening!K8),0)+IFERROR((VLOOKUP(Inschrijfberekening!S8,Database_Overig_Materieel[#All],42,FALSE)*(Inschrijfberekening!L8/VLOOKUP(Inschrijfberekening!S8,Database_Overig_Materieel[#All],42,FALSE))),0)),0))</f>
        <v>0</v>
      </c>
      <c r="L66" s="111">
        <f>(IF(Inschrijfberekening!C8="Bestaande Situatie",_xlfn.IFNA(VLOOKUP(Inschrijfberekening!U8,Database_Transport[#All],42,FALSE)*(Inschrijfberekening!K8*Inschrijfberekening!T8),Referentie_Backlog!L114),0))</f>
        <v>0</v>
      </c>
      <c r="M66" s="111">
        <f>(IF(Inschrijfberekening!C8="Bestaande Situatie",_xlfn.IFNA(VLOOKUP(Inschrijfberekening!V8,Database_Asfalt_Verwerkingsset[#All],42,FALSE)*(Inschrijfberekening!K8/VLOOKUP(Inschrijfberekening!V8,Database_Asfalt_Verwerkingsset[#All],42,FALSE)),Referentie_Backlog!M114),0))</f>
        <v>0</v>
      </c>
      <c r="N66" s="111">
        <f>(IF(Inschrijfberekening!C8="Bestaande Situatie",_xlfn.IFNA(VLOOKUP(Inschrijf_Hernieuwbare_Energie_Totaal[[#This Row],[Product]]&amp;", "&amp;Inschrijf_MKI_Totaal[[#Headers],[C4]],Database_Productkaarten[#All],47,FALSE)*Inschrijfberekening!K8,Referentie_Backlog!N114),0))</f>
        <v>0</v>
      </c>
      <c r="O66" s="111" cm="1">
        <f t="array" ref="O66">_xlfn.IFNA((IF(Inschrijfberekening!C8="Bestaande Situatie",_xlfn.IFS(Inschrijfberekening!E8="Bitumineuze_verhardingen",VLOOKUP(Inschrijf_Hernieuwbare_Energie_Totaal[[#This Row],[Product]]&amp;", "&amp;Inschrijf_Hernieuwbare_Energie_Totaal[[#Headers],[D1]],Database_Productkaarten[#All],47,FALSE)*Inschrijfberekening!K8,Inschrijfberekening!E8="Funderingslagen",VLOOKUP(Inschrijf_Hernieuwbare_Energie_Totaal[[#This Row],[Product]]&amp;", "&amp;Inschrijf_Hernieuwbare_Energie_Totaal[[#Headers],[D1]],Database_Productkaarten[#All],47,FALSE)*Inschrijfberekening!K8,Inschrijfberekening!E8="Grondwerken",VLOOKUP(Inschrijf_Hernieuwbare_Energie_Totaal[[#This Row],[Product]]&amp;", "&amp;Inschrijf_Hernieuwbare_Energie_Totaal[[#Headers],[D1]],Database_Productkaarten[#All],47,FALSE)*Inschrijfberekening!K8,Inschrijfberekening!E8="Categorie_1_LCA_Producten",VLOOKUP(Inschrijf_Hernieuwbare_Energie_Totaal[[#This Row],[Product]],Categorie_1_Producten[#All],24,FALSE)*(Inschrijfberekening!K8)),0)),Referentie_Backlog!O114)</f>
        <v>0</v>
      </c>
      <c r="P66" s="114" cm="1">
        <f t="array" ref="P66">_xlfn.IFNA((IF(Inschrijfberekening!C8="Bestaande Situatie",_xlfn.IFS(Inschrijfberekening!E8="Bitumineuze_verhardingen",VLOOKUP(Inschrijf_Hernieuwbare_Energie_Totaal[[#This Row],[Product]]&amp;", "&amp;Inschrijf_Hernieuwbare_Energie_Totaal[[#Headers],[D2]],Database_Productkaarten[#All],47,FALSE)*Inschrijfberekening!K8,Inschrijfberekening!E8="Funderingslagen",VLOOKUP(Inschrijf_Hernieuwbare_Energie_Totaal[[#This Row],[Product]]&amp;", "&amp;Inschrijf_Hernieuwbare_Energie_Totaal[[#Headers],[D2]],Database_Productkaarten[#All],47,FALSE)*Inschrijfberekening!K8,Inschrijfberekening!E8="Grondwerken",VLOOKUP(Inschrijf_Hernieuwbare_Energie_Totaal[[#This Row],[Product]]&amp;", "&amp;Inschrijf_Hernieuwbare_Energie_Totaal[[#Headers],[D2]],Database_Productkaarten[#All],47,FALSE)*Inschrijfberekening!K8,Inschrijfberekening!E8="Categorie_1_LCA_Producten",VLOOKUP(Inschrijf_Hernieuwbare_Energie_Totaal[[#This Row],[Product]],Categorie_1_Producten[#All],25,FALSE)*(Inschrijfberekening!K8)),0)),Referentie_Backlog!P114)</f>
        <v>0</v>
      </c>
      <c r="Q66" s="111">
        <f>SUM(Inschrijf_Hernieuwbare_Energie_Totaal[[#This Row],[A1]:[D2]])</f>
        <v>2220.7917870000001</v>
      </c>
    </row>
    <row r="67" spans="2:17" ht="18" x14ac:dyDescent="0.55000000000000004">
      <c r="B67" s="285">
        <f>Inschrijfberekening!B9</f>
        <v>601230</v>
      </c>
      <c r="C67" s="23" t="str">
        <f>Inschrijfberekening!F9</f>
        <v>20060-TB - AC 22 Bin/Base 35/50 60% PR Bestone</v>
      </c>
      <c r="D67" s="111" cm="1">
        <f t="array" ref="D67">(IF(Inschrijfberekening!C9="Nieuwe Situatie",_xlfn.IFNA(_xlfn.IFS(Inschrijfberekening!E9="Bitumineuze_verhardingen",VLOOKUP(Inschrijf_Hernieuwbare_Energie_Totaal[[#This Row],[Product]]&amp;", "&amp;Inschrijf_Hernieuwbare_Energie_Totaal[[#Headers],[A1]],Database_Productkaarten[#All],47,FALSE)*Inschrijfberekening!K9,Inschrijfberekening!E9="Funderingslagen",VLOOKUP(Inschrijf_Hernieuwbare_Energie_Totaal[[#This Row],[Product]]&amp;", "&amp;Inschrijf_Hernieuwbare_Energie_Totaal[[#Headers],[A1]],Database_Productkaarten[#All],47,FALSE)*Inschrijfberekening!K9,Inschrijfberekening!E9="Grondwerken",VLOOKUP(Inschrijf_Hernieuwbare_Energie_Totaal[[#This Row],[Product]]&amp;", "&amp;Inschrijf_Hernieuwbare_Energie_Totaal[[#Headers],[A1]],Database_Productkaarten[#All],47,FALSE)*Inschrijfberekening!K9,Inschrijfberekening!E9="Categorie_1_LCA_Producten",VLOOKUP(Inschrijf_Hernieuwbare_Energie_Totaal[[#This Row],[Product]],Categorie_1_Producten[#All],20,FALSE)*(Inschrijfberekening!K9)),Referentie_Backlog!D115),0))</f>
        <v>0</v>
      </c>
      <c r="E67" s="111" cm="1">
        <f t="array" ref="E67">(IF(Inschrijfberekening!C9="Nieuwe Situatie",_xlfn.IFNA(_xlfn.IFS(Inschrijfberekening!E9="Bitumineuze_verhardingen",VLOOKUP(Inschrijf_Hernieuwbare_Energie_Totaal[[#This Row],[Product]]&amp;", "&amp;Inschrijf_Hernieuwbare_Energie_Totaal[[#Headers],[A2]],Database_Productkaarten[#All],47,FALSE)*Inschrijfberekening!K9,Inschrijfberekening!E9="Funderingslagen",VLOOKUP(Inschrijf_Hernieuwbare_Energie_Totaal[[#This Row],[Product]]&amp;", "&amp;Inschrijf_Hernieuwbare_Energie_Totaal[[#Headers],[A2]],Database_Productkaarten[#All],47,FALSE)*Inschrijfberekening!K9,Inschrijfberekening!E9="Grondwerken",VLOOKUP(Inschrijf_Hernieuwbare_Energie_Totaal[[#This Row],[Product]]&amp;", "&amp;Inschrijf_Hernieuwbare_Energie_Totaal[[#Headers],[A2]],Database_Productkaarten[#All],47,FALSE)*Inschrijfberekening!K9,Inschrijfberekening!E9="Categorie_1_LCA_Producten",VLOOKUP(Inschrijf_Hernieuwbare_Energie_Totaal[[#This Row],[Product]],Categorie_1_Producten[#All],21,FALSE)*(Inschrijfberekening!K9)),Referentie_Backlog!E115),0))</f>
        <v>0</v>
      </c>
      <c r="F67" s="111" cm="1">
        <f t="array" ref="F67">(IF(Inschrijfberekening!C9="Nieuwe Situatie",_xlfn.IFNA(_xlfn.IFS(Inschrijfberekening!E9="Bitumineuze_verhardingen",VLOOKUP(Inschrijf_Hernieuwbare_Energie_Totaal[[#This Row],[Product]]&amp;", "&amp;Inschrijf_Hernieuwbare_Energie_Totaal[[#Headers],[A3]],Database_Productkaarten[#All],47,FALSE)*Inschrijfberekening!K9,Inschrijfberekening!E9="Funderingslagen",VLOOKUP(Inschrijf_Hernieuwbare_Energie_Totaal[[#This Row],[Product]]&amp;", "&amp;Inschrijf_Hernieuwbare_Energie_Totaal[[#Headers],[A3]],Database_Productkaarten[#All],47,FALSE)*Inschrijfberekening!K9,Inschrijfberekening!E9="Grondwerken",VLOOKUP(Inschrijf_Hernieuwbare_Energie_Totaal[[#This Row],[Product]]&amp;", "&amp;Inschrijf_Hernieuwbare_Energie_Totaal[[#Headers],[A3]],Database_Productkaarten[#All],47,FALSE)*Inschrijfberekening!K9,Inschrijfberekening!E9="Categorie_1_LCA_Producten",VLOOKUP(Inschrijf_Hernieuwbare_Energie_Totaal[[#This Row],[Product]],Categorie_1_Producten[#All],22,FALSE)*(Inschrijfberekening!K9)),Referentie_Backlog!D115),0))</f>
        <v>0</v>
      </c>
      <c r="G67" s="111">
        <f>(IF(Inschrijfberekening!C9="Nieuwe Situatie",_xlfn.IFNA(VLOOKUP(Inschrijfberekening!O9,Database_Transport[#All],42,FALSE)*(Inschrijfberekening!K9*Inschrijfberekening!N9),Referentie_Backlog!G115),0))</f>
        <v>1.4848912649999999</v>
      </c>
      <c r="H67" s="112">
        <f>_xlfn.IFNA((IF(Inschrijfberekening!C9="Nieuwe Situatie",(VLOOKUP(Inschrijfberekening!P9,Database_Asfalt_Aanlegset[#All],42,FALSE)*Inschrijfberekening!K9)+IFERROR(((VLOOKUP(Inschrijfberekening!Q9,Database_Overig_Materieel[#All],42,FALSE)*(Inschrijfberekening!L9/VLOOKUP(Inschrijfberekening!Q9,Database_Overig_Materieel[#All],42,FALSE)))),0),0)),Referentie_Backlog!H115)</f>
        <v>0.21336127800000002</v>
      </c>
      <c r="I67" s="111" cm="1">
        <f t="array" ref="I67">(IF(Inschrijfberekening!C9="Nieuwe Situatie",_xlfn.IFNA(_xlfn.IFS(Inschrijfberekening!E9="Bitumineuze_verhardingen",VLOOKUP(Inschrijf_Hernieuwbare_Energie_Totaal[[#This Row],[Product]]&amp;", "&amp;Inschrijf_Hernieuwbare_Energie_Totaal[[#Headers],[B1]],Database_Productkaarten[#All],47,FALSE)*Inschrijfberekening!K9,Inschrijfberekening!E9="Funderingslagen",VLOOKUP(Inschrijf_Hernieuwbare_Energie_Totaal[[#This Row],[Product]]&amp;", "&amp;Inschrijf_Hernieuwbare_Energie_Totaal[[#Headers],[B1]],Database_Productkaarten[#All],47,FALSE)*Inschrijfberekening!K9,Inschrijfberekening!E9="Grondwerken",VLOOKUP(Inschrijf_Hernieuwbare_Energie_Totaal[[#This Row],[Product]]&amp;", "&amp;Inschrijf_Hernieuwbare_Energie_Totaal[[#Headers],[B1]],Database_Productkaarten[#All],47,FALSE)*Inschrijfberekening!K9,Inschrijfberekening!E9="Categorie_1_LCA_Producten",VLOOKUP(Inschrijf_Hernieuwbare_Energie_Totaal[[#This Row],[Product]],Categorie_1_Producten[#All],23,FALSE)*(Inschrijfberekening!K9)),Referentie_Backlog!D115),0))</f>
        <v>0</v>
      </c>
      <c r="J67" s="174">
        <f>(IF(Inschrijfberekening!C9="Nieuwe Situatie",_xlfn.IFNA(SUM(Inschrijf_Hernieuwbare_Energie_Totaal[[#This Row],[A1]:[B1]],Inschrijf_Hernieuwbare_Energie_Totaal[[#This Row],[C1]:[D2]])*Inschrijfberekening!M9,0),0))</f>
        <v>0</v>
      </c>
      <c r="K67" s="113">
        <f>(IF(Inschrijfberekening!C9="Bestaande Situatie",IF(IFERROR((VLOOKUP(Inschrijfberekening!R9,Database_Asfalt_Verwijderset[#All],42,FALSE)*Inschrijfberekening!K9),0)+IFERROR((VLOOKUP(Inschrijfberekening!S9,Database_Overig_Materieel[#All],42,FALSE)*(Inschrijfberekening!L9/VLOOKUP(Inschrijfberekening!S9,Database_Overig_Materieel[#All],42,FALSE))),0)=0,Referentie_Backlog!K115,IFERROR((VLOOKUP(Inschrijfberekening!R9,Database_Asfalt_Verwijderset[#All],42,FALSE)*Inschrijfberekening!K9),0)+IFERROR((VLOOKUP(Inschrijfberekening!S9,Database_Overig_Materieel[#All],42,FALSE)*(Inschrijfberekening!L9/VLOOKUP(Inschrijfberekening!S9,Database_Overig_Materieel[#All],42,FALSE))),0)),0))</f>
        <v>0</v>
      </c>
      <c r="L67" s="111">
        <f>(IF(Inschrijfberekening!C9="Bestaande Situatie",_xlfn.IFNA(VLOOKUP(Inschrijfberekening!U9,Database_Transport[#All],42,FALSE)*(Inschrijfberekening!K9*Inschrijfberekening!T9),Referentie_Backlog!L115),0))</f>
        <v>0</v>
      </c>
      <c r="M67" s="111">
        <f>(IF(Inschrijfberekening!C9="Bestaande Situatie",_xlfn.IFNA(VLOOKUP(Inschrijfberekening!V9,Database_Asfalt_Verwerkingsset[#All],42,FALSE)*(Inschrijfberekening!K9/VLOOKUP(Inschrijfberekening!V9,Database_Asfalt_Verwerkingsset[#All],42,FALSE)),Referentie_Backlog!M115),0))</f>
        <v>0</v>
      </c>
      <c r="N67" s="111">
        <f>(IF(Inschrijfberekening!C9="Bestaande Situatie",_xlfn.IFNA(VLOOKUP(Inschrijf_Hernieuwbare_Energie_Totaal[[#This Row],[Product]]&amp;", "&amp;Inschrijf_MKI_Totaal[[#Headers],[C4]],Database_Productkaarten[#All],47,FALSE)*Inschrijfberekening!K9,Referentie_Backlog!N115),0))</f>
        <v>0</v>
      </c>
      <c r="O67" s="111" cm="1">
        <f t="array" ref="O67">_xlfn.IFNA((IF(Inschrijfberekening!C9="Bestaande Situatie",_xlfn.IFS(Inschrijfberekening!E9="Bitumineuze_verhardingen",VLOOKUP(Inschrijf_Hernieuwbare_Energie_Totaal[[#This Row],[Product]]&amp;", "&amp;Inschrijf_Hernieuwbare_Energie_Totaal[[#Headers],[D1]],Database_Productkaarten[#All],47,FALSE)*Inschrijfberekening!K9,Inschrijfberekening!E9="Funderingslagen",VLOOKUP(Inschrijf_Hernieuwbare_Energie_Totaal[[#This Row],[Product]]&amp;", "&amp;Inschrijf_Hernieuwbare_Energie_Totaal[[#Headers],[D1]],Database_Productkaarten[#All],47,FALSE)*Inschrijfberekening!K9,Inschrijfberekening!E9="Grondwerken",VLOOKUP(Inschrijf_Hernieuwbare_Energie_Totaal[[#This Row],[Product]]&amp;", "&amp;Inschrijf_Hernieuwbare_Energie_Totaal[[#Headers],[D1]],Database_Productkaarten[#All],47,FALSE)*Inschrijfberekening!K9,Inschrijfberekening!E9="Categorie_1_LCA_Producten",VLOOKUP(Inschrijf_Hernieuwbare_Energie_Totaal[[#This Row],[Product]],Categorie_1_Producten[#All],24,FALSE)*(Inschrijfberekening!K9)),0)),Referentie_Backlog!O115)</f>
        <v>0</v>
      </c>
      <c r="P67" s="114" cm="1">
        <f t="array" ref="P67">_xlfn.IFNA((IF(Inschrijfberekening!C9="Bestaande Situatie",_xlfn.IFS(Inschrijfberekening!E9="Bitumineuze_verhardingen",VLOOKUP(Inschrijf_Hernieuwbare_Energie_Totaal[[#This Row],[Product]]&amp;", "&amp;Inschrijf_Hernieuwbare_Energie_Totaal[[#Headers],[D2]],Database_Productkaarten[#All],47,FALSE)*Inschrijfberekening!K9,Inschrijfberekening!E9="Funderingslagen",VLOOKUP(Inschrijf_Hernieuwbare_Energie_Totaal[[#This Row],[Product]]&amp;", "&amp;Inschrijf_Hernieuwbare_Energie_Totaal[[#Headers],[D2]],Database_Productkaarten[#All],47,FALSE)*Inschrijfberekening!K9,Inschrijfberekening!E9="Grondwerken",VLOOKUP(Inschrijf_Hernieuwbare_Energie_Totaal[[#This Row],[Product]]&amp;", "&amp;Inschrijf_Hernieuwbare_Energie_Totaal[[#Headers],[D2]],Database_Productkaarten[#All],47,FALSE)*Inschrijfberekening!K9,Inschrijfberekening!E9="Categorie_1_LCA_Producten",VLOOKUP(Inschrijf_Hernieuwbare_Energie_Totaal[[#This Row],[Product]],Categorie_1_Producten[#All],25,FALSE)*(Inschrijfberekening!K9)),0)),Referentie_Backlog!P115)</f>
        <v>0</v>
      </c>
      <c r="Q67" s="111">
        <f>SUM(Inschrijf_Hernieuwbare_Energie_Totaal[[#This Row],[A1]:[D2]])</f>
        <v>1.6982525429999999</v>
      </c>
    </row>
    <row r="68" spans="2:17" ht="18" x14ac:dyDescent="0.55000000000000004">
      <c r="B68" s="285">
        <f>Inschrijfberekening!B10</f>
        <v>601240</v>
      </c>
      <c r="C68" s="23" t="str">
        <f>Inschrijfberekening!F10</f>
        <v>20060-TB - AC 22 Bin/Base 35/50 60% PR Bestone</v>
      </c>
      <c r="D68" s="111" cm="1">
        <f t="array" ref="D68">(IF(Inschrijfberekening!C10="Nieuwe Situatie",_xlfn.IFNA(_xlfn.IFS(Inschrijfberekening!E10="Bitumineuze_verhardingen",VLOOKUP(Inschrijf_Hernieuwbare_Energie_Totaal[[#This Row],[Product]]&amp;", "&amp;Inschrijf_Hernieuwbare_Energie_Totaal[[#Headers],[A1]],Database_Productkaarten[#All],47,FALSE)*Inschrijfberekening!K10,Inschrijfberekening!E10="Funderingslagen",VLOOKUP(Inschrijf_Hernieuwbare_Energie_Totaal[[#This Row],[Product]]&amp;", "&amp;Inschrijf_Hernieuwbare_Energie_Totaal[[#Headers],[A1]],Database_Productkaarten[#All],47,FALSE)*Inschrijfberekening!K10,Inschrijfberekening!E10="Grondwerken",VLOOKUP(Inschrijf_Hernieuwbare_Energie_Totaal[[#This Row],[Product]]&amp;", "&amp;Inschrijf_Hernieuwbare_Energie_Totaal[[#Headers],[A1]],Database_Productkaarten[#All],47,FALSE)*Inschrijfberekening!K10,Inschrijfberekening!E10="Categorie_1_LCA_Producten",VLOOKUP(Inschrijf_Hernieuwbare_Energie_Totaal[[#This Row],[Product]],Categorie_1_Producten[#All],20,FALSE)*(Inschrijfberekening!K10)),Referentie_Backlog!D116),0))</f>
        <v>0</v>
      </c>
      <c r="E68" s="111" cm="1">
        <f t="array" ref="E68">(IF(Inschrijfberekening!C10="Nieuwe Situatie",_xlfn.IFNA(_xlfn.IFS(Inschrijfberekening!E10="Bitumineuze_verhardingen",VLOOKUP(Inschrijf_Hernieuwbare_Energie_Totaal[[#This Row],[Product]]&amp;", "&amp;Inschrijf_Hernieuwbare_Energie_Totaal[[#Headers],[A2]],Database_Productkaarten[#All],47,FALSE)*Inschrijfberekening!K10,Inschrijfberekening!E10="Funderingslagen",VLOOKUP(Inschrijf_Hernieuwbare_Energie_Totaal[[#This Row],[Product]]&amp;", "&amp;Inschrijf_Hernieuwbare_Energie_Totaal[[#Headers],[A2]],Database_Productkaarten[#All],47,FALSE)*Inschrijfberekening!K10,Inschrijfberekening!E10="Grondwerken",VLOOKUP(Inschrijf_Hernieuwbare_Energie_Totaal[[#This Row],[Product]]&amp;", "&amp;Inschrijf_Hernieuwbare_Energie_Totaal[[#Headers],[A2]],Database_Productkaarten[#All],47,FALSE)*Inschrijfberekening!K10,Inschrijfberekening!E10="Categorie_1_LCA_Producten",VLOOKUP(Inschrijf_Hernieuwbare_Energie_Totaal[[#This Row],[Product]],Categorie_1_Producten[#All],21,FALSE)*(Inschrijfberekening!K10)),Referentie_Backlog!E116),0))</f>
        <v>0</v>
      </c>
      <c r="F68" s="111" cm="1">
        <f t="array" ref="F68">(IF(Inschrijfberekening!C10="Nieuwe Situatie",_xlfn.IFNA(_xlfn.IFS(Inschrijfberekening!E10="Bitumineuze_verhardingen",VLOOKUP(Inschrijf_Hernieuwbare_Energie_Totaal[[#This Row],[Product]]&amp;", "&amp;Inschrijf_Hernieuwbare_Energie_Totaal[[#Headers],[A3]],Database_Productkaarten[#All],47,FALSE)*Inschrijfberekening!K10,Inschrijfberekening!E10="Funderingslagen",VLOOKUP(Inschrijf_Hernieuwbare_Energie_Totaal[[#This Row],[Product]]&amp;", "&amp;Inschrijf_Hernieuwbare_Energie_Totaal[[#Headers],[A3]],Database_Productkaarten[#All],47,FALSE)*Inschrijfberekening!K10,Inschrijfberekening!E10="Grondwerken",VLOOKUP(Inschrijf_Hernieuwbare_Energie_Totaal[[#This Row],[Product]]&amp;", "&amp;Inschrijf_Hernieuwbare_Energie_Totaal[[#Headers],[A3]],Database_Productkaarten[#All],47,FALSE)*Inschrijfberekening!K10,Inschrijfberekening!E10="Categorie_1_LCA_Producten",VLOOKUP(Inschrijf_Hernieuwbare_Energie_Totaal[[#This Row],[Product]],Categorie_1_Producten[#All],22,FALSE)*(Inschrijfberekening!K10)),Referentie_Backlog!D116),0))</f>
        <v>0</v>
      </c>
      <c r="G68" s="111">
        <f>(IF(Inschrijfberekening!C10="Nieuwe Situatie",_xlfn.IFNA(VLOOKUP(Inschrijfberekening!O10,Database_Transport[#All],42,FALSE)*(Inschrijfberekening!K10*Inschrijfberekening!N10),Referentie_Backlog!G116),0))</f>
        <v>14.848912649999999</v>
      </c>
      <c r="H68" s="112">
        <f>_xlfn.IFNA((IF(Inschrijfberekening!C10="Nieuwe Situatie",(VLOOKUP(Inschrijfberekening!P10,Database_Asfalt_Aanlegset[#All],42,FALSE)*Inschrijfberekening!K10)+IFERROR(((VLOOKUP(Inschrijfberekening!Q10,Database_Overig_Materieel[#All],42,FALSE)*(Inschrijfberekening!L10/VLOOKUP(Inschrijfberekening!Q10,Database_Overig_Materieel[#All],42,FALSE)))),0),0)),Referentie_Backlog!H116)</f>
        <v>2.13361278</v>
      </c>
      <c r="I68" s="111" cm="1">
        <f t="array" ref="I68">(IF(Inschrijfberekening!C10="Nieuwe Situatie",_xlfn.IFNA(_xlfn.IFS(Inschrijfberekening!E10="Bitumineuze_verhardingen",VLOOKUP(Inschrijf_Hernieuwbare_Energie_Totaal[[#This Row],[Product]]&amp;", "&amp;Inschrijf_Hernieuwbare_Energie_Totaal[[#Headers],[B1]],Database_Productkaarten[#All],47,FALSE)*Inschrijfberekening!K10,Inschrijfberekening!E10="Funderingslagen",VLOOKUP(Inschrijf_Hernieuwbare_Energie_Totaal[[#This Row],[Product]]&amp;", "&amp;Inschrijf_Hernieuwbare_Energie_Totaal[[#Headers],[B1]],Database_Productkaarten[#All],47,FALSE)*Inschrijfberekening!K10,Inschrijfberekening!E10="Grondwerken",VLOOKUP(Inschrijf_Hernieuwbare_Energie_Totaal[[#This Row],[Product]]&amp;", "&amp;Inschrijf_Hernieuwbare_Energie_Totaal[[#Headers],[B1]],Database_Productkaarten[#All],47,FALSE)*Inschrijfberekening!K10,Inschrijfberekening!E10="Categorie_1_LCA_Producten",VLOOKUP(Inschrijf_Hernieuwbare_Energie_Totaal[[#This Row],[Product]],Categorie_1_Producten[#All],23,FALSE)*(Inschrijfberekening!K10)),Referentie_Backlog!D116),0))</f>
        <v>0</v>
      </c>
      <c r="J68" s="174">
        <f>(IF(Inschrijfberekening!C10="Nieuwe Situatie",_xlfn.IFNA(SUM(Inschrijf_Hernieuwbare_Energie_Totaal[[#This Row],[A1]:[B1]],Inschrijf_Hernieuwbare_Energie_Totaal[[#This Row],[C1]:[D2]])*Inschrijfberekening!M10,0),0))</f>
        <v>0</v>
      </c>
      <c r="K68" s="113">
        <f>(IF(Inschrijfberekening!C10="Bestaande Situatie",IF(IFERROR((VLOOKUP(Inschrijfberekening!R10,Database_Asfalt_Verwijderset[#All],42,FALSE)*Inschrijfberekening!K10),0)+IFERROR((VLOOKUP(Inschrijfberekening!S10,Database_Overig_Materieel[#All],42,FALSE)*(Inschrijfberekening!L10/VLOOKUP(Inschrijfberekening!S10,Database_Overig_Materieel[#All],42,FALSE))),0)=0,Referentie_Backlog!K116,IFERROR((VLOOKUP(Inschrijfberekening!R10,Database_Asfalt_Verwijderset[#All],42,FALSE)*Inschrijfberekening!K10),0)+IFERROR((VLOOKUP(Inschrijfberekening!S10,Database_Overig_Materieel[#All],42,FALSE)*(Inschrijfberekening!L10/VLOOKUP(Inschrijfberekening!S10,Database_Overig_Materieel[#All],42,FALSE))),0)),0))</f>
        <v>0</v>
      </c>
      <c r="L68" s="111">
        <f>(IF(Inschrijfberekening!C10="Bestaande Situatie",_xlfn.IFNA(VLOOKUP(Inschrijfberekening!U10,Database_Transport[#All],42,FALSE)*(Inschrijfberekening!K10*Inschrijfberekening!T10),Referentie_Backlog!L116),0))</f>
        <v>0</v>
      </c>
      <c r="M68" s="111">
        <f>(IF(Inschrijfberekening!C10="Bestaande Situatie",_xlfn.IFNA(VLOOKUP(Inschrijfberekening!V10,Database_Asfalt_Verwerkingsset[#All],42,FALSE)*(Inschrijfberekening!K10/VLOOKUP(Inschrijfberekening!V10,Database_Asfalt_Verwerkingsset[#All],42,FALSE)),Referentie_Backlog!M116),0))</f>
        <v>0</v>
      </c>
      <c r="N68" s="111">
        <f>(IF(Inschrijfberekening!C10="Bestaande Situatie",_xlfn.IFNA(VLOOKUP(Inschrijf_Hernieuwbare_Energie_Totaal[[#This Row],[Product]]&amp;", "&amp;Inschrijf_MKI_Totaal[[#Headers],[C4]],Database_Productkaarten[#All],47,FALSE)*Inschrijfberekening!K10,Referentie_Backlog!N116),0))</f>
        <v>0</v>
      </c>
      <c r="O68" s="111" cm="1">
        <f t="array" ref="O68">_xlfn.IFNA((IF(Inschrijfberekening!C10="Bestaande Situatie",_xlfn.IFS(Inschrijfberekening!E10="Bitumineuze_verhardingen",VLOOKUP(Inschrijf_Hernieuwbare_Energie_Totaal[[#This Row],[Product]]&amp;", "&amp;Inschrijf_Hernieuwbare_Energie_Totaal[[#Headers],[D1]],Database_Productkaarten[#All],47,FALSE)*Inschrijfberekening!K10,Inschrijfberekening!E10="Funderingslagen",VLOOKUP(Inschrijf_Hernieuwbare_Energie_Totaal[[#This Row],[Product]]&amp;", "&amp;Inschrijf_Hernieuwbare_Energie_Totaal[[#Headers],[D1]],Database_Productkaarten[#All],47,FALSE)*Inschrijfberekening!K10,Inschrijfberekening!E10="Grondwerken",VLOOKUP(Inschrijf_Hernieuwbare_Energie_Totaal[[#This Row],[Product]]&amp;", "&amp;Inschrijf_Hernieuwbare_Energie_Totaal[[#Headers],[D1]],Database_Productkaarten[#All],47,FALSE)*Inschrijfberekening!K10,Inschrijfberekening!E10="Categorie_1_LCA_Producten",VLOOKUP(Inschrijf_Hernieuwbare_Energie_Totaal[[#This Row],[Product]],Categorie_1_Producten[#All],24,FALSE)*(Inschrijfberekening!K10)),0)),Referentie_Backlog!O116)</f>
        <v>0</v>
      </c>
      <c r="P68" s="114" cm="1">
        <f t="array" ref="P68">_xlfn.IFNA((IF(Inschrijfberekening!C10="Bestaande Situatie",_xlfn.IFS(Inschrijfberekening!E10="Bitumineuze_verhardingen",VLOOKUP(Inschrijf_Hernieuwbare_Energie_Totaal[[#This Row],[Product]]&amp;", "&amp;Inschrijf_Hernieuwbare_Energie_Totaal[[#Headers],[D2]],Database_Productkaarten[#All],47,FALSE)*Inschrijfberekening!K10,Inschrijfberekening!E10="Funderingslagen",VLOOKUP(Inschrijf_Hernieuwbare_Energie_Totaal[[#This Row],[Product]]&amp;", "&amp;Inschrijf_Hernieuwbare_Energie_Totaal[[#Headers],[D2]],Database_Productkaarten[#All],47,FALSE)*Inschrijfberekening!K10,Inschrijfberekening!E10="Grondwerken",VLOOKUP(Inschrijf_Hernieuwbare_Energie_Totaal[[#This Row],[Product]]&amp;", "&amp;Inschrijf_Hernieuwbare_Energie_Totaal[[#Headers],[D2]],Database_Productkaarten[#All],47,FALSE)*Inschrijfberekening!K10,Inschrijfberekening!E10="Categorie_1_LCA_Producten",VLOOKUP(Inschrijf_Hernieuwbare_Energie_Totaal[[#This Row],[Product]],Categorie_1_Producten[#All],25,FALSE)*(Inschrijfberekening!K10)),0)),Referentie_Backlog!P116)</f>
        <v>0</v>
      </c>
      <c r="Q68" s="111">
        <f>SUM(Inschrijf_Hernieuwbare_Energie_Totaal[[#This Row],[A1]:[D2]])</f>
        <v>16.982525429999999</v>
      </c>
    </row>
    <row r="69" spans="2:17" ht="18" x14ac:dyDescent="0.55000000000000004">
      <c r="B69" s="285">
        <f>Inschrijfberekening!B11</f>
        <v>601250</v>
      </c>
      <c r="C69" s="23" t="str">
        <f>Inschrijfberekening!F11</f>
        <v>20460-TB - AC 16 Bin/Base 35/50 60% PR Bestone</v>
      </c>
      <c r="D69" s="111" cm="1">
        <f t="array" ref="D69">(IF(Inschrijfberekening!C11="Nieuwe Situatie",_xlfn.IFNA(_xlfn.IFS(Inschrijfberekening!E11="Bitumineuze_verhardingen",VLOOKUP(Inschrijf_Hernieuwbare_Energie_Totaal[[#This Row],[Product]]&amp;", "&amp;Inschrijf_Hernieuwbare_Energie_Totaal[[#Headers],[A1]],Database_Productkaarten[#All],47,FALSE)*Inschrijfberekening!K11,Inschrijfberekening!E11="Funderingslagen",VLOOKUP(Inschrijf_Hernieuwbare_Energie_Totaal[[#This Row],[Product]]&amp;", "&amp;Inschrijf_Hernieuwbare_Energie_Totaal[[#Headers],[A1]],Database_Productkaarten[#All],47,FALSE)*Inschrijfberekening!K11,Inschrijfberekening!E11="Grondwerken",VLOOKUP(Inschrijf_Hernieuwbare_Energie_Totaal[[#This Row],[Product]]&amp;", "&amp;Inschrijf_Hernieuwbare_Energie_Totaal[[#Headers],[A1]],Database_Productkaarten[#All],47,FALSE)*Inschrijfberekening!K11,Inschrijfberekening!E11="Categorie_1_LCA_Producten",VLOOKUP(Inschrijf_Hernieuwbare_Energie_Totaal[[#This Row],[Product]],Categorie_1_Producten[#All],20,FALSE)*(Inschrijfberekening!K11)),Referentie_Backlog!D137),0))</f>
        <v>0</v>
      </c>
      <c r="E69" s="111" cm="1">
        <f t="array" ref="E69">(IF(Inschrijfberekening!C11="Nieuwe Situatie",_xlfn.IFNA(_xlfn.IFS(Inschrijfberekening!E11="Bitumineuze_verhardingen",VLOOKUP(Inschrijf_Hernieuwbare_Energie_Totaal[[#This Row],[Product]]&amp;", "&amp;Inschrijf_Hernieuwbare_Energie_Totaal[[#Headers],[A2]],Database_Productkaarten[#All],47,FALSE)*Inschrijfberekening!K11,Inschrijfberekening!E11="Funderingslagen",VLOOKUP(Inschrijf_Hernieuwbare_Energie_Totaal[[#This Row],[Product]]&amp;", "&amp;Inschrijf_Hernieuwbare_Energie_Totaal[[#Headers],[A2]],Database_Productkaarten[#All],47,FALSE)*Inschrijfberekening!K11,Inschrijfberekening!E11="Grondwerken",VLOOKUP(Inschrijf_Hernieuwbare_Energie_Totaal[[#This Row],[Product]]&amp;", "&amp;Inschrijf_Hernieuwbare_Energie_Totaal[[#Headers],[A2]],Database_Productkaarten[#All],47,FALSE)*Inschrijfberekening!K11,Inschrijfberekening!E11="Categorie_1_LCA_Producten",VLOOKUP(Inschrijf_Hernieuwbare_Energie_Totaal[[#This Row],[Product]],Categorie_1_Producten[#All],21,FALSE)*(Inschrijfberekening!K11)),Referentie_Backlog!E137),0))</f>
        <v>0</v>
      </c>
      <c r="F69" s="111" cm="1">
        <f t="array" ref="F69">(IF(Inschrijfberekening!C11="Nieuwe Situatie",_xlfn.IFNA(_xlfn.IFS(Inschrijfberekening!E11="Bitumineuze_verhardingen",VLOOKUP(Inschrijf_Hernieuwbare_Energie_Totaal[[#This Row],[Product]]&amp;", "&amp;Inschrijf_Hernieuwbare_Energie_Totaal[[#Headers],[A3]],Database_Productkaarten[#All],47,FALSE)*Inschrijfberekening!K11,Inschrijfberekening!E11="Funderingslagen",VLOOKUP(Inschrijf_Hernieuwbare_Energie_Totaal[[#This Row],[Product]]&amp;", "&amp;Inschrijf_Hernieuwbare_Energie_Totaal[[#Headers],[A3]],Database_Productkaarten[#All],47,FALSE)*Inschrijfberekening!K11,Inschrijfberekening!E11="Grondwerken",VLOOKUP(Inschrijf_Hernieuwbare_Energie_Totaal[[#This Row],[Product]]&amp;", "&amp;Inschrijf_Hernieuwbare_Energie_Totaal[[#Headers],[A3]],Database_Productkaarten[#All],47,FALSE)*Inschrijfberekening!K11,Inschrijfberekening!E11="Categorie_1_LCA_Producten",VLOOKUP(Inschrijf_Hernieuwbare_Energie_Totaal[[#This Row],[Product]],Categorie_1_Producten[#All],22,FALSE)*(Inschrijfberekening!K11)),Referentie_Backlog!D137),0))</f>
        <v>0</v>
      </c>
      <c r="G69" s="111">
        <f>(IF(Inschrijfberekening!C11="Nieuwe Situatie",_xlfn.IFNA(VLOOKUP(Inschrijfberekening!O11,Database_Transport[#All],42,FALSE)*(Inschrijfberekening!K11*Inschrijfberekening!N11),Referentie_Backlog!G137),0))</f>
        <v>26.27115315</v>
      </c>
      <c r="H69" s="112">
        <f>_xlfn.IFNA((IF(Inschrijfberekening!C11="Nieuwe Situatie",(VLOOKUP(Inschrijfberekening!P11,Database_Asfalt_Aanlegset[#All],42,FALSE)*Inschrijfberekening!K11)+IFERROR(((VLOOKUP(Inschrijfberekening!Q11,Database_Overig_Materieel[#All],42,FALSE)*(Inschrijfberekening!L11/VLOOKUP(Inschrijfberekening!Q11,Database_Overig_Materieel[#All],42,FALSE)))),0),0)),Referentie_Backlog!H137)</f>
        <v>3.7748533800000006</v>
      </c>
      <c r="I69" s="111" cm="1">
        <f t="array" ref="I69">(IF(Inschrijfberekening!C11="Nieuwe Situatie",_xlfn.IFNA(_xlfn.IFS(Inschrijfberekening!E11="Bitumineuze_verhardingen",VLOOKUP(Inschrijf_Hernieuwbare_Energie_Totaal[[#This Row],[Product]]&amp;", "&amp;Inschrijf_Hernieuwbare_Energie_Totaal[[#Headers],[B1]],Database_Productkaarten[#All],47,FALSE)*Inschrijfberekening!K11,Inschrijfberekening!E11="Funderingslagen",VLOOKUP(Inschrijf_Hernieuwbare_Energie_Totaal[[#This Row],[Product]]&amp;", "&amp;Inschrijf_Hernieuwbare_Energie_Totaal[[#Headers],[B1]],Database_Productkaarten[#All],47,FALSE)*Inschrijfberekening!K11,Inschrijfberekening!E11="Grondwerken",VLOOKUP(Inschrijf_Hernieuwbare_Energie_Totaal[[#This Row],[Product]]&amp;", "&amp;Inschrijf_Hernieuwbare_Energie_Totaal[[#Headers],[B1]],Database_Productkaarten[#All],47,FALSE)*Inschrijfberekening!K11,Inschrijfberekening!E11="Categorie_1_LCA_Producten",VLOOKUP(Inschrijf_Hernieuwbare_Energie_Totaal[[#This Row],[Product]],Categorie_1_Producten[#All],23,FALSE)*(Inschrijfberekening!K11)),Referentie_Backlog!D137),0))</f>
        <v>0</v>
      </c>
      <c r="J69" s="174">
        <f>(IF(Inschrijfberekening!C11="Nieuwe Situatie",_xlfn.IFNA(SUM(Inschrijf_Hernieuwbare_Energie_Totaal[[#This Row],[A1]:[B1]],Inschrijf_Hernieuwbare_Energie_Totaal[[#This Row],[C1]:[D2]])*Inschrijfberekening!M11,0),0))</f>
        <v>0</v>
      </c>
      <c r="K69" s="113">
        <f>(IF(Inschrijfberekening!C11="Bestaande Situatie",IF(IFERROR((VLOOKUP(Inschrijfberekening!R11,Database_Asfalt_Verwijderset[#All],42,FALSE)*Inschrijfberekening!K11),0)+IFERROR((VLOOKUP(Inschrijfberekening!S11,Database_Overig_Materieel[#All],42,FALSE)*(Inschrijfberekening!L11/VLOOKUP(Inschrijfberekening!S11,Database_Overig_Materieel[#All],42,FALSE))),0)=0,Referentie_Backlog!K137,IFERROR((VLOOKUP(Inschrijfberekening!R11,Database_Asfalt_Verwijderset[#All],42,FALSE)*Inschrijfberekening!K11),0)+IFERROR((VLOOKUP(Inschrijfberekening!S11,Database_Overig_Materieel[#All],42,FALSE)*(Inschrijfberekening!L11/VLOOKUP(Inschrijfberekening!S11,Database_Overig_Materieel[#All],42,FALSE))),0)),0))</f>
        <v>0</v>
      </c>
      <c r="L69" s="111">
        <f>(IF(Inschrijfberekening!C11="Bestaande Situatie",_xlfn.IFNA(VLOOKUP(Inschrijfberekening!U11,Database_Transport[#All],42,FALSE)*(Inschrijfberekening!K11*Inschrijfberekening!T11),Referentie_Backlog!L137),0))</f>
        <v>0</v>
      </c>
      <c r="M69" s="111">
        <f>(IF(Inschrijfberekening!C11="Bestaande Situatie",_xlfn.IFNA(VLOOKUP(Inschrijfberekening!V11,Database_Asfalt_Verwerkingsset[#All],42,FALSE)*(Inschrijfberekening!K11/VLOOKUP(Inschrijfberekening!V11,Database_Asfalt_Verwerkingsset[#All],42,FALSE)),Referentie_Backlog!M137),0))</f>
        <v>0</v>
      </c>
      <c r="N69" s="111">
        <f>(IF(Inschrijfberekening!C11="Bestaande Situatie",_xlfn.IFNA(VLOOKUP(Inschrijf_Hernieuwbare_Energie_Totaal[[#This Row],[Product]]&amp;", "&amp;Inschrijf_MKI_Totaal[[#Headers],[C4]],Database_Productkaarten[#All],47,FALSE)*Inschrijfberekening!K11,Referentie_Backlog!N137),0))</f>
        <v>0</v>
      </c>
      <c r="O69" s="111" cm="1">
        <f t="array" ref="O69">_xlfn.IFNA((IF(Inschrijfberekening!C11="Bestaande Situatie",_xlfn.IFS(Inschrijfberekening!E11="Bitumineuze_verhardingen",VLOOKUP(Inschrijf_Hernieuwbare_Energie_Totaal[[#This Row],[Product]]&amp;", "&amp;Inschrijf_Hernieuwbare_Energie_Totaal[[#Headers],[D1]],Database_Productkaarten[#All],47,FALSE)*Inschrijfberekening!K11,Inschrijfberekening!E11="Funderingslagen",VLOOKUP(Inschrijf_Hernieuwbare_Energie_Totaal[[#This Row],[Product]]&amp;", "&amp;Inschrijf_Hernieuwbare_Energie_Totaal[[#Headers],[D1]],Database_Productkaarten[#All],47,FALSE)*Inschrijfberekening!K11,Inschrijfberekening!E11="Grondwerken",VLOOKUP(Inschrijf_Hernieuwbare_Energie_Totaal[[#This Row],[Product]]&amp;", "&amp;Inschrijf_Hernieuwbare_Energie_Totaal[[#Headers],[D1]],Database_Productkaarten[#All],47,FALSE)*Inschrijfberekening!K11,Inschrijfberekening!E11="Categorie_1_LCA_Producten",VLOOKUP(Inschrijf_Hernieuwbare_Energie_Totaal[[#This Row],[Product]],Categorie_1_Producten[#All],24,FALSE)*(Inschrijfberekening!K11)),0)),Referentie_Backlog!O137)</f>
        <v>0</v>
      </c>
      <c r="P69" s="114" cm="1">
        <f t="array" ref="P69">_xlfn.IFNA((IF(Inschrijfberekening!C11="Bestaande Situatie",_xlfn.IFS(Inschrijfberekening!E11="Bitumineuze_verhardingen",VLOOKUP(Inschrijf_Hernieuwbare_Energie_Totaal[[#This Row],[Product]]&amp;", "&amp;Inschrijf_Hernieuwbare_Energie_Totaal[[#Headers],[D2]],Database_Productkaarten[#All],47,FALSE)*Inschrijfberekening!K11,Inschrijfberekening!E11="Funderingslagen",VLOOKUP(Inschrijf_Hernieuwbare_Energie_Totaal[[#This Row],[Product]]&amp;", "&amp;Inschrijf_Hernieuwbare_Energie_Totaal[[#Headers],[D2]],Database_Productkaarten[#All],47,FALSE)*Inschrijfberekening!K11,Inschrijfberekening!E11="Grondwerken",VLOOKUP(Inschrijf_Hernieuwbare_Energie_Totaal[[#This Row],[Product]]&amp;", "&amp;Inschrijf_Hernieuwbare_Energie_Totaal[[#Headers],[D2]],Database_Productkaarten[#All],47,FALSE)*Inschrijfberekening!K11,Inschrijfberekening!E11="Categorie_1_LCA_Producten",VLOOKUP(Inschrijf_Hernieuwbare_Energie_Totaal[[#This Row],[Product]],Categorie_1_Producten[#All],25,FALSE)*(Inschrijfberekening!K11)),0)),Referentie_Backlog!P137)</f>
        <v>0</v>
      </c>
      <c r="Q69" s="111">
        <f>SUM(Inschrijf_Hernieuwbare_Energie_Totaal[[#This Row],[A1]:[D2]])</f>
        <v>30.04600653</v>
      </c>
    </row>
    <row r="70" spans="2:17" ht="18" x14ac:dyDescent="0.55000000000000004">
      <c r="B70" s="285">
        <f>Inschrijfberekening!B12</f>
        <v>601260</v>
      </c>
      <c r="C70" s="23" t="str">
        <f>Inschrijfberekening!F12</f>
        <v>88405-TB - SMA-NL 11B 40/60 Bestone</v>
      </c>
      <c r="D70" s="111" cm="1">
        <f t="array" ref="D70">(IF(Inschrijfberekening!C12="Nieuwe Situatie",_xlfn.IFNA(_xlfn.IFS(Inschrijfberekening!E12="Bitumineuze_verhardingen",VLOOKUP(Inschrijf_Hernieuwbare_Energie_Totaal[[#This Row],[Product]]&amp;", "&amp;Inschrijf_Hernieuwbare_Energie_Totaal[[#Headers],[A1]],Database_Productkaarten[#All],47,FALSE)*Inschrijfberekening!K12,Inschrijfberekening!E12="Funderingslagen",VLOOKUP(Inschrijf_Hernieuwbare_Energie_Totaal[[#This Row],[Product]]&amp;", "&amp;Inschrijf_Hernieuwbare_Energie_Totaal[[#Headers],[A1]],Database_Productkaarten[#All],47,FALSE)*Inschrijfberekening!K12,Inschrijfberekening!E12="Grondwerken",VLOOKUP(Inschrijf_Hernieuwbare_Energie_Totaal[[#This Row],[Product]]&amp;", "&amp;Inschrijf_Hernieuwbare_Energie_Totaal[[#Headers],[A1]],Database_Productkaarten[#All],47,FALSE)*Inschrijfberekening!K12,Inschrijfberekening!E12="Categorie_1_LCA_Producten",VLOOKUP(Inschrijf_Hernieuwbare_Energie_Totaal[[#This Row],[Product]],Categorie_1_Producten[#All],20,FALSE)*(Inschrijfberekening!K12)),Referentie_Backlog!D138),0))</f>
        <v>0</v>
      </c>
      <c r="E70" s="111" cm="1">
        <f t="array" ref="E70">(IF(Inschrijfberekening!C12="Nieuwe Situatie",_xlfn.IFNA(_xlfn.IFS(Inschrijfberekening!E12="Bitumineuze_verhardingen",VLOOKUP(Inschrijf_Hernieuwbare_Energie_Totaal[[#This Row],[Product]]&amp;", "&amp;Inschrijf_Hernieuwbare_Energie_Totaal[[#Headers],[A2]],Database_Productkaarten[#All],47,FALSE)*Inschrijfberekening!K12,Inschrijfberekening!E12="Funderingslagen",VLOOKUP(Inschrijf_Hernieuwbare_Energie_Totaal[[#This Row],[Product]]&amp;", "&amp;Inschrijf_Hernieuwbare_Energie_Totaal[[#Headers],[A2]],Database_Productkaarten[#All],47,FALSE)*Inschrijfberekening!K12,Inschrijfberekening!E12="Grondwerken",VLOOKUP(Inschrijf_Hernieuwbare_Energie_Totaal[[#This Row],[Product]]&amp;", "&amp;Inschrijf_Hernieuwbare_Energie_Totaal[[#Headers],[A2]],Database_Productkaarten[#All],47,FALSE)*Inschrijfberekening!K12,Inschrijfberekening!E12="Categorie_1_LCA_Producten",VLOOKUP(Inschrijf_Hernieuwbare_Energie_Totaal[[#This Row],[Product]],Categorie_1_Producten[#All],21,FALSE)*(Inschrijfberekening!K12)),Referentie_Backlog!E138),0))</f>
        <v>0</v>
      </c>
      <c r="F70" s="111" cm="1">
        <f t="array" ref="F70">(IF(Inschrijfberekening!C12="Nieuwe Situatie",_xlfn.IFNA(_xlfn.IFS(Inschrijfberekening!E12="Bitumineuze_verhardingen",VLOOKUP(Inschrijf_Hernieuwbare_Energie_Totaal[[#This Row],[Product]]&amp;", "&amp;Inschrijf_Hernieuwbare_Energie_Totaal[[#Headers],[A3]],Database_Productkaarten[#All],47,FALSE)*Inschrijfberekening!K12,Inschrijfberekening!E12="Funderingslagen",VLOOKUP(Inschrijf_Hernieuwbare_Energie_Totaal[[#This Row],[Product]]&amp;", "&amp;Inschrijf_Hernieuwbare_Energie_Totaal[[#Headers],[A3]],Database_Productkaarten[#All],47,FALSE)*Inschrijfberekening!K12,Inschrijfberekening!E12="Grondwerken",VLOOKUP(Inschrijf_Hernieuwbare_Energie_Totaal[[#This Row],[Product]]&amp;", "&amp;Inschrijf_Hernieuwbare_Energie_Totaal[[#Headers],[A3]],Database_Productkaarten[#All],47,FALSE)*Inschrijfberekening!K12,Inschrijfberekening!E12="Categorie_1_LCA_Producten",VLOOKUP(Inschrijf_Hernieuwbare_Energie_Totaal[[#This Row],[Product]],Categorie_1_Producten[#All],22,FALSE)*(Inschrijfberekening!K12)),Referentie_Backlog!D138),0))</f>
        <v>0</v>
      </c>
      <c r="G70" s="111">
        <f>(IF(Inschrijfberekening!C12="Nieuwe Situatie",_xlfn.IFNA(VLOOKUP(Inschrijfberekening!O12,Database_Transport[#All],42,FALSE)*(Inschrijfberekening!K12*Inschrijfberekening!N12),Referentie_Backlog!G138),0))</f>
        <v>23.986705050000001</v>
      </c>
      <c r="H70" s="112">
        <f>_xlfn.IFNA((IF(Inschrijfberekening!C12="Nieuwe Situatie",(VLOOKUP(Inschrijfberekening!P12,Database_Asfalt_Aanlegset[#All],42,FALSE)*Inschrijfberekening!K12)+IFERROR(((VLOOKUP(Inschrijfberekening!Q12,Database_Overig_Materieel[#All],42,FALSE)*(Inschrijfberekening!L12/VLOOKUP(Inschrijfberekening!Q12,Database_Overig_Materieel[#All],42,FALSE)))),0),0)),Referentie_Backlog!H138)</f>
        <v>3.4466052600000001</v>
      </c>
      <c r="I70" s="111" cm="1">
        <f t="array" ref="I70">(IF(Inschrijfberekening!C12="Nieuwe Situatie",_xlfn.IFNA(_xlfn.IFS(Inschrijfberekening!E12="Bitumineuze_verhardingen",VLOOKUP(Inschrijf_Hernieuwbare_Energie_Totaal[[#This Row],[Product]]&amp;", "&amp;Inschrijf_Hernieuwbare_Energie_Totaal[[#Headers],[B1]],Database_Productkaarten[#All],47,FALSE)*Inschrijfberekening!K12,Inschrijfberekening!E12="Funderingslagen",VLOOKUP(Inschrijf_Hernieuwbare_Energie_Totaal[[#This Row],[Product]]&amp;", "&amp;Inschrijf_Hernieuwbare_Energie_Totaal[[#Headers],[B1]],Database_Productkaarten[#All],47,FALSE)*Inschrijfberekening!K12,Inschrijfberekening!E12="Grondwerken",VLOOKUP(Inschrijf_Hernieuwbare_Energie_Totaal[[#This Row],[Product]]&amp;", "&amp;Inschrijf_Hernieuwbare_Energie_Totaal[[#Headers],[B1]],Database_Productkaarten[#All],47,FALSE)*Inschrijfberekening!K12,Inschrijfberekening!E12="Categorie_1_LCA_Producten",VLOOKUP(Inschrijf_Hernieuwbare_Energie_Totaal[[#This Row],[Product]],Categorie_1_Producten[#All],23,FALSE)*(Inschrijfberekening!K12)),Referentie_Backlog!D138),0))</f>
        <v>0</v>
      </c>
      <c r="J70" s="174">
        <f>(IF(Inschrijfberekening!C12="Nieuwe Situatie",_xlfn.IFNA(SUM(Inschrijf_Hernieuwbare_Energie_Totaal[[#This Row],[A1]:[B1]],Inschrijf_Hernieuwbare_Energie_Totaal[[#This Row],[C1]:[D2]])*Inschrijfberekening!M12,0),0))</f>
        <v>0</v>
      </c>
      <c r="K70" s="113">
        <f>(IF(Inschrijfberekening!C12="Bestaande Situatie",IF(IFERROR((VLOOKUP(Inschrijfberekening!R12,Database_Asfalt_Verwijderset[#All],42,FALSE)*Inschrijfberekening!K12),0)+IFERROR((VLOOKUP(Inschrijfberekening!S12,Database_Overig_Materieel[#All],42,FALSE)*(Inschrijfberekening!L12/VLOOKUP(Inschrijfberekening!S12,Database_Overig_Materieel[#All],42,FALSE))),0)=0,Referentie_Backlog!K138,IFERROR((VLOOKUP(Inschrijfberekening!R12,Database_Asfalt_Verwijderset[#All],42,FALSE)*Inschrijfberekening!K12),0)+IFERROR((VLOOKUP(Inschrijfberekening!S12,Database_Overig_Materieel[#All],42,FALSE)*(Inschrijfberekening!L12/VLOOKUP(Inschrijfberekening!S12,Database_Overig_Materieel[#All],42,FALSE))),0)),0))</f>
        <v>0</v>
      </c>
      <c r="L70" s="111">
        <f>(IF(Inschrijfberekening!C12="Bestaande Situatie",_xlfn.IFNA(VLOOKUP(Inschrijfberekening!U12,Database_Transport[#All],42,FALSE)*(Inschrijfberekening!K12*Inschrijfberekening!T12),Referentie_Backlog!L138),0))</f>
        <v>0</v>
      </c>
      <c r="M70" s="111">
        <f>(IF(Inschrijfberekening!C12="Bestaande Situatie",_xlfn.IFNA(VLOOKUP(Inschrijfberekening!V12,Database_Asfalt_Verwerkingsset[#All],42,FALSE)*(Inschrijfberekening!K12/VLOOKUP(Inschrijfberekening!V12,Database_Asfalt_Verwerkingsset[#All],42,FALSE)),Referentie_Backlog!M138),0))</f>
        <v>0</v>
      </c>
      <c r="N70" s="111">
        <f>(IF(Inschrijfberekening!C12="Bestaande Situatie",_xlfn.IFNA(VLOOKUP(Inschrijf_Hernieuwbare_Energie_Totaal[[#This Row],[Product]]&amp;", "&amp;Inschrijf_MKI_Totaal[[#Headers],[C4]],Database_Productkaarten[#All],47,FALSE)*Inschrijfberekening!K12,Referentie_Backlog!N138),0))</f>
        <v>0</v>
      </c>
      <c r="O70" s="111" cm="1">
        <f t="array" ref="O70">_xlfn.IFNA((IF(Inschrijfberekening!C12="Bestaande Situatie",_xlfn.IFS(Inschrijfberekening!E12="Bitumineuze_verhardingen",VLOOKUP(Inschrijf_Hernieuwbare_Energie_Totaal[[#This Row],[Product]]&amp;", "&amp;Inschrijf_Hernieuwbare_Energie_Totaal[[#Headers],[D1]],Database_Productkaarten[#All],47,FALSE)*Inschrijfberekening!K12,Inschrijfberekening!E12="Funderingslagen",VLOOKUP(Inschrijf_Hernieuwbare_Energie_Totaal[[#This Row],[Product]]&amp;", "&amp;Inschrijf_Hernieuwbare_Energie_Totaal[[#Headers],[D1]],Database_Productkaarten[#All],47,FALSE)*Inschrijfberekening!K12,Inschrijfberekening!E12="Grondwerken",VLOOKUP(Inschrijf_Hernieuwbare_Energie_Totaal[[#This Row],[Product]]&amp;", "&amp;Inschrijf_Hernieuwbare_Energie_Totaal[[#Headers],[D1]],Database_Productkaarten[#All],47,FALSE)*Inschrijfberekening!K12,Inschrijfberekening!E12="Categorie_1_LCA_Producten",VLOOKUP(Inschrijf_Hernieuwbare_Energie_Totaal[[#This Row],[Product]],Categorie_1_Producten[#All],24,FALSE)*(Inschrijfberekening!K12)),0)),Referentie_Backlog!O138)</f>
        <v>0</v>
      </c>
      <c r="P70" s="114" cm="1">
        <f t="array" ref="P70">_xlfn.IFNA((IF(Inschrijfberekening!C12="Bestaande Situatie",_xlfn.IFS(Inschrijfberekening!E12="Bitumineuze_verhardingen",VLOOKUP(Inschrijf_Hernieuwbare_Energie_Totaal[[#This Row],[Product]]&amp;", "&amp;Inschrijf_Hernieuwbare_Energie_Totaal[[#Headers],[D2]],Database_Productkaarten[#All],47,FALSE)*Inschrijfberekening!K12,Inschrijfberekening!E12="Funderingslagen",VLOOKUP(Inschrijf_Hernieuwbare_Energie_Totaal[[#This Row],[Product]]&amp;", "&amp;Inschrijf_Hernieuwbare_Energie_Totaal[[#Headers],[D2]],Database_Productkaarten[#All],47,FALSE)*Inschrijfberekening!K12,Inschrijfberekening!E12="Grondwerken",VLOOKUP(Inschrijf_Hernieuwbare_Energie_Totaal[[#This Row],[Product]]&amp;", "&amp;Inschrijf_Hernieuwbare_Energie_Totaal[[#Headers],[D2]],Database_Productkaarten[#All],47,FALSE)*Inschrijfberekening!K12,Inschrijfberekening!E12="Categorie_1_LCA_Producten",VLOOKUP(Inschrijf_Hernieuwbare_Energie_Totaal[[#This Row],[Product]],Categorie_1_Producten[#All],25,FALSE)*(Inschrijfberekening!K12)),0)),Referentie_Backlog!P138)</f>
        <v>0</v>
      </c>
      <c r="Q70" s="111">
        <f>SUM(Inschrijf_Hernieuwbare_Energie_Totaal[[#This Row],[A1]:[D2]])</f>
        <v>27.433310310000003</v>
      </c>
    </row>
    <row r="71" spans="2:17" ht="18" x14ac:dyDescent="0.55000000000000004">
      <c r="B71" s="285">
        <f>Inschrijfberekening!B13</f>
        <v>601270</v>
      </c>
      <c r="C71" s="23" t="str">
        <f>Inschrijfberekening!F13</f>
        <v>88405-TB - SMA-NL 11B 40/60 Bestone</v>
      </c>
      <c r="D71" s="111" cm="1">
        <f t="array" ref="D71">(IF(Inschrijfberekening!C13="Nieuwe Situatie",_xlfn.IFNA(_xlfn.IFS(Inschrijfberekening!E13="Bitumineuze_verhardingen",VLOOKUP(Inschrijf_Hernieuwbare_Energie_Totaal[[#This Row],[Product]]&amp;", "&amp;Inschrijf_Hernieuwbare_Energie_Totaal[[#Headers],[A1]],Database_Productkaarten[#All],47,FALSE)*Inschrijfberekening!K13,Inschrijfberekening!E13="Funderingslagen",VLOOKUP(Inschrijf_Hernieuwbare_Energie_Totaal[[#This Row],[Product]]&amp;", "&amp;Inschrijf_Hernieuwbare_Energie_Totaal[[#Headers],[A1]],Database_Productkaarten[#All],47,FALSE)*Inschrijfberekening!K13,Inschrijfberekening!E13="Grondwerken",VLOOKUP(Inschrijf_Hernieuwbare_Energie_Totaal[[#This Row],[Product]]&amp;", "&amp;Inschrijf_Hernieuwbare_Energie_Totaal[[#Headers],[A1]],Database_Productkaarten[#All],47,FALSE)*Inschrijfberekening!K13,Inschrijfberekening!E13="Categorie_1_LCA_Producten",VLOOKUP(Inschrijf_Hernieuwbare_Energie_Totaal[[#This Row],[Product]],Categorie_1_Producten[#All],20,FALSE)*(Inschrijfberekening!K13)),Referentie_Backlog!D139),0))</f>
        <v>0</v>
      </c>
      <c r="E71" s="111" cm="1">
        <f t="array" ref="E71">(IF(Inschrijfberekening!C13="Nieuwe Situatie",_xlfn.IFNA(_xlfn.IFS(Inschrijfberekening!E13="Bitumineuze_verhardingen",VLOOKUP(Inschrijf_Hernieuwbare_Energie_Totaal[[#This Row],[Product]]&amp;", "&amp;Inschrijf_Hernieuwbare_Energie_Totaal[[#Headers],[A2]],Database_Productkaarten[#All],47,FALSE)*Inschrijfberekening!K13,Inschrijfberekening!E13="Funderingslagen",VLOOKUP(Inschrijf_Hernieuwbare_Energie_Totaal[[#This Row],[Product]]&amp;", "&amp;Inschrijf_Hernieuwbare_Energie_Totaal[[#Headers],[A2]],Database_Productkaarten[#All],47,FALSE)*Inschrijfberekening!K13,Inschrijfberekening!E13="Grondwerken",VLOOKUP(Inschrijf_Hernieuwbare_Energie_Totaal[[#This Row],[Product]]&amp;", "&amp;Inschrijf_Hernieuwbare_Energie_Totaal[[#Headers],[A2]],Database_Productkaarten[#All],47,FALSE)*Inschrijfberekening!K13,Inschrijfberekening!E13="Categorie_1_LCA_Producten",VLOOKUP(Inschrijf_Hernieuwbare_Energie_Totaal[[#This Row],[Product]],Categorie_1_Producten[#All],21,FALSE)*(Inschrijfberekening!K13)),Referentie_Backlog!E139),0))</f>
        <v>0</v>
      </c>
      <c r="F71" s="111" cm="1">
        <f t="array" ref="F71">(IF(Inschrijfberekening!C13="Nieuwe Situatie",_xlfn.IFNA(_xlfn.IFS(Inschrijfberekening!E13="Bitumineuze_verhardingen",VLOOKUP(Inschrijf_Hernieuwbare_Energie_Totaal[[#This Row],[Product]]&amp;", "&amp;Inschrijf_Hernieuwbare_Energie_Totaal[[#Headers],[A3]],Database_Productkaarten[#All],47,FALSE)*Inschrijfberekening!K13,Inschrijfberekening!E13="Funderingslagen",VLOOKUP(Inschrijf_Hernieuwbare_Energie_Totaal[[#This Row],[Product]]&amp;", "&amp;Inschrijf_Hernieuwbare_Energie_Totaal[[#Headers],[A3]],Database_Productkaarten[#All],47,FALSE)*Inschrijfberekening!K13,Inschrijfberekening!E13="Grondwerken",VLOOKUP(Inschrijf_Hernieuwbare_Energie_Totaal[[#This Row],[Product]]&amp;", "&amp;Inschrijf_Hernieuwbare_Energie_Totaal[[#Headers],[A3]],Database_Productkaarten[#All],47,FALSE)*Inschrijfberekening!K13,Inschrijfberekening!E13="Categorie_1_LCA_Producten",VLOOKUP(Inschrijf_Hernieuwbare_Energie_Totaal[[#This Row],[Product]],Categorie_1_Producten[#All],22,FALSE)*(Inschrijfberekening!K13)),Referentie_Backlog!D139),0))</f>
        <v>0</v>
      </c>
      <c r="G71" s="111">
        <f>(IF(Inschrijfberekening!C13="Nieuwe Situatie",_xlfn.IFNA(VLOOKUP(Inschrijfberekening!O13,Database_Transport[#All],42,FALSE)*(Inschrijfberekening!K13*Inschrijfberekening!N13),Referentie_Backlog!G139),0))</f>
        <v>20.5600329</v>
      </c>
      <c r="H71" s="112">
        <f>_xlfn.IFNA((IF(Inschrijfberekening!C13="Nieuwe Situatie",(VLOOKUP(Inschrijfberekening!P13,Database_Asfalt_Aanlegset[#All],42,FALSE)*Inschrijfberekening!K13)+IFERROR(((VLOOKUP(Inschrijfberekening!Q13,Database_Overig_Materieel[#All],42,FALSE)*(Inschrijfberekening!L13/VLOOKUP(Inschrijfberekening!Q13,Database_Overig_Materieel[#All],42,FALSE)))),0),0)),Referentie_Backlog!H139)</f>
        <v>2.9542330800000003</v>
      </c>
      <c r="I71" s="111" cm="1">
        <f t="array" ref="I71">(IF(Inschrijfberekening!C13="Nieuwe Situatie",_xlfn.IFNA(_xlfn.IFS(Inschrijfberekening!E13="Bitumineuze_verhardingen",VLOOKUP(Inschrijf_Hernieuwbare_Energie_Totaal[[#This Row],[Product]]&amp;", "&amp;Inschrijf_Hernieuwbare_Energie_Totaal[[#Headers],[B1]],Database_Productkaarten[#All],47,FALSE)*Inschrijfberekening!K13,Inschrijfberekening!E13="Funderingslagen",VLOOKUP(Inschrijf_Hernieuwbare_Energie_Totaal[[#This Row],[Product]]&amp;", "&amp;Inschrijf_Hernieuwbare_Energie_Totaal[[#Headers],[B1]],Database_Productkaarten[#All],47,FALSE)*Inschrijfberekening!K13,Inschrijfberekening!E13="Grondwerken",VLOOKUP(Inschrijf_Hernieuwbare_Energie_Totaal[[#This Row],[Product]]&amp;", "&amp;Inschrijf_Hernieuwbare_Energie_Totaal[[#Headers],[B1]],Database_Productkaarten[#All],47,FALSE)*Inschrijfberekening!K13,Inschrijfberekening!E13="Categorie_1_LCA_Producten",VLOOKUP(Inschrijf_Hernieuwbare_Energie_Totaal[[#This Row],[Product]],Categorie_1_Producten[#All],23,FALSE)*(Inschrijfberekening!K13)),Referentie_Backlog!D139),0))</f>
        <v>0</v>
      </c>
      <c r="J71" s="174">
        <f>(IF(Inschrijfberekening!C13="Nieuwe Situatie",_xlfn.IFNA(SUM(Inschrijf_Hernieuwbare_Energie_Totaal[[#This Row],[A1]:[B1]],Inschrijf_Hernieuwbare_Energie_Totaal[[#This Row],[C1]:[D2]])*Inschrijfberekening!M13,0),0))</f>
        <v>0</v>
      </c>
      <c r="K71" s="113">
        <f>(IF(Inschrijfberekening!C13="Bestaande Situatie",IF(IFERROR((VLOOKUP(Inschrijfberekening!R13,Database_Asfalt_Verwijderset[#All],42,FALSE)*Inschrijfberekening!K13),0)+IFERROR((VLOOKUP(Inschrijfberekening!S13,Database_Overig_Materieel[#All],42,FALSE)*(Inschrijfberekening!L13/VLOOKUP(Inschrijfberekening!S13,Database_Overig_Materieel[#All],42,FALSE))),0)=0,Referentie_Backlog!K139,IFERROR((VLOOKUP(Inschrijfberekening!R13,Database_Asfalt_Verwijderset[#All],42,FALSE)*Inschrijfberekening!K13),0)+IFERROR((VLOOKUP(Inschrijfberekening!S13,Database_Overig_Materieel[#All],42,FALSE)*(Inschrijfberekening!L13/VLOOKUP(Inschrijfberekening!S13,Database_Overig_Materieel[#All],42,FALSE))),0)),0))</f>
        <v>0</v>
      </c>
      <c r="L71" s="111">
        <f>(IF(Inschrijfberekening!C13="Bestaande Situatie",_xlfn.IFNA(VLOOKUP(Inschrijfberekening!U13,Database_Transport[#All],42,FALSE)*(Inschrijfberekening!K13*Inschrijfberekening!T13),Referentie_Backlog!L139),0))</f>
        <v>0</v>
      </c>
      <c r="M71" s="111">
        <f>(IF(Inschrijfberekening!C13="Bestaande Situatie",_xlfn.IFNA(VLOOKUP(Inschrijfberekening!V13,Database_Asfalt_Verwerkingsset[#All],42,FALSE)*(Inschrijfberekening!K13/VLOOKUP(Inschrijfberekening!V13,Database_Asfalt_Verwerkingsset[#All],42,FALSE)),Referentie_Backlog!M139),0))</f>
        <v>0</v>
      </c>
      <c r="N71" s="111">
        <f>(IF(Inschrijfberekening!C13="Bestaande Situatie",_xlfn.IFNA(VLOOKUP(Inschrijf_Hernieuwbare_Energie_Totaal[[#This Row],[Product]]&amp;", "&amp;Inschrijf_MKI_Totaal[[#Headers],[C4]],Database_Productkaarten[#All],47,FALSE)*Inschrijfberekening!K13,Referentie_Backlog!N139),0))</f>
        <v>0</v>
      </c>
      <c r="O71" s="111" cm="1">
        <f t="array" ref="O71">_xlfn.IFNA((IF(Inschrijfberekening!C13="Bestaande Situatie",_xlfn.IFS(Inschrijfberekening!E13="Bitumineuze_verhardingen",VLOOKUP(Inschrijf_Hernieuwbare_Energie_Totaal[[#This Row],[Product]]&amp;", "&amp;Inschrijf_Hernieuwbare_Energie_Totaal[[#Headers],[D1]],Database_Productkaarten[#All],47,FALSE)*Inschrijfberekening!K13,Inschrijfberekening!E13="Funderingslagen",VLOOKUP(Inschrijf_Hernieuwbare_Energie_Totaal[[#This Row],[Product]]&amp;", "&amp;Inschrijf_Hernieuwbare_Energie_Totaal[[#Headers],[D1]],Database_Productkaarten[#All],47,FALSE)*Inschrijfberekening!K13,Inschrijfberekening!E13="Grondwerken",VLOOKUP(Inschrijf_Hernieuwbare_Energie_Totaal[[#This Row],[Product]]&amp;", "&amp;Inschrijf_Hernieuwbare_Energie_Totaal[[#Headers],[D1]],Database_Productkaarten[#All],47,FALSE)*Inschrijfberekening!K13,Inschrijfberekening!E13="Categorie_1_LCA_Producten",VLOOKUP(Inschrijf_Hernieuwbare_Energie_Totaal[[#This Row],[Product]],Categorie_1_Producten[#All],24,FALSE)*(Inschrijfberekening!K13)),0)),Referentie_Backlog!O139)</f>
        <v>0</v>
      </c>
      <c r="P71" s="114" cm="1">
        <f t="array" ref="P71">_xlfn.IFNA((IF(Inschrijfberekening!C13="Bestaande Situatie",_xlfn.IFS(Inschrijfberekening!E13="Bitumineuze_verhardingen",VLOOKUP(Inschrijf_Hernieuwbare_Energie_Totaal[[#This Row],[Product]]&amp;", "&amp;Inschrijf_Hernieuwbare_Energie_Totaal[[#Headers],[D2]],Database_Productkaarten[#All],47,FALSE)*Inschrijfberekening!K13,Inschrijfberekening!E13="Funderingslagen",VLOOKUP(Inschrijf_Hernieuwbare_Energie_Totaal[[#This Row],[Product]]&amp;", "&amp;Inschrijf_Hernieuwbare_Energie_Totaal[[#Headers],[D2]],Database_Productkaarten[#All],47,FALSE)*Inschrijfberekening!K13,Inschrijfberekening!E13="Grondwerken",VLOOKUP(Inschrijf_Hernieuwbare_Energie_Totaal[[#This Row],[Product]]&amp;", "&amp;Inschrijf_Hernieuwbare_Energie_Totaal[[#Headers],[D2]],Database_Productkaarten[#All],47,FALSE)*Inschrijfberekening!K13,Inschrijfberekening!E13="Categorie_1_LCA_Producten",VLOOKUP(Inschrijf_Hernieuwbare_Energie_Totaal[[#This Row],[Product]],Categorie_1_Producten[#All],25,FALSE)*(Inschrijfberekening!K13)),0)),Referentie_Backlog!P139)</f>
        <v>0</v>
      </c>
      <c r="Q71" s="111">
        <f>SUM(Inschrijf_Hernieuwbare_Energie_Totaal[[#This Row],[A1]:[D2]])</f>
        <v>23.514265980000001</v>
      </c>
    </row>
    <row r="72" spans="2:17" ht="18" x14ac:dyDescent="0.55000000000000004">
      <c r="B72" s="285">
        <f>Inschrijfberekening!B14</f>
        <v>0</v>
      </c>
      <c r="C72" s="23">
        <f>Inschrijfberekening!F14</f>
        <v>0</v>
      </c>
      <c r="D72" s="111" cm="1">
        <f t="array" ref="D72">(IF(Inschrijfberekening!C14="Nieuwe Situatie",_xlfn.IFNA(_xlfn.IFS(Inschrijfberekening!E14="Bitumineuze_verhardingen",VLOOKUP(Inschrijf_Hernieuwbare_Energie_Totaal[[#This Row],[Product]]&amp;", "&amp;Inschrijf_Hernieuwbare_Energie_Totaal[[#Headers],[A1]],Database_Productkaarten[#All],47,FALSE)*Inschrijfberekening!K14,Inschrijfberekening!E14="Funderingslagen",VLOOKUP(Inschrijf_Hernieuwbare_Energie_Totaal[[#This Row],[Product]]&amp;", "&amp;Inschrijf_Hernieuwbare_Energie_Totaal[[#Headers],[A1]],Database_Productkaarten[#All],47,FALSE)*Inschrijfberekening!K14,Inschrijfberekening!E14="Grondwerken",VLOOKUP(Inschrijf_Hernieuwbare_Energie_Totaal[[#This Row],[Product]]&amp;", "&amp;Inschrijf_Hernieuwbare_Energie_Totaal[[#Headers],[A1]],Database_Productkaarten[#All],47,FALSE)*Inschrijfberekening!K14,Inschrijfberekening!E14="Categorie_1_LCA_Producten",VLOOKUP(Inschrijf_Hernieuwbare_Energie_Totaal[[#This Row],[Product]],Categorie_1_Producten[#All],20,FALSE)*(Inschrijfberekening!K14)),Referentie_Backlog!D140),0))</f>
        <v>0</v>
      </c>
      <c r="E72" s="111" cm="1">
        <f t="array" ref="E72">(IF(Inschrijfberekening!C14="Nieuwe Situatie",_xlfn.IFNA(_xlfn.IFS(Inschrijfberekening!E14="Bitumineuze_verhardingen",VLOOKUP(Inschrijf_Hernieuwbare_Energie_Totaal[[#This Row],[Product]]&amp;", "&amp;Inschrijf_Hernieuwbare_Energie_Totaal[[#Headers],[A2]],Database_Productkaarten[#All],47,FALSE)*Inschrijfberekening!K14,Inschrijfberekening!E14="Funderingslagen",VLOOKUP(Inschrijf_Hernieuwbare_Energie_Totaal[[#This Row],[Product]]&amp;", "&amp;Inschrijf_Hernieuwbare_Energie_Totaal[[#Headers],[A2]],Database_Productkaarten[#All],47,FALSE)*Inschrijfberekening!K14,Inschrijfberekening!E14="Grondwerken",VLOOKUP(Inschrijf_Hernieuwbare_Energie_Totaal[[#This Row],[Product]]&amp;", "&amp;Inschrijf_Hernieuwbare_Energie_Totaal[[#Headers],[A2]],Database_Productkaarten[#All],47,FALSE)*Inschrijfberekening!K14,Inschrijfberekening!E14="Categorie_1_LCA_Producten",VLOOKUP(Inschrijf_Hernieuwbare_Energie_Totaal[[#This Row],[Product]],Categorie_1_Producten[#All],21,FALSE)*(Inschrijfberekening!K14)),Referentie_Backlog!E140),0))</f>
        <v>0</v>
      </c>
      <c r="F72" s="111" cm="1">
        <f t="array" ref="F72">(IF(Inschrijfberekening!C14="Nieuwe Situatie",_xlfn.IFNA(_xlfn.IFS(Inschrijfberekening!E14="Bitumineuze_verhardingen",VLOOKUP(Inschrijf_Hernieuwbare_Energie_Totaal[[#This Row],[Product]]&amp;", "&amp;Inschrijf_Hernieuwbare_Energie_Totaal[[#Headers],[A3]],Database_Productkaarten[#All],47,FALSE)*Inschrijfberekening!K14,Inschrijfberekening!E14="Funderingslagen",VLOOKUP(Inschrijf_Hernieuwbare_Energie_Totaal[[#This Row],[Product]]&amp;", "&amp;Inschrijf_Hernieuwbare_Energie_Totaal[[#Headers],[A3]],Database_Productkaarten[#All],47,FALSE)*Inschrijfberekening!K14,Inschrijfberekening!E14="Grondwerken",VLOOKUP(Inschrijf_Hernieuwbare_Energie_Totaal[[#This Row],[Product]]&amp;", "&amp;Inschrijf_Hernieuwbare_Energie_Totaal[[#Headers],[A3]],Database_Productkaarten[#All],47,FALSE)*Inschrijfberekening!K14,Inschrijfberekening!E14="Categorie_1_LCA_Producten",VLOOKUP(Inschrijf_Hernieuwbare_Energie_Totaal[[#This Row],[Product]],Categorie_1_Producten[#All],22,FALSE)*(Inschrijfberekening!K14)),Referentie_Backlog!D140),0))</f>
        <v>0</v>
      </c>
      <c r="G72" s="111">
        <f>(IF(Inschrijfberekening!C14="Nieuwe Situatie",_xlfn.IFNA(VLOOKUP(Inschrijfberekening!O14,Database_Transport[#All],42,FALSE)*(Inschrijfberekening!K14*Inschrijfberekening!N14),Referentie_Backlog!G140),0))</f>
        <v>0</v>
      </c>
      <c r="H72" s="112">
        <f>_xlfn.IFNA((IF(Inschrijfberekening!C14="Nieuwe Situatie",(VLOOKUP(Inschrijfberekening!P14,Database_Asfalt_Aanlegset[#All],42,FALSE)*Inschrijfberekening!K14)+IFERROR(((VLOOKUP(Inschrijfberekening!Q14,Database_Overig_Materieel[#All],42,FALSE)*(Inschrijfberekening!L14/VLOOKUP(Inschrijfberekening!Q14,Database_Overig_Materieel[#All],42,FALSE)))),0),0)),Referentie_Backlog!H140)</f>
        <v>0</v>
      </c>
      <c r="I72" s="111" cm="1">
        <f t="array" ref="I72">(IF(Inschrijfberekening!C14="Nieuwe Situatie",_xlfn.IFNA(_xlfn.IFS(Inschrijfberekening!E14="Bitumineuze_verhardingen",VLOOKUP(Inschrijf_Hernieuwbare_Energie_Totaal[[#This Row],[Product]]&amp;", "&amp;Inschrijf_Hernieuwbare_Energie_Totaal[[#Headers],[B1]],Database_Productkaarten[#All],47,FALSE)*Inschrijfberekening!K14,Inschrijfberekening!E14="Funderingslagen",VLOOKUP(Inschrijf_Hernieuwbare_Energie_Totaal[[#This Row],[Product]]&amp;", "&amp;Inschrijf_Hernieuwbare_Energie_Totaal[[#Headers],[B1]],Database_Productkaarten[#All],47,FALSE)*Inschrijfberekening!K14,Inschrijfberekening!E14="Grondwerken",VLOOKUP(Inschrijf_Hernieuwbare_Energie_Totaal[[#This Row],[Product]]&amp;", "&amp;Inschrijf_Hernieuwbare_Energie_Totaal[[#Headers],[B1]],Database_Productkaarten[#All],47,FALSE)*Inschrijfberekening!K14,Inschrijfberekening!E14="Categorie_1_LCA_Producten",VLOOKUP(Inschrijf_Hernieuwbare_Energie_Totaal[[#This Row],[Product]],Categorie_1_Producten[#All],23,FALSE)*(Inschrijfberekening!K14)),Referentie_Backlog!D140),0))</f>
        <v>0</v>
      </c>
      <c r="J72" s="174">
        <f>(IF(Inschrijfberekening!C14="Nieuwe Situatie",_xlfn.IFNA(SUM(Inschrijf_Hernieuwbare_Energie_Totaal[[#This Row],[A1]:[B1]],Inschrijf_Hernieuwbare_Energie_Totaal[[#This Row],[C1]:[D2]])*Inschrijfberekening!M14,0),0))</f>
        <v>0</v>
      </c>
      <c r="K72" s="113">
        <f>(IF(Inschrijfberekening!C14="Bestaande Situatie",IF(IFERROR((VLOOKUP(Inschrijfberekening!R14,Database_Asfalt_Verwijderset[#All],42,FALSE)*Inschrijfberekening!K14),0)+IFERROR((VLOOKUP(Inschrijfberekening!S14,Database_Overig_Materieel[#All],42,FALSE)*(Inschrijfberekening!L14/VLOOKUP(Inschrijfberekening!S14,Database_Overig_Materieel[#All],42,FALSE))),0)=0,Referentie_Backlog!K140,IFERROR((VLOOKUP(Inschrijfberekening!R14,Database_Asfalt_Verwijderset[#All],42,FALSE)*Inschrijfberekening!K14),0)+IFERROR((VLOOKUP(Inschrijfberekening!S14,Database_Overig_Materieel[#All],42,FALSE)*(Inschrijfberekening!L14/VLOOKUP(Inschrijfberekening!S14,Database_Overig_Materieel[#All],42,FALSE))),0)),0))</f>
        <v>0</v>
      </c>
      <c r="L72" s="111">
        <f>(IF(Inschrijfberekening!C14="Bestaande Situatie",_xlfn.IFNA(VLOOKUP(Inschrijfberekening!U14,Database_Transport[#All],42,FALSE)*(Inschrijfberekening!K14*Inschrijfberekening!T14),Referentie_Backlog!L140),0))</f>
        <v>0</v>
      </c>
      <c r="M72" s="111">
        <f>(IF(Inschrijfberekening!C14="Bestaande Situatie",_xlfn.IFNA(VLOOKUP(Inschrijfberekening!V14,Database_Asfalt_Verwerkingsset[#All],42,FALSE)*(Inschrijfberekening!K14/VLOOKUP(Inschrijfberekening!V14,Database_Asfalt_Verwerkingsset[#All],42,FALSE)),Referentie_Backlog!M140),0))</f>
        <v>0</v>
      </c>
      <c r="N72" s="111">
        <f>(IF(Inschrijfberekening!C14="Bestaande Situatie",_xlfn.IFNA(VLOOKUP(Inschrijf_Hernieuwbare_Energie_Totaal[[#This Row],[Product]]&amp;", "&amp;Inschrijf_MKI_Totaal[[#Headers],[C4]],Database_Productkaarten[#All],47,FALSE)*Inschrijfberekening!K14,Referentie_Backlog!N140),0))</f>
        <v>0</v>
      </c>
      <c r="O72" s="111" cm="1">
        <f t="array" ref="O72">_xlfn.IFNA((IF(Inschrijfberekening!C14="Bestaande Situatie",_xlfn.IFS(Inschrijfberekening!E14="Bitumineuze_verhardingen",VLOOKUP(Inschrijf_Hernieuwbare_Energie_Totaal[[#This Row],[Product]]&amp;", "&amp;Inschrijf_Hernieuwbare_Energie_Totaal[[#Headers],[D1]],Database_Productkaarten[#All],47,FALSE)*Inschrijfberekening!K14,Inschrijfberekening!E14="Funderingslagen",VLOOKUP(Inschrijf_Hernieuwbare_Energie_Totaal[[#This Row],[Product]]&amp;", "&amp;Inschrijf_Hernieuwbare_Energie_Totaal[[#Headers],[D1]],Database_Productkaarten[#All],47,FALSE)*Inschrijfberekening!K14,Inschrijfberekening!E14="Grondwerken",VLOOKUP(Inschrijf_Hernieuwbare_Energie_Totaal[[#This Row],[Product]]&amp;", "&amp;Inschrijf_Hernieuwbare_Energie_Totaal[[#Headers],[D1]],Database_Productkaarten[#All],47,FALSE)*Inschrijfberekening!K14,Inschrijfberekening!E14="Categorie_1_LCA_Producten",VLOOKUP(Inschrijf_Hernieuwbare_Energie_Totaal[[#This Row],[Product]],Categorie_1_Producten[#All],24,FALSE)*(Inschrijfberekening!K14)),0)),Referentie_Backlog!O140)</f>
        <v>0</v>
      </c>
      <c r="P72" s="114" cm="1">
        <f t="array" ref="P72">_xlfn.IFNA((IF(Inschrijfberekening!C14="Bestaande Situatie",_xlfn.IFS(Inschrijfberekening!E14="Bitumineuze_verhardingen",VLOOKUP(Inschrijf_Hernieuwbare_Energie_Totaal[[#This Row],[Product]]&amp;", "&amp;Inschrijf_Hernieuwbare_Energie_Totaal[[#Headers],[D2]],Database_Productkaarten[#All],47,FALSE)*Inschrijfberekening!K14,Inschrijfberekening!E14="Funderingslagen",VLOOKUP(Inschrijf_Hernieuwbare_Energie_Totaal[[#This Row],[Product]]&amp;", "&amp;Inschrijf_Hernieuwbare_Energie_Totaal[[#Headers],[D2]],Database_Productkaarten[#All],47,FALSE)*Inschrijfberekening!K14,Inschrijfberekening!E14="Grondwerken",VLOOKUP(Inschrijf_Hernieuwbare_Energie_Totaal[[#This Row],[Product]]&amp;", "&amp;Inschrijf_Hernieuwbare_Energie_Totaal[[#Headers],[D2]],Database_Productkaarten[#All],47,FALSE)*Inschrijfberekening!K14,Inschrijfberekening!E14="Categorie_1_LCA_Producten",VLOOKUP(Inschrijf_Hernieuwbare_Energie_Totaal[[#This Row],[Product]],Categorie_1_Producten[#All],25,FALSE)*(Inschrijfberekening!K14)),0)),Referentie_Backlog!P140)</f>
        <v>0</v>
      </c>
      <c r="Q72" s="111">
        <f>SUM(Inschrijf_Hernieuwbare_Energie_Totaal[[#This Row],[A1]:[D2]])</f>
        <v>0</v>
      </c>
    </row>
    <row r="73" spans="2:17" ht="18" x14ac:dyDescent="0.55000000000000004">
      <c r="B73" s="285">
        <f>Inschrijfberekening!B15</f>
        <v>0</v>
      </c>
      <c r="C73" s="39">
        <f>Inschrijfberekening!F15</f>
        <v>0</v>
      </c>
      <c r="D73" s="111" cm="1">
        <f t="array" ref="D73">(IF(Inschrijfberekening!C15="Nieuwe Situatie",_xlfn.IFNA(_xlfn.IFS(Inschrijfberekening!E15="Bitumineuze_verhardingen",VLOOKUP(Inschrijf_Hernieuwbare_Energie_Totaal[[#This Row],[Product]]&amp;", "&amp;Inschrijf_Hernieuwbare_Energie_Totaal[[#Headers],[A1]],Database_Productkaarten[#All],47,FALSE)*Inschrijfberekening!K15,Inschrijfberekening!E15="Funderingslagen",VLOOKUP(Inschrijf_Hernieuwbare_Energie_Totaal[[#This Row],[Product]]&amp;", "&amp;Inschrijf_Hernieuwbare_Energie_Totaal[[#Headers],[A1]],Database_Productkaarten[#All],47,FALSE)*Inschrijfberekening!K15,Inschrijfberekening!E15="Grondwerken",VLOOKUP(Inschrijf_Hernieuwbare_Energie_Totaal[[#This Row],[Product]]&amp;", "&amp;Inschrijf_Hernieuwbare_Energie_Totaal[[#Headers],[A1]],Database_Productkaarten[#All],47,FALSE)*Inschrijfberekening!K15,Inschrijfberekening!E15="Categorie_1_LCA_Producten",VLOOKUP(Inschrijf_Hernieuwbare_Energie_Totaal[[#This Row],[Product]],Categorie_1_Producten[#All],20,FALSE)*(Inschrijfberekening!K15)),Referentie_Backlog!D141),0))</f>
        <v>0</v>
      </c>
      <c r="E73" s="111" cm="1">
        <f t="array" ref="E73">(IF(Inschrijfberekening!C15="Nieuwe Situatie",_xlfn.IFNA(_xlfn.IFS(Inschrijfberekening!E15="Bitumineuze_verhardingen",VLOOKUP(Inschrijf_Hernieuwbare_Energie_Totaal[[#This Row],[Product]]&amp;", "&amp;Inschrijf_Hernieuwbare_Energie_Totaal[[#Headers],[A2]],Database_Productkaarten[#All],47,FALSE)*Inschrijfberekening!K15,Inschrijfberekening!E15="Funderingslagen",VLOOKUP(Inschrijf_Hernieuwbare_Energie_Totaal[[#This Row],[Product]]&amp;", "&amp;Inschrijf_Hernieuwbare_Energie_Totaal[[#Headers],[A2]],Database_Productkaarten[#All],47,FALSE)*Inschrijfberekening!K15,Inschrijfberekening!E15="Grondwerken",VLOOKUP(Inschrijf_Hernieuwbare_Energie_Totaal[[#This Row],[Product]]&amp;", "&amp;Inschrijf_Hernieuwbare_Energie_Totaal[[#Headers],[A2]],Database_Productkaarten[#All],47,FALSE)*Inschrijfberekening!K15,Inschrijfberekening!E15="Categorie_1_LCA_Producten",VLOOKUP(Inschrijf_Hernieuwbare_Energie_Totaal[[#This Row],[Product]],Categorie_1_Producten[#All],21,FALSE)*(Inschrijfberekening!K15)),Referentie_Backlog!E141),0))</f>
        <v>0</v>
      </c>
      <c r="F73" s="111" cm="1">
        <f t="array" ref="F73">(IF(Inschrijfberekening!C15="Nieuwe Situatie",_xlfn.IFNA(_xlfn.IFS(Inschrijfberekening!E15="Bitumineuze_verhardingen",VLOOKUP(Inschrijf_Hernieuwbare_Energie_Totaal[[#This Row],[Product]]&amp;", "&amp;Inschrijf_Hernieuwbare_Energie_Totaal[[#Headers],[A3]],Database_Productkaarten[#All],47,FALSE)*Inschrijfberekening!K15,Inschrijfberekening!E15="Funderingslagen",VLOOKUP(Inschrijf_Hernieuwbare_Energie_Totaal[[#This Row],[Product]]&amp;", "&amp;Inschrijf_Hernieuwbare_Energie_Totaal[[#Headers],[A3]],Database_Productkaarten[#All],47,FALSE)*Inschrijfberekening!K15,Inschrijfberekening!E15="Grondwerken",VLOOKUP(Inschrijf_Hernieuwbare_Energie_Totaal[[#This Row],[Product]]&amp;", "&amp;Inschrijf_Hernieuwbare_Energie_Totaal[[#Headers],[A3]],Database_Productkaarten[#All],47,FALSE)*Inschrijfberekening!K15,Inschrijfberekening!E15="Categorie_1_LCA_Producten",VLOOKUP(Inschrijf_Hernieuwbare_Energie_Totaal[[#This Row],[Product]],Categorie_1_Producten[#All],22,FALSE)*(Inschrijfberekening!K15)),Referentie_Backlog!D141),0))</f>
        <v>0</v>
      </c>
      <c r="G73" s="111">
        <f>(IF(Inschrijfberekening!C15="Nieuwe Situatie",_xlfn.IFNA(VLOOKUP(Inschrijfberekening!O15,Database_Transport[#All],42,FALSE)*(Inschrijfberekening!K15*Inschrijfberekening!N15),Referentie_Backlog!G141),0))</f>
        <v>0</v>
      </c>
      <c r="H73" s="112">
        <f>_xlfn.IFNA((IF(Inschrijfberekening!C15="Nieuwe Situatie",(VLOOKUP(Inschrijfberekening!P15,Database_Asfalt_Aanlegset[#All],42,FALSE)*Inschrijfberekening!K15)+IFERROR(((VLOOKUP(Inschrijfberekening!Q15,Database_Overig_Materieel[#All],42,FALSE)*(Inschrijfberekening!L15/VLOOKUP(Inschrijfberekening!Q15,Database_Overig_Materieel[#All],42,FALSE)))),0),0)),Referentie_Backlog!H141)</f>
        <v>0</v>
      </c>
      <c r="I73" s="111" cm="1">
        <f t="array" ref="I73">(IF(Inschrijfberekening!C15="Nieuwe Situatie",_xlfn.IFNA(_xlfn.IFS(Inschrijfberekening!E15="Bitumineuze_verhardingen",VLOOKUP(Inschrijf_Hernieuwbare_Energie_Totaal[[#This Row],[Product]]&amp;", "&amp;Inschrijf_Hernieuwbare_Energie_Totaal[[#Headers],[B1]],Database_Productkaarten[#All],47,FALSE)*Inschrijfberekening!K15,Inschrijfberekening!E15="Funderingslagen",VLOOKUP(Inschrijf_Hernieuwbare_Energie_Totaal[[#This Row],[Product]]&amp;", "&amp;Inschrijf_Hernieuwbare_Energie_Totaal[[#Headers],[B1]],Database_Productkaarten[#All],47,FALSE)*Inschrijfberekening!K15,Inschrijfberekening!E15="Grondwerken",VLOOKUP(Inschrijf_Hernieuwbare_Energie_Totaal[[#This Row],[Product]]&amp;", "&amp;Inschrijf_Hernieuwbare_Energie_Totaal[[#Headers],[B1]],Database_Productkaarten[#All],47,FALSE)*Inschrijfberekening!K15,Inschrijfberekening!E15="Categorie_1_LCA_Producten",VLOOKUP(Inschrijf_Hernieuwbare_Energie_Totaal[[#This Row],[Product]],Categorie_1_Producten[#All],23,FALSE)*(Inschrijfberekening!K15)),Referentie_Backlog!D141),0))</f>
        <v>0</v>
      </c>
      <c r="J73" s="174">
        <f>(IF(Inschrijfberekening!C15="Nieuwe Situatie",_xlfn.IFNA(SUM(Inschrijf_Hernieuwbare_Energie_Totaal[[#This Row],[A1]:[B1]],Inschrijf_Hernieuwbare_Energie_Totaal[[#This Row],[C1]:[D2]])*Inschrijfberekening!M15,0),0))</f>
        <v>0</v>
      </c>
      <c r="K73" s="113">
        <f>(IF(Inschrijfberekening!C15="Bestaande Situatie",IF(IFERROR((VLOOKUP(Inschrijfberekening!R15,Database_Asfalt_Verwijderset[#All],42,FALSE)*Inschrijfberekening!K15),0)+IFERROR((VLOOKUP(Inschrijfberekening!S15,Database_Overig_Materieel[#All],42,FALSE)*(Inschrijfberekening!L15/VLOOKUP(Inschrijfberekening!S15,Database_Overig_Materieel[#All],42,FALSE))),0)=0,Referentie_Backlog!K141,IFERROR((VLOOKUP(Inschrijfberekening!R15,Database_Asfalt_Verwijderset[#All],42,FALSE)*Inschrijfberekening!K15),0)+IFERROR((VLOOKUP(Inschrijfberekening!S15,Database_Overig_Materieel[#All],42,FALSE)*(Inschrijfberekening!L15/VLOOKUP(Inschrijfberekening!S15,Database_Overig_Materieel[#All],42,FALSE))),0)),0))</f>
        <v>0</v>
      </c>
      <c r="L73" s="111">
        <f>(IF(Inschrijfberekening!C15="Bestaande Situatie",_xlfn.IFNA(VLOOKUP(Inschrijfberekening!U15,Database_Transport[#All],42,FALSE)*(Inschrijfberekening!K15*Inschrijfberekening!T15),Referentie_Backlog!L141),0))</f>
        <v>0</v>
      </c>
      <c r="M73" s="111">
        <f>(IF(Inschrijfberekening!C15="Bestaande Situatie",_xlfn.IFNA(VLOOKUP(Inschrijfberekening!V15,Database_Asfalt_Verwerkingsset[#All],42,FALSE)*(Inschrijfberekening!K15/VLOOKUP(Inschrijfberekening!V15,Database_Asfalt_Verwerkingsset[#All],42,FALSE)),Referentie_Backlog!M141),0))</f>
        <v>0</v>
      </c>
      <c r="N73" s="111">
        <f>(IF(Inschrijfberekening!C15="Bestaande Situatie",_xlfn.IFNA(VLOOKUP(Inschrijf_Hernieuwbare_Energie_Totaal[[#This Row],[Product]]&amp;", "&amp;Inschrijf_MKI_Totaal[[#Headers],[C4]],Database_Productkaarten[#All],47,FALSE)*Inschrijfberekening!K15,Referentie_Backlog!N141),0))</f>
        <v>0</v>
      </c>
      <c r="O73" s="111" cm="1">
        <f t="array" ref="O73">_xlfn.IFNA((IF(Inschrijfberekening!C15="Bestaande Situatie",_xlfn.IFS(Inschrijfberekening!E15="Bitumineuze_verhardingen",VLOOKUP(Inschrijf_Hernieuwbare_Energie_Totaal[[#This Row],[Product]]&amp;", "&amp;Inschrijf_Hernieuwbare_Energie_Totaal[[#Headers],[D1]],Database_Productkaarten[#All],47,FALSE)*Inschrijfberekening!K15,Inschrijfberekening!E15="Funderingslagen",VLOOKUP(Inschrijf_Hernieuwbare_Energie_Totaal[[#This Row],[Product]]&amp;", "&amp;Inschrijf_Hernieuwbare_Energie_Totaal[[#Headers],[D1]],Database_Productkaarten[#All],47,FALSE)*Inschrijfberekening!K15,Inschrijfberekening!E15="Grondwerken",VLOOKUP(Inschrijf_Hernieuwbare_Energie_Totaal[[#This Row],[Product]]&amp;", "&amp;Inschrijf_Hernieuwbare_Energie_Totaal[[#Headers],[D1]],Database_Productkaarten[#All],47,FALSE)*Inschrijfberekening!K15,Inschrijfberekening!E15="Categorie_1_LCA_Producten",VLOOKUP(Inschrijf_Hernieuwbare_Energie_Totaal[[#This Row],[Product]],Categorie_1_Producten[#All],24,FALSE)*(Inschrijfberekening!K15)),0)),Referentie_Backlog!O141)</f>
        <v>0</v>
      </c>
      <c r="P73" s="114" cm="1">
        <f t="array" ref="P73">_xlfn.IFNA((IF(Inschrijfberekening!C15="Bestaande Situatie",_xlfn.IFS(Inschrijfberekening!E15="Bitumineuze_verhardingen",VLOOKUP(Inschrijf_Hernieuwbare_Energie_Totaal[[#This Row],[Product]]&amp;", "&amp;Inschrijf_Hernieuwbare_Energie_Totaal[[#Headers],[D2]],Database_Productkaarten[#All],47,FALSE)*Inschrijfberekening!K15,Inschrijfberekening!E15="Funderingslagen",VLOOKUP(Inschrijf_Hernieuwbare_Energie_Totaal[[#This Row],[Product]]&amp;", "&amp;Inschrijf_Hernieuwbare_Energie_Totaal[[#Headers],[D2]],Database_Productkaarten[#All],47,FALSE)*Inschrijfberekening!K15,Inschrijfberekening!E15="Grondwerken",VLOOKUP(Inschrijf_Hernieuwbare_Energie_Totaal[[#This Row],[Product]]&amp;", "&amp;Inschrijf_Hernieuwbare_Energie_Totaal[[#Headers],[D2]],Database_Productkaarten[#All],47,FALSE)*Inschrijfberekening!K15,Inschrijfberekening!E15="Categorie_1_LCA_Producten",VLOOKUP(Inschrijf_Hernieuwbare_Energie_Totaal[[#This Row],[Product]],Categorie_1_Producten[#All],25,FALSE)*(Inschrijfberekening!K15)),0)),Referentie_Backlog!P141)</f>
        <v>0</v>
      </c>
      <c r="Q73" s="111">
        <f>SUM(Inschrijf_Hernieuwbare_Energie_Totaal[[#This Row],[A1]:[D2]])</f>
        <v>0</v>
      </c>
    </row>
    <row r="74" spans="2:17" ht="18" x14ac:dyDescent="0.55000000000000004">
      <c r="B74" s="285">
        <f>Inschrijfberekening!B16</f>
        <v>0</v>
      </c>
      <c r="C74" s="39">
        <f>Inschrijfberekening!F16</f>
        <v>0</v>
      </c>
      <c r="D74" s="111" cm="1">
        <f t="array" ref="D74">(IF(Inschrijfberekening!C16="Nieuwe Situatie",_xlfn.IFNA(_xlfn.IFS(Inschrijfberekening!E16="Bitumineuze_verhardingen",VLOOKUP(Inschrijf_Hernieuwbare_Energie_Totaal[[#This Row],[Product]]&amp;", "&amp;Inschrijf_Hernieuwbare_Energie_Totaal[[#Headers],[A1]],Database_Productkaarten[#All],47,FALSE)*Inschrijfberekening!K16,Inschrijfberekening!E16="Funderingslagen",VLOOKUP(Inschrijf_Hernieuwbare_Energie_Totaal[[#This Row],[Product]]&amp;", "&amp;Inschrijf_Hernieuwbare_Energie_Totaal[[#Headers],[A1]],Database_Productkaarten[#All],47,FALSE)*Inschrijfberekening!K16,Inschrijfberekening!E16="Grondwerken",VLOOKUP(Inschrijf_Hernieuwbare_Energie_Totaal[[#This Row],[Product]]&amp;", "&amp;Inschrijf_Hernieuwbare_Energie_Totaal[[#Headers],[A1]],Database_Productkaarten[#All],47,FALSE)*Inschrijfberekening!K16,Inschrijfberekening!E16="Categorie_1_LCA_Producten",VLOOKUP(Inschrijf_Hernieuwbare_Energie_Totaal[[#This Row],[Product]],Categorie_1_Producten[#All],20,FALSE)*(Inschrijfberekening!K16)),Referentie_Backlog!D142),0))</f>
        <v>0</v>
      </c>
      <c r="E74" s="111" cm="1">
        <f t="array" ref="E74">(IF(Inschrijfberekening!C16="Nieuwe Situatie",_xlfn.IFNA(_xlfn.IFS(Inschrijfberekening!E16="Bitumineuze_verhardingen",VLOOKUP(Inschrijf_Hernieuwbare_Energie_Totaal[[#This Row],[Product]]&amp;", "&amp;Inschrijf_Hernieuwbare_Energie_Totaal[[#Headers],[A2]],Database_Productkaarten[#All],47,FALSE)*Inschrijfberekening!K16,Inschrijfberekening!E16="Funderingslagen",VLOOKUP(Inschrijf_Hernieuwbare_Energie_Totaal[[#This Row],[Product]]&amp;", "&amp;Inschrijf_Hernieuwbare_Energie_Totaal[[#Headers],[A2]],Database_Productkaarten[#All],47,FALSE)*Inschrijfberekening!K16,Inschrijfberekening!E16="Grondwerken",VLOOKUP(Inschrijf_Hernieuwbare_Energie_Totaal[[#This Row],[Product]]&amp;", "&amp;Inschrijf_Hernieuwbare_Energie_Totaal[[#Headers],[A2]],Database_Productkaarten[#All],47,FALSE)*Inschrijfberekening!K16,Inschrijfberekening!E16="Categorie_1_LCA_Producten",VLOOKUP(Inschrijf_Hernieuwbare_Energie_Totaal[[#This Row],[Product]],Categorie_1_Producten[#All],21,FALSE)*(Inschrijfberekening!K16)),Referentie_Backlog!E142),0))</f>
        <v>0</v>
      </c>
      <c r="F74" s="111" cm="1">
        <f t="array" ref="F74">(IF(Inschrijfberekening!C16="Nieuwe Situatie",_xlfn.IFNA(_xlfn.IFS(Inschrijfberekening!E16="Bitumineuze_verhardingen",VLOOKUP(Inschrijf_Hernieuwbare_Energie_Totaal[[#This Row],[Product]]&amp;", "&amp;Inschrijf_Hernieuwbare_Energie_Totaal[[#Headers],[A3]],Database_Productkaarten[#All],47,FALSE)*Inschrijfberekening!K16,Inschrijfberekening!E16="Funderingslagen",VLOOKUP(Inschrijf_Hernieuwbare_Energie_Totaal[[#This Row],[Product]]&amp;", "&amp;Inschrijf_Hernieuwbare_Energie_Totaal[[#Headers],[A3]],Database_Productkaarten[#All],47,FALSE)*Inschrijfberekening!K16,Inschrijfberekening!E16="Grondwerken",VLOOKUP(Inschrijf_Hernieuwbare_Energie_Totaal[[#This Row],[Product]]&amp;", "&amp;Inschrijf_Hernieuwbare_Energie_Totaal[[#Headers],[A3]],Database_Productkaarten[#All],47,FALSE)*Inschrijfberekening!K16,Inschrijfberekening!E16="Categorie_1_LCA_Producten",VLOOKUP(Inschrijf_Hernieuwbare_Energie_Totaal[[#This Row],[Product]],Categorie_1_Producten[#All],22,FALSE)*(Inschrijfberekening!K16)),Referentie_Backlog!D142),0))</f>
        <v>0</v>
      </c>
      <c r="G74" s="111">
        <f>(IF(Inschrijfberekening!C16="Nieuwe Situatie",_xlfn.IFNA(VLOOKUP(Inschrijfberekening!O16,Database_Transport[#All],42,FALSE)*(Inschrijfberekening!K16*Inschrijfberekening!N16),Referentie_Backlog!G142),0))</f>
        <v>0</v>
      </c>
      <c r="H74" s="112">
        <f>_xlfn.IFNA((IF(Inschrijfberekening!C16="Nieuwe Situatie",(VLOOKUP(Inschrijfberekening!P16,Database_Asfalt_Aanlegset[#All],42,FALSE)*Inschrijfberekening!K16)+IFERROR(((VLOOKUP(Inschrijfberekening!Q16,Database_Overig_Materieel[#All],42,FALSE)*(Inschrijfberekening!L16/VLOOKUP(Inschrijfberekening!Q16,Database_Overig_Materieel[#All],42,FALSE)))),0),0)),Referentie_Backlog!H142)</f>
        <v>0</v>
      </c>
      <c r="I74" s="111" cm="1">
        <f t="array" ref="I74">(IF(Inschrijfberekening!C16="Nieuwe Situatie",_xlfn.IFNA(_xlfn.IFS(Inschrijfberekening!E16="Bitumineuze_verhardingen",VLOOKUP(Inschrijf_Hernieuwbare_Energie_Totaal[[#This Row],[Product]]&amp;", "&amp;Inschrijf_Hernieuwbare_Energie_Totaal[[#Headers],[B1]],Database_Productkaarten[#All],47,FALSE)*Inschrijfberekening!K16,Inschrijfberekening!E16="Funderingslagen",VLOOKUP(Inschrijf_Hernieuwbare_Energie_Totaal[[#This Row],[Product]]&amp;", "&amp;Inschrijf_Hernieuwbare_Energie_Totaal[[#Headers],[B1]],Database_Productkaarten[#All],47,FALSE)*Inschrijfberekening!K16,Inschrijfberekening!E16="Grondwerken",VLOOKUP(Inschrijf_Hernieuwbare_Energie_Totaal[[#This Row],[Product]]&amp;", "&amp;Inschrijf_Hernieuwbare_Energie_Totaal[[#Headers],[B1]],Database_Productkaarten[#All],47,FALSE)*Inschrijfberekening!K16,Inschrijfberekening!E16="Categorie_1_LCA_Producten",VLOOKUP(Inschrijf_Hernieuwbare_Energie_Totaal[[#This Row],[Product]],Categorie_1_Producten[#All],23,FALSE)*(Inschrijfberekening!K16)),Referentie_Backlog!D142),0))</f>
        <v>0</v>
      </c>
      <c r="J74" s="174">
        <f>(IF(Inschrijfberekening!C16="Nieuwe Situatie",_xlfn.IFNA(SUM(Inschrijf_Hernieuwbare_Energie_Totaal[[#This Row],[A1]:[B1]],Inschrijf_Hernieuwbare_Energie_Totaal[[#This Row],[C1]:[D2]])*Inschrijfberekening!M16,0),0))</f>
        <v>0</v>
      </c>
      <c r="K74" s="113">
        <f>(IF(Inschrijfberekening!C16="Bestaande Situatie",IF(IFERROR((VLOOKUP(Inschrijfberekening!R16,Database_Asfalt_Verwijderset[#All],42,FALSE)*Inschrijfberekening!K16),0)+IFERROR((VLOOKUP(Inschrijfberekening!S16,Database_Overig_Materieel[#All],42,FALSE)*(Inschrijfberekening!L16/VLOOKUP(Inschrijfberekening!S16,Database_Overig_Materieel[#All],42,FALSE))),0)=0,Referentie_Backlog!K142,IFERROR((VLOOKUP(Inschrijfberekening!R16,Database_Asfalt_Verwijderset[#All],42,FALSE)*Inschrijfberekening!K16),0)+IFERROR((VLOOKUP(Inschrijfberekening!S16,Database_Overig_Materieel[#All],42,FALSE)*(Inschrijfberekening!L16/VLOOKUP(Inschrijfberekening!S16,Database_Overig_Materieel[#All],42,FALSE))),0)),0))</f>
        <v>0</v>
      </c>
      <c r="L74" s="111">
        <f>(IF(Inschrijfberekening!C16="Bestaande Situatie",_xlfn.IFNA(VLOOKUP(Inschrijfberekening!U16,Database_Transport[#All],42,FALSE)*(Inschrijfberekening!K16*Inschrijfberekening!T16),Referentie_Backlog!L142),0))</f>
        <v>0</v>
      </c>
      <c r="M74" s="111">
        <f>(IF(Inschrijfberekening!C16="Bestaande Situatie",_xlfn.IFNA(VLOOKUP(Inschrijfberekening!V16,Database_Asfalt_Verwerkingsset[#All],42,FALSE)*(Inschrijfberekening!K16/VLOOKUP(Inschrijfberekening!V16,Database_Asfalt_Verwerkingsset[#All],42,FALSE)),Referentie_Backlog!M142),0))</f>
        <v>0</v>
      </c>
      <c r="N74" s="111">
        <f>(IF(Inschrijfberekening!C16="Bestaande Situatie",_xlfn.IFNA(VLOOKUP(Inschrijf_Hernieuwbare_Energie_Totaal[[#This Row],[Product]]&amp;", "&amp;Inschrijf_MKI_Totaal[[#Headers],[C4]],Database_Productkaarten[#All],47,FALSE)*Inschrijfberekening!K16,Referentie_Backlog!N142),0))</f>
        <v>0</v>
      </c>
      <c r="O74" s="111" cm="1">
        <f t="array" ref="O74">_xlfn.IFNA((IF(Inschrijfberekening!C16="Bestaande Situatie",_xlfn.IFS(Inschrijfberekening!E16="Bitumineuze_verhardingen",VLOOKUP(Inschrijf_Hernieuwbare_Energie_Totaal[[#This Row],[Product]]&amp;", "&amp;Inschrijf_Hernieuwbare_Energie_Totaal[[#Headers],[D1]],Database_Productkaarten[#All],47,FALSE)*Inschrijfberekening!K16,Inschrijfberekening!E16="Funderingslagen",VLOOKUP(Inschrijf_Hernieuwbare_Energie_Totaal[[#This Row],[Product]]&amp;", "&amp;Inschrijf_Hernieuwbare_Energie_Totaal[[#Headers],[D1]],Database_Productkaarten[#All],47,FALSE)*Inschrijfberekening!K16,Inschrijfberekening!E16="Grondwerken",VLOOKUP(Inschrijf_Hernieuwbare_Energie_Totaal[[#This Row],[Product]]&amp;", "&amp;Inschrijf_Hernieuwbare_Energie_Totaal[[#Headers],[D1]],Database_Productkaarten[#All],47,FALSE)*Inschrijfberekening!K16,Inschrijfberekening!E16="Categorie_1_LCA_Producten",VLOOKUP(Inschrijf_Hernieuwbare_Energie_Totaal[[#This Row],[Product]],Categorie_1_Producten[#All],24,FALSE)*(Inschrijfberekening!K16)),0)),Referentie_Backlog!O142)</f>
        <v>0</v>
      </c>
      <c r="P74" s="114" cm="1">
        <f t="array" ref="P74">_xlfn.IFNA((IF(Inschrijfberekening!C16="Bestaande Situatie",_xlfn.IFS(Inschrijfberekening!E16="Bitumineuze_verhardingen",VLOOKUP(Inschrijf_Hernieuwbare_Energie_Totaal[[#This Row],[Product]]&amp;", "&amp;Inschrijf_Hernieuwbare_Energie_Totaal[[#Headers],[D2]],Database_Productkaarten[#All],47,FALSE)*Inschrijfberekening!K16,Inschrijfberekening!E16="Funderingslagen",VLOOKUP(Inschrijf_Hernieuwbare_Energie_Totaal[[#This Row],[Product]]&amp;", "&amp;Inschrijf_Hernieuwbare_Energie_Totaal[[#Headers],[D2]],Database_Productkaarten[#All],47,FALSE)*Inschrijfberekening!K16,Inschrijfberekening!E16="Grondwerken",VLOOKUP(Inschrijf_Hernieuwbare_Energie_Totaal[[#This Row],[Product]]&amp;", "&amp;Inschrijf_Hernieuwbare_Energie_Totaal[[#Headers],[D2]],Database_Productkaarten[#All],47,FALSE)*Inschrijfberekening!K16,Inschrijfberekening!E16="Categorie_1_LCA_Producten",VLOOKUP(Inschrijf_Hernieuwbare_Energie_Totaal[[#This Row],[Product]],Categorie_1_Producten[#All],25,FALSE)*(Inschrijfberekening!K16)),0)),Referentie_Backlog!P142)</f>
        <v>0</v>
      </c>
      <c r="Q74" s="111">
        <f>SUM(Inschrijf_Hernieuwbare_Energie_Totaal[[#This Row],[A1]:[D2]])</f>
        <v>0</v>
      </c>
    </row>
    <row r="75" spans="2:17" ht="18" x14ac:dyDescent="0.55000000000000004">
      <c r="B75" s="285">
        <f>Inschrijfberekening!B17</f>
        <v>0</v>
      </c>
      <c r="C75" s="39">
        <f>Inschrijfberekening!F17</f>
        <v>0</v>
      </c>
      <c r="D75" s="111" cm="1">
        <f t="array" ref="D75">(IF(Inschrijfberekening!C17="Nieuwe Situatie",_xlfn.IFNA(_xlfn.IFS(Inschrijfberekening!E17="Bitumineuze_verhardingen",VLOOKUP(Inschrijf_Hernieuwbare_Energie_Totaal[[#This Row],[Product]]&amp;", "&amp;Inschrijf_Hernieuwbare_Energie_Totaal[[#Headers],[A1]],Database_Productkaarten[#All],47,FALSE)*Inschrijfberekening!K17,Inschrijfberekening!E17="Funderingslagen",VLOOKUP(Inschrijf_Hernieuwbare_Energie_Totaal[[#This Row],[Product]]&amp;", "&amp;Inschrijf_Hernieuwbare_Energie_Totaal[[#Headers],[A1]],Database_Productkaarten[#All],47,FALSE)*Inschrijfberekening!K17,Inschrijfberekening!E17="Grondwerken",VLOOKUP(Inschrijf_Hernieuwbare_Energie_Totaal[[#This Row],[Product]]&amp;", "&amp;Inschrijf_Hernieuwbare_Energie_Totaal[[#Headers],[A1]],Database_Productkaarten[#All],47,FALSE)*Inschrijfberekening!K17,Inschrijfberekening!E17="Categorie_1_LCA_Producten",VLOOKUP(Inschrijf_Hernieuwbare_Energie_Totaal[[#This Row],[Product]],Categorie_1_Producten[#All],20,FALSE)*(Inschrijfberekening!K17)),Referentie_Backlog!#REF!),0))</f>
        <v>0</v>
      </c>
      <c r="E75" s="111" cm="1">
        <f t="array" ref="E75">(IF(Inschrijfberekening!C17="Nieuwe Situatie",_xlfn.IFNA(_xlfn.IFS(Inschrijfberekening!E17="Bitumineuze_verhardingen",VLOOKUP(Inschrijf_Hernieuwbare_Energie_Totaal[[#This Row],[Product]]&amp;", "&amp;Inschrijf_Hernieuwbare_Energie_Totaal[[#Headers],[A2]],Database_Productkaarten[#All],47,FALSE)*Inschrijfberekening!K17,Inschrijfberekening!E17="Funderingslagen",VLOOKUP(Inschrijf_Hernieuwbare_Energie_Totaal[[#This Row],[Product]]&amp;", "&amp;Inschrijf_Hernieuwbare_Energie_Totaal[[#Headers],[A2]],Database_Productkaarten[#All],47,FALSE)*Inschrijfberekening!K17,Inschrijfberekening!E17="Grondwerken",VLOOKUP(Inschrijf_Hernieuwbare_Energie_Totaal[[#This Row],[Product]]&amp;", "&amp;Inschrijf_Hernieuwbare_Energie_Totaal[[#Headers],[A2]],Database_Productkaarten[#All],47,FALSE)*Inschrijfberekening!K17,Inschrijfberekening!E17="Categorie_1_LCA_Producten",VLOOKUP(Inschrijf_Hernieuwbare_Energie_Totaal[[#This Row],[Product]],Categorie_1_Producten[#All],21,FALSE)*(Inschrijfberekening!K17)),Referentie_Backlog!#REF!),0))</f>
        <v>0</v>
      </c>
      <c r="F75" s="111" cm="1">
        <f t="array" ref="F75">(IF(Inschrijfberekening!C17="Nieuwe Situatie",_xlfn.IFNA(_xlfn.IFS(Inschrijfberekening!E17="Bitumineuze_verhardingen",VLOOKUP(Inschrijf_Hernieuwbare_Energie_Totaal[[#This Row],[Product]]&amp;", "&amp;Inschrijf_Hernieuwbare_Energie_Totaal[[#Headers],[A3]],Database_Productkaarten[#All],47,FALSE)*Inschrijfberekening!K17,Inschrijfberekening!E17="Funderingslagen",VLOOKUP(Inschrijf_Hernieuwbare_Energie_Totaal[[#This Row],[Product]]&amp;", "&amp;Inschrijf_Hernieuwbare_Energie_Totaal[[#Headers],[A3]],Database_Productkaarten[#All],47,FALSE)*Inschrijfberekening!K17,Inschrijfberekening!E17="Grondwerken",VLOOKUP(Inschrijf_Hernieuwbare_Energie_Totaal[[#This Row],[Product]]&amp;", "&amp;Inschrijf_Hernieuwbare_Energie_Totaal[[#Headers],[A3]],Database_Productkaarten[#All],47,FALSE)*Inschrijfberekening!K17,Inschrijfberekening!E17="Categorie_1_LCA_Producten",VLOOKUP(Inschrijf_Hernieuwbare_Energie_Totaal[[#This Row],[Product]],Categorie_1_Producten[#All],22,FALSE)*(Inschrijfberekening!K17)),Referentie_Backlog!#REF!),0))</f>
        <v>0</v>
      </c>
      <c r="G75" s="111">
        <f>(IF(Inschrijfberekening!C17="Nieuwe Situatie",_xlfn.IFNA(VLOOKUP(Inschrijfberekening!O17,Database_Transport[#All],42,FALSE)*(Inschrijfberekening!K17*Inschrijfberekening!N17),Referentie_Backlog!#REF!),0))</f>
        <v>0</v>
      </c>
      <c r="H75" s="272">
        <f>_xlfn.IFNA((IF(Inschrijfberekening!C17="Nieuwe Situatie",(VLOOKUP(Inschrijfberekening!P17,Database_Asfalt_Aanlegset[#All],42,FALSE)*Inschrijfberekening!K17)+IFERROR(((VLOOKUP(Inschrijfberekening!Q17,Database_Overig_Materieel[#All],42,FALSE)*(Inschrijfberekening!L17/VLOOKUP(Inschrijfberekening!Q17,Database_Overig_Materieel[#All],42,FALSE)))),0),0)),Referentie_Backlog!#REF!)</f>
        <v>0</v>
      </c>
      <c r="I75" s="111" cm="1">
        <f t="array" ref="I75">(IF(Inschrijfberekening!C17="Nieuwe Situatie",_xlfn.IFNA(_xlfn.IFS(Inschrijfberekening!E17="Bitumineuze_verhardingen",VLOOKUP(Inschrijf_Hernieuwbare_Energie_Totaal[[#This Row],[Product]]&amp;", "&amp;Inschrijf_Hernieuwbare_Energie_Totaal[[#Headers],[B1]],Database_Productkaarten[#All],47,FALSE)*Inschrijfberekening!K17,Inschrijfberekening!E17="Funderingslagen",VLOOKUP(Inschrijf_Hernieuwbare_Energie_Totaal[[#This Row],[Product]]&amp;", "&amp;Inschrijf_Hernieuwbare_Energie_Totaal[[#Headers],[B1]],Database_Productkaarten[#All],47,FALSE)*Inschrijfberekening!K17,Inschrijfberekening!E17="Grondwerken",VLOOKUP(Inschrijf_Hernieuwbare_Energie_Totaal[[#This Row],[Product]]&amp;", "&amp;Inschrijf_Hernieuwbare_Energie_Totaal[[#Headers],[B1]],Database_Productkaarten[#All],47,FALSE)*Inschrijfberekening!K17,Inschrijfberekening!E17="Categorie_1_LCA_Producten",VLOOKUP(Inschrijf_Hernieuwbare_Energie_Totaal[[#This Row],[Product]],Categorie_1_Producten[#All],23,FALSE)*(Inschrijfberekening!K17)),Referentie_Backlog!#REF!),0))</f>
        <v>0</v>
      </c>
      <c r="J75" s="174">
        <f>(IF(Inschrijfberekening!C17="Nieuwe Situatie",_xlfn.IFNA(SUM(Inschrijf_Hernieuwbare_Energie_Totaal[[#This Row],[A1]:[B1]],Inschrijf_Hernieuwbare_Energie_Totaal[[#This Row],[C1]:[D2]])*Inschrijfberekening!M17,0),0))</f>
        <v>0</v>
      </c>
      <c r="K75" s="273">
        <f>(IF(Inschrijfberekening!C17="Bestaande Situatie",IF(IFERROR((VLOOKUP(Inschrijfberekening!R17,Database_Asfalt_Verwijderset[#All],42,FALSE)*Inschrijfberekening!K17),0)+IFERROR((VLOOKUP(Inschrijfberekening!S17,Database_Overig_Materieel[#All],42,FALSE)*(Inschrijfberekening!L17/VLOOKUP(Inschrijfberekening!S17,Database_Overig_Materieel[#All],42,FALSE))),0)=0,Referentie_Backlog!#REF!,IFERROR((VLOOKUP(Inschrijfberekening!R17,Database_Asfalt_Verwijderset[#All],42,FALSE)*Inschrijfberekening!K17),0)+IFERROR((VLOOKUP(Inschrijfberekening!S17,Database_Overig_Materieel[#All],42,FALSE)*(Inschrijfberekening!L17/VLOOKUP(Inschrijfberekening!S17,Database_Overig_Materieel[#All],42,FALSE))),0)),0))</f>
        <v>0</v>
      </c>
      <c r="L75" s="111">
        <f>(IF(Inschrijfberekening!C17="Bestaande Situatie",_xlfn.IFNA(VLOOKUP(Inschrijfberekening!U17,Database_Transport[#All],42,FALSE)*(Inschrijfberekening!K17*Inschrijfberekening!T17),Referentie_Backlog!#REF!),0))</f>
        <v>0</v>
      </c>
      <c r="M75" s="111">
        <f>(IF(Inschrijfberekening!C17="Bestaande Situatie",_xlfn.IFNA(VLOOKUP(Inschrijfberekening!V17,Database_Asfalt_Verwerkingsset[#All],42,FALSE)*(Inschrijfberekening!K17/VLOOKUP(Inschrijfberekening!V17,Database_Asfalt_Verwerkingsset[#All],42,FALSE)),Referentie_Backlog!#REF!),0))</f>
        <v>0</v>
      </c>
      <c r="N75" s="111">
        <f>(IF(Inschrijfberekening!C17="Bestaande Situatie",_xlfn.IFNA(VLOOKUP(Inschrijf_Hernieuwbare_Energie_Totaal[[#This Row],[Product]]&amp;", "&amp;Inschrijf_MKI_Totaal[[#Headers],[C4]],Database_Productkaarten[#All],47,FALSE)*Inschrijfberekening!K17,Referentie_Backlog!#REF!),0))</f>
        <v>0</v>
      </c>
      <c r="O75" s="111" cm="1">
        <f t="array" ref="O75">_xlfn.IFNA((IF(Inschrijfberekening!C17="Bestaande Situatie",_xlfn.IFS(Inschrijfberekening!E17="Bitumineuze_verhardingen",VLOOKUP(Inschrijf_Hernieuwbare_Energie_Totaal[[#This Row],[Product]]&amp;", "&amp;Inschrijf_Hernieuwbare_Energie_Totaal[[#Headers],[D1]],Database_Productkaarten[#All],47,FALSE)*Inschrijfberekening!K17,Inschrijfberekening!E17="Funderingslagen",VLOOKUP(Inschrijf_Hernieuwbare_Energie_Totaal[[#This Row],[Product]]&amp;", "&amp;Inschrijf_Hernieuwbare_Energie_Totaal[[#Headers],[D1]],Database_Productkaarten[#All],47,FALSE)*Inschrijfberekening!K17,Inschrijfberekening!E17="Grondwerken",VLOOKUP(Inschrijf_Hernieuwbare_Energie_Totaal[[#This Row],[Product]]&amp;", "&amp;Inschrijf_Hernieuwbare_Energie_Totaal[[#Headers],[D1]],Database_Productkaarten[#All],47,FALSE)*Inschrijfberekening!K17,Inschrijfberekening!E17="Categorie_1_LCA_Producten",VLOOKUP(Inschrijf_Hernieuwbare_Energie_Totaal[[#This Row],[Product]],Categorie_1_Producten[#All],24,FALSE)*(Inschrijfberekening!K17)),0)),Referentie_Backlog!#REF!)</f>
        <v>0</v>
      </c>
      <c r="P75" s="111" cm="1">
        <f t="array" ref="P75">_xlfn.IFNA((IF(Inschrijfberekening!C17="Bestaande Situatie",_xlfn.IFS(Inschrijfberekening!E17="Bitumineuze_verhardingen",VLOOKUP(Inschrijf_Hernieuwbare_Energie_Totaal[[#This Row],[Product]]&amp;", "&amp;Inschrijf_Hernieuwbare_Energie_Totaal[[#Headers],[D2]],Database_Productkaarten[#All],47,FALSE)*Inschrijfberekening!K17,Inschrijfberekening!E17="Funderingslagen",VLOOKUP(Inschrijf_Hernieuwbare_Energie_Totaal[[#This Row],[Product]]&amp;", "&amp;Inschrijf_Hernieuwbare_Energie_Totaal[[#Headers],[D2]],Database_Productkaarten[#All],47,FALSE)*Inschrijfberekening!K17,Inschrijfberekening!E17="Grondwerken",VLOOKUP(Inschrijf_Hernieuwbare_Energie_Totaal[[#This Row],[Product]]&amp;", "&amp;Inschrijf_Hernieuwbare_Energie_Totaal[[#Headers],[D2]],Database_Productkaarten[#All],47,FALSE)*Inschrijfberekening!K17,Inschrijfberekening!E17="Categorie_1_LCA_Producten",VLOOKUP(Inschrijf_Hernieuwbare_Energie_Totaal[[#This Row],[Product]],Categorie_1_Producten[#All],25,FALSE)*(Inschrijfberekening!K17)),0)),Referentie_Backlog!#REF!)</f>
        <v>0</v>
      </c>
      <c r="Q75" s="111">
        <f>SUM(Inschrijf_Hernieuwbare_Energie_Totaal[[#This Row],[A1]:[D2]])</f>
        <v>0</v>
      </c>
    </row>
    <row r="76" spans="2:17" ht="18" x14ac:dyDescent="0.55000000000000004">
      <c r="B76" s="285">
        <f>Inschrijfberekening!B18</f>
        <v>0</v>
      </c>
      <c r="C76" s="39">
        <f>Inschrijfberekening!F18</f>
        <v>0</v>
      </c>
      <c r="D76" s="111" cm="1">
        <f t="array" ref="D76">(IF(Inschrijfberekening!C18="Nieuwe Situatie",_xlfn.IFNA(_xlfn.IFS(Inschrijfberekening!E18="Bitumineuze_verhardingen",VLOOKUP(Inschrijf_Hernieuwbare_Energie_Totaal[[#This Row],[Product]]&amp;", "&amp;Inschrijf_Hernieuwbare_Energie_Totaal[[#Headers],[A1]],Database_Productkaarten[#All],47,FALSE)*Inschrijfberekening!K18,Inschrijfberekening!E18="Funderingslagen",VLOOKUP(Inschrijf_Hernieuwbare_Energie_Totaal[[#This Row],[Product]]&amp;", "&amp;Inschrijf_Hernieuwbare_Energie_Totaal[[#Headers],[A1]],Database_Productkaarten[#All],47,FALSE)*Inschrijfberekening!K18,Inschrijfberekening!E18="Grondwerken",VLOOKUP(Inschrijf_Hernieuwbare_Energie_Totaal[[#This Row],[Product]]&amp;", "&amp;Inschrijf_Hernieuwbare_Energie_Totaal[[#Headers],[A1]],Database_Productkaarten[#All],47,FALSE)*Inschrijfberekening!K18,Inschrijfberekening!E18="Categorie_1_LCA_Producten",VLOOKUP(Inschrijf_Hernieuwbare_Energie_Totaal[[#This Row],[Product]],Categorie_1_Producten[#All],20,FALSE)*(Inschrijfberekening!K18)),Referentie_Backlog!#REF!),0))</f>
        <v>0</v>
      </c>
      <c r="E76" s="111" cm="1">
        <f t="array" ref="E76">(IF(Inschrijfberekening!C18="Nieuwe Situatie",_xlfn.IFNA(_xlfn.IFS(Inschrijfberekening!E18="Bitumineuze_verhardingen",VLOOKUP(Inschrijf_Hernieuwbare_Energie_Totaal[[#This Row],[Product]]&amp;", "&amp;Inschrijf_Hernieuwbare_Energie_Totaal[[#Headers],[A2]],Database_Productkaarten[#All],47,FALSE)*Inschrijfberekening!K18,Inschrijfberekening!E18="Funderingslagen",VLOOKUP(Inschrijf_Hernieuwbare_Energie_Totaal[[#This Row],[Product]]&amp;", "&amp;Inschrijf_Hernieuwbare_Energie_Totaal[[#Headers],[A2]],Database_Productkaarten[#All],47,FALSE)*Inschrijfberekening!K18,Inschrijfberekening!E18="Grondwerken",VLOOKUP(Inschrijf_Hernieuwbare_Energie_Totaal[[#This Row],[Product]]&amp;", "&amp;Inschrijf_Hernieuwbare_Energie_Totaal[[#Headers],[A2]],Database_Productkaarten[#All],47,FALSE)*Inschrijfberekening!K18,Inschrijfberekening!E18="Categorie_1_LCA_Producten",VLOOKUP(Inschrijf_Hernieuwbare_Energie_Totaal[[#This Row],[Product]],Categorie_1_Producten[#All],21,FALSE)*(Inschrijfberekening!K18)),Referentie_Backlog!#REF!),0))</f>
        <v>0</v>
      </c>
      <c r="F76" s="111" cm="1">
        <f t="array" ref="F76">(IF(Inschrijfberekening!C18="Nieuwe Situatie",_xlfn.IFNA(_xlfn.IFS(Inschrijfberekening!E18="Bitumineuze_verhardingen",VLOOKUP(Inschrijf_Hernieuwbare_Energie_Totaal[[#This Row],[Product]]&amp;", "&amp;Inschrijf_Hernieuwbare_Energie_Totaal[[#Headers],[A3]],Database_Productkaarten[#All],47,FALSE)*Inschrijfberekening!K18,Inschrijfberekening!E18="Funderingslagen",VLOOKUP(Inschrijf_Hernieuwbare_Energie_Totaal[[#This Row],[Product]]&amp;", "&amp;Inschrijf_Hernieuwbare_Energie_Totaal[[#Headers],[A3]],Database_Productkaarten[#All],47,FALSE)*Inschrijfberekening!K18,Inschrijfberekening!E18="Grondwerken",VLOOKUP(Inschrijf_Hernieuwbare_Energie_Totaal[[#This Row],[Product]]&amp;", "&amp;Inschrijf_Hernieuwbare_Energie_Totaal[[#Headers],[A3]],Database_Productkaarten[#All],47,FALSE)*Inschrijfberekening!K18,Inschrijfberekening!E18="Categorie_1_LCA_Producten",VLOOKUP(Inschrijf_Hernieuwbare_Energie_Totaal[[#This Row],[Product]],Categorie_1_Producten[#All],22,FALSE)*(Inschrijfberekening!K18)),Referentie_Backlog!#REF!),0))</f>
        <v>0</v>
      </c>
      <c r="G76" s="111">
        <f>(IF(Inschrijfberekening!C18="Nieuwe Situatie",_xlfn.IFNA(VLOOKUP(Inschrijfberekening!O18,Database_Transport[#All],42,FALSE)*(Inschrijfberekening!K18*Inschrijfberekening!N18),Referentie_Backlog!#REF!),0))</f>
        <v>0</v>
      </c>
      <c r="H76" s="272">
        <f>_xlfn.IFNA((IF(Inschrijfberekening!C18="Nieuwe Situatie",(VLOOKUP(Inschrijfberekening!P18,Database_Asfalt_Aanlegset[#All],42,FALSE)*Inschrijfberekening!K18)+IFERROR(((VLOOKUP(Inschrijfberekening!Q18,Database_Overig_Materieel[#All],42,FALSE)*(Inschrijfberekening!L18/VLOOKUP(Inschrijfberekening!Q18,Database_Overig_Materieel[#All],42,FALSE)))),0),0)),Referentie_Backlog!#REF!)</f>
        <v>0</v>
      </c>
      <c r="I76" s="111" cm="1">
        <f t="array" ref="I76">(IF(Inschrijfberekening!C18="Nieuwe Situatie",_xlfn.IFNA(_xlfn.IFS(Inschrijfberekening!E18="Bitumineuze_verhardingen",VLOOKUP(Inschrijf_Hernieuwbare_Energie_Totaal[[#This Row],[Product]]&amp;", "&amp;Inschrijf_Hernieuwbare_Energie_Totaal[[#Headers],[B1]],Database_Productkaarten[#All],47,FALSE)*Inschrijfberekening!K18,Inschrijfberekening!E18="Funderingslagen",VLOOKUP(Inschrijf_Hernieuwbare_Energie_Totaal[[#This Row],[Product]]&amp;", "&amp;Inschrijf_Hernieuwbare_Energie_Totaal[[#Headers],[B1]],Database_Productkaarten[#All],47,FALSE)*Inschrijfberekening!K18,Inschrijfberekening!E18="Grondwerken",VLOOKUP(Inschrijf_Hernieuwbare_Energie_Totaal[[#This Row],[Product]]&amp;", "&amp;Inschrijf_Hernieuwbare_Energie_Totaal[[#Headers],[B1]],Database_Productkaarten[#All],47,FALSE)*Inschrijfberekening!K18,Inschrijfberekening!E18="Categorie_1_LCA_Producten",VLOOKUP(Inschrijf_Hernieuwbare_Energie_Totaal[[#This Row],[Product]],Categorie_1_Producten[#All],23,FALSE)*(Inschrijfberekening!K18)),Referentie_Backlog!#REF!),0))</f>
        <v>0</v>
      </c>
      <c r="J76" s="174">
        <f>(IF(Inschrijfberekening!C18="Nieuwe Situatie",_xlfn.IFNA(SUM(Inschrijf_Hernieuwbare_Energie_Totaal[[#This Row],[A1]:[B1]],Inschrijf_Hernieuwbare_Energie_Totaal[[#This Row],[C1]:[D2]])*Inschrijfberekening!M18,0),0))</f>
        <v>0</v>
      </c>
      <c r="K76" s="273">
        <f>(IF(Inschrijfberekening!C18="Bestaande Situatie",IF(IFERROR((VLOOKUP(Inschrijfberekening!R18,Database_Asfalt_Verwijderset[#All],42,FALSE)*Inschrijfberekening!K18),0)+IFERROR((VLOOKUP(Inschrijfberekening!S18,Database_Overig_Materieel[#All],42,FALSE)*(Inschrijfberekening!L18/VLOOKUP(Inschrijfberekening!S18,Database_Overig_Materieel[#All],42,FALSE))),0)=0,Referentie_Backlog!#REF!,IFERROR((VLOOKUP(Inschrijfberekening!R18,Database_Asfalt_Verwijderset[#All],42,FALSE)*Inschrijfberekening!K18),0)+IFERROR((VLOOKUP(Inschrijfberekening!S18,Database_Overig_Materieel[#All],42,FALSE)*(Inschrijfberekening!L18/VLOOKUP(Inschrijfberekening!S18,Database_Overig_Materieel[#All],42,FALSE))),0)),0))</f>
        <v>0</v>
      </c>
      <c r="L76" s="111">
        <f>(IF(Inschrijfberekening!C18="Bestaande Situatie",_xlfn.IFNA(VLOOKUP(Inschrijfberekening!U18,Database_Transport[#All],42,FALSE)*(Inschrijfberekening!K18*Inschrijfberekening!T18),Referentie_Backlog!#REF!),0))</f>
        <v>0</v>
      </c>
      <c r="M76" s="111">
        <f>(IF(Inschrijfberekening!C18="Bestaande Situatie",_xlfn.IFNA(VLOOKUP(Inschrijfberekening!V18,Database_Asfalt_Verwerkingsset[#All],42,FALSE)*(Inschrijfberekening!K18/VLOOKUP(Inschrijfberekening!V18,Database_Asfalt_Verwerkingsset[#All],42,FALSE)),Referentie_Backlog!#REF!),0))</f>
        <v>0</v>
      </c>
      <c r="N76" s="111">
        <f>(IF(Inschrijfberekening!C18="Bestaande Situatie",_xlfn.IFNA(VLOOKUP(Inschrijf_Hernieuwbare_Energie_Totaal[[#This Row],[Product]]&amp;", "&amp;Inschrijf_MKI_Totaal[[#Headers],[C4]],Database_Productkaarten[#All],47,FALSE)*Inschrijfberekening!K18,Referentie_Backlog!#REF!),0))</f>
        <v>0</v>
      </c>
      <c r="O76" s="111" cm="1">
        <f t="array" ref="O76">_xlfn.IFNA((IF(Inschrijfberekening!C18="Bestaande Situatie",_xlfn.IFS(Inschrijfberekening!E18="Bitumineuze_verhardingen",VLOOKUP(Inschrijf_Hernieuwbare_Energie_Totaal[[#This Row],[Product]]&amp;", "&amp;Inschrijf_Hernieuwbare_Energie_Totaal[[#Headers],[D1]],Database_Productkaarten[#All],47,FALSE)*Inschrijfberekening!K18,Inschrijfberekening!E18="Funderingslagen",VLOOKUP(Inschrijf_Hernieuwbare_Energie_Totaal[[#This Row],[Product]]&amp;", "&amp;Inschrijf_Hernieuwbare_Energie_Totaal[[#Headers],[D1]],Database_Productkaarten[#All],47,FALSE)*Inschrijfberekening!K18,Inschrijfberekening!E18="Grondwerken",VLOOKUP(Inschrijf_Hernieuwbare_Energie_Totaal[[#This Row],[Product]]&amp;", "&amp;Inschrijf_Hernieuwbare_Energie_Totaal[[#Headers],[D1]],Database_Productkaarten[#All],47,FALSE)*Inschrijfberekening!K18,Inschrijfberekening!E18="Categorie_1_LCA_Producten",VLOOKUP(Inschrijf_Hernieuwbare_Energie_Totaal[[#This Row],[Product]],Categorie_1_Producten[#All],24,FALSE)*(Inschrijfberekening!K18)),0)),Referentie_Backlog!#REF!)</f>
        <v>0</v>
      </c>
      <c r="P76" s="111" cm="1">
        <f t="array" ref="P76">_xlfn.IFNA((IF(Inschrijfberekening!C18="Bestaande Situatie",_xlfn.IFS(Inschrijfberekening!E18="Bitumineuze_verhardingen",VLOOKUP(Inschrijf_Hernieuwbare_Energie_Totaal[[#This Row],[Product]]&amp;", "&amp;Inschrijf_Hernieuwbare_Energie_Totaal[[#Headers],[D2]],Database_Productkaarten[#All],47,FALSE)*Inschrijfberekening!K18,Inschrijfberekening!E18="Funderingslagen",VLOOKUP(Inschrijf_Hernieuwbare_Energie_Totaal[[#This Row],[Product]]&amp;", "&amp;Inschrijf_Hernieuwbare_Energie_Totaal[[#Headers],[D2]],Database_Productkaarten[#All],47,FALSE)*Inschrijfberekening!K18,Inschrijfberekening!E18="Grondwerken",VLOOKUP(Inschrijf_Hernieuwbare_Energie_Totaal[[#This Row],[Product]]&amp;", "&amp;Inschrijf_Hernieuwbare_Energie_Totaal[[#Headers],[D2]],Database_Productkaarten[#All],47,FALSE)*Inschrijfberekening!K18,Inschrijfberekening!E18="Categorie_1_LCA_Producten",VLOOKUP(Inschrijf_Hernieuwbare_Energie_Totaal[[#This Row],[Product]],Categorie_1_Producten[#All],25,FALSE)*(Inschrijfberekening!K18)),0)),Referentie_Backlog!#REF!)</f>
        <v>0</v>
      </c>
      <c r="Q76" s="111">
        <f>SUM(Inschrijf_Hernieuwbare_Energie_Totaal[[#This Row],[A1]:[D2]])</f>
        <v>0</v>
      </c>
    </row>
    <row r="77" spans="2:17" ht="18" x14ac:dyDescent="0.55000000000000004">
      <c r="B77" s="285">
        <f>Inschrijfberekening!B19</f>
        <v>0</v>
      </c>
      <c r="C77" s="39">
        <f>Inschrijfberekening!F19</f>
        <v>0</v>
      </c>
      <c r="D77" s="111" cm="1">
        <f t="array" ref="D77">(IF(Inschrijfberekening!C19="Nieuwe Situatie",_xlfn.IFNA(_xlfn.IFS(Inschrijfberekening!E19="Bitumineuze_verhardingen",VLOOKUP(Inschrijf_Hernieuwbare_Energie_Totaal[[#This Row],[Product]]&amp;", "&amp;Inschrijf_Hernieuwbare_Energie_Totaal[[#Headers],[A1]],Database_Productkaarten[#All],47,FALSE)*Inschrijfberekening!K19,Inschrijfberekening!E19="Funderingslagen",VLOOKUP(Inschrijf_Hernieuwbare_Energie_Totaal[[#This Row],[Product]]&amp;", "&amp;Inschrijf_Hernieuwbare_Energie_Totaal[[#Headers],[A1]],Database_Productkaarten[#All],47,FALSE)*Inschrijfberekening!K19,Inschrijfberekening!E19="Grondwerken",VLOOKUP(Inschrijf_Hernieuwbare_Energie_Totaal[[#This Row],[Product]]&amp;", "&amp;Inschrijf_Hernieuwbare_Energie_Totaal[[#Headers],[A1]],Database_Productkaarten[#All],47,FALSE)*Inschrijfberekening!K19,Inschrijfberekening!E19="Categorie_1_LCA_Producten",VLOOKUP(Inschrijf_Hernieuwbare_Energie_Totaal[[#This Row],[Product]],Categorie_1_Producten[#All],20,FALSE)*(Inschrijfberekening!K19)),Referentie_Backlog!#REF!),0))</f>
        <v>0</v>
      </c>
      <c r="E77" s="111" cm="1">
        <f t="array" ref="E77">(IF(Inschrijfberekening!C19="Nieuwe Situatie",_xlfn.IFNA(_xlfn.IFS(Inschrijfberekening!E19="Bitumineuze_verhardingen",VLOOKUP(Inschrijf_Hernieuwbare_Energie_Totaal[[#This Row],[Product]]&amp;", "&amp;Inschrijf_Hernieuwbare_Energie_Totaal[[#Headers],[A2]],Database_Productkaarten[#All],47,FALSE)*Inschrijfberekening!K19,Inschrijfberekening!E19="Funderingslagen",VLOOKUP(Inschrijf_Hernieuwbare_Energie_Totaal[[#This Row],[Product]]&amp;", "&amp;Inschrijf_Hernieuwbare_Energie_Totaal[[#Headers],[A2]],Database_Productkaarten[#All],47,FALSE)*Inschrijfberekening!K19,Inschrijfberekening!E19="Grondwerken",VLOOKUP(Inschrijf_Hernieuwbare_Energie_Totaal[[#This Row],[Product]]&amp;", "&amp;Inschrijf_Hernieuwbare_Energie_Totaal[[#Headers],[A2]],Database_Productkaarten[#All],47,FALSE)*Inschrijfberekening!K19,Inschrijfberekening!E19="Categorie_1_LCA_Producten",VLOOKUP(Inschrijf_Hernieuwbare_Energie_Totaal[[#This Row],[Product]],Categorie_1_Producten[#All],21,FALSE)*(Inschrijfberekening!K19)),Referentie_Backlog!#REF!),0))</f>
        <v>0</v>
      </c>
      <c r="F77" s="111" cm="1">
        <f t="array" ref="F77">(IF(Inschrijfberekening!C19="Nieuwe Situatie",_xlfn.IFNA(_xlfn.IFS(Inschrijfberekening!E19="Bitumineuze_verhardingen",VLOOKUP(Inschrijf_Hernieuwbare_Energie_Totaal[[#This Row],[Product]]&amp;", "&amp;Inschrijf_Hernieuwbare_Energie_Totaal[[#Headers],[A3]],Database_Productkaarten[#All],47,FALSE)*Inschrijfberekening!K19,Inschrijfberekening!E19="Funderingslagen",VLOOKUP(Inschrijf_Hernieuwbare_Energie_Totaal[[#This Row],[Product]]&amp;", "&amp;Inschrijf_Hernieuwbare_Energie_Totaal[[#Headers],[A3]],Database_Productkaarten[#All],47,FALSE)*Inschrijfberekening!K19,Inschrijfberekening!E19="Grondwerken",VLOOKUP(Inschrijf_Hernieuwbare_Energie_Totaal[[#This Row],[Product]]&amp;", "&amp;Inschrijf_Hernieuwbare_Energie_Totaal[[#Headers],[A3]],Database_Productkaarten[#All],47,FALSE)*Inschrijfberekening!K19,Inschrijfberekening!E19="Categorie_1_LCA_Producten",VLOOKUP(Inschrijf_Hernieuwbare_Energie_Totaal[[#This Row],[Product]],Categorie_1_Producten[#All],22,FALSE)*(Inschrijfberekening!K19)),Referentie_Backlog!#REF!),0))</f>
        <v>0</v>
      </c>
      <c r="G77" s="111">
        <f>(IF(Inschrijfberekening!C19="Nieuwe Situatie",_xlfn.IFNA(VLOOKUP(Inschrijfberekening!O19,Database_Transport[#All],42,FALSE)*(Inschrijfberekening!K19*Inschrijfberekening!N19),Referentie_Backlog!#REF!),0))</f>
        <v>0</v>
      </c>
      <c r="H77" s="272">
        <f>_xlfn.IFNA((IF(Inschrijfberekening!C19="Nieuwe Situatie",(VLOOKUP(Inschrijfberekening!P19,Database_Asfalt_Aanlegset[#All],42,FALSE)*Inschrijfberekening!K19)+IFERROR(((VLOOKUP(Inschrijfberekening!Q19,Database_Overig_Materieel[#All],42,FALSE)*(Inschrijfberekening!L19/VLOOKUP(Inschrijfberekening!Q19,Database_Overig_Materieel[#All],42,FALSE)))),0),0)),Referentie_Backlog!#REF!)</f>
        <v>0</v>
      </c>
      <c r="I77" s="111" cm="1">
        <f t="array" ref="I77">(IF(Inschrijfberekening!C19="Nieuwe Situatie",_xlfn.IFNA(_xlfn.IFS(Inschrijfberekening!E19="Bitumineuze_verhardingen",VLOOKUP(Inschrijf_Hernieuwbare_Energie_Totaal[[#This Row],[Product]]&amp;", "&amp;Inschrijf_Hernieuwbare_Energie_Totaal[[#Headers],[B1]],Database_Productkaarten[#All],47,FALSE)*Inschrijfberekening!K19,Inschrijfberekening!E19="Funderingslagen",VLOOKUP(Inschrijf_Hernieuwbare_Energie_Totaal[[#This Row],[Product]]&amp;", "&amp;Inschrijf_Hernieuwbare_Energie_Totaal[[#Headers],[B1]],Database_Productkaarten[#All],47,FALSE)*Inschrijfberekening!K19,Inschrijfberekening!E19="Grondwerken",VLOOKUP(Inschrijf_Hernieuwbare_Energie_Totaal[[#This Row],[Product]]&amp;", "&amp;Inschrijf_Hernieuwbare_Energie_Totaal[[#Headers],[B1]],Database_Productkaarten[#All],47,FALSE)*Inschrijfberekening!K19,Inschrijfberekening!E19="Categorie_1_LCA_Producten",VLOOKUP(Inschrijf_Hernieuwbare_Energie_Totaal[[#This Row],[Product]],Categorie_1_Producten[#All],23,FALSE)*(Inschrijfberekening!K19)),Referentie_Backlog!#REF!),0))</f>
        <v>0</v>
      </c>
      <c r="J77" s="174">
        <f>(IF(Inschrijfberekening!C19="Nieuwe Situatie",_xlfn.IFNA(SUM(Inschrijf_Hernieuwbare_Energie_Totaal[[#This Row],[A1]:[B1]],Inschrijf_Hernieuwbare_Energie_Totaal[[#This Row],[C1]:[D2]])*Inschrijfberekening!M19,0),0))</f>
        <v>0</v>
      </c>
      <c r="K77" s="273">
        <f>(IF(Inschrijfberekening!C19="Bestaande Situatie",IF(IFERROR((VLOOKUP(Inschrijfberekening!R19,Database_Asfalt_Verwijderset[#All],42,FALSE)*Inschrijfberekening!K19),0)+IFERROR((VLOOKUP(Inschrijfberekening!S19,Database_Overig_Materieel[#All],42,FALSE)*(Inschrijfberekening!L19/VLOOKUP(Inschrijfberekening!S19,Database_Overig_Materieel[#All],42,FALSE))),0)=0,Referentie_Backlog!#REF!,IFERROR((VLOOKUP(Inschrijfberekening!R19,Database_Asfalt_Verwijderset[#All],42,FALSE)*Inschrijfberekening!K19),0)+IFERROR((VLOOKUP(Inschrijfberekening!S19,Database_Overig_Materieel[#All],42,FALSE)*(Inschrijfberekening!L19/VLOOKUP(Inschrijfberekening!S19,Database_Overig_Materieel[#All],42,FALSE))),0)),0))</f>
        <v>0</v>
      </c>
      <c r="L77" s="111">
        <f>(IF(Inschrijfberekening!C19="Bestaande Situatie",_xlfn.IFNA(VLOOKUP(Inschrijfberekening!U19,Database_Transport[#All],42,FALSE)*(Inschrijfberekening!K19*Inschrijfberekening!T19),Referentie_Backlog!#REF!),0))</f>
        <v>0</v>
      </c>
      <c r="M77" s="111">
        <f>(IF(Inschrijfberekening!C19="Bestaande Situatie",_xlfn.IFNA(VLOOKUP(Inschrijfberekening!V19,Database_Asfalt_Verwerkingsset[#All],42,FALSE)*(Inschrijfberekening!K19/VLOOKUP(Inschrijfberekening!V19,Database_Asfalt_Verwerkingsset[#All],42,FALSE)),Referentie_Backlog!#REF!),0))</f>
        <v>0</v>
      </c>
      <c r="N77" s="111">
        <f>(IF(Inschrijfberekening!C19="Bestaande Situatie",_xlfn.IFNA(VLOOKUP(Inschrijf_Hernieuwbare_Energie_Totaal[[#This Row],[Product]]&amp;", "&amp;Inschrijf_MKI_Totaal[[#Headers],[C4]],Database_Productkaarten[#All],47,FALSE)*Inschrijfberekening!K19,Referentie_Backlog!#REF!),0))</f>
        <v>0</v>
      </c>
      <c r="O77" s="111" cm="1">
        <f t="array" ref="O77">_xlfn.IFNA((IF(Inschrijfberekening!C19="Bestaande Situatie",_xlfn.IFS(Inschrijfberekening!E19="Bitumineuze_verhardingen",VLOOKUP(Inschrijf_Hernieuwbare_Energie_Totaal[[#This Row],[Product]]&amp;", "&amp;Inschrijf_Hernieuwbare_Energie_Totaal[[#Headers],[D1]],Database_Productkaarten[#All],47,FALSE)*Inschrijfberekening!K19,Inschrijfberekening!E19="Funderingslagen",VLOOKUP(Inschrijf_Hernieuwbare_Energie_Totaal[[#This Row],[Product]]&amp;", "&amp;Inschrijf_Hernieuwbare_Energie_Totaal[[#Headers],[D1]],Database_Productkaarten[#All],47,FALSE)*Inschrijfberekening!K19,Inschrijfberekening!E19="Grondwerken",VLOOKUP(Inschrijf_Hernieuwbare_Energie_Totaal[[#This Row],[Product]]&amp;", "&amp;Inschrijf_Hernieuwbare_Energie_Totaal[[#Headers],[D1]],Database_Productkaarten[#All],47,FALSE)*Inschrijfberekening!K19,Inschrijfberekening!E19="Categorie_1_LCA_Producten",VLOOKUP(Inschrijf_Hernieuwbare_Energie_Totaal[[#This Row],[Product]],Categorie_1_Producten[#All],24,FALSE)*(Inschrijfberekening!K19)),0)),Referentie_Backlog!#REF!)</f>
        <v>0</v>
      </c>
      <c r="P77" s="111" cm="1">
        <f t="array" ref="P77">_xlfn.IFNA((IF(Inschrijfberekening!C19="Bestaande Situatie",_xlfn.IFS(Inschrijfberekening!E19="Bitumineuze_verhardingen",VLOOKUP(Inschrijf_Hernieuwbare_Energie_Totaal[[#This Row],[Product]]&amp;", "&amp;Inschrijf_Hernieuwbare_Energie_Totaal[[#Headers],[D2]],Database_Productkaarten[#All],47,FALSE)*Inschrijfberekening!K19,Inschrijfberekening!E19="Funderingslagen",VLOOKUP(Inschrijf_Hernieuwbare_Energie_Totaal[[#This Row],[Product]]&amp;", "&amp;Inschrijf_Hernieuwbare_Energie_Totaal[[#Headers],[D2]],Database_Productkaarten[#All],47,FALSE)*Inschrijfberekening!K19,Inschrijfberekening!E19="Grondwerken",VLOOKUP(Inschrijf_Hernieuwbare_Energie_Totaal[[#This Row],[Product]]&amp;", "&amp;Inschrijf_Hernieuwbare_Energie_Totaal[[#Headers],[D2]],Database_Productkaarten[#All],47,FALSE)*Inschrijfberekening!K19,Inschrijfberekening!E19="Categorie_1_LCA_Producten",VLOOKUP(Inschrijf_Hernieuwbare_Energie_Totaal[[#This Row],[Product]],Categorie_1_Producten[#All],25,FALSE)*(Inschrijfberekening!K19)),0)),Referentie_Backlog!#REF!)</f>
        <v>0</v>
      </c>
      <c r="Q77" s="111">
        <f>SUM(Inschrijf_Hernieuwbare_Energie_Totaal[[#This Row],[A1]:[D2]])</f>
        <v>0</v>
      </c>
    </row>
    <row r="78" spans="2:17" ht="18" x14ac:dyDescent="0.55000000000000004">
      <c r="B78" s="285">
        <f>Inschrijfberekening!B20</f>
        <v>0</v>
      </c>
      <c r="C78" s="39">
        <f>Inschrijfberekening!F20</f>
        <v>0</v>
      </c>
      <c r="D78" s="111" cm="1">
        <f t="array" ref="D78">(IF(Inschrijfberekening!C20="Nieuwe Situatie",_xlfn.IFNA(_xlfn.IFS(Inschrijfberekening!E20="Bitumineuze_verhardingen",VLOOKUP(Inschrijf_Hernieuwbare_Energie_Totaal[[#This Row],[Product]]&amp;", "&amp;Inschrijf_Hernieuwbare_Energie_Totaal[[#Headers],[A1]],Database_Productkaarten[#All],47,FALSE)*Inschrijfberekening!K20,Inschrijfberekening!E20="Funderingslagen",VLOOKUP(Inschrijf_Hernieuwbare_Energie_Totaal[[#This Row],[Product]]&amp;", "&amp;Inschrijf_Hernieuwbare_Energie_Totaal[[#Headers],[A1]],Database_Productkaarten[#All],47,FALSE)*Inschrijfberekening!K20,Inschrijfberekening!E20="Grondwerken",VLOOKUP(Inschrijf_Hernieuwbare_Energie_Totaal[[#This Row],[Product]]&amp;", "&amp;Inschrijf_Hernieuwbare_Energie_Totaal[[#Headers],[A1]],Database_Productkaarten[#All],47,FALSE)*Inschrijfberekening!K20,Inschrijfberekening!E20="Categorie_1_LCA_Producten",VLOOKUP(Inschrijf_Hernieuwbare_Energie_Totaal[[#This Row],[Product]],Categorie_1_Producten[#All],20,FALSE)*(Inschrijfberekening!K20)),Referentie_Backlog!#REF!),0))</f>
        <v>0</v>
      </c>
      <c r="E78" s="111" cm="1">
        <f t="array" ref="E78">(IF(Inschrijfberekening!C20="Nieuwe Situatie",_xlfn.IFNA(_xlfn.IFS(Inschrijfberekening!E20="Bitumineuze_verhardingen",VLOOKUP(Inschrijf_Hernieuwbare_Energie_Totaal[[#This Row],[Product]]&amp;", "&amp;Inschrijf_Hernieuwbare_Energie_Totaal[[#Headers],[A2]],Database_Productkaarten[#All],47,FALSE)*Inschrijfberekening!K20,Inschrijfberekening!E20="Funderingslagen",VLOOKUP(Inschrijf_Hernieuwbare_Energie_Totaal[[#This Row],[Product]]&amp;", "&amp;Inschrijf_Hernieuwbare_Energie_Totaal[[#Headers],[A2]],Database_Productkaarten[#All],47,FALSE)*Inschrijfberekening!K20,Inschrijfberekening!E20="Grondwerken",VLOOKUP(Inschrijf_Hernieuwbare_Energie_Totaal[[#This Row],[Product]]&amp;", "&amp;Inschrijf_Hernieuwbare_Energie_Totaal[[#Headers],[A2]],Database_Productkaarten[#All],47,FALSE)*Inschrijfberekening!K20,Inschrijfberekening!E20="Categorie_1_LCA_Producten",VLOOKUP(Inschrijf_Hernieuwbare_Energie_Totaal[[#This Row],[Product]],Categorie_1_Producten[#All],21,FALSE)*(Inschrijfberekening!K20)),Referentie_Backlog!#REF!),0))</f>
        <v>0</v>
      </c>
      <c r="F78" s="111" cm="1">
        <f t="array" ref="F78">(IF(Inschrijfberekening!C20="Nieuwe Situatie",_xlfn.IFNA(_xlfn.IFS(Inschrijfberekening!E20="Bitumineuze_verhardingen",VLOOKUP(Inschrijf_Hernieuwbare_Energie_Totaal[[#This Row],[Product]]&amp;", "&amp;Inschrijf_Hernieuwbare_Energie_Totaal[[#Headers],[A3]],Database_Productkaarten[#All],47,FALSE)*Inschrijfberekening!K20,Inschrijfberekening!E20="Funderingslagen",VLOOKUP(Inschrijf_Hernieuwbare_Energie_Totaal[[#This Row],[Product]]&amp;", "&amp;Inschrijf_Hernieuwbare_Energie_Totaal[[#Headers],[A3]],Database_Productkaarten[#All],47,FALSE)*Inschrijfberekening!K20,Inschrijfberekening!E20="Grondwerken",VLOOKUP(Inschrijf_Hernieuwbare_Energie_Totaal[[#This Row],[Product]]&amp;", "&amp;Inschrijf_Hernieuwbare_Energie_Totaal[[#Headers],[A3]],Database_Productkaarten[#All],47,FALSE)*Inschrijfberekening!K20,Inschrijfberekening!E20="Categorie_1_LCA_Producten",VLOOKUP(Inschrijf_Hernieuwbare_Energie_Totaal[[#This Row],[Product]],Categorie_1_Producten[#All],22,FALSE)*(Inschrijfberekening!K20)),Referentie_Backlog!#REF!),0))</f>
        <v>0</v>
      </c>
      <c r="G78" s="111">
        <f>(IF(Inschrijfberekening!C20="Nieuwe Situatie",_xlfn.IFNA(VLOOKUP(Inschrijfberekening!O20,Database_Transport[#All],42,FALSE)*(Inschrijfberekening!K20*Inschrijfberekening!N20),Referentie_Backlog!#REF!),0))</f>
        <v>0</v>
      </c>
      <c r="H78" s="272">
        <f>_xlfn.IFNA((IF(Inschrijfberekening!C20="Nieuwe Situatie",(VLOOKUP(Inschrijfberekening!P20,Database_Asfalt_Aanlegset[#All],42,FALSE)*Inschrijfberekening!K20)+IFERROR(((VLOOKUP(Inschrijfberekening!Q20,Database_Overig_Materieel[#All],42,FALSE)*(Inschrijfberekening!L20/VLOOKUP(Inschrijfberekening!Q20,Database_Overig_Materieel[#All],42,FALSE)))),0),0)),Referentie_Backlog!#REF!)</f>
        <v>0</v>
      </c>
      <c r="I78" s="111" cm="1">
        <f t="array" ref="I78">(IF(Inschrijfberekening!C20="Nieuwe Situatie",_xlfn.IFNA(_xlfn.IFS(Inschrijfberekening!E20="Bitumineuze_verhardingen",VLOOKUP(Inschrijf_Hernieuwbare_Energie_Totaal[[#This Row],[Product]]&amp;", "&amp;Inschrijf_Hernieuwbare_Energie_Totaal[[#Headers],[B1]],Database_Productkaarten[#All],47,FALSE)*Inschrijfberekening!K20,Inschrijfberekening!E20="Funderingslagen",VLOOKUP(Inschrijf_Hernieuwbare_Energie_Totaal[[#This Row],[Product]]&amp;", "&amp;Inschrijf_Hernieuwbare_Energie_Totaal[[#Headers],[B1]],Database_Productkaarten[#All],47,FALSE)*Inschrijfberekening!K20,Inschrijfberekening!E20="Grondwerken",VLOOKUP(Inschrijf_Hernieuwbare_Energie_Totaal[[#This Row],[Product]]&amp;", "&amp;Inschrijf_Hernieuwbare_Energie_Totaal[[#Headers],[B1]],Database_Productkaarten[#All],47,FALSE)*Inschrijfberekening!K20,Inschrijfberekening!E20="Categorie_1_LCA_Producten",VLOOKUP(Inschrijf_Hernieuwbare_Energie_Totaal[[#This Row],[Product]],Categorie_1_Producten[#All],23,FALSE)*(Inschrijfberekening!K20)),Referentie_Backlog!#REF!),0))</f>
        <v>0</v>
      </c>
      <c r="J78" s="174">
        <f>(IF(Inschrijfberekening!C20="Nieuwe Situatie",_xlfn.IFNA(SUM(Inschrijf_Hernieuwbare_Energie_Totaal[[#This Row],[A1]:[B1]],Inschrijf_Hernieuwbare_Energie_Totaal[[#This Row],[C1]:[D2]])*Inschrijfberekening!M20,0),0))</f>
        <v>0</v>
      </c>
      <c r="K78" s="273">
        <f>(IF(Inschrijfberekening!C20="Bestaande Situatie",IF(IFERROR((VLOOKUP(Inschrijfberekening!R20,Database_Asfalt_Verwijderset[#All],42,FALSE)*Inschrijfberekening!K20),0)+IFERROR((VLOOKUP(Inschrijfberekening!S20,Database_Overig_Materieel[#All],42,FALSE)*(Inschrijfberekening!L20/VLOOKUP(Inschrijfberekening!S20,Database_Overig_Materieel[#All],42,FALSE))),0)=0,Referentie_Backlog!#REF!,IFERROR((VLOOKUP(Inschrijfberekening!R20,Database_Asfalt_Verwijderset[#All],42,FALSE)*Inschrijfberekening!K20),0)+IFERROR((VLOOKUP(Inschrijfberekening!S20,Database_Overig_Materieel[#All],42,FALSE)*(Inschrijfberekening!L20/VLOOKUP(Inschrijfberekening!S20,Database_Overig_Materieel[#All],42,FALSE))),0)),0))</f>
        <v>0</v>
      </c>
      <c r="L78" s="111">
        <f>(IF(Inschrijfberekening!C20="Bestaande Situatie",_xlfn.IFNA(VLOOKUP(Inschrijfberekening!U20,Database_Transport[#All],42,FALSE)*(Inschrijfberekening!K20*Inschrijfberekening!T20),Referentie_Backlog!#REF!),0))</f>
        <v>0</v>
      </c>
      <c r="M78" s="111">
        <f>(IF(Inschrijfberekening!C20="Bestaande Situatie",_xlfn.IFNA(VLOOKUP(Inschrijfberekening!V20,Database_Asfalt_Verwerkingsset[#All],42,FALSE)*(Inschrijfberekening!K20/VLOOKUP(Inschrijfberekening!V20,Database_Asfalt_Verwerkingsset[#All],42,FALSE)),Referentie_Backlog!#REF!),0))</f>
        <v>0</v>
      </c>
      <c r="N78" s="111">
        <f>(IF(Inschrijfberekening!C20="Bestaande Situatie",_xlfn.IFNA(VLOOKUP(Inschrijf_Hernieuwbare_Energie_Totaal[[#This Row],[Product]]&amp;", "&amp;Inschrijf_MKI_Totaal[[#Headers],[C4]],Database_Productkaarten[#All],47,FALSE)*Inschrijfberekening!K20,Referentie_Backlog!#REF!),0))</f>
        <v>0</v>
      </c>
      <c r="O78" s="111" cm="1">
        <f t="array" ref="O78">_xlfn.IFNA((IF(Inschrijfberekening!C20="Bestaande Situatie",_xlfn.IFS(Inschrijfberekening!E20="Bitumineuze_verhardingen",VLOOKUP(Inschrijf_Hernieuwbare_Energie_Totaal[[#This Row],[Product]]&amp;", "&amp;Inschrijf_Hernieuwbare_Energie_Totaal[[#Headers],[D1]],Database_Productkaarten[#All],47,FALSE)*Inschrijfberekening!K20,Inschrijfberekening!E20="Funderingslagen",VLOOKUP(Inschrijf_Hernieuwbare_Energie_Totaal[[#This Row],[Product]]&amp;", "&amp;Inschrijf_Hernieuwbare_Energie_Totaal[[#Headers],[D1]],Database_Productkaarten[#All],47,FALSE)*Inschrijfberekening!K20,Inschrijfberekening!E20="Grondwerken",VLOOKUP(Inschrijf_Hernieuwbare_Energie_Totaal[[#This Row],[Product]]&amp;", "&amp;Inschrijf_Hernieuwbare_Energie_Totaal[[#Headers],[D1]],Database_Productkaarten[#All],47,FALSE)*Inschrijfberekening!K20,Inschrijfberekening!E20="Categorie_1_LCA_Producten",VLOOKUP(Inschrijf_Hernieuwbare_Energie_Totaal[[#This Row],[Product]],Categorie_1_Producten[#All],24,FALSE)*(Inschrijfberekening!K20)),0)),Referentie_Backlog!#REF!)</f>
        <v>0</v>
      </c>
      <c r="P78" s="111" cm="1">
        <f t="array" ref="P78">_xlfn.IFNA((IF(Inschrijfberekening!C20="Bestaande Situatie",_xlfn.IFS(Inschrijfberekening!E20="Bitumineuze_verhardingen",VLOOKUP(Inschrijf_Hernieuwbare_Energie_Totaal[[#This Row],[Product]]&amp;", "&amp;Inschrijf_Hernieuwbare_Energie_Totaal[[#Headers],[D2]],Database_Productkaarten[#All],47,FALSE)*Inschrijfberekening!K20,Inschrijfberekening!E20="Funderingslagen",VLOOKUP(Inschrijf_Hernieuwbare_Energie_Totaal[[#This Row],[Product]]&amp;", "&amp;Inschrijf_Hernieuwbare_Energie_Totaal[[#Headers],[D2]],Database_Productkaarten[#All],47,FALSE)*Inschrijfberekening!K20,Inschrijfberekening!E20="Grondwerken",VLOOKUP(Inschrijf_Hernieuwbare_Energie_Totaal[[#This Row],[Product]]&amp;", "&amp;Inschrijf_Hernieuwbare_Energie_Totaal[[#Headers],[D2]],Database_Productkaarten[#All],47,FALSE)*Inschrijfberekening!K20,Inschrijfberekening!E20="Categorie_1_LCA_Producten",VLOOKUP(Inschrijf_Hernieuwbare_Energie_Totaal[[#This Row],[Product]],Categorie_1_Producten[#All],25,FALSE)*(Inschrijfberekening!K20)),0)),Referentie_Backlog!#REF!)</f>
        <v>0</v>
      </c>
      <c r="Q78" s="111">
        <f>SUM(Inschrijf_Hernieuwbare_Energie_Totaal[[#This Row],[A1]:[D2]])</f>
        <v>0</v>
      </c>
    </row>
    <row r="79" spans="2:17" ht="18" x14ac:dyDescent="0.55000000000000004">
      <c r="B79" s="23" t="s">
        <v>16</v>
      </c>
      <c r="C79" s="23"/>
      <c r="D79" s="77">
        <f>SUBTOTAL(109,Inschrijf_Hernieuwbare_Energie_Totaal[A1])</f>
        <v>393.13035980400002</v>
      </c>
      <c r="E79" s="77">
        <f>SUBTOTAL(109,Inschrijf_Hernieuwbare_Energie_Totaal[A2])</f>
        <v>50.361389015973749</v>
      </c>
      <c r="F79" s="77">
        <f>SUBTOTAL(109,Inschrijf_Hernieuwbare_Energie_Totaal[A3])</f>
        <v>71.271649218997325</v>
      </c>
      <c r="G79" s="77">
        <f>SUBTOTAL(109,Inschrijf_Hernieuwbare_Energie_Totaal[A4])</f>
        <v>2340.1886336399998</v>
      </c>
      <c r="H79" s="77">
        <f>SUBTOTAL(109,Inschrijf_Hernieuwbare_Energie_Totaal[A5])</f>
        <v>339.02333157480859</v>
      </c>
      <c r="I79" s="77">
        <f>SUBTOTAL(109,Inschrijf_Hernieuwbare_Energie_Totaal[B1])</f>
        <v>0</v>
      </c>
      <c r="J79" s="77">
        <f>SUBTOTAL(109,Inschrijf_Hernieuwbare_Energie_Totaal[B4])</f>
        <v>0</v>
      </c>
      <c r="K79" s="77">
        <f>SUBTOTAL(109,Inschrijf_Hernieuwbare_Energie_Totaal[C1])</f>
        <v>0</v>
      </c>
      <c r="L79" s="77">
        <f>SUBTOTAL(109,Inschrijf_Hernieuwbare_Energie_Totaal[C2])</f>
        <v>0</v>
      </c>
      <c r="M79" s="77">
        <f>SUBTOTAL(109,Inschrijf_Hernieuwbare_Energie_Totaal[C3])</f>
        <v>0</v>
      </c>
      <c r="N79" s="77">
        <f>SUBTOTAL(109,Inschrijf_Hernieuwbare_Energie_Totaal[C4])</f>
        <v>0</v>
      </c>
      <c r="O79" s="77">
        <f>SUBTOTAL(109,Inschrijf_Hernieuwbare_Energie_Totaal[D1])</f>
        <v>0</v>
      </c>
      <c r="P79" s="77">
        <f>SUBTOTAL(109,Inschrijf_Hernieuwbare_Energie_Totaal[D2])</f>
        <v>0</v>
      </c>
      <c r="Q79" s="190">
        <f>SUBTOTAL(109,Inschrijf_Hernieuwbare_Energie_Totaal[Totaal])</f>
        <v>3193.9753632537791</v>
      </c>
    </row>
    <row r="82" spans="2:17" ht="22" x14ac:dyDescent="0.65">
      <c r="B82" s="134" t="s">
        <v>338</v>
      </c>
      <c r="C82" s="134"/>
      <c r="D82" s="134"/>
    </row>
    <row r="83" spans="2:17" ht="18" x14ac:dyDescent="0.55000000000000004">
      <c r="B83" s="23" t="s">
        <v>55</v>
      </c>
      <c r="C83" s="23" t="s">
        <v>4</v>
      </c>
      <c r="D83" s="24" t="s">
        <v>19</v>
      </c>
      <c r="E83" s="25" t="s">
        <v>20</v>
      </c>
      <c r="F83" s="26" t="s">
        <v>21</v>
      </c>
      <c r="G83" s="27" t="s">
        <v>22</v>
      </c>
      <c r="H83" s="28" t="s">
        <v>23</v>
      </c>
      <c r="I83" s="29" t="s">
        <v>24</v>
      </c>
      <c r="J83" s="30" t="s">
        <v>50</v>
      </c>
      <c r="K83" s="31" t="s">
        <v>25</v>
      </c>
      <c r="L83" s="32" t="s">
        <v>26</v>
      </c>
      <c r="M83" s="33" t="s">
        <v>27</v>
      </c>
      <c r="N83" s="34" t="s">
        <v>28</v>
      </c>
      <c r="O83" s="35" t="s">
        <v>51</v>
      </c>
      <c r="P83" s="36" t="s">
        <v>52</v>
      </c>
      <c r="Q83" s="192" t="s">
        <v>16</v>
      </c>
    </row>
    <row r="84" spans="2:17" ht="18" x14ac:dyDescent="0.55000000000000004">
      <c r="B84" s="285">
        <f>Inschrijfberekening!B6</f>
        <v>422410</v>
      </c>
      <c r="C84" s="23" t="str">
        <f>Inschrijfberekening!F6</f>
        <v>20460-TB - AC 16 Bin/Base 35/50 60% PR Bestone</v>
      </c>
      <c r="D84" s="111" cm="1">
        <f t="array" ref="D84">(IF(Inschrijfberekening!C6="Nieuwe Situatie",_xlfn.IFNA(_xlfn.IFS(Inschrijfberekening!E6="Bitumineuze_verhardingen",VLOOKUP(Inschrijf_Fossiele_Energie_Totaal[[#This Row],[Product]]&amp;", "&amp;Inschrijf_Fossiele_Energie_Totaal[[#Headers],[A1]],Database_Productkaarten[#All],50,FALSE)*Inschrijfberekening!K6,Inschrijfberekening!E6="Funderingslagen",VLOOKUP(Inschrijf_Fossiele_Energie_Totaal[[#This Row],[Product]]&amp;", "&amp;Inschrijf_Fossiele_Energie_Totaal[[#Headers],[A1]],Database_Productkaarten[#All],22,FALSE)*Inschrijfberekening!K6,Inschrijfberekening!E6="Grondwerken",VLOOKUP(Inschrijf_Fossiele_Energie_Totaal[[#This Row],[Product]]&amp;", "&amp;Inschrijf_Fossiele_Energie_Totaal[[#Headers],[A1]],Database_Productkaarten[#All],22,FALSE)*Inschrijfberekening!K6,Inschrijfberekening!E6="Categorie_1_LCA_Producten",VLOOKUP(Inschrijf_Fossiele_Energie_Totaal[[#This Row],[Product]],Categorie_1_Producten[#All],26,FALSE)*(Inschrijfberekening!K6)),Referentie_Backlog!D148),0))</f>
        <v>0</v>
      </c>
      <c r="E84" s="111" cm="1">
        <f t="array" ref="E84">(IF(Inschrijfberekening!C6="Nieuwe Situatie",_xlfn.IFNA(_xlfn.IFS(Inschrijfberekening!E6="Bitumineuze_verhardingen",VLOOKUP(Inschrijf_Fossiele_Energie_Totaal[[#This Row],[Product]]&amp;", "&amp;Inschrijf_Fossiele_Energie_Totaal[[#Headers],[A2]],Database_Productkaarten[#All],50,FALSE)*Inschrijfberekening!K6,Inschrijfberekening!E6="Funderingslagen",VLOOKUP(Inschrijf_Fossiele_Energie_Totaal[[#This Row],[Product]]&amp;", "&amp;Inschrijf_Fossiele_Energie_Totaal[[#Headers],[A2]],Database_Productkaarten[#All],50,FALSE)*Inschrijfberekening!K6,Inschrijfberekening!E6="Grondwerken",VLOOKUP(Inschrijf_Fossiele_Energie_Totaal[[#This Row],[Product]]&amp;", "&amp;Inschrijf_Fossiele_Energie_Totaal[[#Headers],[A2]],Database_Productkaarten[#All],50,FALSE)*Inschrijfberekening!K6,Inschrijfberekening!E6="Categorie_1_LCA_Producten",VLOOKUP(Inschrijf_Fossiele_Energie_Totaal[[#This Row],[Product]],Categorie_1_Producten[#All],27,FALSE)*(Inschrijfberekening!K6)),Referentie_Backlog!D148),0))</f>
        <v>0</v>
      </c>
      <c r="F84" s="111" cm="1">
        <f t="array" ref="F84">(IF(Inschrijfberekening!C6="Nieuwe Situatie",_xlfn.IFNA(_xlfn.IFS(Inschrijfberekening!E6="Bitumineuze_verhardingen",VLOOKUP(Inschrijf_Fossiele_Energie_Totaal[[#This Row],[Product]]&amp;", "&amp;Inschrijf_Fossiele_Energie_Totaal[[#Headers],[A3]],Database_Productkaarten[#All],50,FALSE)*Inschrijfberekening!K6,Inschrijfberekening!E6="Funderingslagen",VLOOKUP(Inschrijf_Fossiele_Energie_Totaal[[#This Row],[Product]]&amp;", "&amp;Inschrijf_Fossiele_Energie_Totaal[[#Headers],[A3]],Database_Productkaarten[#All],50,FALSE)*Inschrijfberekening!K6,Inschrijfberekening!E6="Grondwerken",VLOOKUP(Inschrijf_Fossiele_Energie_Totaal[[#This Row],[Product]]&amp;", "&amp;Inschrijf_Fossiele_Energie_Totaal[[#Headers],[A3]],Database_Productkaarten[#All],50,FALSE)*Inschrijfberekening!K6,Inschrijfberekening!E6="Categorie_1_LCA_Producten",VLOOKUP(Inschrijf_Fossiele_Energie_Totaal[[#This Row],[Product]],Categorie_1_Producten[#All],28,FALSE)*(Inschrijfberekening!K6)),Referentie_Backlog!D148),0))</f>
        <v>0</v>
      </c>
      <c r="G84" s="111">
        <f>(IF(Inschrijfberekening!C6="Nieuwe Situatie",_xlfn.IFNA(VLOOKUP(Inschrijfberekening!K38,Database_Transport[#All],45,FALSE)*(Inschrijfberekening!K6*Inschrijfberekening!N6),Referentie_Backlog!G148),0))</f>
        <v>0</v>
      </c>
      <c r="H84" s="112">
        <f>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148)</f>
        <v>7885.0962539999991</v>
      </c>
      <c r="I84" s="111" cm="1">
        <f t="array" ref="I84">(IF(Inschrijfberekening!C6="Nieuwe Situatie",_xlfn.IFNA(_xlfn.IFS(Inschrijfberekening!E6="Bitumineuze_verhardingen",VLOOKUP(Inschrijf_Fossiele_Energie_Totaal[[#This Row],[Product]]&amp;", "&amp;Inschrijf_Fossiele_Energie_Totaal[[#Headers],[B1]],Database_Productkaarten[#All],50,FALSE)*Inschrijfberekening!K6,Inschrijfberekening!E6="Funderingslagen",VLOOKUP(Inschrijf_Fossiele_Energie_Totaal[[#This Row],[Product]]&amp;", "&amp;Inschrijf_Fossiele_Energie_Totaal[[#Headers],[B1]],Database_Productkaarten[#All],50,FALSE)*Inschrijfberekening!K6,Inschrijfberekening!E6="Grondwerken",VLOOKUP(Inschrijf_Fossiele_Energie_Totaal[[#This Row],[Product]]&amp;", "&amp;Inschrijf_Fossiele_Energie_Totaal[[#Headers],[B1]],Database_Productkaarten[#All],50,FALSE)*Inschrijfberekening!K6,Inschrijfberekening!E6="Categorie_1_LCA_Producten",VLOOKUP(Inschrijf_Fossiele_Energie_Totaal[[#This Row],[Product]],Categorie_1_Producten[#All],29,FALSE)*(Inschrijfberekening!K6)),Referentie_Backlog!D148),0))</f>
        <v>0</v>
      </c>
      <c r="J84" s="173">
        <f>(IF(Inschrijfberekening!C6="Nieuwe Situatie",_xlfn.IFNA(SUM(Inschrijf_Fossiele_Energie_Totaal[[#This Row],[A1]:[B1]],Inschrijf_Fossiele_Energie_Totaal[[#This Row],[C1]:[D2]])*Inschrijfberekening!M6,0),0))</f>
        <v>0</v>
      </c>
      <c r="K84" s="113">
        <f>(IF(Inschrijfberekening!C6="Bestaande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148,IFERROR((VLOOKUP(Inschrijfberekening!R6,Database_Asfalt_Verwijderset[#All],45,FALSE)*Inschrijfberekening!K6),0)+IFERROR((VLOOKUP(Inschrijfberekening!S6,Database_Overig_Materieel[#All],45,FALSE)*(Inschrijfberekening!L6/VLOOKUP(Inschrijfberekening!S6,Database_Overig_Materieel[#All],45,FALSE))),0)),0))</f>
        <v>0</v>
      </c>
      <c r="L84" s="111">
        <f>(IF(Inschrijfberekening!C6="Bestaande Situatie",_xlfn.IFNA(VLOOKUP(Inschrijfberekening!U6,Database_Transport[#All],45,FALSE)*(Inschrijfberekening!K6*Inschrijfberekening!T6),Referentie_Backlog!L148),0))</f>
        <v>0</v>
      </c>
      <c r="M84" s="111">
        <f>(IF(Inschrijfberekening!C6="Bestaande Situatie",_xlfn.IFNA(VLOOKUP(Inschrijfberekening!V6,Database_Asfalt_Verwerkingsset[#All],45,FALSE)*(Inschrijfberekening!K6/VLOOKUP(Inschrijfberekening!V6,Database_Asfalt_Verwerkingsset[#All],45,FALSE)),Referentie_Backlog!M148),0))</f>
        <v>0</v>
      </c>
      <c r="N84" s="111">
        <f>(IF(Inschrijfberekening!C6="Bestaande Situatie",_xlfn.IFNA(VLOOKUP(Inschrijf_Fossiele_Energie_Totaal[[#This Row],[Product]]&amp;", "&amp;Inschrijf_MKI_Totaal[[#Headers],[C4]],Database_Productkaarten[#All],50,FALSE)*Inschrijfberekening!K6,Referentie_Backlog!N148),0))</f>
        <v>0</v>
      </c>
      <c r="O84" s="111" cm="1">
        <f t="array" ref="O84">(IF(Inschrijfberekening!C6="Bestaande Situatie",_xlfn.IFNA((IF(Inschrijfberekening!C6="Nieuwe Situatie",_xlfn.IFS(Inschrijfberekening!E6="Bitumineuze_verhardingen",VLOOKUP(Inschrijf_Fossiele_Energie_Totaal[[#This Row],[Product]]&amp;", "&amp;Inschrijf_Fossiele_Energie_Totaal[[#Headers],[D1]],Database_Productkaarten[#All],50,FALSE)*Inschrijfberekening!K6,Inschrijfberekening!E6="Funderingslagen",VLOOKUP(Inschrijf_Fossiele_Energie_Totaal[[#This Row],[Product]]&amp;", "&amp;Inschrijf_Fossiele_Energie_Totaal[[#Headers],[D1]],Database_Productkaarten[#All],50,FALSE)*Inschrijfberekening!K6,Inschrijfberekening!E6="Grondwerken",VLOOKUP(Inschrijf_Fossiele_Energie_Totaal[[#This Row],[Product]]&amp;", "&amp;Inschrijf_Fossiele_Energie_Totaal[[#Headers],[D1]],Database_Productkaarten[#All],50,FALSE)*Inschrijfberekening!K6,Inschrijfberekening!E6="Categorie_1_LCA_Producten",VLOOKUP(Inschrijf_Fossiele_Energie_Totaal[[#This Row],[Product]],Categorie_1_Producten[#All],30,FALSE)*(Inschrijfberekening!K6)),0)),Referentie_Backlog!P148),0))</f>
        <v>0</v>
      </c>
      <c r="P84" s="114" cm="1">
        <f t="array" ref="P84">(IF(Inschrijfberekening!C6="Bestaande Situatie",_xlfn.IFNA((IF(Inschrijfberekening!C6="Nieuwe Situatie",_xlfn.IFS(Inschrijfberekening!E6="Bitumineuze_verhardingen",VLOOKUP(Inschrijf_Fossiele_Energie_Totaal[[#This Row],[Product]]&amp;", "&amp;Inschrijf_Fossiele_Energie_Totaal[[#Headers],[D2]],Database_Productkaarten[#All],50,FALSE)*Inschrijfberekening!K6,Inschrijfberekening!E6="Funderingslagen",VLOOKUP(Inschrijf_Fossiele_Energie_Totaal[[#This Row],[Product]]&amp;", "&amp;Inschrijf_Fossiele_Energie_Totaal[[#Headers],[D2]],Database_Productkaarten[#All],50,FALSE)*Inschrijfberekening!K6,Inschrijfberekening!E6="Grondwerken",VLOOKUP(Inschrijf_Fossiele_Energie_Totaal[[#This Row],[Product]]&amp;", "&amp;Inschrijf_Fossiele_Energie_Totaal[[#Headers],[D2]],Database_Productkaarten[#All],50,FALSE)*Inschrijfberekening!K6,Inschrijfberekening!E6="Categorie_1_LCA_Producten",VLOOKUP(Inschrijf_Fossiele_Energie_Totaal[[#This Row],[Product]],Categorie_1_Producten[#All],31,FALSE)*(Inschrijfberekening!K6)),0)),Referentie_Backlog!P148),0))</f>
        <v>0</v>
      </c>
      <c r="Q84" s="111">
        <f>SUM(Inschrijf_Fossiele_Energie_Totaal[[#This Row],[A1]:[D2]])</f>
        <v>7885.0962539999991</v>
      </c>
    </row>
    <row r="85" spans="2:17" ht="18" x14ac:dyDescent="0.55000000000000004">
      <c r="B85" s="285">
        <f>Inschrijfberekening!B7</f>
        <v>422510</v>
      </c>
      <c r="C85" s="23" t="str">
        <f>Inschrijfberekening!F7</f>
        <v>AC 11 surf DL-A rood*</v>
      </c>
      <c r="D85" s="111" cm="1">
        <f t="array" ref="D85">(IF(Inschrijfberekening!C7="Nieuwe Situatie",_xlfn.IFNA(_xlfn.IFS(Inschrijfberekening!E7="Bitumineuze_verhardingen",VLOOKUP(Inschrijf_Fossiele_Energie_Totaal[[#This Row],[Product]]&amp;", "&amp;Inschrijf_Fossiele_Energie_Totaal[[#Headers],[A1]],Database_Productkaarten[#All],50,FALSE)*Inschrijfberekening!K7,Inschrijfberekening!E7="Funderingslagen",VLOOKUP(Inschrijf_Fossiele_Energie_Totaal[[#This Row],[Product]]&amp;", "&amp;Inschrijf_Fossiele_Energie_Totaal[[#Headers],[A1]],Database_Productkaarten[#All],22,FALSE)*Inschrijfberekening!K7,Inschrijfberekening!E7="Grondwerken",VLOOKUP(Inschrijf_Fossiele_Energie_Totaal[[#This Row],[Product]]&amp;", "&amp;Inschrijf_Fossiele_Energie_Totaal[[#Headers],[A1]],Database_Productkaarten[#All],22,FALSE)*Inschrijfberekening!K7,Inschrijfberekening!E7="Categorie_1_LCA_Producten",VLOOKUP(Inschrijf_Fossiele_Energie_Totaal[[#This Row],[Product]],Categorie_1_Producten[#All],26,FALSE)*(Inschrijfberekening!K7)),Referentie_Backlog!D165),0))</f>
        <v>33058.611734187005</v>
      </c>
      <c r="E85" s="111" cm="1">
        <f t="array" ref="E85">(IF(Inschrijfberekening!C7="Nieuwe Situatie",_xlfn.IFNA(_xlfn.IFS(Inschrijfberekening!E7="Bitumineuze_verhardingen",VLOOKUP(Inschrijf_Fossiele_Energie_Totaal[[#This Row],[Product]]&amp;", "&amp;Inschrijf_Fossiele_Energie_Totaal[[#Headers],[A2]],Database_Productkaarten[#All],50,FALSE)*Inschrijfberekening!K7,Inschrijfberekening!E7="Funderingslagen",VLOOKUP(Inschrijf_Fossiele_Energie_Totaal[[#This Row],[Product]]&amp;", "&amp;Inschrijf_Fossiele_Energie_Totaal[[#Headers],[A2]],Database_Productkaarten[#All],50,FALSE)*Inschrijfberekening!K7,Inschrijfberekening!E7="Grondwerken",VLOOKUP(Inschrijf_Fossiele_Energie_Totaal[[#This Row],[Product]]&amp;", "&amp;Inschrijf_Fossiele_Energie_Totaal[[#Headers],[A2]],Database_Productkaarten[#All],50,FALSE)*Inschrijfberekening!K7,Inschrijfberekening!E7="Categorie_1_LCA_Producten",VLOOKUP(Inschrijf_Fossiele_Energie_Totaal[[#This Row],[Product]],Categorie_1_Producten[#All],27,FALSE)*(Inschrijfberekening!K7)),Referentie_Backlog!D165),0))</f>
        <v>2754.710936326976</v>
      </c>
      <c r="F85" s="111" cm="1">
        <f t="array" ref="F85">(IF(Inschrijfberekening!C7="Nieuwe Situatie",_xlfn.IFNA(_xlfn.IFS(Inschrijfberekening!E7="Bitumineuze_verhardingen",VLOOKUP(Inschrijf_Fossiele_Energie_Totaal[[#This Row],[Product]]&amp;", "&amp;Inschrijf_Fossiele_Energie_Totaal[[#Headers],[A3]],Database_Productkaarten[#All],50,FALSE)*Inschrijfberekening!K7,Inschrijfberekening!E7="Funderingslagen",VLOOKUP(Inschrijf_Fossiele_Energie_Totaal[[#This Row],[Product]]&amp;", "&amp;Inschrijf_Fossiele_Energie_Totaal[[#Headers],[A3]],Database_Productkaarten[#All],50,FALSE)*Inschrijfberekening!K7,Inschrijfberekening!E7="Grondwerken",VLOOKUP(Inschrijf_Fossiele_Energie_Totaal[[#This Row],[Product]]&amp;", "&amp;Inschrijf_Fossiele_Energie_Totaal[[#Headers],[A3]],Database_Productkaarten[#All],50,FALSE)*Inschrijfberekening!K7,Inschrijfberekening!E7="Categorie_1_LCA_Producten",VLOOKUP(Inschrijf_Fossiele_Energie_Totaal[[#This Row],[Product]],Categorie_1_Producten[#All],28,FALSE)*(Inschrijfberekening!K7)),Referentie_Backlog!D165),0))</f>
        <v>4080.3379517345074</v>
      </c>
      <c r="G85" s="111">
        <f>(IF(Inschrijfberekening!C7="Nieuwe Situatie",_xlfn.IFNA(VLOOKUP(Inschrijfberekening!K39,Database_Transport[#All],45,FALSE)*(Inschrijfberekening!K7*Inschrijfberekening!N7),Referentie_Backlog!G165),0))</f>
        <v>0</v>
      </c>
      <c r="H85" s="112">
        <f>_xlfn.IFNA((IF(Inschrijfberekening!C7="Nieuwe Situatie",(VLOOKUP(Inschrijfberekening!P7,Database_Asfalt_Aanlegset[#All],45,FALSE)*Inschrijfberekening!K7)+IFERROR(((VLOOKUP(Inschrijfberekening!Q7,Database_Overig_Materieel[#All],45,FALSE)*(Inschrijfberekening!L7/VLOOKUP(Inschrijfberekening!Q7,Database_Overig_Materieel[#All],45,FALSE)))),0),0)),Referentie_Backlog!H165)</f>
        <v>195.44688094680848</v>
      </c>
      <c r="I85" s="111" cm="1">
        <f t="array" ref="I85">(IF(Inschrijfberekening!C7="Nieuwe Situatie",_xlfn.IFNA(_xlfn.IFS(Inschrijfberekening!E7="Bitumineuze_verhardingen",VLOOKUP(Inschrijf_Fossiele_Energie_Totaal[[#This Row],[Product]]&amp;", "&amp;Inschrijf_Fossiele_Energie_Totaal[[#Headers],[B1]],Database_Productkaarten[#All],50,FALSE)*Inschrijfberekening!K7,Inschrijfberekening!E7="Funderingslagen",VLOOKUP(Inschrijf_Fossiele_Energie_Totaal[[#This Row],[Product]]&amp;", "&amp;Inschrijf_Fossiele_Energie_Totaal[[#Headers],[B1]],Database_Productkaarten[#All],50,FALSE)*Inschrijfberekening!K7,Inschrijfberekening!E7="Grondwerken",VLOOKUP(Inschrijf_Fossiele_Energie_Totaal[[#This Row],[Product]]&amp;", "&amp;Inschrijf_Fossiele_Energie_Totaal[[#Headers],[B1]],Database_Productkaarten[#All],50,FALSE)*Inschrijfberekening!K7,Inschrijfberekening!E7="Categorie_1_LCA_Producten",VLOOKUP(Inschrijf_Fossiele_Energie_Totaal[[#This Row],[Product]],Categorie_1_Producten[#All],29,FALSE)*(Inschrijfberekening!K7)),Referentie_Backlog!D165),0))</f>
        <v>0</v>
      </c>
      <c r="J85" s="173">
        <f>(IF(Inschrijfberekening!C7="Nieuwe Situatie",_xlfn.IFNA(SUM(Inschrijf_Fossiele_Energie_Totaal[[#This Row],[A1]:[B1]],Inschrijf_Fossiele_Energie_Totaal[[#This Row],[C1]:[D2]])*Inschrijfberekening!M7,0),0))</f>
        <v>0</v>
      </c>
      <c r="K85" s="113">
        <f>(IF(Inschrijfberekening!C7="Bestaande Situatie",IF(IFERROR((VLOOKUP(Inschrijfberekening!R7,Database_Asfalt_Verwijderset[#All],45,FALSE)*Inschrijfberekening!K7),0)+IFERROR((VLOOKUP(Inschrijfberekening!S7,Database_Overig_Materieel[#All],45,FALSE)*(Inschrijfberekening!L7/VLOOKUP(Inschrijfberekening!S7,Database_Overig_Materieel[#All],45,FALSE))),0)=0,Referentie_Backlog!K165,IFERROR((VLOOKUP(Inschrijfberekening!R7,Database_Asfalt_Verwijderset[#All],45,FALSE)*Inschrijfberekening!K7),0)+IFERROR((VLOOKUP(Inschrijfberekening!S7,Database_Overig_Materieel[#All],45,FALSE)*(Inschrijfberekening!L7/VLOOKUP(Inschrijfberekening!S7,Database_Overig_Materieel[#All],45,FALSE))),0)),0))</f>
        <v>0</v>
      </c>
      <c r="L85" s="111">
        <f>(IF(Inschrijfberekening!C7="Bestaande Situatie",_xlfn.IFNA(VLOOKUP(Inschrijfberekening!U7,Database_Transport[#All],45,FALSE)*(Inschrijfberekening!K7*Inschrijfberekening!T7),Referentie_Backlog!L165),0))</f>
        <v>0</v>
      </c>
      <c r="M85" s="111">
        <f>(IF(Inschrijfberekening!C7="Bestaande Situatie",_xlfn.IFNA(VLOOKUP(Inschrijfberekening!V7,Database_Asfalt_Verwerkingsset[#All],45,FALSE)*(Inschrijfberekening!K7/VLOOKUP(Inschrijfberekening!V7,Database_Asfalt_Verwerkingsset[#All],45,FALSE)),Referentie_Backlog!M165),0))</f>
        <v>0</v>
      </c>
      <c r="N85" s="111">
        <f>(IF(Inschrijfberekening!C7="Bestaande Situatie",_xlfn.IFNA(VLOOKUP(Inschrijf_Fossiele_Energie_Totaal[[#This Row],[Product]]&amp;", "&amp;Inschrijf_MKI_Totaal[[#Headers],[C4]],Database_Productkaarten[#All],50,FALSE)*Inschrijfberekening!K7,Referentie_Backlog!N165),0))</f>
        <v>0</v>
      </c>
      <c r="O85" s="111" cm="1">
        <f t="array" ref="O85">(IF(Inschrijfberekening!C7="Bestaande Situatie",_xlfn.IFNA((IF(Inschrijfberekening!C7="Nieuwe Situatie",_xlfn.IFS(Inschrijfberekening!E7="Bitumineuze_verhardingen",VLOOKUP(Inschrijf_Fossiele_Energie_Totaal[[#This Row],[Product]]&amp;", "&amp;Inschrijf_Fossiele_Energie_Totaal[[#Headers],[D1]],Database_Productkaarten[#All],50,FALSE)*Inschrijfberekening!K7,Inschrijfberekening!E7="Funderingslagen",VLOOKUP(Inschrijf_Fossiele_Energie_Totaal[[#This Row],[Product]]&amp;", "&amp;Inschrijf_Fossiele_Energie_Totaal[[#Headers],[D1]],Database_Productkaarten[#All],50,FALSE)*Inschrijfberekening!K7,Inschrijfberekening!E7="Grondwerken",VLOOKUP(Inschrijf_Fossiele_Energie_Totaal[[#This Row],[Product]]&amp;", "&amp;Inschrijf_Fossiele_Energie_Totaal[[#Headers],[D1]],Database_Productkaarten[#All],50,FALSE)*Inschrijfberekening!K7,Inschrijfberekening!E7="Categorie_1_LCA_Producten",VLOOKUP(Inschrijf_Fossiele_Energie_Totaal[[#This Row],[Product]],Categorie_1_Producten[#All],30,FALSE)*(Inschrijfberekening!K7)),0)),Referentie_Backlog!P165),0))</f>
        <v>0</v>
      </c>
      <c r="P85" s="114" cm="1">
        <f t="array" ref="P85">(IF(Inschrijfberekening!C7="Bestaande Situatie",_xlfn.IFNA((IF(Inschrijfberekening!C7="Nieuwe Situatie",_xlfn.IFS(Inschrijfberekening!E7="Bitumineuze_verhardingen",VLOOKUP(Inschrijf_Fossiele_Energie_Totaal[[#This Row],[Product]]&amp;", "&amp;Inschrijf_Fossiele_Energie_Totaal[[#Headers],[D2]],Database_Productkaarten[#All],50,FALSE)*Inschrijfberekening!K7,Inschrijfberekening!E7="Funderingslagen",VLOOKUP(Inschrijf_Fossiele_Energie_Totaal[[#This Row],[Product]]&amp;", "&amp;Inschrijf_Fossiele_Energie_Totaal[[#Headers],[D2]],Database_Productkaarten[#All],50,FALSE)*Inschrijfberekening!K7,Inschrijfberekening!E7="Grondwerken",VLOOKUP(Inschrijf_Fossiele_Energie_Totaal[[#This Row],[Product]]&amp;", "&amp;Inschrijf_Fossiele_Energie_Totaal[[#Headers],[D2]],Database_Productkaarten[#All],50,FALSE)*Inschrijfberekening!K7,Inschrijfberekening!E7="Categorie_1_LCA_Producten",VLOOKUP(Inschrijf_Fossiele_Energie_Totaal[[#This Row],[Product]],Categorie_1_Producten[#All],31,FALSE)*(Inschrijfberekening!K7)),0)),Referentie_Backlog!P165),0))</f>
        <v>0</v>
      </c>
      <c r="Q85" s="111">
        <f>SUM(Inschrijf_Fossiele_Energie_Totaal[[#This Row],[A1]:[D2]])</f>
        <v>40089.107503195301</v>
      </c>
    </row>
    <row r="86" spans="2:17" ht="18" x14ac:dyDescent="0.55000000000000004">
      <c r="B86" s="285">
        <f>Inschrijfberekening!B8</f>
        <v>422520</v>
      </c>
      <c r="C86" s="23" t="str">
        <f>Inschrijfberekening!F8</f>
        <v>88405-TB - SMA-NL 11B 40/60 Bestone</v>
      </c>
      <c r="D86" s="111" cm="1">
        <f t="array" ref="D86">(IF(Inschrijfberekening!C8="Nieuwe Situatie",_xlfn.IFNA(_xlfn.IFS(Inschrijfberekening!E8="Bitumineuze_verhardingen",VLOOKUP(Inschrijf_Fossiele_Energie_Totaal[[#This Row],[Product]]&amp;", "&amp;Inschrijf_Fossiele_Energie_Totaal[[#Headers],[A1]],Database_Productkaarten[#All],50,FALSE)*Inschrijfberekening!K8,Inschrijfberekening!E8="Funderingslagen",VLOOKUP(Inschrijf_Fossiele_Energie_Totaal[[#This Row],[Product]]&amp;", "&amp;Inschrijf_Fossiele_Energie_Totaal[[#Headers],[A1]],Database_Productkaarten[#All],22,FALSE)*Inschrijfberekening!K8,Inschrijfberekening!E8="Grondwerken",VLOOKUP(Inschrijf_Fossiele_Energie_Totaal[[#This Row],[Product]]&amp;", "&amp;Inschrijf_Fossiele_Energie_Totaal[[#Headers],[A1]],Database_Productkaarten[#All],22,FALSE)*Inschrijfberekening!K8,Inschrijfberekening!E8="Categorie_1_LCA_Producten",VLOOKUP(Inschrijf_Fossiele_Energie_Totaal[[#This Row],[Product]],Categorie_1_Producten[#All],26,FALSE)*(Inschrijfberekening!K8)),Referentie_Backlog!D166),0))</f>
        <v>0</v>
      </c>
      <c r="E86" s="111" cm="1">
        <f t="array" ref="E86">(IF(Inschrijfberekening!C8="Nieuwe Situatie",_xlfn.IFNA(_xlfn.IFS(Inschrijfberekening!E8="Bitumineuze_verhardingen",VLOOKUP(Inschrijf_Fossiele_Energie_Totaal[[#This Row],[Product]]&amp;", "&amp;Inschrijf_Fossiele_Energie_Totaal[[#Headers],[A2]],Database_Productkaarten[#All],50,FALSE)*Inschrijfberekening!K8,Inschrijfberekening!E8="Funderingslagen",VLOOKUP(Inschrijf_Fossiele_Energie_Totaal[[#This Row],[Product]]&amp;", "&amp;Inschrijf_Fossiele_Energie_Totaal[[#Headers],[A2]],Database_Productkaarten[#All],50,FALSE)*Inschrijfberekening!K8,Inschrijfberekening!E8="Grondwerken",VLOOKUP(Inschrijf_Fossiele_Energie_Totaal[[#This Row],[Product]]&amp;", "&amp;Inschrijf_Fossiele_Energie_Totaal[[#Headers],[A2]],Database_Productkaarten[#All],50,FALSE)*Inschrijfberekening!K8,Inschrijfberekening!E8="Categorie_1_LCA_Producten",VLOOKUP(Inschrijf_Fossiele_Energie_Totaal[[#This Row],[Product]],Categorie_1_Producten[#All],27,FALSE)*(Inschrijfberekening!K8)),Referentie_Backlog!D166),0))</f>
        <v>0</v>
      </c>
      <c r="F86" s="111" cm="1">
        <f t="array" ref="F86">(IF(Inschrijfberekening!C8="Nieuwe Situatie",_xlfn.IFNA(_xlfn.IFS(Inschrijfberekening!E8="Bitumineuze_verhardingen",VLOOKUP(Inschrijf_Fossiele_Energie_Totaal[[#This Row],[Product]]&amp;", "&amp;Inschrijf_Fossiele_Energie_Totaal[[#Headers],[A3]],Database_Productkaarten[#All],50,FALSE)*Inschrijfberekening!K8,Inschrijfberekening!E8="Funderingslagen",VLOOKUP(Inschrijf_Fossiele_Energie_Totaal[[#This Row],[Product]]&amp;", "&amp;Inschrijf_Fossiele_Energie_Totaal[[#Headers],[A3]],Database_Productkaarten[#All],50,FALSE)*Inschrijfberekening!K8,Inschrijfberekening!E8="Grondwerken",VLOOKUP(Inschrijf_Fossiele_Energie_Totaal[[#This Row],[Product]]&amp;", "&amp;Inschrijf_Fossiele_Energie_Totaal[[#Headers],[A3]],Database_Productkaarten[#All],50,FALSE)*Inschrijfberekening!K8,Inschrijfberekening!E8="Categorie_1_LCA_Producten",VLOOKUP(Inschrijf_Fossiele_Energie_Totaal[[#This Row],[Product]],Categorie_1_Producten[#All],28,FALSE)*(Inschrijfberekening!K8)),Referentie_Backlog!D166),0))</f>
        <v>0</v>
      </c>
      <c r="G86" s="111">
        <f>(IF(Inschrijfberekening!C8="Nieuwe Situatie",_xlfn.IFNA(VLOOKUP(Inschrijfberekening!K40,Database_Transport[#All],45,FALSE)*(Inschrijfberekening!K8*Inschrijfberekening!N8),Referentie_Backlog!G166),0))</f>
        <v>0</v>
      </c>
      <c r="H86" s="112">
        <f>_xlfn.IFNA((IF(Inschrijfberekening!C8="Nieuwe Situatie",(VLOOKUP(Inschrijfberekening!P8,Database_Asfalt_Aanlegset[#All],45,FALSE)*Inschrijfberekening!K8)+IFERROR(((VLOOKUP(Inschrijfberekening!Q8,Database_Overig_Materieel[#All],45,FALSE)*(Inschrijfberekening!L8/VLOOKUP(Inschrijfberekening!Q8,Database_Overig_Materieel[#All],45,FALSE)))),0),0)),Referentie_Backlog!H166)</f>
        <v>50393.472299999994</v>
      </c>
      <c r="I86" s="111" cm="1">
        <f t="array" ref="I86">(IF(Inschrijfberekening!C8="Nieuwe Situatie",_xlfn.IFNA(_xlfn.IFS(Inschrijfberekening!E8="Bitumineuze_verhardingen",VLOOKUP(Inschrijf_Fossiele_Energie_Totaal[[#This Row],[Product]]&amp;", "&amp;Inschrijf_Fossiele_Energie_Totaal[[#Headers],[B1]],Database_Productkaarten[#All],50,FALSE)*Inschrijfberekening!K8,Inschrijfberekening!E8="Funderingslagen",VLOOKUP(Inschrijf_Fossiele_Energie_Totaal[[#This Row],[Product]]&amp;", "&amp;Inschrijf_Fossiele_Energie_Totaal[[#Headers],[B1]],Database_Productkaarten[#All],50,FALSE)*Inschrijfberekening!K8,Inschrijfberekening!E8="Grondwerken",VLOOKUP(Inschrijf_Fossiele_Energie_Totaal[[#This Row],[Product]]&amp;", "&amp;Inschrijf_Fossiele_Energie_Totaal[[#Headers],[B1]],Database_Productkaarten[#All],50,FALSE)*Inschrijfberekening!K8,Inschrijfberekening!E8="Categorie_1_LCA_Producten",VLOOKUP(Inschrijf_Fossiele_Energie_Totaal[[#This Row],[Product]],Categorie_1_Producten[#All],29,FALSE)*(Inschrijfberekening!K8)),Referentie_Backlog!D166),0))</f>
        <v>0</v>
      </c>
      <c r="J86" s="173">
        <f>(IF(Inschrijfberekening!C8="Nieuwe Situatie",_xlfn.IFNA(SUM(Inschrijf_Fossiele_Energie_Totaal[[#This Row],[A1]:[B1]],Inschrijf_Fossiele_Energie_Totaal[[#This Row],[C1]:[D2]])*Inschrijfberekening!M8,0),0))</f>
        <v>0</v>
      </c>
      <c r="K86" s="113">
        <f>(IF(Inschrijfberekening!C8="Bestaande Situatie",IF(IFERROR((VLOOKUP(Inschrijfberekening!R8,Database_Asfalt_Verwijderset[#All],45,FALSE)*Inschrijfberekening!K8),0)+IFERROR((VLOOKUP(Inschrijfberekening!S8,Database_Overig_Materieel[#All],45,FALSE)*(Inschrijfberekening!L8/VLOOKUP(Inschrijfberekening!S8,Database_Overig_Materieel[#All],45,FALSE))),0)=0,Referentie_Backlog!K166,IFERROR((VLOOKUP(Inschrijfberekening!R8,Database_Asfalt_Verwijderset[#All],45,FALSE)*Inschrijfberekening!K8),0)+IFERROR((VLOOKUP(Inschrijfberekening!S8,Database_Overig_Materieel[#All],45,FALSE)*(Inschrijfberekening!L8/VLOOKUP(Inschrijfberekening!S8,Database_Overig_Materieel[#All],45,FALSE))),0)),0))</f>
        <v>0</v>
      </c>
      <c r="L86" s="111">
        <f>(IF(Inschrijfberekening!C8="Bestaande Situatie",_xlfn.IFNA(VLOOKUP(Inschrijfberekening!U8,Database_Transport[#All],45,FALSE)*(Inschrijfberekening!K8*Inschrijfberekening!T8),Referentie_Backlog!L166),0))</f>
        <v>0</v>
      </c>
      <c r="M86" s="111">
        <f>(IF(Inschrijfberekening!C8="Bestaande Situatie",_xlfn.IFNA(VLOOKUP(Inschrijfberekening!V8,Database_Asfalt_Verwerkingsset[#All],45,FALSE)*(Inschrijfberekening!K8/VLOOKUP(Inschrijfberekening!V8,Database_Asfalt_Verwerkingsset[#All],45,FALSE)),Referentie_Backlog!M166),0))</f>
        <v>0</v>
      </c>
      <c r="N86" s="111">
        <f>(IF(Inschrijfberekening!C8="Bestaande Situatie",_xlfn.IFNA(VLOOKUP(Inschrijf_Fossiele_Energie_Totaal[[#This Row],[Product]]&amp;", "&amp;Inschrijf_MKI_Totaal[[#Headers],[C4]],Database_Productkaarten[#All],50,FALSE)*Inschrijfberekening!K8,Referentie_Backlog!N166),0))</f>
        <v>0</v>
      </c>
      <c r="O86" s="111" cm="1">
        <f t="array" ref="O86">(IF(Inschrijfberekening!C8="Bestaande Situatie",_xlfn.IFNA((IF(Inschrijfberekening!C8="Nieuwe Situatie",_xlfn.IFS(Inschrijfberekening!E8="Bitumineuze_verhardingen",VLOOKUP(Inschrijf_Fossiele_Energie_Totaal[[#This Row],[Product]]&amp;", "&amp;Inschrijf_Fossiele_Energie_Totaal[[#Headers],[D1]],Database_Productkaarten[#All],50,FALSE)*Inschrijfberekening!K8,Inschrijfberekening!E8="Funderingslagen",VLOOKUP(Inschrijf_Fossiele_Energie_Totaal[[#This Row],[Product]]&amp;", "&amp;Inschrijf_Fossiele_Energie_Totaal[[#Headers],[D1]],Database_Productkaarten[#All],50,FALSE)*Inschrijfberekening!K8,Inschrijfberekening!E8="Grondwerken",VLOOKUP(Inschrijf_Fossiele_Energie_Totaal[[#This Row],[Product]]&amp;", "&amp;Inschrijf_Fossiele_Energie_Totaal[[#Headers],[D1]],Database_Productkaarten[#All],50,FALSE)*Inschrijfberekening!K8,Inschrijfberekening!E8="Categorie_1_LCA_Producten",VLOOKUP(Inschrijf_Fossiele_Energie_Totaal[[#This Row],[Product]],Categorie_1_Producten[#All],30,FALSE)*(Inschrijfberekening!K8)),0)),Referentie_Backlog!P166),0))</f>
        <v>0</v>
      </c>
      <c r="P86" s="114" cm="1">
        <f t="array" ref="P86">(IF(Inschrijfberekening!C8="Bestaande Situatie",_xlfn.IFNA((IF(Inschrijfberekening!C8="Nieuwe Situatie",_xlfn.IFS(Inschrijfberekening!E8="Bitumineuze_verhardingen",VLOOKUP(Inschrijf_Fossiele_Energie_Totaal[[#This Row],[Product]]&amp;", "&amp;Inschrijf_Fossiele_Energie_Totaal[[#Headers],[D2]],Database_Productkaarten[#All],50,FALSE)*Inschrijfberekening!K8,Inschrijfberekening!E8="Funderingslagen",VLOOKUP(Inschrijf_Fossiele_Energie_Totaal[[#This Row],[Product]]&amp;", "&amp;Inschrijf_Fossiele_Energie_Totaal[[#Headers],[D2]],Database_Productkaarten[#All],50,FALSE)*Inschrijfberekening!K8,Inschrijfberekening!E8="Grondwerken",VLOOKUP(Inschrijf_Fossiele_Energie_Totaal[[#This Row],[Product]]&amp;", "&amp;Inschrijf_Fossiele_Energie_Totaal[[#Headers],[D2]],Database_Productkaarten[#All],50,FALSE)*Inschrijfberekening!K8,Inschrijfberekening!E8="Categorie_1_LCA_Producten",VLOOKUP(Inschrijf_Fossiele_Energie_Totaal[[#This Row],[Product]],Categorie_1_Producten[#All],31,FALSE)*(Inschrijfberekening!K8)),0)),Referentie_Backlog!P166),0))</f>
        <v>0</v>
      </c>
      <c r="Q86" s="111">
        <f>SUM(Inschrijf_Fossiele_Energie_Totaal[[#This Row],[A1]:[D2]])</f>
        <v>50393.472299999994</v>
      </c>
    </row>
    <row r="87" spans="2:17" ht="18" x14ac:dyDescent="0.55000000000000004">
      <c r="B87" s="285">
        <f>Inschrijfberekening!B9</f>
        <v>601230</v>
      </c>
      <c r="C87" s="23" t="str">
        <f>Inschrijfberekening!F9</f>
        <v>20060-TB - AC 22 Bin/Base 35/50 60% PR Bestone</v>
      </c>
      <c r="D87" s="111" cm="1">
        <f t="array" ref="D87">(IF(Inschrijfberekening!C9="Nieuwe Situatie",_xlfn.IFNA(_xlfn.IFS(Inschrijfberekening!E9="Bitumineuze_verhardingen",VLOOKUP(Inschrijf_Fossiele_Energie_Totaal[[#This Row],[Product]]&amp;", "&amp;Inschrijf_Fossiele_Energie_Totaal[[#Headers],[A1]],Database_Productkaarten[#All],50,FALSE)*Inschrijfberekening!K9,Inschrijfberekening!E9="Funderingslagen",VLOOKUP(Inschrijf_Fossiele_Energie_Totaal[[#This Row],[Product]]&amp;", "&amp;Inschrijf_Fossiele_Energie_Totaal[[#Headers],[A1]],Database_Productkaarten[#All],22,FALSE)*Inschrijfberekening!K9,Inschrijfberekening!E9="Grondwerken",VLOOKUP(Inschrijf_Fossiele_Energie_Totaal[[#This Row],[Product]]&amp;", "&amp;Inschrijf_Fossiele_Energie_Totaal[[#Headers],[A1]],Database_Productkaarten[#All],22,FALSE)*Inschrijfberekening!K9,Inschrijfberekening!E9="Categorie_1_LCA_Producten",VLOOKUP(Inschrijf_Fossiele_Energie_Totaal[[#This Row],[Product]],Categorie_1_Producten[#All],26,FALSE)*(Inschrijfberekening!K9)),Referentie_Backlog!D167),0))</f>
        <v>0</v>
      </c>
      <c r="E87" s="111" cm="1">
        <f t="array" ref="E87">(IF(Inschrijfberekening!C9="Nieuwe Situatie",_xlfn.IFNA(_xlfn.IFS(Inschrijfberekening!E9="Bitumineuze_verhardingen",VLOOKUP(Inschrijf_Fossiele_Energie_Totaal[[#This Row],[Product]]&amp;", "&amp;Inschrijf_Fossiele_Energie_Totaal[[#Headers],[A2]],Database_Productkaarten[#All],50,FALSE)*Inschrijfberekening!K9,Inschrijfberekening!E9="Funderingslagen",VLOOKUP(Inschrijf_Fossiele_Energie_Totaal[[#This Row],[Product]]&amp;", "&amp;Inschrijf_Fossiele_Energie_Totaal[[#Headers],[A2]],Database_Productkaarten[#All],50,FALSE)*Inschrijfberekening!K9,Inschrijfberekening!E9="Grondwerken",VLOOKUP(Inschrijf_Fossiele_Energie_Totaal[[#This Row],[Product]]&amp;", "&amp;Inschrijf_Fossiele_Energie_Totaal[[#Headers],[A2]],Database_Productkaarten[#All],50,FALSE)*Inschrijfberekening!K9,Inschrijfberekening!E9="Categorie_1_LCA_Producten",VLOOKUP(Inschrijf_Fossiele_Energie_Totaal[[#This Row],[Product]],Categorie_1_Producten[#All],27,FALSE)*(Inschrijfberekening!K9)),Referentie_Backlog!D167),0))</f>
        <v>0</v>
      </c>
      <c r="F87" s="111" cm="1">
        <f t="array" ref="F87">(IF(Inschrijfberekening!C9="Nieuwe Situatie",_xlfn.IFNA(_xlfn.IFS(Inschrijfberekening!E9="Bitumineuze_verhardingen",VLOOKUP(Inschrijf_Fossiele_Energie_Totaal[[#This Row],[Product]]&amp;", "&amp;Inschrijf_Fossiele_Energie_Totaal[[#Headers],[A3]],Database_Productkaarten[#All],50,FALSE)*Inschrijfberekening!K9,Inschrijfberekening!E9="Funderingslagen",VLOOKUP(Inschrijf_Fossiele_Energie_Totaal[[#This Row],[Product]]&amp;", "&amp;Inschrijf_Fossiele_Energie_Totaal[[#Headers],[A3]],Database_Productkaarten[#All],50,FALSE)*Inschrijfberekening!K9,Inschrijfberekening!E9="Grondwerken",VLOOKUP(Inschrijf_Fossiele_Energie_Totaal[[#This Row],[Product]]&amp;", "&amp;Inschrijf_Fossiele_Energie_Totaal[[#Headers],[A3]],Database_Productkaarten[#All],50,FALSE)*Inschrijfberekening!K9,Inschrijfberekening!E9="Categorie_1_LCA_Producten",VLOOKUP(Inschrijf_Fossiele_Energie_Totaal[[#This Row],[Product]],Categorie_1_Producten[#All],28,FALSE)*(Inschrijfberekening!K9)),Referentie_Backlog!D167),0))</f>
        <v>0</v>
      </c>
      <c r="G87" s="111">
        <f>(IF(Inschrijfberekening!C9="Nieuwe Situatie",_xlfn.IFNA(VLOOKUP(Inschrijfberekening!K41,Database_Transport[#All],45,FALSE)*(Inschrijfberekening!K9*Inschrijfberekening!N9),Referentie_Backlog!G167),0))</f>
        <v>0</v>
      </c>
      <c r="H87" s="112">
        <f>_xlfn.IFNA((IF(Inschrijfberekening!C9="Nieuwe Situatie",(VLOOKUP(Inschrijfberekening!P9,Database_Asfalt_Aanlegset[#All],45,FALSE)*Inschrijfberekening!K9)+IFERROR(((VLOOKUP(Inschrijfberekening!Q9,Database_Overig_Materieel[#All],45,FALSE)*(Inschrijfberekening!L9/VLOOKUP(Inschrijfberekening!Q9,Database_Overig_Materieel[#All],45,FALSE)))),0),0)),Referentie_Backlog!H167)</f>
        <v>38.5361847</v>
      </c>
      <c r="I87" s="111" cm="1">
        <f t="array" ref="I87">(IF(Inschrijfberekening!C9="Nieuwe Situatie",_xlfn.IFNA(_xlfn.IFS(Inschrijfberekening!E9="Bitumineuze_verhardingen",VLOOKUP(Inschrijf_Fossiele_Energie_Totaal[[#This Row],[Product]]&amp;", "&amp;Inschrijf_Fossiele_Energie_Totaal[[#Headers],[B1]],Database_Productkaarten[#All],50,FALSE)*Inschrijfberekening!K9,Inschrijfberekening!E9="Funderingslagen",VLOOKUP(Inschrijf_Fossiele_Energie_Totaal[[#This Row],[Product]]&amp;", "&amp;Inschrijf_Fossiele_Energie_Totaal[[#Headers],[B1]],Database_Productkaarten[#All],50,FALSE)*Inschrijfberekening!K9,Inschrijfberekening!E9="Grondwerken",VLOOKUP(Inschrijf_Fossiele_Energie_Totaal[[#This Row],[Product]]&amp;", "&amp;Inschrijf_Fossiele_Energie_Totaal[[#Headers],[B1]],Database_Productkaarten[#All],50,FALSE)*Inschrijfberekening!K9,Inschrijfberekening!E9="Categorie_1_LCA_Producten",VLOOKUP(Inschrijf_Fossiele_Energie_Totaal[[#This Row],[Product]],Categorie_1_Producten[#All],29,FALSE)*(Inschrijfberekening!K9)),Referentie_Backlog!D167),0))</f>
        <v>0</v>
      </c>
      <c r="J87" s="173">
        <f>(IF(Inschrijfberekening!C9="Nieuwe Situatie",_xlfn.IFNA(SUM(Inschrijf_Fossiele_Energie_Totaal[[#This Row],[A1]:[B1]],Inschrijf_Fossiele_Energie_Totaal[[#This Row],[C1]:[D2]])*Inschrijfberekening!M9,0),0))</f>
        <v>0</v>
      </c>
      <c r="K87" s="113">
        <f>(IF(Inschrijfberekening!C9="Bestaande Situatie",IF(IFERROR((VLOOKUP(Inschrijfberekening!R9,Database_Asfalt_Verwijderset[#All],45,FALSE)*Inschrijfberekening!K9),0)+IFERROR((VLOOKUP(Inschrijfberekening!S9,Database_Overig_Materieel[#All],45,FALSE)*(Inschrijfberekening!L9/VLOOKUP(Inschrijfberekening!S9,Database_Overig_Materieel[#All],45,FALSE))),0)=0,Referentie_Backlog!K167,IFERROR((VLOOKUP(Inschrijfberekening!R9,Database_Asfalt_Verwijderset[#All],45,FALSE)*Inschrijfberekening!K9),0)+IFERROR((VLOOKUP(Inschrijfberekening!S9,Database_Overig_Materieel[#All],45,FALSE)*(Inschrijfberekening!L9/VLOOKUP(Inschrijfberekening!S9,Database_Overig_Materieel[#All],45,FALSE))),0)),0))</f>
        <v>0</v>
      </c>
      <c r="L87" s="111">
        <f>(IF(Inschrijfberekening!C9="Bestaande Situatie",_xlfn.IFNA(VLOOKUP(Inschrijfberekening!U9,Database_Transport[#All],45,FALSE)*(Inschrijfberekening!K9*Inschrijfberekening!T9),Referentie_Backlog!L167),0))</f>
        <v>0</v>
      </c>
      <c r="M87" s="111">
        <f>(IF(Inschrijfberekening!C9="Bestaande Situatie",_xlfn.IFNA(VLOOKUP(Inschrijfberekening!V9,Database_Asfalt_Verwerkingsset[#All],45,FALSE)*(Inschrijfberekening!K9/VLOOKUP(Inschrijfberekening!V9,Database_Asfalt_Verwerkingsset[#All],45,FALSE)),Referentie_Backlog!M167),0))</f>
        <v>0</v>
      </c>
      <c r="N87" s="111">
        <f>(IF(Inschrijfberekening!C9="Bestaande Situatie",_xlfn.IFNA(VLOOKUP(Inschrijf_Fossiele_Energie_Totaal[[#This Row],[Product]]&amp;", "&amp;Inschrijf_MKI_Totaal[[#Headers],[C4]],Database_Productkaarten[#All],50,FALSE)*Inschrijfberekening!K9,Referentie_Backlog!N167),0))</f>
        <v>0</v>
      </c>
      <c r="O87" s="111" cm="1">
        <f t="array" ref="O87">(IF(Inschrijfberekening!C9="Bestaande Situatie",_xlfn.IFNA((IF(Inschrijfberekening!C9="Nieuwe Situatie",_xlfn.IFS(Inschrijfberekening!E9="Bitumineuze_verhardingen",VLOOKUP(Inschrijf_Fossiele_Energie_Totaal[[#This Row],[Product]]&amp;", "&amp;Inschrijf_Fossiele_Energie_Totaal[[#Headers],[D1]],Database_Productkaarten[#All],50,FALSE)*Inschrijfberekening!K9,Inschrijfberekening!E9="Funderingslagen",VLOOKUP(Inschrijf_Fossiele_Energie_Totaal[[#This Row],[Product]]&amp;", "&amp;Inschrijf_Fossiele_Energie_Totaal[[#Headers],[D1]],Database_Productkaarten[#All],50,FALSE)*Inschrijfberekening!K9,Inschrijfberekening!E9="Grondwerken",VLOOKUP(Inschrijf_Fossiele_Energie_Totaal[[#This Row],[Product]]&amp;", "&amp;Inschrijf_Fossiele_Energie_Totaal[[#Headers],[D1]],Database_Productkaarten[#All],50,FALSE)*Inschrijfberekening!K9,Inschrijfberekening!E9="Categorie_1_LCA_Producten",VLOOKUP(Inschrijf_Fossiele_Energie_Totaal[[#This Row],[Product]],Categorie_1_Producten[#All],30,FALSE)*(Inschrijfberekening!K9)),0)),Referentie_Backlog!P167),0))</f>
        <v>0</v>
      </c>
      <c r="P87" s="114" cm="1">
        <f t="array" ref="P87">(IF(Inschrijfberekening!C9="Bestaande Situatie",_xlfn.IFNA((IF(Inschrijfberekening!C9="Nieuwe Situatie",_xlfn.IFS(Inschrijfberekening!E9="Bitumineuze_verhardingen",VLOOKUP(Inschrijf_Fossiele_Energie_Totaal[[#This Row],[Product]]&amp;", "&amp;Inschrijf_Fossiele_Energie_Totaal[[#Headers],[D2]],Database_Productkaarten[#All],50,FALSE)*Inschrijfberekening!K9,Inschrijfberekening!E9="Funderingslagen",VLOOKUP(Inschrijf_Fossiele_Energie_Totaal[[#This Row],[Product]]&amp;", "&amp;Inschrijf_Fossiele_Energie_Totaal[[#Headers],[D2]],Database_Productkaarten[#All],50,FALSE)*Inschrijfberekening!K9,Inschrijfberekening!E9="Grondwerken",VLOOKUP(Inschrijf_Fossiele_Energie_Totaal[[#This Row],[Product]]&amp;", "&amp;Inschrijf_Fossiele_Energie_Totaal[[#Headers],[D2]],Database_Productkaarten[#All],50,FALSE)*Inschrijfberekening!K9,Inschrijfberekening!E9="Categorie_1_LCA_Producten",VLOOKUP(Inschrijf_Fossiele_Energie_Totaal[[#This Row],[Product]],Categorie_1_Producten[#All],31,FALSE)*(Inschrijfberekening!K9)),0)),Referentie_Backlog!P167),0))</f>
        <v>0</v>
      </c>
      <c r="Q87" s="111">
        <f>SUM(Inschrijf_Fossiele_Energie_Totaal[[#This Row],[A1]:[D2]])</f>
        <v>38.5361847</v>
      </c>
    </row>
    <row r="88" spans="2:17" ht="18" x14ac:dyDescent="0.55000000000000004">
      <c r="B88" s="285">
        <f>Inschrijfberekening!B10</f>
        <v>601240</v>
      </c>
      <c r="C88" s="23" t="str">
        <f>Inschrijfberekening!F10</f>
        <v>20060-TB - AC 22 Bin/Base 35/50 60% PR Bestone</v>
      </c>
      <c r="D88" s="111" cm="1">
        <f t="array" ref="D88">(IF(Inschrijfberekening!C10="Nieuwe Situatie",_xlfn.IFNA(_xlfn.IFS(Inschrijfberekening!E10="Bitumineuze_verhardingen",VLOOKUP(Inschrijf_Fossiele_Energie_Totaal[[#This Row],[Product]]&amp;", "&amp;Inschrijf_Fossiele_Energie_Totaal[[#Headers],[A1]],Database_Productkaarten[#All],50,FALSE)*Inschrijfberekening!K10,Inschrijfberekening!E10="Funderingslagen",VLOOKUP(Inschrijf_Fossiele_Energie_Totaal[[#This Row],[Product]]&amp;", "&amp;Inschrijf_Fossiele_Energie_Totaal[[#Headers],[A1]],Database_Productkaarten[#All],22,FALSE)*Inschrijfberekening!K10,Inschrijfberekening!E10="Grondwerken",VLOOKUP(Inschrijf_Fossiele_Energie_Totaal[[#This Row],[Product]]&amp;", "&amp;Inschrijf_Fossiele_Energie_Totaal[[#Headers],[A1]],Database_Productkaarten[#All],22,FALSE)*Inschrijfberekening!K10,Inschrijfberekening!E10="Categorie_1_LCA_Producten",VLOOKUP(Inschrijf_Fossiele_Energie_Totaal[[#This Row],[Product]],Categorie_1_Producten[#All],26,FALSE)*(Inschrijfberekening!K10)),Referentie_Backlog!D168),0))</f>
        <v>0</v>
      </c>
      <c r="E88" s="111" cm="1">
        <f t="array" ref="E88">(IF(Inschrijfberekening!C10="Nieuwe Situatie",_xlfn.IFNA(_xlfn.IFS(Inschrijfberekening!E10="Bitumineuze_verhardingen",VLOOKUP(Inschrijf_Fossiele_Energie_Totaal[[#This Row],[Product]]&amp;", "&amp;Inschrijf_Fossiele_Energie_Totaal[[#Headers],[A2]],Database_Productkaarten[#All],50,FALSE)*Inschrijfberekening!K10,Inschrijfberekening!E10="Funderingslagen",VLOOKUP(Inschrijf_Fossiele_Energie_Totaal[[#This Row],[Product]]&amp;", "&amp;Inschrijf_Fossiele_Energie_Totaal[[#Headers],[A2]],Database_Productkaarten[#All],50,FALSE)*Inschrijfberekening!K10,Inschrijfberekening!E10="Grondwerken",VLOOKUP(Inschrijf_Fossiele_Energie_Totaal[[#This Row],[Product]]&amp;", "&amp;Inschrijf_Fossiele_Energie_Totaal[[#Headers],[A2]],Database_Productkaarten[#All],50,FALSE)*Inschrijfberekening!K10,Inschrijfberekening!E10="Categorie_1_LCA_Producten",VLOOKUP(Inschrijf_Fossiele_Energie_Totaal[[#This Row],[Product]],Categorie_1_Producten[#All],27,FALSE)*(Inschrijfberekening!K10)),Referentie_Backlog!D168),0))</f>
        <v>0</v>
      </c>
      <c r="F88" s="111" cm="1">
        <f t="array" ref="F88">(IF(Inschrijfberekening!C10="Nieuwe Situatie",_xlfn.IFNA(_xlfn.IFS(Inschrijfberekening!E10="Bitumineuze_verhardingen",VLOOKUP(Inschrijf_Fossiele_Energie_Totaal[[#This Row],[Product]]&amp;", "&amp;Inschrijf_Fossiele_Energie_Totaal[[#Headers],[A3]],Database_Productkaarten[#All],50,FALSE)*Inschrijfberekening!K10,Inschrijfberekening!E10="Funderingslagen",VLOOKUP(Inschrijf_Fossiele_Energie_Totaal[[#This Row],[Product]]&amp;", "&amp;Inschrijf_Fossiele_Energie_Totaal[[#Headers],[A3]],Database_Productkaarten[#All],50,FALSE)*Inschrijfberekening!K10,Inschrijfberekening!E10="Grondwerken",VLOOKUP(Inschrijf_Fossiele_Energie_Totaal[[#This Row],[Product]]&amp;", "&amp;Inschrijf_Fossiele_Energie_Totaal[[#Headers],[A3]],Database_Productkaarten[#All],50,FALSE)*Inschrijfberekening!K10,Inschrijfberekening!E10="Categorie_1_LCA_Producten",VLOOKUP(Inschrijf_Fossiele_Energie_Totaal[[#This Row],[Product]],Categorie_1_Producten[#All],28,FALSE)*(Inschrijfberekening!K10)),Referentie_Backlog!D168),0))</f>
        <v>0</v>
      </c>
      <c r="G88" s="111">
        <f>(IF(Inschrijfberekening!C10="Nieuwe Situatie",_xlfn.IFNA(VLOOKUP(Inschrijfberekening!K42,Database_Transport[#All],45,FALSE)*(Inschrijfberekening!K10*Inschrijfberekening!N10),Referentie_Backlog!G168),0))</f>
        <v>0</v>
      </c>
      <c r="H88" s="112">
        <f>_xlfn.IFNA((IF(Inschrijfberekening!C10="Nieuwe Situatie",(VLOOKUP(Inschrijfberekening!P10,Database_Asfalt_Aanlegset[#All],45,FALSE)*Inschrijfberekening!K10)+IFERROR(((VLOOKUP(Inschrijfberekening!Q10,Database_Overig_Materieel[#All],45,FALSE)*(Inschrijfberekening!L10/VLOOKUP(Inschrijfberekening!Q10,Database_Overig_Materieel[#All],45,FALSE)))),0),0)),Referentie_Backlog!H168)</f>
        <v>385.36184699999995</v>
      </c>
      <c r="I88" s="111" cm="1">
        <f t="array" ref="I88">(IF(Inschrijfberekening!C10="Nieuwe Situatie",_xlfn.IFNA(_xlfn.IFS(Inschrijfberekening!E10="Bitumineuze_verhardingen",VLOOKUP(Inschrijf_Fossiele_Energie_Totaal[[#This Row],[Product]]&amp;", "&amp;Inschrijf_Fossiele_Energie_Totaal[[#Headers],[B1]],Database_Productkaarten[#All],50,FALSE)*Inschrijfberekening!K10,Inschrijfberekening!E10="Funderingslagen",VLOOKUP(Inschrijf_Fossiele_Energie_Totaal[[#This Row],[Product]]&amp;", "&amp;Inschrijf_Fossiele_Energie_Totaal[[#Headers],[B1]],Database_Productkaarten[#All],50,FALSE)*Inschrijfberekening!K10,Inschrijfberekening!E10="Grondwerken",VLOOKUP(Inschrijf_Fossiele_Energie_Totaal[[#This Row],[Product]]&amp;", "&amp;Inschrijf_Fossiele_Energie_Totaal[[#Headers],[B1]],Database_Productkaarten[#All],50,FALSE)*Inschrijfberekening!K10,Inschrijfberekening!E10="Categorie_1_LCA_Producten",VLOOKUP(Inschrijf_Fossiele_Energie_Totaal[[#This Row],[Product]],Categorie_1_Producten[#All],29,FALSE)*(Inschrijfberekening!K10)),Referentie_Backlog!D168),0))</f>
        <v>0</v>
      </c>
      <c r="J88" s="173">
        <f>(IF(Inschrijfberekening!C10="Nieuwe Situatie",_xlfn.IFNA(SUM(Inschrijf_Fossiele_Energie_Totaal[[#This Row],[A1]:[B1]],Inschrijf_Fossiele_Energie_Totaal[[#This Row],[C1]:[D2]])*Inschrijfberekening!M10,0),0))</f>
        <v>0</v>
      </c>
      <c r="K88" s="113">
        <f>(IF(Inschrijfberekening!C10="Bestaande Situatie",IF(IFERROR((VLOOKUP(Inschrijfberekening!R10,Database_Asfalt_Verwijderset[#All],45,FALSE)*Inschrijfberekening!K10),0)+IFERROR((VLOOKUP(Inschrijfberekening!S10,Database_Overig_Materieel[#All],45,FALSE)*(Inschrijfberekening!L10/VLOOKUP(Inschrijfberekening!S10,Database_Overig_Materieel[#All],45,FALSE))),0)=0,Referentie_Backlog!K168,IFERROR((VLOOKUP(Inschrijfberekening!R10,Database_Asfalt_Verwijderset[#All],45,FALSE)*Inschrijfberekening!K10),0)+IFERROR((VLOOKUP(Inschrijfberekening!S10,Database_Overig_Materieel[#All],45,FALSE)*(Inschrijfberekening!L10/VLOOKUP(Inschrijfberekening!S10,Database_Overig_Materieel[#All],45,FALSE))),0)),0))</f>
        <v>0</v>
      </c>
      <c r="L88" s="111">
        <f>(IF(Inschrijfberekening!C10="Bestaande Situatie",_xlfn.IFNA(VLOOKUP(Inschrijfberekening!U10,Database_Transport[#All],45,FALSE)*(Inschrijfberekening!K10*Inschrijfberekening!T10),Referentie_Backlog!L168),0))</f>
        <v>0</v>
      </c>
      <c r="M88" s="111">
        <f>(IF(Inschrijfberekening!C10="Bestaande Situatie",_xlfn.IFNA(VLOOKUP(Inschrijfberekening!V10,Database_Asfalt_Verwerkingsset[#All],45,FALSE)*(Inschrijfberekening!K10/VLOOKUP(Inschrijfberekening!V10,Database_Asfalt_Verwerkingsset[#All],45,FALSE)),Referentie_Backlog!M168),0))</f>
        <v>0</v>
      </c>
      <c r="N88" s="111">
        <f>(IF(Inschrijfberekening!C10="Bestaande Situatie",_xlfn.IFNA(VLOOKUP(Inschrijf_Fossiele_Energie_Totaal[[#This Row],[Product]]&amp;", "&amp;Inschrijf_MKI_Totaal[[#Headers],[C4]],Database_Productkaarten[#All],50,FALSE)*Inschrijfberekening!K10,Referentie_Backlog!N168),0))</f>
        <v>0</v>
      </c>
      <c r="O88" s="111" cm="1">
        <f t="array" ref="O88">(IF(Inschrijfberekening!C10="Bestaande Situatie",_xlfn.IFNA((IF(Inschrijfberekening!C10="Nieuwe Situatie",_xlfn.IFS(Inschrijfberekening!E10="Bitumineuze_verhardingen",VLOOKUP(Inschrijf_Fossiele_Energie_Totaal[[#This Row],[Product]]&amp;", "&amp;Inschrijf_Fossiele_Energie_Totaal[[#Headers],[D1]],Database_Productkaarten[#All],50,FALSE)*Inschrijfberekening!K10,Inschrijfberekening!E10="Funderingslagen",VLOOKUP(Inschrijf_Fossiele_Energie_Totaal[[#This Row],[Product]]&amp;", "&amp;Inschrijf_Fossiele_Energie_Totaal[[#Headers],[D1]],Database_Productkaarten[#All],50,FALSE)*Inschrijfberekening!K10,Inschrijfberekening!E10="Grondwerken",VLOOKUP(Inschrijf_Fossiele_Energie_Totaal[[#This Row],[Product]]&amp;", "&amp;Inschrijf_Fossiele_Energie_Totaal[[#Headers],[D1]],Database_Productkaarten[#All],50,FALSE)*Inschrijfberekening!K10,Inschrijfberekening!E10="Categorie_1_LCA_Producten",VLOOKUP(Inschrijf_Fossiele_Energie_Totaal[[#This Row],[Product]],Categorie_1_Producten[#All],30,FALSE)*(Inschrijfberekening!K10)),0)),Referentie_Backlog!P168),0))</f>
        <v>0</v>
      </c>
      <c r="P88" s="114" cm="1">
        <f t="array" ref="P88">(IF(Inschrijfberekening!C10="Bestaande Situatie",_xlfn.IFNA((IF(Inschrijfberekening!C10="Nieuwe Situatie",_xlfn.IFS(Inschrijfberekening!E10="Bitumineuze_verhardingen",VLOOKUP(Inschrijf_Fossiele_Energie_Totaal[[#This Row],[Product]]&amp;", "&amp;Inschrijf_Fossiele_Energie_Totaal[[#Headers],[D2]],Database_Productkaarten[#All],50,FALSE)*Inschrijfberekening!K10,Inschrijfberekening!E10="Funderingslagen",VLOOKUP(Inschrijf_Fossiele_Energie_Totaal[[#This Row],[Product]]&amp;", "&amp;Inschrijf_Fossiele_Energie_Totaal[[#Headers],[D2]],Database_Productkaarten[#All],50,FALSE)*Inschrijfberekening!K10,Inschrijfberekening!E10="Grondwerken",VLOOKUP(Inschrijf_Fossiele_Energie_Totaal[[#This Row],[Product]]&amp;", "&amp;Inschrijf_Fossiele_Energie_Totaal[[#Headers],[D2]],Database_Productkaarten[#All],50,FALSE)*Inschrijfberekening!K10,Inschrijfberekening!E10="Categorie_1_LCA_Producten",VLOOKUP(Inschrijf_Fossiele_Energie_Totaal[[#This Row],[Product]],Categorie_1_Producten[#All],31,FALSE)*(Inschrijfberekening!K10)),0)),Referentie_Backlog!P168),0))</f>
        <v>0</v>
      </c>
      <c r="Q88" s="111">
        <f>SUM(Inschrijf_Fossiele_Energie_Totaal[[#This Row],[A1]:[D2]])</f>
        <v>385.36184699999995</v>
      </c>
    </row>
    <row r="89" spans="2:17" ht="18" x14ac:dyDescent="0.55000000000000004">
      <c r="B89" s="285">
        <f>Inschrijfberekening!B11</f>
        <v>601250</v>
      </c>
      <c r="C89" s="23" t="str">
        <f>Inschrijfberekening!F11</f>
        <v>20460-TB - AC 16 Bin/Base 35/50 60% PR Bestone</v>
      </c>
      <c r="D89" s="111" cm="1">
        <f t="array" ref="D89">(IF(Inschrijfberekening!C11="Nieuwe Situatie",_xlfn.IFNA(_xlfn.IFS(Inschrijfberekening!E11="Bitumineuze_verhardingen",VLOOKUP(Inschrijf_Fossiele_Energie_Totaal[[#This Row],[Product]]&amp;", "&amp;Inschrijf_Fossiele_Energie_Totaal[[#Headers],[A1]],Database_Productkaarten[#All],50,FALSE)*Inschrijfberekening!K11,Inschrijfberekening!E11="Funderingslagen",VLOOKUP(Inschrijf_Fossiele_Energie_Totaal[[#This Row],[Product]]&amp;", "&amp;Inschrijf_Fossiele_Energie_Totaal[[#Headers],[A1]],Database_Productkaarten[#All],22,FALSE)*Inschrijfberekening!K11,Inschrijfberekening!E11="Grondwerken",VLOOKUP(Inschrijf_Fossiele_Energie_Totaal[[#This Row],[Product]]&amp;", "&amp;Inschrijf_Fossiele_Energie_Totaal[[#Headers],[A1]],Database_Productkaarten[#All],22,FALSE)*Inschrijfberekening!K11,Inschrijfberekening!E11="Categorie_1_LCA_Producten",VLOOKUP(Inschrijf_Fossiele_Energie_Totaal[[#This Row],[Product]],Categorie_1_Producten[#All],26,FALSE)*(Inschrijfberekening!K11)),Referentie_Backlog!D169),0))</f>
        <v>0</v>
      </c>
      <c r="E89" s="111" cm="1">
        <f t="array" ref="E89">(IF(Inschrijfberekening!C11="Nieuwe Situatie",_xlfn.IFNA(_xlfn.IFS(Inschrijfberekening!E11="Bitumineuze_verhardingen",VLOOKUP(Inschrijf_Fossiele_Energie_Totaal[[#This Row],[Product]]&amp;", "&amp;Inschrijf_Fossiele_Energie_Totaal[[#Headers],[A2]],Database_Productkaarten[#All],50,FALSE)*Inschrijfberekening!K11,Inschrijfberekening!E11="Funderingslagen",VLOOKUP(Inschrijf_Fossiele_Energie_Totaal[[#This Row],[Product]]&amp;", "&amp;Inschrijf_Fossiele_Energie_Totaal[[#Headers],[A2]],Database_Productkaarten[#All],50,FALSE)*Inschrijfberekening!K11,Inschrijfberekening!E11="Grondwerken",VLOOKUP(Inschrijf_Fossiele_Energie_Totaal[[#This Row],[Product]]&amp;", "&amp;Inschrijf_Fossiele_Energie_Totaal[[#Headers],[A2]],Database_Productkaarten[#All],50,FALSE)*Inschrijfberekening!K11,Inschrijfberekening!E11="Categorie_1_LCA_Producten",VLOOKUP(Inschrijf_Fossiele_Energie_Totaal[[#This Row],[Product]],Categorie_1_Producten[#All],27,FALSE)*(Inschrijfberekening!K11)),Referentie_Backlog!D169),0))</f>
        <v>0</v>
      </c>
      <c r="F89" s="111" cm="1">
        <f t="array" ref="F89">(IF(Inschrijfberekening!C11="Nieuwe Situatie",_xlfn.IFNA(_xlfn.IFS(Inschrijfberekening!E11="Bitumineuze_verhardingen",VLOOKUP(Inschrijf_Fossiele_Energie_Totaal[[#This Row],[Product]]&amp;", "&amp;Inschrijf_Fossiele_Energie_Totaal[[#Headers],[A3]],Database_Productkaarten[#All],50,FALSE)*Inschrijfberekening!K11,Inschrijfberekening!E11="Funderingslagen",VLOOKUP(Inschrijf_Fossiele_Energie_Totaal[[#This Row],[Product]]&amp;", "&amp;Inschrijf_Fossiele_Energie_Totaal[[#Headers],[A3]],Database_Productkaarten[#All],50,FALSE)*Inschrijfberekening!K11,Inschrijfberekening!E11="Grondwerken",VLOOKUP(Inschrijf_Fossiele_Energie_Totaal[[#This Row],[Product]]&amp;", "&amp;Inschrijf_Fossiele_Energie_Totaal[[#Headers],[A3]],Database_Productkaarten[#All],50,FALSE)*Inschrijfberekening!K11,Inschrijfberekening!E11="Categorie_1_LCA_Producten",VLOOKUP(Inschrijf_Fossiele_Energie_Totaal[[#This Row],[Product]],Categorie_1_Producten[#All],28,FALSE)*(Inschrijfberekening!K11)),Referentie_Backlog!D169),0))</f>
        <v>0</v>
      </c>
      <c r="G89" s="111">
        <f>(IF(Inschrijfberekening!C11="Nieuwe Situatie",_xlfn.IFNA(VLOOKUP(Inschrijfberekening!K43,Database_Transport[#All],45,FALSE)*(Inschrijfberekening!K11*Inschrijfberekening!N11),Referentie_Backlog!G169),0))</f>
        <v>0</v>
      </c>
      <c r="H89" s="112">
        <f>_xlfn.IFNA((IF(Inschrijfberekening!C11="Nieuwe Situatie",(VLOOKUP(Inschrijfberekening!P11,Database_Asfalt_Aanlegset[#All],45,FALSE)*Inschrijfberekening!K11)+IFERROR(((VLOOKUP(Inschrijfberekening!Q11,Database_Overig_Materieel[#All],45,FALSE)*(Inschrijfberekening!L11/VLOOKUP(Inschrijfberekening!Q11,Database_Overig_Materieel[#All],45,FALSE)))),0),0)),Referentie_Backlog!H169)</f>
        <v>681.794037</v>
      </c>
      <c r="I89" s="111" cm="1">
        <f t="array" ref="I89">(IF(Inschrijfberekening!C11="Nieuwe Situatie",_xlfn.IFNA(_xlfn.IFS(Inschrijfberekening!E11="Bitumineuze_verhardingen",VLOOKUP(Inschrijf_Fossiele_Energie_Totaal[[#This Row],[Product]]&amp;", "&amp;Inschrijf_Fossiele_Energie_Totaal[[#Headers],[B1]],Database_Productkaarten[#All],50,FALSE)*Inschrijfberekening!K11,Inschrijfberekening!E11="Funderingslagen",VLOOKUP(Inschrijf_Fossiele_Energie_Totaal[[#This Row],[Product]]&amp;", "&amp;Inschrijf_Fossiele_Energie_Totaal[[#Headers],[B1]],Database_Productkaarten[#All],50,FALSE)*Inschrijfberekening!K11,Inschrijfberekening!E11="Grondwerken",VLOOKUP(Inschrijf_Fossiele_Energie_Totaal[[#This Row],[Product]]&amp;", "&amp;Inschrijf_Fossiele_Energie_Totaal[[#Headers],[B1]],Database_Productkaarten[#All],50,FALSE)*Inschrijfberekening!K11,Inschrijfberekening!E11="Categorie_1_LCA_Producten",VLOOKUP(Inschrijf_Fossiele_Energie_Totaal[[#This Row],[Product]],Categorie_1_Producten[#All],29,FALSE)*(Inschrijfberekening!K11)),Referentie_Backlog!D169),0))</f>
        <v>0</v>
      </c>
      <c r="J89" s="173">
        <f>(IF(Inschrijfberekening!C11="Nieuwe Situatie",_xlfn.IFNA(SUM(Inschrijf_Fossiele_Energie_Totaal[[#This Row],[A1]:[B1]],Inschrijf_Fossiele_Energie_Totaal[[#This Row],[C1]:[D2]])*Inschrijfberekening!M11,0),0))</f>
        <v>0</v>
      </c>
      <c r="K89" s="113">
        <f>(IF(Inschrijfberekening!C11="Bestaande Situatie",IF(IFERROR((VLOOKUP(Inschrijfberekening!R11,Database_Asfalt_Verwijderset[#All],45,FALSE)*Inschrijfberekening!K11),0)+IFERROR((VLOOKUP(Inschrijfberekening!S11,Database_Overig_Materieel[#All],45,FALSE)*(Inschrijfberekening!L11/VLOOKUP(Inschrijfberekening!S11,Database_Overig_Materieel[#All],45,FALSE))),0)=0,Referentie_Backlog!K169,IFERROR((VLOOKUP(Inschrijfberekening!R11,Database_Asfalt_Verwijderset[#All],45,FALSE)*Inschrijfberekening!K11),0)+IFERROR((VLOOKUP(Inschrijfberekening!S11,Database_Overig_Materieel[#All],45,FALSE)*(Inschrijfberekening!L11/VLOOKUP(Inschrijfberekening!S11,Database_Overig_Materieel[#All],45,FALSE))),0)),0))</f>
        <v>0</v>
      </c>
      <c r="L89" s="111">
        <f>(IF(Inschrijfberekening!C11="Bestaande Situatie",_xlfn.IFNA(VLOOKUP(Inschrijfberekening!U11,Database_Transport[#All],45,FALSE)*(Inschrijfberekening!K11*Inschrijfberekening!T11),Referentie_Backlog!L169),0))</f>
        <v>0</v>
      </c>
      <c r="M89" s="111">
        <f>(IF(Inschrijfberekening!C11="Bestaande Situatie",_xlfn.IFNA(VLOOKUP(Inschrijfberekening!V11,Database_Asfalt_Verwerkingsset[#All],45,FALSE)*(Inschrijfberekening!K11/VLOOKUP(Inschrijfberekening!V11,Database_Asfalt_Verwerkingsset[#All],45,FALSE)),Referentie_Backlog!M169),0))</f>
        <v>0</v>
      </c>
      <c r="N89" s="111">
        <f>(IF(Inschrijfberekening!C11="Bestaande Situatie",_xlfn.IFNA(VLOOKUP(Inschrijf_Fossiele_Energie_Totaal[[#This Row],[Product]]&amp;", "&amp;Inschrijf_MKI_Totaal[[#Headers],[C4]],Database_Productkaarten[#All],50,FALSE)*Inschrijfberekening!K11,Referentie_Backlog!N169),0))</f>
        <v>0</v>
      </c>
      <c r="O89" s="111" cm="1">
        <f t="array" ref="O89">(IF(Inschrijfberekening!C11="Bestaande Situatie",_xlfn.IFNA((IF(Inschrijfberekening!C11="Nieuwe Situatie",_xlfn.IFS(Inschrijfberekening!E11="Bitumineuze_verhardingen",VLOOKUP(Inschrijf_Fossiele_Energie_Totaal[[#This Row],[Product]]&amp;", "&amp;Inschrijf_Fossiele_Energie_Totaal[[#Headers],[D1]],Database_Productkaarten[#All],50,FALSE)*Inschrijfberekening!K11,Inschrijfberekening!E11="Funderingslagen",VLOOKUP(Inschrijf_Fossiele_Energie_Totaal[[#This Row],[Product]]&amp;", "&amp;Inschrijf_Fossiele_Energie_Totaal[[#Headers],[D1]],Database_Productkaarten[#All],50,FALSE)*Inschrijfberekening!K11,Inschrijfberekening!E11="Grondwerken",VLOOKUP(Inschrijf_Fossiele_Energie_Totaal[[#This Row],[Product]]&amp;", "&amp;Inschrijf_Fossiele_Energie_Totaal[[#Headers],[D1]],Database_Productkaarten[#All],50,FALSE)*Inschrijfberekening!K11,Inschrijfberekening!E11="Categorie_1_LCA_Producten",VLOOKUP(Inschrijf_Fossiele_Energie_Totaal[[#This Row],[Product]],Categorie_1_Producten[#All],30,FALSE)*(Inschrijfberekening!K11)),0)),Referentie_Backlog!P169),0))</f>
        <v>0</v>
      </c>
      <c r="P89" s="114" cm="1">
        <f t="array" ref="P89">(IF(Inschrijfberekening!C11="Bestaande Situatie",_xlfn.IFNA((IF(Inschrijfberekening!C11="Nieuwe Situatie",_xlfn.IFS(Inschrijfberekening!E11="Bitumineuze_verhardingen",VLOOKUP(Inschrijf_Fossiele_Energie_Totaal[[#This Row],[Product]]&amp;", "&amp;Inschrijf_Fossiele_Energie_Totaal[[#Headers],[D2]],Database_Productkaarten[#All],50,FALSE)*Inschrijfberekening!K11,Inschrijfberekening!E11="Funderingslagen",VLOOKUP(Inschrijf_Fossiele_Energie_Totaal[[#This Row],[Product]]&amp;", "&amp;Inschrijf_Fossiele_Energie_Totaal[[#Headers],[D2]],Database_Productkaarten[#All],50,FALSE)*Inschrijfberekening!K11,Inschrijfberekening!E11="Grondwerken",VLOOKUP(Inschrijf_Fossiele_Energie_Totaal[[#This Row],[Product]]&amp;", "&amp;Inschrijf_Fossiele_Energie_Totaal[[#Headers],[D2]],Database_Productkaarten[#All],50,FALSE)*Inschrijfberekening!K11,Inschrijfberekening!E11="Categorie_1_LCA_Producten",VLOOKUP(Inschrijf_Fossiele_Energie_Totaal[[#This Row],[Product]],Categorie_1_Producten[#All],31,FALSE)*(Inschrijfberekening!K11)),0)),Referentie_Backlog!P169),0))</f>
        <v>0</v>
      </c>
      <c r="Q89" s="111">
        <f>SUM(Inschrijf_Fossiele_Energie_Totaal[[#This Row],[A1]:[D2]])</f>
        <v>681.794037</v>
      </c>
    </row>
    <row r="90" spans="2:17" ht="18" x14ac:dyDescent="0.55000000000000004">
      <c r="B90" s="285">
        <f>Inschrijfberekening!B12</f>
        <v>601260</v>
      </c>
      <c r="C90" s="23" t="str">
        <f>Inschrijfberekening!F12</f>
        <v>88405-TB - SMA-NL 11B 40/60 Bestone</v>
      </c>
      <c r="D90" s="111" cm="1">
        <f t="array" ref="D90">(IF(Inschrijfberekening!C12="Nieuwe Situatie",_xlfn.IFNA(_xlfn.IFS(Inschrijfberekening!E12="Bitumineuze_verhardingen",VLOOKUP(Inschrijf_Fossiele_Energie_Totaal[[#This Row],[Product]]&amp;", "&amp;Inschrijf_Fossiele_Energie_Totaal[[#Headers],[A1]],Database_Productkaarten[#All],50,FALSE)*Inschrijfberekening!K12,Inschrijfberekening!E12="Funderingslagen",VLOOKUP(Inschrijf_Fossiele_Energie_Totaal[[#This Row],[Product]]&amp;", "&amp;Inschrijf_Fossiele_Energie_Totaal[[#Headers],[A1]],Database_Productkaarten[#All],22,FALSE)*Inschrijfberekening!K12,Inschrijfberekening!E12="Grondwerken",VLOOKUP(Inschrijf_Fossiele_Energie_Totaal[[#This Row],[Product]]&amp;", "&amp;Inschrijf_Fossiele_Energie_Totaal[[#Headers],[A1]],Database_Productkaarten[#All],22,FALSE)*Inschrijfberekening!K12,Inschrijfberekening!E12="Categorie_1_LCA_Producten",VLOOKUP(Inschrijf_Fossiele_Energie_Totaal[[#This Row],[Product]],Categorie_1_Producten[#All],26,FALSE)*(Inschrijfberekening!K12)),Referentie_Backlog!D170),0))</f>
        <v>0</v>
      </c>
      <c r="E90" s="111" cm="1">
        <f t="array" ref="E90">(IF(Inschrijfberekening!C12="Nieuwe Situatie",_xlfn.IFNA(_xlfn.IFS(Inschrijfberekening!E12="Bitumineuze_verhardingen",VLOOKUP(Inschrijf_Fossiele_Energie_Totaal[[#This Row],[Product]]&amp;", "&amp;Inschrijf_Fossiele_Energie_Totaal[[#Headers],[A2]],Database_Productkaarten[#All],50,FALSE)*Inschrijfberekening!K12,Inschrijfberekening!E12="Funderingslagen",VLOOKUP(Inschrijf_Fossiele_Energie_Totaal[[#This Row],[Product]]&amp;", "&amp;Inschrijf_Fossiele_Energie_Totaal[[#Headers],[A2]],Database_Productkaarten[#All],50,FALSE)*Inschrijfberekening!K12,Inschrijfberekening!E12="Grondwerken",VLOOKUP(Inschrijf_Fossiele_Energie_Totaal[[#This Row],[Product]]&amp;", "&amp;Inschrijf_Fossiele_Energie_Totaal[[#Headers],[A2]],Database_Productkaarten[#All],50,FALSE)*Inschrijfberekening!K12,Inschrijfberekening!E12="Categorie_1_LCA_Producten",VLOOKUP(Inschrijf_Fossiele_Energie_Totaal[[#This Row],[Product]],Categorie_1_Producten[#All],27,FALSE)*(Inschrijfberekening!K12)),Referentie_Backlog!D170),0))</f>
        <v>0</v>
      </c>
      <c r="F90" s="111" cm="1">
        <f t="array" ref="F90">(IF(Inschrijfberekening!C12="Nieuwe Situatie",_xlfn.IFNA(_xlfn.IFS(Inschrijfberekening!E12="Bitumineuze_verhardingen",VLOOKUP(Inschrijf_Fossiele_Energie_Totaal[[#This Row],[Product]]&amp;", "&amp;Inschrijf_Fossiele_Energie_Totaal[[#Headers],[A3]],Database_Productkaarten[#All],50,FALSE)*Inschrijfberekening!K12,Inschrijfberekening!E12="Funderingslagen",VLOOKUP(Inschrijf_Fossiele_Energie_Totaal[[#This Row],[Product]]&amp;", "&amp;Inschrijf_Fossiele_Energie_Totaal[[#Headers],[A3]],Database_Productkaarten[#All],50,FALSE)*Inschrijfberekening!K12,Inschrijfberekening!E12="Grondwerken",VLOOKUP(Inschrijf_Fossiele_Energie_Totaal[[#This Row],[Product]]&amp;", "&amp;Inschrijf_Fossiele_Energie_Totaal[[#Headers],[A3]],Database_Productkaarten[#All],50,FALSE)*Inschrijfberekening!K12,Inschrijfberekening!E12="Categorie_1_LCA_Producten",VLOOKUP(Inschrijf_Fossiele_Energie_Totaal[[#This Row],[Product]],Categorie_1_Producten[#All],28,FALSE)*(Inschrijfberekening!K12)),Referentie_Backlog!D170),0))</f>
        <v>0</v>
      </c>
      <c r="G90" s="111">
        <f>(IF(Inschrijfberekening!C12="Nieuwe Situatie",_xlfn.IFNA(VLOOKUP(Inschrijfberekening!K44,Database_Transport[#All],45,FALSE)*(Inschrijfberekening!K12*Inschrijfberekening!N12),Referentie_Backlog!G170),0))</f>
        <v>0</v>
      </c>
      <c r="H90" s="112">
        <f>_xlfn.IFNA((IF(Inschrijfberekening!C12="Nieuwe Situatie",(VLOOKUP(Inschrijfberekening!P12,Database_Asfalt_Aanlegset[#All],45,FALSE)*Inschrijfberekening!K12)+IFERROR(((VLOOKUP(Inschrijfberekening!Q12,Database_Overig_Materieel[#All],45,FALSE)*(Inschrijfberekening!L12/VLOOKUP(Inschrijfberekening!Q12,Database_Overig_Materieel[#All],45,FALSE)))),0),0)),Referentie_Backlog!H170)</f>
        <v>622.50759899999991</v>
      </c>
      <c r="I90" s="111" cm="1">
        <f t="array" ref="I90">(IF(Inschrijfberekening!C12="Nieuwe Situatie",_xlfn.IFNA(_xlfn.IFS(Inschrijfberekening!E12="Bitumineuze_verhardingen",VLOOKUP(Inschrijf_Fossiele_Energie_Totaal[[#This Row],[Product]]&amp;", "&amp;Inschrijf_Fossiele_Energie_Totaal[[#Headers],[B1]],Database_Productkaarten[#All],50,FALSE)*Inschrijfberekening!K12,Inschrijfberekening!E12="Funderingslagen",VLOOKUP(Inschrijf_Fossiele_Energie_Totaal[[#This Row],[Product]]&amp;", "&amp;Inschrijf_Fossiele_Energie_Totaal[[#Headers],[B1]],Database_Productkaarten[#All],50,FALSE)*Inschrijfberekening!K12,Inschrijfberekening!E12="Grondwerken",VLOOKUP(Inschrijf_Fossiele_Energie_Totaal[[#This Row],[Product]]&amp;", "&amp;Inschrijf_Fossiele_Energie_Totaal[[#Headers],[B1]],Database_Productkaarten[#All],50,FALSE)*Inschrijfberekening!K12,Inschrijfberekening!E12="Categorie_1_LCA_Producten",VLOOKUP(Inschrijf_Fossiele_Energie_Totaal[[#This Row],[Product]],Categorie_1_Producten[#All],29,FALSE)*(Inschrijfberekening!K12)),Referentie_Backlog!D170),0))</f>
        <v>0</v>
      </c>
      <c r="J90" s="173">
        <f>(IF(Inschrijfberekening!C12="Nieuwe Situatie",_xlfn.IFNA(SUM(Inschrijf_Fossiele_Energie_Totaal[[#This Row],[A1]:[B1]],Inschrijf_Fossiele_Energie_Totaal[[#This Row],[C1]:[D2]])*Inschrijfberekening!M12,0),0))</f>
        <v>0</v>
      </c>
      <c r="K90" s="113">
        <f>(IF(Inschrijfberekening!C12="Bestaande Situatie",IF(IFERROR((VLOOKUP(Inschrijfberekening!R12,Database_Asfalt_Verwijderset[#All],45,FALSE)*Inschrijfberekening!K12),0)+IFERROR((VLOOKUP(Inschrijfberekening!S12,Database_Overig_Materieel[#All],45,FALSE)*(Inschrijfberekening!L12/VLOOKUP(Inschrijfberekening!S12,Database_Overig_Materieel[#All],45,FALSE))),0)=0,Referentie_Backlog!K170,IFERROR((VLOOKUP(Inschrijfberekening!R12,Database_Asfalt_Verwijderset[#All],45,FALSE)*Inschrijfberekening!K12),0)+IFERROR((VLOOKUP(Inschrijfberekening!S12,Database_Overig_Materieel[#All],45,FALSE)*(Inschrijfberekening!L12/VLOOKUP(Inschrijfberekening!S12,Database_Overig_Materieel[#All],45,FALSE))),0)),0))</f>
        <v>0</v>
      </c>
      <c r="L90" s="111">
        <f>(IF(Inschrijfberekening!C12="Bestaande Situatie",_xlfn.IFNA(VLOOKUP(Inschrijfberekening!U12,Database_Transport[#All],45,FALSE)*(Inschrijfberekening!K12*Inschrijfberekening!T12),Referentie_Backlog!L170),0))</f>
        <v>0</v>
      </c>
      <c r="M90" s="111">
        <f>(IF(Inschrijfberekening!C12="Bestaande Situatie",_xlfn.IFNA(VLOOKUP(Inschrijfberekening!V12,Database_Asfalt_Verwerkingsset[#All],45,FALSE)*(Inschrijfberekening!K12/VLOOKUP(Inschrijfberekening!V12,Database_Asfalt_Verwerkingsset[#All],45,FALSE)),Referentie_Backlog!M170),0))</f>
        <v>0</v>
      </c>
      <c r="N90" s="111">
        <f>(IF(Inschrijfberekening!C12="Bestaande Situatie",_xlfn.IFNA(VLOOKUP(Inschrijf_Fossiele_Energie_Totaal[[#This Row],[Product]]&amp;", "&amp;Inschrijf_MKI_Totaal[[#Headers],[C4]],Database_Productkaarten[#All],50,FALSE)*Inschrijfberekening!K12,Referentie_Backlog!N170),0))</f>
        <v>0</v>
      </c>
      <c r="O90" s="111" cm="1">
        <f t="array" ref="O90">(IF(Inschrijfberekening!C12="Bestaande Situatie",_xlfn.IFNA((IF(Inschrijfberekening!C12="Nieuwe Situatie",_xlfn.IFS(Inschrijfberekening!E12="Bitumineuze_verhardingen",VLOOKUP(Inschrijf_Fossiele_Energie_Totaal[[#This Row],[Product]]&amp;", "&amp;Inschrijf_Fossiele_Energie_Totaal[[#Headers],[D1]],Database_Productkaarten[#All],50,FALSE)*Inschrijfberekening!K12,Inschrijfberekening!E12="Funderingslagen",VLOOKUP(Inschrijf_Fossiele_Energie_Totaal[[#This Row],[Product]]&amp;", "&amp;Inschrijf_Fossiele_Energie_Totaal[[#Headers],[D1]],Database_Productkaarten[#All],50,FALSE)*Inschrijfberekening!K12,Inschrijfberekening!E12="Grondwerken",VLOOKUP(Inschrijf_Fossiele_Energie_Totaal[[#This Row],[Product]]&amp;", "&amp;Inschrijf_Fossiele_Energie_Totaal[[#Headers],[D1]],Database_Productkaarten[#All],50,FALSE)*Inschrijfberekening!K12,Inschrijfberekening!E12="Categorie_1_LCA_Producten",VLOOKUP(Inschrijf_Fossiele_Energie_Totaal[[#This Row],[Product]],Categorie_1_Producten[#All],30,FALSE)*(Inschrijfberekening!K12)),0)),Referentie_Backlog!P170),0))</f>
        <v>0</v>
      </c>
      <c r="P90" s="114" cm="1">
        <f t="array" ref="P90">(IF(Inschrijfberekening!C12="Bestaande Situatie",_xlfn.IFNA((IF(Inschrijfberekening!C12="Nieuwe Situatie",_xlfn.IFS(Inschrijfberekening!E12="Bitumineuze_verhardingen",VLOOKUP(Inschrijf_Fossiele_Energie_Totaal[[#This Row],[Product]]&amp;", "&amp;Inschrijf_Fossiele_Energie_Totaal[[#Headers],[D2]],Database_Productkaarten[#All],50,FALSE)*Inschrijfberekening!K12,Inschrijfberekening!E12="Funderingslagen",VLOOKUP(Inschrijf_Fossiele_Energie_Totaal[[#This Row],[Product]]&amp;", "&amp;Inschrijf_Fossiele_Energie_Totaal[[#Headers],[D2]],Database_Productkaarten[#All],50,FALSE)*Inschrijfberekening!K12,Inschrijfberekening!E12="Grondwerken",VLOOKUP(Inschrijf_Fossiele_Energie_Totaal[[#This Row],[Product]]&amp;", "&amp;Inschrijf_Fossiele_Energie_Totaal[[#Headers],[D2]],Database_Productkaarten[#All],50,FALSE)*Inschrijfberekening!K12,Inschrijfberekening!E12="Categorie_1_LCA_Producten",VLOOKUP(Inschrijf_Fossiele_Energie_Totaal[[#This Row],[Product]],Categorie_1_Producten[#All],31,FALSE)*(Inschrijfberekening!K12)),0)),Referentie_Backlog!P170),0))</f>
        <v>0</v>
      </c>
      <c r="Q90" s="111">
        <f>SUM(Inschrijf_Fossiele_Energie_Totaal[[#This Row],[A1]:[D2]])</f>
        <v>622.50759899999991</v>
      </c>
    </row>
    <row r="91" spans="2:17" ht="18" x14ac:dyDescent="0.55000000000000004">
      <c r="B91" s="285">
        <f>Inschrijfberekening!B13</f>
        <v>601270</v>
      </c>
      <c r="C91" s="23" t="str">
        <f>Inschrijfberekening!F13</f>
        <v>88405-TB - SMA-NL 11B 40/60 Bestone</v>
      </c>
      <c r="D91" s="111" cm="1">
        <f t="array" ref="D91">(IF(Inschrijfberekening!C13="Nieuwe Situatie",_xlfn.IFNA(_xlfn.IFS(Inschrijfberekening!E13="Bitumineuze_verhardingen",VLOOKUP(Inschrijf_Fossiele_Energie_Totaal[[#This Row],[Product]]&amp;", "&amp;Inschrijf_Fossiele_Energie_Totaal[[#Headers],[A1]],Database_Productkaarten[#All],50,FALSE)*Inschrijfberekening!K13,Inschrijfberekening!E13="Funderingslagen",VLOOKUP(Inschrijf_Fossiele_Energie_Totaal[[#This Row],[Product]]&amp;", "&amp;Inschrijf_Fossiele_Energie_Totaal[[#Headers],[A1]],Database_Productkaarten[#All],22,FALSE)*Inschrijfberekening!K13,Inschrijfberekening!E13="Grondwerken",VLOOKUP(Inschrijf_Fossiele_Energie_Totaal[[#This Row],[Product]]&amp;", "&amp;Inschrijf_Fossiele_Energie_Totaal[[#Headers],[A1]],Database_Productkaarten[#All],22,FALSE)*Inschrijfberekening!K13,Inschrijfberekening!E13="Categorie_1_LCA_Producten",VLOOKUP(Inschrijf_Fossiele_Energie_Totaal[[#This Row],[Product]],Categorie_1_Producten[#All],26,FALSE)*(Inschrijfberekening!K13)),Referentie_Backlog!D171),0))</f>
        <v>0</v>
      </c>
      <c r="E91" s="111" cm="1">
        <f t="array" ref="E91">(IF(Inschrijfberekening!C13="Nieuwe Situatie",_xlfn.IFNA(_xlfn.IFS(Inschrijfberekening!E13="Bitumineuze_verhardingen",VLOOKUP(Inschrijf_Fossiele_Energie_Totaal[[#This Row],[Product]]&amp;", "&amp;Inschrijf_Fossiele_Energie_Totaal[[#Headers],[A2]],Database_Productkaarten[#All],50,FALSE)*Inschrijfberekening!K13,Inschrijfberekening!E13="Funderingslagen",VLOOKUP(Inschrijf_Fossiele_Energie_Totaal[[#This Row],[Product]]&amp;", "&amp;Inschrijf_Fossiele_Energie_Totaal[[#Headers],[A2]],Database_Productkaarten[#All],50,FALSE)*Inschrijfberekening!K13,Inschrijfberekening!E13="Grondwerken",VLOOKUP(Inschrijf_Fossiele_Energie_Totaal[[#This Row],[Product]]&amp;", "&amp;Inschrijf_Fossiele_Energie_Totaal[[#Headers],[A2]],Database_Productkaarten[#All],50,FALSE)*Inschrijfberekening!K13,Inschrijfberekening!E13="Categorie_1_LCA_Producten",VLOOKUP(Inschrijf_Fossiele_Energie_Totaal[[#This Row],[Product]],Categorie_1_Producten[#All],27,FALSE)*(Inschrijfberekening!K13)),Referentie_Backlog!D171),0))</f>
        <v>0</v>
      </c>
      <c r="F91" s="111" cm="1">
        <f t="array" ref="F91">(IF(Inschrijfberekening!C13="Nieuwe Situatie",_xlfn.IFNA(_xlfn.IFS(Inschrijfberekening!E13="Bitumineuze_verhardingen",VLOOKUP(Inschrijf_Fossiele_Energie_Totaal[[#This Row],[Product]]&amp;", "&amp;Inschrijf_Fossiele_Energie_Totaal[[#Headers],[A3]],Database_Productkaarten[#All],50,FALSE)*Inschrijfberekening!K13,Inschrijfberekening!E13="Funderingslagen",VLOOKUP(Inschrijf_Fossiele_Energie_Totaal[[#This Row],[Product]]&amp;", "&amp;Inschrijf_Fossiele_Energie_Totaal[[#Headers],[A3]],Database_Productkaarten[#All],50,FALSE)*Inschrijfberekening!K13,Inschrijfberekening!E13="Grondwerken",VLOOKUP(Inschrijf_Fossiele_Energie_Totaal[[#This Row],[Product]]&amp;", "&amp;Inschrijf_Fossiele_Energie_Totaal[[#Headers],[A3]],Database_Productkaarten[#All],50,FALSE)*Inschrijfberekening!K13,Inschrijfberekening!E13="Categorie_1_LCA_Producten",VLOOKUP(Inschrijf_Fossiele_Energie_Totaal[[#This Row],[Product]],Categorie_1_Producten[#All],28,FALSE)*(Inschrijfberekening!K13)),Referentie_Backlog!D171),0))</f>
        <v>0</v>
      </c>
      <c r="G91" s="111">
        <f>(IF(Inschrijfberekening!C13="Nieuwe Situatie",_xlfn.IFNA(VLOOKUP(Inschrijfberekening!K45,Database_Transport[#All],45,FALSE)*(Inschrijfberekening!K13*Inschrijfberekening!N13),Referentie_Backlog!G171),0))</f>
        <v>0</v>
      </c>
      <c r="H91" s="112">
        <f>_xlfn.IFNA((IF(Inschrijfberekening!C13="Nieuwe Situatie",(VLOOKUP(Inschrijfberekening!P13,Database_Asfalt_Aanlegset[#All],45,FALSE)*Inschrijfberekening!K13)+IFERROR(((VLOOKUP(Inschrijfberekening!Q13,Database_Overig_Materieel[#All],45,FALSE)*(Inschrijfberekening!L13/VLOOKUP(Inschrijfberekening!Q13,Database_Overig_Materieel[#All],45,FALSE)))),0),0)),Referentie_Backlog!H171)</f>
        <v>533.57794200000001</v>
      </c>
      <c r="I91" s="111" cm="1">
        <f t="array" ref="I91">(IF(Inschrijfberekening!C13="Nieuwe Situatie",_xlfn.IFNA(_xlfn.IFS(Inschrijfberekening!E13="Bitumineuze_verhardingen",VLOOKUP(Inschrijf_Fossiele_Energie_Totaal[[#This Row],[Product]]&amp;", "&amp;Inschrijf_Fossiele_Energie_Totaal[[#Headers],[B1]],Database_Productkaarten[#All],50,FALSE)*Inschrijfberekening!K13,Inschrijfberekening!E13="Funderingslagen",VLOOKUP(Inschrijf_Fossiele_Energie_Totaal[[#This Row],[Product]]&amp;", "&amp;Inschrijf_Fossiele_Energie_Totaal[[#Headers],[B1]],Database_Productkaarten[#All],50,FALSE)*Inschrijfberekening!K13,Inschrijfberekening!E13="Grondwerken",VLOOKUP(Inschrijf_Fossiele_Energie_Totaal[[#This Row],[Product]]&amp;", "&amp;Inschrijf_Fossiele_Energie_Totaal[[#Headers],[B1]],Database_Productkaarten[#All],50,FALSE)*Inschrijfberekening!K13,Inschrijfberekening!E13="Categorie_1_LCA_Producten",VLOOKUP(Inschrijf_Fossiele_Energie_Totaal[[#This Row],[Product]],Categorie_1_Producten[#All],29,FALSE)*(Inschrijfberekening!K13)),Referentie_Backlog!D171),0))</f>
        <v>0</v>
      </c>
      <c r="J91" s="173">
        <f>(IF(Inschrijfberekening!C13="Nieuwe Situatie",_xlfn.IFNA(SUM(Inschrijf_Fossiele_Energie_Totaal[[#This Row],[A1]:[B1]],Inschrijf_Fossiele_Energie_Totaal[[#This Row],[C1]:[D2]])*Inschrijfberekening!M13,0),0))</f>
        <v>0</v>
      </c>
      <c r="K91" s="113">
        <f>(IF(Inschrijfberekening!C13="Bestaande Situatie",IF(IFERROR((VLOOKUP(Inschrijfberekening!R13,Database_Asfalt_Verwijderset[#All],45,FALSE)*Inschrijfberekening!K13),0)+IFERROR((VLOOKUP(Inschrijfberekening!S13,Database_Overig_Materieel[#All],45,FALSE)*(Inschrijfberekening!L13/VLOOKUP(Inschrijfberekening!S13,Database_Overig_Materieel[#All],45,FALSE))),0)=0,Referentie_Backlog!K171,IFERROR((VLOOKUP(Inschrijfberekening!R13,Database_Asfalt_Verwijderset[#All],45,FALSE)*Inschrijfberekening!K13),0)+IFERROR((VLOOKUP(Inschrijfberekening!S13,Database_Overig_Materieel[#All],45,FALSE)*(Inschrijfberekening!L13/VLOOKUP(Inschrijfberekening!S13,Database_Overig_Materieel[#All],45,FALSE))),0)),0))</f>
        <v>0</v>
      </c>
      <c r="L91" s="111">
        <f>(IF(Inschrijfberekening!C13="Bestaande Situatie",_xlfn.IFNA(VLOOKUP(Inschrijfberekening!U13,Database_Transport[#All],45,FALSE)*(Inschrijfberekening!K13*Inschrijfberekening!T13),Referentie_Backlog!L171),0))</f>
        <v>0</v>
      </c>
      <c r="M91" s="111">
        <f>(IF(Inschrijfberekening!C13="Bestaande Situatie",_xlfn.IFNA(VLOOKUP(Inschrijfberekening!V13,Database_Asfalt_Verwerkingsset[#All],45,FALSE)*(Inschrijfberekening!K13/VLOOKUP(Inschrijfberekening!V13,Database_Asfalt_Verwerkingsset[#All],45,FALSE)),Referentie_Backlog!M171),0))</f>
        <v>0</v>
      </c>
      <c r="N91" s="111">
        <f>(IF(Inschrijfberekening!C13="Bestaande Situatie",_xlfn.IFNA(VLOOKUP(Inschrijf_Fossiele_Energie_Totaal[[#This Row],[Product]]&amp;", "&amp;Inschrijf_MKI_Totaal[[#Headers],[C4]],Database_Productkaarten[#All],50,FALSE)*Inschrijfberekening!K13,Referentie_Backlog!N171),0))</f>
        <v>0</v>
      </c>
      <c r="O91" s="111" cm="1">
        <f t="array" ref="O91">(IF(Inschrijfberekening!C13="Bestaande Situatie",_xlfn.IFNA((IF(Inschrijfberekening!C13="Nieuwe Situatie",_xlfn.IFS(Inschrijfberekening!E13="Bitumineuze_verhardingen",VLOOKUP(Inschrijf_Fossiele_Energie_Totaal[[#This Row],[Product]]&amp;", "&amp;Inschrijf_Fossiele_Energie_Totaal[[#Headers],[D1]],Database_Productkaarten[#All],50,FALSE)*Inschrijfberekening!K13,Inschrijfberekening!E13="Funderingslagen",VLOOKUP(Inschrijf_Fossiele_Energie_Totaal[[#This Row],[Product]]&amp;", "&amp;Inschrijf_Fossiele_Energie_Totaal[[#Headers],[D1]],Database_Productkaarten[#All],50,FALSE)*Inschrijfberekening!K13,Inschrijfberekening!E13="Grondwerken",VLOOKUP(Inschrijf_Fossiele_Energie_Totaal[[#This Row],[Product]]&amp;", "&amp;Inschrijf_Fossiele_Energie_Totaal[[#Headers],[D1]],Database_Productkaarten[#All],50,FALSE)*Inschrijfberekening!K13,Inschrijfberekening!E13="Categorie_1_LCA_Producten",VLOOKUP(Inschrijf_Fossiele_Energie_Totaal[[#This Row],[Product]],Categorie_1_Producten[#All],30,FALSE)*(Inschrijfberekening!K13)),0)),Referentie_Backlog!P171),0))</f>
        <v>0</v>
      </c>
      <c r="P91" s="114" cm="1">
        <f t="array" ref="P91">(IF(Inschrijfberekening!C13="Bestaande Situatie",_xlfn.IFNA((IF(Inschrijfberekening!C13="Nieuwe Situatie",_xlfn.IFS(Inschrijfberekening!E13="Bitumineuze_verhardingen",VLOOKUP(Inschrijf_Fossiele_Energie_Totaal[[#This Row],[Product]]&amp;", "&amp;Inschrijf_Fossiele_Energie_Totaal[[#Headers],[D2]],Database_Productkaarten[#All],50,FALSE)*Inschrijfberekening!K13,Inschrijfberekening!E13="Funderingslagen",VLOOKUP(Inschrijf_Fossiele_Energie_Totaal[[#This Row],[Product]]&amp;", "&amp;Inschrijf_Fossiele_Energie_Totaal[[#Headers],[D2]],Database_Productkaarten[#All],50,FALSE)*Inschrijfberekening!K13,Inschrijfberekening!E13="Grondwerken",VLOOKUP(Inschrijf_Fossiele_Energie_Totaal[[#This Row],[Product]]&amp;", "&amp;Inschrijf_Fossiele_Energie_Totaal[[#Headers],[D2]],Database_Productkaarten[#All],50,FALSE)*Inschrijfberekening!K13,Inschrijfberekening!E13="Categorie_1_LCA_Producten",VLOOKUP(Inschrijf_Fossiele_Energie_Totaal[[#This Row],[Product]],Categorie_1_Producten[#All],31,FALSE)*(Inschrijfberekening!K13)),0)),Referentie_Backlog!P171),0))</f>
        <v>0</v>
      </c>
      <c r="Q91" s="111">
        <f>SUM(Inschrijf_Fossiele_Energie_Totaal[[#This Row],[A1]:[D2]])</f>
        <v>533.57794200000001</v>
      </c>
    </row>
    <row r="92" spans="2:17" ht="18" x14ac:dyDescent="0.55000000000000004">
      <c r="B92" s="285">
        <f>Inschrijfberekening!B14</f>
        <v>0</v>
      </c>
      <c r="C92" s="23">
        <f>Inschrijfberekening!F14</f>
        <v>0</v>
      </c>
      <c r="D92" s="111" cm="1">
        <f t="array" ref="D92">(IF(Inschrijfberekening!C14="Nieuwe Situatie",_xlfn.IFNA(_xlfn.IFS(Inschrijfberekening!E14="Bitumineuze_verhardingen",VLOOKUP(Inschrijf_Fossiele_Energie_Totaal[[#This Row],[Product]]&amp;", "&amp;Inschrijf_Fossiele_Energie_Totaal[[#Headers],[A1]],Database_Productkaarten[#All],50,FALSE)*Inschrijfberekening!K14,Inschrijfberekening!E14="Funderingslagen",VLOOKUP(Inschrijf_Fossiele_Energie_Totaal[[#This Row],[Product]]&amp;", "&amp;Inschrijf_Fossiele_Energie_Totaal[[#Headers],[A1]],Database_Productkaarten[#All],22,FALSE)*Inschrijfberekening!K14,Inschrijfberekening!E14="Grondwerken",VLOOKUP(Inschrijf_Fossiele_Energie_Totaal[[#This Row],[Product]]&amp;", "&amp;Inschrijf_Fossiele_Energie_Totaal[[#Headers],[A1]],Database_Productkaarten[#All],22,FALSE)*Inschrijfberekening!K14,Inschrijfberekening!E14="Categorie_1_LCA_Producten",VLOOKUP(Inschrijf_Fossiele_Energie_Totaal[[#This Row],[Product]],Categorie_1_Producten[#All],26,FALSE)*(Inschrijfberekening!K14)),Referentie_Backlog!D172),0))</f>
        <v>0</v>
      </c>
      <c r="E92" s="111" cm="1">
        <f t="array" ref="E92">(IF(Inschrijfberekening!C14="Nieuwe Situatie",_xlfn.IFNA(_xlfn.IFS(Inschrijfberekening!E14="Bitumineuze_verhardingen",VLOOKUP(Inschrijf_Fossiele_Energie_Totaal[[#This Row],[Product]]&amp;", "&amp;Inschrijf_Fossiele_Energie_Totaal[[#Headers],[A2]],Database_Productkaarten[#All],50,FALSE)*Inschrijfberekening!K14,Inschrijfberekening!E14="Funderingslagen",VLOOKUP(Inschrijf_Fossiele_Energie_Totaal[[#This Row],[Product]]&amp;", "&amp;Inschrijf_Fossiele_Energie_Totaal[[#Headers],[A2]],Database_Productkaarten[#All],50,FALSE)*Inschrijfberekening!K14,Inschrijfberekening!E14="Grondwerken",VLOOKUP(Inschrijf_Fossiele_Energie_Totaal[[#This Row],[Product]]&amp;", "&amp;Inschrijf_Fossiele_Energie_Totaal[[#Headers],[A2]],Database_Productkaarten[#All],50,FALSE)*Inschrijfberekening!K14,Inschrijfberekening!E14="Categorie_1_LCA_Producten",VLOOKUP(Inschrijf_Fossiele_Energie_Totaal[[#This Row],[Product]],Categorie_1_Producten[#All],27,FALSE)*(Inschrijfberekening!K14)),Referentie_Backlog!D172),0))</f>
        <v>0</v>
      </c>
      <c r="F92" s="111" cm="1">
        <f t="array" ref="F92">(IF(Inschrijfberekening!C14="Nieuwe Situatie",_xlfn.IFNA(_xlfn.IFS(Inschrijfberekening!E14="Bitumineuze_verhardingen",VLOOKUP(Inschrijf_Fossiele_Energie_Totaal[[#This Row],[Product]]&amp;", "&amp;Inschrijf_Fossiele_Energie_Totaal[[#Headers],[A3]],Database_Productkaarten[#All],50,FALSE)*Inschrijfberekening!K14,Inschrijfberekening!E14="Funderingslagen",VLOOKUP(Inschrijf_Fossiele_Energie_Totaal[[#This Row],[Product]]&amp;", "&amp;Inschrijf_Fossiele_Energie_Totaal[[#Headers],[A3]],Database_Productkaarten[#All],50,FALSE)*Inschrijfberekening!K14,Inschrijfberekening!E14="Grondwerken",VLOOKUP(Inschrijf_Fossiele_Energie_Totaal[[#This Row],[Product]]&amp;", "&amp;Inschrijf_Fossiele_Energie_Totaal[[#Headers],[A3]],Database_Productkaarten[#All],50,FALSE)*Inschrijfberekening!K14,Inschrijfberekening!E14="Categorie_1_LCA_Producten",VLOOKUP(Inschrijf_Fossiele_Energie_Totaal[[#This Row],[Product]],Categorie_1_Producten[#All],28,FALSE)*(Inschrijfberekening!K14)),Referentie_Backlog!D172),0))</f>
        <v>0</v>
      </c>
      <c r="G92" s="111">
        <f>(IF(Inschrijfberekening!C14="Nieuwe Situatie",_xlfn.IFNA(VLOOKUP(Inschrijfberekening!K46,Database_Transport[#All],45,FALSE)*(Inschrijfberekening!K14*Inschrijfberekening!N14),Referentie_Backlog!G172),0))</f>
        <v>0</v>
      </c>
      <c r="H92" s="112">
        <f>_xlfn.IFNA((IF(Inschrijfberekening!C14="Nieuwe Situatie",(VLOOKUP(Inschrijfberekening!P14,Database_Asfalt_Aanlegset[#All],45,FALSE)*Inschrijfberekening!K14)+IFERROR(((VLOOKUP(Inschrijfberekening!Q14,Database_Overig_Materieel[#All],45,FALSE)*(Inschrijfberekening!L14/VLOOKUP(Inschrijfberekening!Q14,Database_Overig_Materieel[#All],45,FALSE)))),0),0)),Referentie_Backlog!H172)</f>
        <v>0</v>
      </c>
      <c r="I92" s="111" cm="1">
        <f t="array" ref="I92">(IF(Inschrijfberekening!C14="Nieuwe Situatie",_xlfn.IFNA(_xlfn.IFS(Inschrijfberekening!E14="Bitumineuze_verhardingen",VLOOKUP(Inschrijf_Fossiele_Energie_Totaal[[#This Row],[Product]]&amp;", "&amp;Inschrijf_Fossiele_Energie_Totaal[[#Headers],[B1]],Database_Productkaarten[#All],50,FALSE)*Inschrijfberekening!K14,Inschrijfberekening!E14="Funderingslagen",VLOOKUP(Inschrijf_Fossiele_Energie_Totaal[[#This Row],[Product]]&amp;", "&amp;Inschrijf_Fossiele_Energie_Totaal[[#Headers],[B1]],Database_Productkaarten[#All],50,FALSE)*Inschrijfberekening!K14,Inschrijfberekening!E14="Grondwerken",VLOOKUP(Inschrijf_Fossiele_Energie_Totaal[[#This Row],[Product]]&amp;", "&amp;Inschrijf_Fossiele_Energie_Totaal[[#Headers],[B1]],Database_Productkaarten[#All],50,FALSE)*Inschrijfberekening!K14,Inschrijfberekening!E14="Categorie_1_LCA_Producten",VLOOKUP(Inschrijf_Fossiele_Energie_Totaal[[#This Row],[Product]],Categorie_1_Producten[#All],29,FALSE)*(Inschrijfberekening!K14)),Referentie_Backlog!D172),0))</f>
        <v>0</v>
      </c>
      <c r="J92" s="173">
        <f>(IF(Inschrijfberekening!C14="Nieuwe Situatie",_xlfn.IFNA(SUM(Inschrijf_Fossiele_Energie_Totaal[[#This Row],[A1]:[B1]],Inschrijf_Fossiele_Energie_Totaal[[#This Row],[C1]:[D2]])*Inschrijfberekening!M14,0),0))</f>
        <v>0</v>
      </c>
      <c r="K92" s="113">
        <f>(IF(Inschrijfberekening!C14="Bestaande Situatie",IF(IFERROR((VLOOKUP(Inschrijfberekening!R14,Database_Asfalt_Verwijderset[#All],45,FALSE)*Inschrijfberekening!K14),0)+IFERROR((VLOOKUP(Inschrijfberekening!S14,Database_Overig_Materieel[#All],45,FALSE)*(Inschrijfberekening!L14/VLOOKUP(Inschrijfberekening!S14,Database_Overig_Materieel[#All],45,FALSE))),0)=0,Referentie_Backlog!K172,IFERROR((VLOOKUP(Inschrijfberekening!R14,Database_Asfalt_Verwijderset[#All],45,FALSE)*Inschrijfberekening!K14),0)+IFERROR((VLOOKUP(Inschrijfberekening!S14,Database_Overig_Materieel[#All],45,FALSE)*(Inschrijfberekening!L14/VLOOKUP(Inschrijfberekening!S14,Database_Overig_Materieel[#All],45,FALSE))),0)),0))</f>
        <v>0</v>
      </c>
      <c r="L92" s="111">
        <f>(IF(Inschrijfberekening!C14="Bestaande Situatie",_xlfn.IFNA(VLOOKUP(Inschrijfberekening!U14,Database_Transport[#All],45,FALSE)*(Inschrijfberekening!K14*Inschrijfberekening!T14),Referentie_Backlog!L172),0))</f>
        <v>0</v>
      </c>
      <c r="M92" s="111">
        <f>(IF(Inschrijfberekening!C14="Bestaande Situatie",_xlfn.IFNA(VLOOKUP(Inschrijfberekening!V14,Database_Asfalt_Verwerkingsset[#All],45,FALSE)*(Inschrijfberekening!K14/VLOOKUP(Inschrijfberekening!V14,Database_Asfalt_Verwerkingsset[#All],45,FALSE)),Referentie_Backlog!M172),0))</f>
        <v>0</v>
      </c>
      <c r="N92" s="111">
        <f>(IF(Inschrijfberekening!C14="Bestaande Situatie",_xlfn.IFNA(VLOOKUP(Inschrijf_Fossiele_Energie_Totaal[[#This Row],[Product]]&amp;", "&amp;Inschrijf_MKI_Totaal[[#Headers],[C4]],Database_Productkaarten[#All],50,FALSE)*Inschrijfberekening!K14,Referentie_Backlog!N172),0))</f>
        <v>0</v>
      </c>
      <c r="O92" s="111" cm="1">
        <f t="array" ref="O92">(IF(Inschrijfberekening!C14="Bestaande Situatie",_xlfn.IFNA((IF(Inschrijfberekening!C14="Nieuwe Situatie",_xlfn.IFS(Inschrijfberekening!E14="Bitumineuze_verhardingen",VLOOKUP(Inschrijf_Fossiele_Energie_Totaal[[#This Row],[Product]]&amp;", "&amp;Inschrijf_Fossiele_Energie_Totaal[[#Headers],[D1]],Database_Productkaarten[#All],50,FALSE)*Inschrijfberekening!K14,Inschrijfberekening!E14="Funderingslagen",VLOOKUP(Inschrijf_Fossiele_Energie_Totaal[[#This Row],[Product]]&amp;", "&amp;Inschrijf_Fossiele_Energie_Totaal[[#Headers],[D1]],Database_Productkaarten[#All],50,FALSE)*Inschrijfberekening!K14,Inschrijfberekening!E14="Grondwerken",VLOOKUP(Inschrijf_Fossiele_Energie_Totaal[[#This Row],[Product]]&amp;", "&amp;Inschrijf_Fossiele_Energie_Totaal[[#Headers],[D1]],Database_Productkaarten[#All],50,FALSE)*Inschrijfberekening!K14,Inschrijfberekening!E14="Categorie_1_LCA_Producten",VLOOKUP(Inschrijf_Fossiele_Energie_Totaal[[#This Row],[Product]],Categorie_1_Producten[#All],30,FALSE)*(Inschrijfberekening!K14)),0)),Referentie_Backlog!P172),0))</f>
        <v>0</v>
      </c>
      <c r="P92" s="114" cm="1">
        <f t="array" ref="P92">(IF(Inschrijfberekening!C14="Bestaande Situatie",_xlfn.IFNA((IF(Inschrijfberekening!C14="Nieuwe Situatie",_xlfn.IFS(Inschrijfberekening!E14="Bitumineuze_verhardingen",VLOOKUP(Inschrijf_Fossiele_Energie_Totaal[[#This Row],[Product]]&amp;", "&amp;Inschrijf_Fossiele_Energie_Totaal[[#Headers],[D2]],Database_Productkaarten[#All],50,FALSE)*Inschrijfberekening!K14,Inschrijfberekening!E14="Funderingslagen",VLOOKUP(Inschrijf_Fossiele_Energie_Totaal[[#This Row],[Product]]&amp;", "&amp;Inschrijf_Fossiele_Energie_Totaal[[#Headers],[D2]],Database_Productkaarten[#All],50,FALSE)*Inschrijfberekening!K14,Inschrijfberekening!E14="Grondwerken",VLOOKUP(Inschrijf_Fossiele_Energie_Totaal[[#This Row],[Product]]&amp;", "&amp;Inschrijf_Fossiele_Energie_Totaal[[#Headers],[D2]],Database_Productkaarten[#All],50,FALSE)*Inschrijfberekening!K14,Inschrijfberekening!E14="Categorie_1_LCA_Producten",VLOOKUP(Inschrijf_Fossiele_Energie_Totaal[[#This Row],[Product]],Categorie_1_Producten[#All],31,FALSE)*(Inschrijfberekening!K14)),0)),Referentie_Backlog!P172),0))</f>
        <v>0</v>
      </c>
      <c r="Q92" s="111">
        <f>SUM(Inschrijf_Fossiele_Energie_Totaal[[#This Row],[A1]:[D2]])</f>
        <v>0</v>
      </c>
    </row>
    <row r="93" spans="2:17" ht="18" x14ac:dyDescent="0.55000000000000004">
      <c r="B93" s="285">
        <f>Inschrijfberekening!B15</f>
        <v>0</v>
      </c>
      <c r="C93" s="39">
        <f>Inschrijfberekening!F15</f>
        <v>0</v>
      </c>
      <c r="D93" s="111" cm="1">
        <f t="array" ref="D93">(IF(Inschrijfberekening!C15="Nieuwe Situatie",_xlfn.IFNA(_xlfn.IFS(Inschrijfberekening!E15="Bitumineuze_verhardingen",VLOOKUP(Inschrijf_Fossiele_Energie_Totaal[[#This Row],[Product]]&amp;", "&amp;Inschrijf_Fossiele_Energie_Totaal[[#Headers],[A1]],Database_Productkaarten[#All],50,FALSE)*Inschrijfberekening!K15,Inschrijfberekening!E15="Funderingslagen",VLOOKUP(Inschrijf_Fossiele_Energie_Totaal[[#This Row],[Product]]&amp;", "&amp;Inschrijf_Fossiele_Energie_Totaal[[#Headers],[A1]],Database_Productkaarten[#All],22,FALSE)*Inschrijfberekening!K15,Inschrijfberekening!E15="Grondwerken",VLOOKUP(Inschrijf_Fossiele_Energie_Totaal[[#This Row],[Product]]&amp;", "&amp;Inschrijf_Fossiele_Energie_Totaal[[#Headers],[A1]],Database_Productkaarten[#All],22,FALSE)*Inschrijfberekening!K15,Inschrijfberekening!E15="Categorie_1_LCA_Producten",VLOOKUP(Inschrijf_Fossiele_Energie_Totaal[[#This Row],[Product]],Categorie_1_Producten[#All],26,FALSE)*(Inschrijfberekening!K15)),Referentie_Backlog!D173),0))</f>
        <v>0</v>
      </c>
      <c r="E93" s="111" cm="1">
        <f t="array" ref="E93">(IF(Inschrijfberekening!C15="Nieuwe Situatie",_xlfn.IFNA(_xlfn.IFS(Inschrijfberekening!E15="Bitumineuze_verhardingen",VLOOKUP(Inschrijf_Fossiele_Energie_Totaal[[#This Row],[Product]]&amp;", "&amp;Inschrijf_Fossiele_Energie_Totaal[[#Headers],[A2]],Database_Productkaarten[#All],50,FALSE)*Inschrijfberekening!K15,Inschrijfberekening!E15="Funderingslagen",VLOOKUP(Inschrijf_Fossiele_Energie_Totaal[[#This Row],[Product]]&amp;", "&amp;Inschrijf_Fossiele_Energie_Totaal[[#Headers],[A2]],Database_Productkaarten[#All],50,FALSE)*Inschrijfberekening!K15,Inschrijfberekening!E15="Grondwerken",VLOOKUP(Inschrijf_Fossiele_Energie_Totaal[[#This Row],[Product]]&amp;", "&amp;Inschrijf_Fossiele_Energie_Totaal[[#Headers],[A2]],Database_Productkaarten[#All],50,FALSE)*Inschrijfberekening!K15,Inschrijfberekening!E15="Categorie_1_LCA_Producten",VLOOKUP(Inschrijf_Fossiele_Energie_Totaal[[#This Row],[Product]],Categorie_1_Producten[#All],27,FALSE)*(Inschrijfberekening!K15)),Referentie_Backlog!D173),0))</f>
        <v>0</v>
      </c>
      <c r="F93" s="111" cm="1">
        <f t="array" ref="F93">(IF(Inschrijfberekening!C15="Nieuwe Situatie",_xlfn.IFNA(_xlfn.IFS(Inschrijfberekening!E15="Bitumineuze_verhardingen",VLOOKUP(Inschrijf_Fossiele_Energie_Totaal[[#This Row],[Product]]&amp;", "&amp;Inschrijf_Fossiele_Energie_Totaal[[#Headers],[A3]],Database_Productkaarten[#All],50,FALSE)*Inschrijfberekening!K15,Inschrijfberekening!E15="Funderingslagen",VLOOKUP(Inschrijf_Fossiele_Energie_Totaal[[#This Row],[Product]]&amp;", "&amp;Inschrijf_Fossiele_Energie_Totaal[[#Headers],[A3]],Database_Productkaarten[#All],50,FALSE)*Inschrijfberekening!K15,Inschrijfberekening!E15="Grondwerken",VLOOKUP(Inschrijf_Fossiele_Energie_Totaal[[#This Row],[Product]]&amp;", "&amp;Inschrijf_Fossiele_Energie_Totaal[[#Headers],[A3]],Database_Productkaarten[#All],50,FALSE)*Inschrijfberekening!K15,Inschrijfberekening!E15="Categorie_1_LCA_Producten",VLOOKUP(Inschrijf_Fossiele_Energie_Totaal[[#This Row],[Product]],Categorie_1_Producten[#All],28,FALSE)*(Inschrijfberekening!K15)),Referentie_Backlog!D173),0))</f>
        <v>0</v>
      </c>
      <c r="G93" s="111">
        <f>(IF(Inschrijfberekening!C15="Nieuwe Situatie",_xlfn.IFNA(VLOOKUP(Inschrijfberekening!K48,Database_Transport[#All],45,FALSE)*(Inschrijfberekening!K15*Inschrijfberekening!N15),Referentie_Backlog!G173),0))</f>
        <v>0</v>
      </c>
      <c r="H93" s="112">
        <f>_xlfn.IFNA((IF(Inschrijfberekening!C15="Nieuwe Situatie",(VLOOKUP(Inschrijfberekening!P15,Database_Asfalt_Aanlegset[#All],45,FALSE)*Inschrijfberekening!K15)+IFERROR(((VLOOKUP(Inschrijfberekening!Q15,Database_Overig_Materieel[#All],45,FALSE)*(Inschrijfberekening!L15/VLOOKUP(Inschrijfberekening!Q15,Database_Overig_Materieel[#All],45,FALSE)))),0),0)),Referentie_Backlog!H173)</f>
        <v>0</v>
      </c>
      <c r="I93" s="111" cm="1">
        <f t="array" ref="I93">(IF(Inschrijfberekening!C15="Nieuwe Situatie",_xlfn.IFNA(_xlfn.IFS(Inschrijfberekening!E15="Bitumineuze_verhardingen",VLOOKUP(Inschrijf_Fossiele_Energie_Totaal[[#This Row],[Product]]&amp;", "&amp;Inschrijf_Fossiele_Energie_Totaal[[#Headers],[B1]],Database_Productkaarten[#All],50,FALSE)*Inschrijfberekening!K15,Inschrijfberekening!E15="Funderingslagen",VLOOKUP(Inschrijf_Fossiele_Energie_Totaal[[#This Row],[Product]]&amp;", "&amp;Inschrijf_Fossiele_Energie_Totaal[[#Headers],[B1]],Database_Productkaarten[#All],50,FALSE)*Inschrijfberekening!K15,Inschrijfberekening!E15="Grondwerken",VLOOKUP(Inschrijf_Fossiele_Energie_Totaal[[#This Row],[Product]]&amp;", "&amp;Inschrijf_Fossiele_Energie_Totaal[[#Headers],[B1]],Database_Productkaarten[#All],50,FALSE)*Inschrijfberekening!K15,Inschrijfberekening!E15="Categorie_1_LCA_Producten",VLOOKUP(Inschrijf_Fossiele_Energie_Totaal[[#This Row],[Product]],Categorie_1_Producten[#All],29,FALSE)*(Inschrijfberekening!K15)),Referentie_Backlog!D173),0))</f>
        <v>0</v>
      </c>
      <c r="J93" s="173">
        <f>(IF(Inschrijfberekening!C15="Nieuwe Situatie",_xlfn.IFNA(SUM(Inschrijf_Fossiele_Energie_Totaal[[#This Row],[A1]:[B1]],Inschrijf_Fossiele_Energie_Totaal[[#This Row],[C1]:[D2]])*Inschrijfberekening!M15,0),0))</f>
        <v>0</v>
      </c>
      <c r="K93" s="113">
        <f>(IF(Inschrijfberekening!C15="Bestaande Situatie",IF(IFERROR((VLOOKUP(Inschrijfberekening!R15,Database_Asfalt_Verwijderset[#All],45,FALSE)*Inschrijfberekening!K15),0)+IFERROR((VLOOKUP(Inschrijfberekening!S15,Database_Overig_Materieel[#All],45,FALSE)*(Inschrijfberekening!L15/VLOOKUP(Inschrijfberekening!S15,Database_Overig_Materieel[#All],45,FALSE))),0)=0,Referentie_Backlog!K173,IFERROR((VLOOKUP(Inschrijfberekening!R15,Database_Asfalt_Verwijderset[#All],45,FALSE)*Inschrijfberekening!K15),0)+IFERROR((VLOOKUP(Inschrijfberekening!S15,Database_Overig_Materieel[#All],45,FALSE)*(Inschrijfberekening!L15/VLOOKUP(Inschrijfberekening!S15,Database_Overig_Materieel[#All],45,FALSE))),0)),0))</f>
        <v>0</v>
      </c>
      <c r="L93" s="111">
        <f>(IF(Inschrijfberekening!C15="Bestaande Situatie",_xlfn.IFNA(VLOOKUP(Inschrijfberekening!U15,Database_Transport[#All],45,FALSE)*(Inschrijfberekening!K15*Inschrijfberekening!T15),Referentie_Backlog!L173),0))</f>
        <v>0</v>
      </c>
      <c r="M93" s="111">
        <f>(IF(Inschrijfberekening!C15="Bestaande Situatie",_xlfn.IFNA(VLOOKUP(Inschrijfberekening!V15,Database_Asfalt_Verwerkingsset[#All],45,FALSE)*(Inschrijfberekening!K15/VLOOKUP(Inschrijfberekening!V15,Database_Asfalt_Verwerkingsset[#All],45,FALSE)),Referentie_Backlog!M173),0))</f>
        <v>0</v>
      </c>
      <c r="N93" s="111">
        <f>(IF(Inschrijfberekening!C15="Bestaande Situatie",_xlfn.IFNA(VLOOKUP(Inschrijf_Fossiele_Energie_Totaal[[#This Row],[Product]]&amp;", "&amp;Inschrijf_MKI_Totaal[[#Headers],[C4]],Database_Productkaarten[#All],50,FALSE)*Inschrijfberekening!K15,Referentie_Backlog!N173),0))</f>
        <v>0</v>
      </c>
      <c r="O93" s="111" cm="1">
        <f t="array" ref="O93">(IF(Inschrijfberekening!C15="Bestaande Situatie",_xlfn.IFNA((IF(Inschrijfberekening!C15="Nieuwe Situatie",_xlfn.IFS(Inschrijfberekening!E15="Bitumineuze_verhardingen",VLOOKUP(Inschrijf_Fossiele_Energie_Totaal[[#This Row],[Product]]&amp;", "&amp;Inschrijf_Fossiele_Energie_Totaal[[#Headers],[D1]],Database_Productkaarten[#All],50,FALSE)*Inschrijfberekening!K15,Inschrijfberekening!E15="Funderingslagen",VLOOKUP(Inschrijf_Fossiele_Energie_Totaal[[#This Row],[Product]]&amp;", "&amp;Inschrijf_Fossiele_Energie_Totaal[[#Headers],[D1]],Database_Productkaarten[#All],50,FALSE)*Inschrijfberekening!K15,Inschrijfberekening!E15="Grondwerken",VLOOKUP(Inschrijf_Fossiele_Energie_Totaal[[#This Row],[Product]]&amp;", "&amp;Inschrijf_Fossiele_Energie_Totaal[[#Headers],[D1]],Database_Productkaarten[#All],50,FALSE)*Inschrijfberekening!K15,Inschrijfberekening!E15="Categorie_1_LCA_Producten",VLOOKUP(Inschrijf_Fossiele_Energie_Totaal[[#This Row],[Product]],Categorie_1_Producten[#All],30,FALSE)*(Inschrijfberekening!K15)),0)),Referentie_Backlog!P173),0))</f>
        <v>0</v>
      </c>
      <c r="P93" s="114" cm="1">
        <f t="array" ref="P93">(IF(Inschrijfberekening!C15="Bestaande Situatie",_xlfn.IFNA((IF(Inschrijfberekening!C15="Nieuwe Situatie",_xlfn.IFS(Inschrijfberekening!E15="Bitumineuze_verhardingen",VLOOKUP(Inschrijf_Fossiele_Energie_Totaal[[#This Row],[Product]]&amp;", "&amp;Inschrijf_Fossiele_Energie_Totaal[[#Headers],[D2]],Database_Productkaarten[#All],50,FALSE)*Inschrijfberekening!K15,Inschrijfberekening!E15="Funderingslagen",VLOOKUP(Inschrijf_Fossiele_Energie_Totaal[[#This Row],[Product]]&amp;", "&amp;Inschrijf_Fossiele_Energie_Totaal[[#Headers],[D2]],Database_Productkaarten[#All],50,FALSE)*Inschrijfberekening!K15,Inschrijfberekening!E15="Grondwerken",VLOOKUP(Inschrijf_Fossiele_Energie_Totaal[[#This Row],[Product]]&amp;", "&amp;Inschrijf_Fossiele_Energie_Totaal[[#Headers],[D2]],Database_Productkaarten[#All],50,FALSE)*Inschrijfberekening!K15,Inschrijfberekening!E15="Categorie_1_LCA_Producten",VLOOKUP(Inschrijf_Fossiele_Energie_Totaal[[#This Row],[Product]],Categorie_1_Producten[#All],31,FALSE)*(Inschrijfberekening!K15)),0)),Referentie_Backlog!P173),0))</f>
        <v>0</v>
      </c>
      <c r="Q93" s="111">
        <f>SUM(Inschrijf_Fossiele_Energie_Totaal[[#This Row],[A1]:[D2]])</f>
        <v>0</v>
      </c>
    </row>
    <row r="94" spans="2:17" ht="18" x14ac:dyDescent="0.55000000000000004">
      <c r="B94" s="285">
        <f>Inschrijfberekening!B16</f>
        <v>0</v>
      </c>
      <c r="C94" s="39">
        <f>Inschrijfberekening!F16</f>
        <v>0</v>
      </c>
      <c r="D94" s="111" cm="1">
        <f t="array" ref="D94">(IF(Inschrijfberekening!C16="Nieuwe Situatie",_xlfn.IFNA(_xlfn.IFS(Inschrijfberekening!E16="Bitumineuze_verhardingen",VLOOKUP(Inschrijf_Fossiele_Energie_Totaal[[#This Row],[Product]]&amp;", "&amp;Inschrijf_Fossiele_Energie_Totaal[[#Headers],[A1]],Database_Productkaarten[#All],50,FALSE)*Inschrijfberekening!K16,Inschrijfberekening!E16="Funderingslagen",VLOOKUP(Inschrijf_Fossiele_Energie_Totaal[[#This Row],[Product]]&amp;", "&amp;Inschrijf_Fossiele_Energie_Totaal[[#Headers],[A1]],Database_Productkaarten[#All],22,FALSE)*Inschrijfberekening!K16,Inschrijfberekening!E16="Grondwerken",VLOOKUP(Inschrijf_Fossiele_Energie_Totaal[[#This Row],[Product]]&amp;", "&amp;Inschrijf_Fossiele_Energie_Totaal[[#Headers],[A1]],Database_Productkaarten[#All],22,FALSE)*Inschrijfberekening!K16,Inschrijfberekening!E16="Categorie_1_LCA_Producten",VLOOKUP(Inschrijf_Fossiele_Energie_Totaal[[#This Row],[Product]],Categorie_1_Producten[#All],26,FALSE)*(Inschrijfberekening!K16)),Referentie_Backlog!D174),0))</f>
        <v>0</v>
      </c>
      <c r="E94" s="111" cm="1">
        <f t="array" ref="E94">(IF(Inschrijfberekening!C16="Nieuwe Situatie",_xlfn.IFNA(_xlfn.IFS(Inschrijfberekening!E16="Bitumineuze_verhardingen",VLOOKUP(Inschrijf_Fossiele_Energie_Totaal[[#This Row],[Product]]&amp;", "&amp;Inschrijf_Fossiele_Energie_Totaal[[#Headers],[A2]],Database_Productkaarten[#All],50,FALSE)*Inschrijfberekening!K16,Inschrijfberekening!E16="Funderingslagen",VLOOKUP(Inschrijf_Fossiele_Energie_Totaal[[#This Row],[Product]]&amp;", "&amp;Inschrijf_Fossiele_Energie_Totaal[[#Headers],[A2]],Database_Productkaarten[#All],50,FALSE)*Inschrijfberekening!K16,Inschrijfberekening!E16="Grondwerken",VLOOKUP(Inschrijf_Fossiele_Energie_Totaal[[#This Row],[Product]]&amp;", "&amp;Inschrijf_Fossiele_Energie_Totaal[[#Headers],[A2]],Database_Productkaarten[#All],50,FALSE)*Inschrijfberekening!K16,Inschrijfberekening!E16="Categorie_1_LCA_Producten",VLOOKUP(Inschrijf_Fossiele_Energie_Totaal[[#This Row],[Product]],Categorie_1_Producten[#All],27,FALSE)*(Inschrijfberekening!K16)),Referentie_Backlog!D174),0))</f>
        <v>0</v>
      </c>
      <c r="F94" s="111" cm="1">
        <f t="array" ref="F94">(IF(Inschrijfberekening!C16="Nieuwe Situatie",_xlfn.IFNA(_xlfn.IFS(Inschrijfberekening!E16="Bitumineuze_verhardingen",VLOOKUP(Inschrijf_Fossiele_Energie_Totaal[[#This Row],[Product]]&amp;", "&amp;Inschrijf_Fossiele_Energie_Totaal[[#Headers],[A3]],Database_Productkaarten[#All],50,FALSE)*Inschrijfberekening!K16,Inschrijfberekening!E16="Funderingslagen",VLOOKUP(Inschrijf_Fossiele_Energie_Totaal[[#This Row],[Product]]&amp;", "&amp;Inschrijf_Fossiele_Energie_Totaal[[#Headers],[A3]],Database_Productkaarten[#All],50,FALSE)*Inschrijfberekening!K16,Inschrijfberekening!E16="Grondwerken",VLOOKUP(Inschrijf_Fossiele_Energie_Totaal[[#This Row],[Product]]&amp;", "&amp;Inschrijf_Fossiele_Energie_Totaal[[#Headers],[A3]],Database_Productkaarten[#All],50,FALSE)*Inschrijfberekening!K16,Inschrijfberekening!E16="Categorie_1_LCA_Producten",VLOOKUP(Inschrijf_Fossiele_Energie_Totaal[[#This Row],[Product]],Categorie_1_Producten[#All],28,FALSE)*(Inschrijfberekening!K16)),Referentie_Backlog!D174),0))</f>
        <v>0</v>
      </c>
      <c r="G94" s="111">
        <f>(IF(Inschrijfberekening!C16="Nieuwe Situatie",_xlfn.IFNA(VLOOKUP(Inschrijfberekening!K49,Database_Transport[#All],45,FALSE)*(Inschrijfberekening!K16*Inschrijfberekening!N16),Referentie_Backlog!G174),0))</f>
        <v>0</v>
      </c>
      <c r="H94" s="112">
        <f>_xlfn.IFNA((IF(Inschrijfberekening!C16="Nieuwe Situatie",(VLOOKUP(Inschrijfberekening!P16,Database_Asfalt_Aanlegset[#All],45,FALSE)*Inschrijfberekening!K16)+IFERROR(((VLOOKUP(Inschrijfberekening!Q16,Database_Overig_Materieel[#All],45,FALSE)*(Inschrijfberekening!L16/VLOOKUP(Inschrijfberekening!Q16,Database_Overig_Materieel[#All],45,FALSE)))),0),0)),Referentie_Backlog!H174)</f>
        <v>0</v>
      </c>
      <c r="I94" s="111" cm="1">
        <f t="array" ref="I94">(IF(Inschrijfberekening!C16="Nieuwe Situatie",_xlfn.IFNA(_xlfn.IFS(Inschrijfberekening!E16="Bitumineuze_verhardingen",VLOOKUP(Inschrijf_Fossiele_Energie_Totaal[[#This Row],[Product]]&amp;", "&amp;Inschrijf_Fossiele_Energie_Totaal[[#Headers],[B1]],Database_Productkaarten[#All],50,FALSE)*Inschrijfberekening!K16,Inschrijfberekening!E16="Funderingslagen",VLOOKUP(Inschrijf_Fossiele_Energie_Totaal[[#This Row],[Product]]&amp;", "&amp;Inschrijf_Fossiele_Energie_Totaal[[#Headers],[B1]],Database_Productkaarten[#All],50,FALSE)*Inschrijfberekening!K16,Inschrijfberekening!E16="Grondwerken",VLOOKUP(Inschrijf_Fossiele_Energie_Totaal[[#This Row],[Product]]&amp;", "&amp;Inschrijf_Fossiele_Energie_Totaal[[#Headers],[B1]],Database_Productkaarten[#All],50,FALSE)*Inschrijfberekening!K16,Inschrijfberekening!E16="Categorie_1_LCA_Producten",VLOOKUP(Inschrijf_Fossiele_Energie_Totaal[[#This Row],[Product]],Categorie_1_Producten[#All],29,FALSE)*(Inschrijfberekening!K16)),Referentie_Backlog!D174),0))</f>
        <v>0</v>
      </c>
      <c r="J94" s="173">
        <f>(IF(Inschrijfberekening!C16="Nieuwe Situatie",_xlfn.IFNA(SUM(Inschrijf_Fossiele_Energie_Totaal[[#This Row],[A1]:[B1]],Inschrijf_Fossiele_Energie_Totaal[[#This Row],[C1]:[D2]])*Inschrijfberekening!M16,0),0))</f>
        <v>0</v>
      </c>
      <c r="K94" s="113">
        <f>(IF(Inschrijfberekening!C16="Bestaande Situatie",IF(IFERROR((VLOOKUP(Inschrijfberekening!R16,Database_Asfalt_Verwijderset[#All],45,FALSE)*Inschrijfberekening!K16),0)+IFERROR((VLOOKUP(Inschrijfberekening!S16,Database_Overig_Materieel[#All],45,FALSE)*(Inschrijfberekening!L16/VLOOKUP(Inschrijfberekening!S16,Database_Overig_Materieel[#All],45,FALSE))),0)=0,Referentie_Backlog!K174,IFERROR((VLOOKUP(Inschrijfberekening!R16,Database_Asfalt_Verwijderset[#All],45,FALSE)*Inschrijfberekening!K16),0)+IFERROR((VLOOKUP(Inschrijfberekening!S16,Database_Overig_Materieel[#All],45,FALSE)*(Inschrijfberekening!L16/VLOOKUP(Inschrijfberekening!S16,Database_Overig_Materieel[#All],45,FALSE))),0)),0))</f>
        <v>0</v>
      </c>
      <c r="L94" s="111">
        <f>(IF(Inschrijfberekening!C16="Bestaande Situatie",_xlfn.IFNA(VLOOKUP(Inschrijfberekening!U16,Database_Transport[#All],45,FALSE)*(Inschrijfberekening!K16*Inschrijfberekening!T16),Referentie_Backlog!L174),0))</f>
        <v>0</v>
      </c>
      <c r="M94" s="111">
        <f>(IF(Inschrijfberekening!C16="Bestaande Situatie",_xlfn.IFNA(VLOOKUP(Inschrijfberekening!V16,Database_Asfalt_Verwerkingsset[#All],45,FALSE)*(Inschrijfberekening!K16/VLOOKUP(Inschrijfberekening!V16,Database_Asfalt_Verwerkingsset[#All],45,FALSE)),Referentie_Backlog!M174),0))</f>
        <v>0</v>
      </c>
      <c r="N94" s="111">
        <f>(IF(Inschrijfberekening!C16="Bestaande Situatie",_xlfn.IFNA(VLOOKUP(Inschrijf_Fossiele_Energie_Totaal[[#This Row],[Product]]&amp;", "&amp;Inschrijf_MKI_Totaal[[#Headers],[C4]],Database_Productkaarten[#All],50,FALSE)*Inschrijfberekening!K16,Referentie_Backlog!N174),0))</f>
        <v>0</v>
      </c>
      <c r="O94" s="111" cm="1">
        <f t="array" ref="O94">(IF(Inschrijfberekening!C16="Bestaande Situatie",_xlfn.IFNA((IF(Inschrijfberekening!C16="Nieuwe Situatie",_xlfn.IFS(Inschrijfberekening!E16="Bitumineuze_verhardingen",VLOOKUP(Inschrijf_Fossiele_Energie_Totaal[[#This Row],[Product]]&amp;", "&amp;Inschrijf_Fossiele_Energie_Totaal[[#Headers],[D1]],Database_Productkaarten[#All],50,FALSE)*Inschrijfberekening!K16,Inschrijfberekening!E16="Funderingslagen",VLOOKUP(Inschrijf_Fossiele_Energie_Totaal[[#This Row],[Product]]&amp;", "&amp;Inschrijf_Fossiele_Energie_Totaal[[#Headers],[D1]],Database_Productkaarten[#All],50,FALSE)*Inschrijfberekening!K16,Inschrijfberekening!E16="Grondwerken",VLOOKUP(Inschrijf_Fossiele_Energie_Totaal[[#This Row],[Product]]&amp;", "&amp;Inschrijf_Fossiele_Energie_Totaal[[#Headers],[D1]],Database_Productkaarten[#All],50,FALSE)*Inschrijfberekening!K16,Inschrijfberekening!E16="Categorie_1_LCA_Producten",VLOOKUP(Inschrijf_Fossiele_Energie_Totaal[[#This Row],[Product]],Categorie_1_Producten[#All],30,FALSE)*(Inschrijfberekening!K16)),0)),Referentie_Backlog!P174),0))</f>
        <v>0</v>
      </c>
      <c r="P94" s="114" cm="1">
        <f t="array" ref="P94">(IF(Inschrijfberekening!C16="Bestaande Situatie",_xlfn.IFNA((IF(Inschrijfberekening!C16="Nieuwe Situatie",_xlfn.IFS(Inschrijfberekening!E16="Bitumineuze_verhardingen",VLOOKUP(Inschrijf_Fossiele_Energie_Totaal[[#This Row],[Product]]&amp;", "&amp;Inschrijf_Fossiele_Energie_Totaal[[#Headers],[D2]],Database_Productkaarten[#All],50,FALSE)*Inschrijfberekening!K16,Inschrijfberekening!E16="Funderingslagen",VLOOKUP(Inschrijf_Fossiele_Energie_Totaal[[#This Row],[Product]]&amp;", "&amp;Inschrijf_Fossiele_Energie_Totaal[[#Headers],[D2]],Database_Productkaarten[#All],50,FALSE)*Inschrijfberekening!K16,Inschrijfberekening!E16="Grondwerken",VLOOKUP(Inschrijf_Fossiele_Energie_Totaal[[#This Row],[Product]]&amp;", "&amp;Inschrijf_Fossiele_Energie_Totaal[[#Headers],[D2]],Database_Productkaarten[#All],50,FALSE)*Inschrijfberekening!K16,Inschrijfberekening!E16="Categorie_1_LCA_Producten",VLOOKUP(Inschrijf_Fossiele_Energie_Totaal[[#This Row],[Product]],Categorie_1_Producten[#All],31,FALSE)*(Inschrijfberekening!K16)),0)),Referentie_Backlog!P174),0))</f>
        <v>0</v>
      </c>
      <c r="Q94" s="111">
        <f>SUM(Inschrijf_Fossiele_Energie_Totaal[[#This Row],[A1]:[D2]])</f>
        <v>0</v>
      </c>
    </row>
    <row r="95" spans="2:17" ht="18" x14ac:dyDescent="0.55000000000000004">
      <c r="B95" s="285">
        <f>Inschrijfberekening!B17</f>
        <v>0</v>
      </c>
      <c r="C95" s="39">
        <f>Inschrijfberekening!F17</f>
        <v>0</v>
      </c>
      <c r="D95" s="111" cm="1">
        <f t="array" ref="D95">(IF(Inschrijfberekening!C17="Nieuwe Situatie",_xlfn.IFNA(_xlfn.IFS(Inschrijfberekening!E17="Bitumineuze_verhardingen",VLOOKUP(Inschrijf_Fossiele_Energie_Totaal[[#This Row],[Product]]&amp;", "&amp;Inschrijf_Fossiele_Energie_Totaal[[#Headers],[A1]],Database_Productkaarten[#All],50,FALSE)*Inschrijfberekening!K17,Inschrijfberekening!E17="Funderingslagen",VLOOKUP(Inschrijf_Fossiele_Energie_Totaal[[#This Row],[Product]]&amp;", "&amp;Inschrijf_Fossiele_Energie_Totaal[[#Headers],[A1]],Database_Productkaarten[#All],22,FALSE)*Inschrijfberekening!K17,Inschrijfberekening!E17="Grondwerken",VLOOKUP(Inschrijf_Fossiele_Energie_Totaal[[#This Row],[Product]]&amp;", "&amp;Inschrijf_Fossiele_Energie_Totaal[[#Headers],[A1]],Database_Productkaarten[#All],22,FALSE)*Inschrijfberekening!K17,Inschrijfberekening!E17="Categorie_1_LCA_Producten",VLOOKUP(Inschrijf_Fossiele_Energie_Totaal[[#This Row],[Product]],Categorie_1_Producten[#All],26,FALSE)*(Inschrijfberekening!K17)),Referentie_Backlog!D175),0))</f>
        <v>0</v>
      </c>
      <c r="E95" s="111" cm="1">
        <f t="array" ref="E95">(IF(Inschrijfberekening!C17="Nieuwe Situatie",_xlfn.IFNA(_xlfn.IFS(Inschrijfberekening!E17="Bitumineuze_verhardingen",VLOOKUP(Inschrijf_Fossiele_Energie_Totaal[[#This Row],[Product]]&amp;", "&amp;Inschrijf_Fossiele_Energie_Totaal[[#Headers],[A2]],Database_Productkaarten[#All],50,FALSE)*Inschrijfberekening!K17,Inschrijfberekening!E17="Funderingslagen",VLOOKUP(Inschrijf_Fossiele_Energie_Totaal[[#This Row],[Product]]&amp;", "&amp;Inschrijf_Fossiele_Energie_Totaal[[#Headers],[A2]],Database_Productkaarten[#All],50,FALSE)*Inschrijfberekening!K17,Inschrijfberekening!E17="Grondwerken",VLOOKUP(Inschrijf_Fossiele_Energie_Totaal[[#This Row],[Product]]&amp;", "&amp;Inschrijf_Fossiele_Energie_Totaal[[#Headers],[A2]],Database_Productkaarten[#All],50,FALSE)*Inschrijfberekening!K17,Inschrijfberekening!E17="Categorie_1_LCA_Producten",VLOOKUP(Inschrijf_Fossiele_Energie_Totaal[[#This Row],[Product]],Categorie_1_Producten[#All],27,FALSE)*(Inschrijfberekening!K17)),Referentie_Backlog!D175),0))</f>
        <v>0</v>
      </c>
      <c r="F95" s="111" cm="1">
        <f t="array" ref="F95">(IF(Inschrijfberekening!C17="Nieuwe Situatie",_xlfn.IFNA(_xlfn.IFS(Inschrijfberekening!E17="Bitumineuze_verhardingen",VLOOKUP(Inschrijf_Fossiele_Energie_Totaal[[#This Row],[Product]]&amp;", "&amp;Inschrijf_Fossiele_Energie_Totaal[[#Headers],[A3]],Database_Productkaarten[#All],50,FALSE)*Inschrijfberekening!K17,Inschrijfberekening!E17="Funderingslagen",VLOOKUP(Inschrijf_Fossiele_Energie_Totaal[[#This Row],[Product]]&amp;", "&amp;Inschrijf_Fossiele_Energie_Totaal[[#Headers],[A3]],Database_Productkaarten[#All],50,FALSE)*Inschrijfberekening!K17,Inschrijfberekening!E17="Grondwerken",VLOOKUP(Inschrijf_Fossiele_Energie_Totaal[[#This Row],[Product]]&amp;", "&amp;Inschrijf_Fossiele_Energie_Totaal[[#Headers],[A3]],Database_Productkaarten[#All],50,FALSE)*Inschrijfberekening!K17,Inschrijfberekening!E17="Categorie_1_LCA_Producten",VLOOKUP(Inschrijf_Fossiele_Energie_Totaal[[#This Row],[Product]],Categorie_1_Producten[#All],28,FALSE)*(Inschrijfberekening!K17)),Referentie_Backlog!D175),0))</f>
        <v>0</v>
      </c>
      <c r="G95" s="111">
        <f>(IF(Inschrijfberekening!C17="Nieuwe Situatie",_xlfn.IFNA(VLOOKUP(Inschrijfberekening!K50,Database_Transport[#All],45,FALSE)*(Inschrijfberekening!K17*Inschrijfberekening!N17),Referentie_Backlog!G175),0))</f>
        <v>0</v>
      </c>
      <c r="H95" s="272">
        <f>_xlfn.IFNA((IF(Inschrijfberekening!C17="Nieuwe Situatie",(VLOOKUP(Inschrijfberekening!P17,Database_Asfalt_Aanlegset[#All],45,FALSE)*Inschrijfberekening!K17)+IFERROR(((VLOOKUP(Inschrijfberekening!Q17,Database_Overig_Materieel[#All],45,FALSE)*(Inschrijfberekening!L17/VLOOKUP(Inschrijfberekening!Q17,Database_Overig_Materieel[#All],45,FALSE)))),0),0)),Referentie_Backlog!H175)</f>
        <v>0</v>
      </c>
      <c r="I95" s="111" cm="1">
        <f t="array" ref="I95">(IF(Inschrijfberekening!C17="Nieuwe Situatie",_xlfn.IFNA(_xlfn.IFS(Inschrijfberekening!E17="Bitumineuze_verhardingen",VLOOKUP(Inschrijf_Fossiele_Energie_Totaal[[#This Row],[Product]]&amp;", "&amp;Inschrijf_Fossiele_Energie_Totaal[[#Headers],[B1]],Database_Productkaarten[#All],50,FALSE)*Inschrijfberekening!K17,Inschrijfberekening!E17="Funderingslagen",VLOOKUP(Inschrijf_Fossiele_Energie_Totaal[[#This Row],[Product]]&amp;", "&amp;Inschrijf_Fossiele_Energie_Totaal[[#Headers],[B1]],Database_Productkaarten[#All],50,FALSE)*Inschrijfberekening!K17,Inschrijfberekening!E17="Grondwerken",VLOOKUP(Inschrijf_Fossiele_Energie_Totaal[[#This Row],[Product]]&amp;", "&amp;Inschrijf_Fossiele_Energie_Totaal[[#Headers],[B1]],Database_Productkaarten[#All],50,FALSE)*Inschrijfberekening!K17,Inschrijfberekening!E17="Categorie_1_LCA_Producten",VLOOKUP(Inschrijf_Fossiele_Energie_Totaal[[#This Row],[Product]],Categorie_1_Producten[#All],29,FALSE)*(Inschrijfberekening!K17)),Referentie_Backlog!D175),0))</f>
        <v>0</v>
      </c>
      <c r="J95" s="173">
        <f>(IF(Inschrijfberekening!C17="Nieuwe Situatie",_xlfn.IFNA(SUM(Inschrijf_Fossiele_Energie_Totaal[[#This Row],[A1]:[B1]],Inschrijf_Fossiele_Energie_Totaal[[#This Row],[C1]:[D2]])*Inschrijfberekening!M17,0),0))</f>
        <v>0</v>
      </c>
      <c r="K95" s="273">
        <f>(IF(Inschrijfberekening!C17="Bestaande Situatie",IF(IFERROR((VLOOKUP(Inschrijfberekening!R17,Database_Asfalt_Verwijderset[#All],45,FALSE)*Inschrijfberekening!K17),0)+IFERROR((VLOOKUP(Inschrijfberekening!S17,Database_Overig_Materieel[#All],45,FALSE)*(Inschrijfberekening!L17/VLOOKUP(Inschrijfberekening!S17,Database_Overig_Materieel[#All],45,FALSE))),0)=0,Referentie_Backlog!K175,IFERROR((VLOOKUP(Inschrijfberekening!R17,Database_Asfalt_Verwijderset[#All],45,FALSE)*Inschrijfberekening!K17),0)+IFERROR((VLOOKUP(Inschrijfberekening!S17,Database_Overig_Materieel[#All],45,FALSE)*(Inschrijfberekening!L17/VLOOKUP(Inschrijfberekening!S17,Database_Overig_Materieel[#All],45,FALSE))),0)),0))</f>
        <v>0</v>
      </c>
      <c r="L95" s="111">
        <f>(IF(Inschrijfberekening!C17="Bestaande Situatie",_xlfn.IFNA(VLOOKUP(Inschrijfberekening!U17,Database_Transport[#All],45,FALSE)*(Inschrijfberekening!K17*Inschrijfberekening!T17),Referentie_Backlog!L175),0))</f>
        <v>0</v>
      </c>
      <c r="M95" s="111">
        <f>(IF(Inschrijfberekening!C17="Bestaande Situatie",_xlfn.IFNA(VLOOKUP(Inschrijfberekening!V17,Database_Asfalt_Verwerkingsset[#All],45,FALSE)*(Inschrijfberekening!K17/VLOOKUP(Inschrijfberekening!V17,Database_Asfalt_Verwerkingsset[#All],45,FALSE)),Referentie_Backlog!M175),0))</f>
        <v>0</v>
      </c>
      <c r="N95" s="111">
        <f>(IF(Inschrijfberekening!C17="Bestaande Situatie",_xlfn.IFNA(VLOOKUP(Inschrijf_Fossiele_Energie_Totaal[[#This Row],[Product]]&amp;", "&amp;Inschrijf_MKI_Totaal[[#Headers],[C4]],Database_Productkaarten[#All],50,FALSE)*Inschrijfberekening!K17,Referentie_Backlog!N175),0))</f>
        <v>0</v>
      </c>
      <c r="O95" s="111" cm="1">
        <f t="array" ref="O95">(IF(Inschrijfberekening!C17="Bestaande Situatie",_xlfn.IFNA((IF(Inschrijfberekening!C17="Nieuwe Situatie",_xlfn.IFS(Inschrijfberekening!E17="Bitumineuze_verhardingen",VLOOKUP(Inschrijf_Fossiele_Energie_Totaal[[#This Row],[Product]]&amp;", "&amp;Inschrijf_Fossiele_Energie_Totaal[[#Headers],[D1]],Database_Productkaarten[#All],50,FALSE)*Inschrijfberekening!K17,Inschrijfberekening!E17="Funderingslagen",VLOOKUP(Inschrijf_Fossiele_Energie_Totaal[[#This Row],[Product]]&amp;", "&amp;Inschrijf_Fossiele_Energie_Totaal[[#Headers],[D1]],Database_Productkaarten[#All],50,FALSE)*Inschrijfberekening!K17,Inschrijfberekening!E17="Grondwerken",VLOOKUP(Inschrijf_Fossiele_Energie_Totaal[[#This Row],[Product]]&amp;", "&amp;Inschrijf_Fossiele_Energie_Totaal[[#Headers],[D1]],Database_Productkaarten[#All],50,FALSE)*Inschrijfberekening!K17,Inschrijfberekening!E17="Categorie_1_LCA_Producten",VLOOKUP(Inschrijf_Fossiele_Energie_Totaal[[#This Row],[Product]],Categorie_1_Producten[#All],30,FALSE)*(Inschrijfberekening!K17)),0)),Referentie_Backlog!P175),0))</f>
        <v>0</v>
      </c>
      <c r="P95" s="111" cm="1">
        <f t="array" ref="P95">(IF(Inschrijfberekening!C17="Bestaande Situatie",_xlfn.IFNA((IF(Inschrijfberekening!C17="Nieuwe Situatie",_xlfn.IFS(Inschrijfberekening!E17="Bitumineuze_verhardingen",VLOOKUP(Inschrijf_Fossiele_Energie_Totaal[[#This Row],[Product]]&amp;", "&amp;Inschrijf_Fossiele_Energie_Totaal[[#Headers],[D2]],Database_Productkaarten[#All],50,FALSE)*Inschrijfberekening!K17,Inschrijfberekening!E17="Funderingslagen",VLOOKUP(Inschrijf_Fossiele_Energie_Totaal[[#This Row],[Product]]&amp;", "&amp;Inschrijf_Fossiele_Energie_Totaal[[#Headers],[D2]],Database_Productkaarten[#All],50,FALSE)*Inschrijfberekening!K17,Inschrijfberekening!E17="Grondwerken",VLOOKUP(Inschrijf_Fossiele_Energie_Totaal[[#This Row],[Product]]&amp;", "&amp;Inschrijf_Fossiele_Energie_Totaal[[#Headers],[D2]],Database_Productkaarten[#All],50,FALSE)*Inschrijfberekening!K17,Inschrijfberekening!E17="Categorie_1_LCA_Producten",VLOOKUP(Inschrijf_Fossiele_Energie_Totaal[[#This Row],[Product]],Categorie_1_Producten[#All],31,FALSE)*(Inschrijfberekening!K17)),0)),Referentie_Backlog!P175),0))</f>
        <v>0</v>
      </c>
      <c r="Q95" s="111">
        <f>SUM(Inschrijf_Fossiele_Energie_Totaal[[#This Row],[A1]:[D2]])</f>
        <v>0</v>
      </c>
    </row>
    <row r="96" spans="2:17" ht="18" x14ac:dyDescent="0.55000000000000004">
      <c r="B96" s="285">
        <f>Inschrijfberekening!B18</f>
        <v>0</v>
      </c>
      <c r="C96" s="39">
        <f>Inschrijfberekening!F18</f>
        <v>0</v>
      </c>
      <c r="D96" s="111" cm="1">
        <f t="array" ref="D96">(IF(Inschrijfberekening!C18="Nieuwe Situatie",_xlfn.IFNA(_xlfn.IFS(Inschrijfberekening!E18="Bitumineuze_verhardingen",VLOOKUP(Inschrijf_Fossiele_Energie_Totaal[[#This Row],[Product]]&amp;", "&amp;Inschrijf_Fossiele_Energie_Totaal[[#Headers],[A1]],Database_Productkaarten[#All],50,FALSE)*Inschrijfberekening!K18,Inschrijfberekening!E18="Funderingslagen",VLOOKUP(Inschrijf_Fossiele_Energie_Totaal[[#This Row],[Product]]&amp;", "&amp;Inschrijf_Fossiele_Energie_Totaal[[#Headers],[A1]],Database_Productkaarten[#All],22,FALSE)*Inschrijfberekening!K18,Inschrijfberekening!E18="Grondwerken",VLOOKUP(Inschrijf_Fossiele_Energie_Totaal[[#This Row],[Product]]&amp;", "&amp;Inschrijf_Fossiele_Energie_Totaal[[#Headers],[A1]],Database_Productkaarten[#All],22,FALSE)*Inschrijfberekening!K18,Inschrijfberekening!E18="Categorie_1_LCA_Producten",VLOOKUP(Inschrijf_Fossiele_Energie_Totaal[[#This Row],[Product]],Categorie_1_Producten[#All],26,FALSE)*(Inschrijfberekening!K18)),Referentie_Backlog!D176),0))</f>
        <v>0</v>
      </c>
      <c r="E96" s="111" cm="1">
        <f t="array" ref="E96">(IF(Inschrijfberekening!C18="Nieuwe Situatie",_xlfn.IFNA(_xlfn.IFS(Inschrijfberekening!E18="Bitumineuze_verhardingen",VLOOKUP(Inschrijf_Fossiele_Energie_Totaal[[#This Row],[Product]]&amp;", "&amp;Inschrijf_Fossiele_Energie_Totaal[[#Headers],[A2]],Database_Productkaarten[#All],50,FALSE)*Inschrijfberekening!K18,Inschrijfberekening!E18="Funderingslagen",VLOOKUP(Inschrijf_Fossiele_Energie_Totaal[[#This Row],[Product]]&amp;", "&amp;Inschrijf_Fossiele_Energie_Totaal[[#Headers],[A2]],Database_Productkaarten[#All],50,FALSE)*Inschrijfberekening!K18,Inschrijfberekening!E18="Grondwerken",VLOOKUP(Inschrijf_Fossiele_Energie_Totaal[[#This Row],[Product]]&amp;", "&amp;Inschrijf_Fossiele_Energie_Totaal[[#Headers],[A2]],Database_Productkaarten[#All],50,FALSE)*Inschrijfberekening!K18,Inschrijfberekening!E18="Categorie_1_LCA_Producten",VLOOKUP(Inschrijf_Fossiele_Energie_Totaal[[#This Row],[Product]],Categorie_1_Producten[#All],27,FALSE)*(Inschrijfberekening!K18)),Referentie_Backlog!D176),0))</f>
        <v>0</v>
      </c>
      <c r="F96" s="111" cm="1">
        <f t="array" ref="F96">(IF(Inschrijfberekening!C18="Nieuwe Situatie",_xlfn.IFNA(_xlfn.IFS(Inschrijfberekening!E18="Bitumineuze_verhardingen",VLOOKUP(Inschrijf_Fossiele_Energie_Totaal[[#This Row],[Product]]&amp;", "&amp;Inschrijf_Fossiele_Energie_Totaal[[#Headers],[A3]],Database_Productkaarten[#All],50,FALSE)*Inschrijfberekening!K18,Inschrijfberekening!E18="Funderingslagen",VLOOKUP(Inschrijf_Fossiele_Energie_Totaal[[#This Row],[Product]]&amp;", "&amp;Inschrijf_Fossiele_Energie_Totaal[[#Headers],[A3]],Database_Productkaarten[#All],50,FALSE)*Inschrijfberekening!K18,Inschrijfberekening!E18="Grondwerken",VLOOKUP(Inschrijf_Fossiele_Energie_Totaal[[#This Row],[Product]]&amp;", "&amp;Inschrijf_Fossiele_Energie_Totaal[[#Headers],[A3]],Database_Productkaarten[#All],50,FALSE)*Inschrijfberekening!K18,Inschrijfberekening!E18="Categorie_1_LCA_Producten",VLOOKUP(Inschrijf_Fossiele_Energie_Totaal[[#This Row],[Product]],Categorie_1_Producten[#All],28,FALSE)*(Inschrijfberekening!K18)),Referentie_Backlog!D176),0))</f>
        <v>0</v>
      </c>
      <c r="G96" s="111">
        <f>(IF(Inschrijfberekening!C18="Nieuwe Situatie",_xlfn.IFNA(VLOOKUP(Inschrijfberekening!K51,Database_Transport[#All],45,FALSE)*(Inschrijfberekening!K18*Inschrijfberekening!N18),Referentie_Backlog!G176),0))</f>
        <v>0</v>
      </c>
      <c r="H96" s="272">
        <f>_xlfn.IFNA((IF(Inschrijfberekening!C18="Nieuwe Situatie",(VLOOKUP(Inschrijfberekening!P18,Database_Asfalt_Aanlegset[#All],45,FALSE)*Inschrijfberekening!K18)+IFERROR(((VLOOKUP(Inschrijfberekening!Q18,Database_Overig_Materieel[#All],45,FALSE)*(Inschrijfberekening!L18/VLOOKUP(Inschrijfberekening!Q18,Database_Overig_Materieel[#All],45,FALSE)))),0),0)),Referentie_Backlog!H176)</f>
        <v>0</v>
      </c>
      <c r="I96" s="111" cm="1">
        <f t="array" ref="I96">(IF(Inschrijfberekening!C18="Nieuwe Situatie",_xlfn.IFNA(_xlfn.IFS(Inschrijfberekening!E18="Bitumineuze_verhardingen",VLOOKUP(Inschrijf_Fossiele_Energie_Totaal[[#This Row],[Product]]&amp;", "&amp;Inschrijf_Fossiele_Energie_Totaal[[#Headers],[B1]],Database_Productkaarten[#All],50,FALSE)*Inschrijfberekening!K18,Inschrijfberekening!E18="Funderingslagen",VLOOKUP(Inschrijf_Fossiele_Energie_Totaal[[#This Row],[Product]]&amp;", "&amp;Inschrijf_Fossiele_Energie_Totaal[[#Headers],[B1]],Database_Productkaarten[#All],50,FALSE)*Inschrijfberekening!K18,Inschrijfberekening!E18="Grondwerken",VLOOKUP(Inschrijf_Fossiele_Energie_Totaal[[#This Row],[Product]]&amp;", "&amp;Inschrijf_Fossiele_Energie_Totaal[[#Headers],[B1]],Database_Productkaarten[#All],50,FALSE)*Inschrijfberekening!K18,Inschrijfberekening!E18="Categorie_1_LCA_Producten",VLOOKUP(Inschrijf_Fossiele_Energie_Totaal[[#This Row],[Product]],Categorie_1_Producten[#All],29,FALSE)*(Inschrijfberekening!K18)),Referentie_Backlog!D176),0))</f>
        <v>0</v>
      </c>
      <c r="J96" s="173">
        <f>(IF(Inschrijfberekening!C18="Nieuwe Situatie",_xlfn.IFNA(SUM(Inschrijf_Fossiele_Energie_Totaal[[#This Row],[A1]:[B1]],Inschrijf_Fossiele_Energie_Totaal[[#This Row],[C1]:[D2]])*Inschrijfberekening!M18,0),0))</f>
        <v>0</v>
      </c>
      <c r="K96" s="273">
        <f>(IF(Inschrijfberekening!C18="Bestaande Situatie",IF(IFERROR((VLOOKUP(Inschrijfberekening!R18,Database_Asfalt_Verwijderset[#All],45,FALSE)*Inschrijfberekening!K18),0)+IFERROR((VLOOKUP(Inschrijfberekening!S18,Database_Overig_Materieel[#All],45,FALSE)*(Inschrijfberekening!L18/VLOOKUP(Inschrijfberekening!S18,Database_Overig_Materieel[#All],45,FALSE))),0)=0,Referentie_Backlog!K176,IFERROR((VLOOKUP(Inschrijfberekening!R18,Database_Asfalt_Verwijderset[#All],45,FALSE)*Inschrijfberekening!K18),0)+IFERROR((VLOOKUP(Inschrijfberekening!S18,Database_Overig_Materieel[#All],45,FALSE)*(Inschrijfberekening!L18/VLOOKUP(Inschrijfberekening!S18,Database_Overig_Materieel[#All],45,FALSE))),0)),0))</f>
        <v>0</v>
      </c>
      <c r="L96" s="111">
        <f>(IF(Inschrijfberekening!C18="Bestaande Situatie",_xlfn.IFNA(VLOOKUP(Inschrijfberekening!U18,Database_Transport[#All],45,FALSE)*(Inschrijfberekening!K18*Inschrijfberekening!T18),Referentie_Backlog!L176),0))</f>
        <v>0</v>
      </c>
      <c r="M96" s="111">
        <f>(IF(Inschrijfberekening!C18="Bestaande Situatie",_xlfn.IFNA(VLOOKUP(Inschrijfberekening!V18,Database_Asfalt_Verwerkingsset[#All],45,FALSE)*(Inschrijfberekening!K18/VLOOKUP(Inschrijfberekening!V18,Database_Asfalt_Verwerkingsset[#All],45,FALSE)),Referentie_Backlog!M176),0))</f>
        <v>0</v>
      </c>
      <c r="N96" s="111">
        <f>(IF(Inschrijfberekening!C18="Bestaande Situatie",_xlfn.IFNA(VLOOKUP(Inschrijf_Fossiele_Energie_Totaal[[#This Row],[Product]]&amp;", "&amp;Inschrijf_MKI_Totaal[[#Headers],[C4]],Database_Productkaarten[#All],50,FALSE)*Inschrijfberekening!K18,Referentie_Backlog!N176),0))</f>
        <v>0</v>
      </c>
      <c r="O96" s="111" cm="1">
        <f t="array" ref="O96">(IF(Inschrijfberekening!C18="Bestaande Situatie",_xlfn.IFNA((IF(Inschrijfberekening!C18="Nieuwe Situatie",_xlfn.IFS(Inschrijfberekening!E18="Bitumineuze_verhardingen",VLOOKUP(Inschrijf_Fossiele_Energie_Totaal[[#This Row],[Product]]&amp;", "&amp;Inschrijf_Fossiele_Energie_Totaal[[#Headers],[D1]],Database_Productkaarten[#All],50,FALSE)*Inschrijfberekening!K18,Inschrijfberekening!E18="Funderingslagen",VLOOKUP(Inschrijf_Fossiele_Energie_Totaal[[#This Row],[Product]]&amp;", "&amp;Inschrijf_Fossiele_Energie_Totaal[[#Headers],[D1]],Database_Productkaarten[#All],50,FALSE)*Inschrijfberekening!K18,Inschrijfberekening!E18="Grondwerken",VLOOKUP(Inschrijf_Fossiele_Energie_Totaal[[#This Row],[Product]]&amp;", "&amp;Inschrijf_Fossiele_Energie_Totaal[[#Headers],[D1]],Database_Productkaarten[#All],50,FALSE)*Inschrijfberekening!K18,Inschrijfberekening!E18="Categorie_1_LCA_Producten",VLOOKUP(Inschrijf_Fossiele_Energie_Totaal[[#This Row],[Product]],Categorie_1_Producten[#All],30,FALSE)*(Inschrijfberekening!K18)),0)),Referentie_Backlog!P176),0))</f>
        <v>0</v>
      </c>
      <c r="P96" s="111" cm="1">
        <f t="array" ref="P96">(IF(Inschrijfberekening!C18="Bestaande Situatie",_xlfn.IFNA((IF(Inschrijfberekening!C18="Nieuwe Situatie",_xlfn.IFS(Inschrijfberekening!E18="Bitumineuze_verhardingen",VLOOKUP(Inschrijf_Fossiele_Energie_Totaal[[#This Row],[Product]]&amp;", "&amp;Inschrijf_Fossiele_Energie_Totaal[[#Headers],[D2]],Database_Productkaarten[#All],50,FALSE)*Inschrijfberekening!K18,Inschrijfberekening!E18="Funderingslagen",VLOOKUP(Inschrijf_Fossiele_Energie_Totaal[[#This Row],[Product]]&amp;", "&amp;Inschrijf_Fossiele_Energie_Totaal[[#Headers],[D2]],Database_Productkaarten[#All],50,FALSE)*Inschrijfberekening!K18,Inschrijfberekening!E18="Grondwerken",VLOOKUP(Inschrijf_Fossiele_Energie_Totaal[[#This Row],[Product]]&amp;", "&amp;Inschrijf_Fossiele_Energie_Totaal[[#Headers],[D2]],Database_Productkaarten[#All],50,FALSE)*Inschrijfberekening!K18,Inschrijfberekening!E18="Categorie_1_LCA_Producten",VLOOKUP(Inschrijf_Fossiele_Energie_Totaal[[#This Row],[Product]],Categorie_1_Producten[#All],31,FALSE)*(Inschrijfberekening!K18)),0)),Referentie_Backlog!P176),0))</f>
        <v>0</v>
      </c>
      <c r="Q96" s="111">
        <f>SUM(Inschrijf_Fossiele_Energie_Totaal[[#This Row],[A1]:[D2]])</f>
        <v>0</v>
      </c>
    </row>
    <row r="97" spans="2:17" ht="18" x14ac:dyDescent="0.55000000000000004">
      <c r="B97" s="285">
        <f>Inschrijfberekening!B19</f>
        <v>0</v>
      </c>
      <c r="C97" s="39">
        <f>Inschrijfberekening!F19</f>
        <v>0</v>
      </c>
      <c r="D97" s="111" cm="1">
        <f t="array" ref="D97">(IF(Inschrijfberekening!C19="Nieuwe Situatie",_xlfn.IFNA(_xlfn.IFS(Inschrijfberekening!E19="Bitumineuze_verhardingen",VLOOKUP(Inschrijf_Fossiele_Energie_Totaal[[#This Row],[Product]]&amp;", "&amp;Inschrijf_Fossiele_Energie_Totaal[[#Headers],[A1]],Database_Productkaarten[#All],50,FALSE)*Inschrijfberekening!K19,Inschrijfberekening!E19="Funderingslagen",VLOOKUP(Inschrijf_Fossiele_Energie_Totaal[[#This Row],[Product]]&amp;", "&amp;Inschrijf_Fossiele_Energie_Totaal[[#Headers],[A1]],Database_Productkaarten[#All],22,FALSE)*Inschrijfberekening!K19,Inschrijfberekening!E19="Grondwerken",VLOOKUP(Inschrijf_Fossiele_Energie_Totaal[[#This Row],[Product]]&amp;", "&amp;Inschrijf_Fossiele_Energie_Totaal[[#Headers],[A1]],Database_Productkaarten[#All],22,FALSE)*Inschrijfberekening!K19,Inschrijfberekening!E19="Categorie_1_LCA_Producten",VLOOKUP(Inschrijf_Fossiele_Energie_Totaal[[#This Row],[Product]],Categorie_1_Producten[#All],26,FALSE)*(Inschrijfberekening!K19)),Referentie_Backlog!D177),0))</f>
        <v>0</v>
      </c>
      <c r="E97" s="111" cm="1">
        <f t="array" ref="E97">(IF(Inschrijfberekening!C19="Nieuwe Situatie",_xlfn.IFNA(_xlfn.IFS(Inschrijfberekening!E19="Bitumineuze_verhardingen",VLOOKUP(Inschrijf_Fossiele_Energie_Totaal[[#This Row],[Product]]&amp;", "&amp;Inschrijf_Fossiele_Energie_Totaal[[#Headers],[A2]],Database_Productkaarten[#All],50,FALSE)*Inschrijfberekening!K19,Inschrijfberekening!E19="Funderingslagen",VLOOKUP(Inschrijf_Fossiele_Energie_Totaal[[#This Row],[Product]]&amp;", "&amp;Inschrijf_Fossiele_Energie_Totaal[[#Headers],[A2]],Database_Productkaarten[#All],50,FALSE)*Inschrijfberekening!K19,Inschrijfberekening!E19="Grondwerken",VLOOKUP(Inschrijf_Fossiele_Energie_Totaal[[#This Row],[Product]]&amp;", "&amp;Inschrijf_Fossiele_Energie_Totaal[[#Headers],[A2]],Database_Productkaarten[#All],50,FALSE)*Inschrijfberekening!K19,Inschrijfberekening!E19="Categorie_1_LCA_Producten",VLOOKUP(Inschrijf_Fossiele_Energie_Totaal[[#This Row],[Product]],Categorie_1_Producten[#All],27,FALSE)*(Inschrijfberekening!K19)),Referentie_Backlog!D177),0))</f>
        <v>0</v>
      </c>
      <c r="F97" s="111" cm="1">
        <f t="array" ref="F97">(IF(Inschrijfberekening!C19="Nieuwe Situatie",_xlfn.IFNA(_xlfn.IFS(Inschrijfberekening!E19="Bitumineuze_verhardingen",VLOOKUP(Inschrijf_Fossiele_Energie_Totaal[[#This Row],[Product]]&amp;", "&amp;Inschrijf_Fossiele_Energie_Totaal[[#Headers],[A3]],Database_Productkaarten[#All],50,FALSE)*Inschrijfberekening!K19,Inschrijfberekening!E19="Funderingslagen",VLOOKUP(Inschrijf_Fossiele_Energie_Totaal[[#This Row],[Product]]&amp;", "&amp;Inschrijf_Fossiele_Energie_Totaal[[#Headers],[A3]],Database_Productkaarten[#All],50,FALSE)*Inschrijfberekening!K19,Inschrijfberekening!E19="Grondwerken",VLOOKUP(Inschrijf_Fossiele_Energie_Totaal[[#This Row],[Product]]&amp;", "&amp;Inschrijf_Fossiele_Energie_Totaal[[#Headers],[A3]],Database_Productkaarten[#All],50,FALSE)*Inschrijfberekening!K19,Inschrijfberekening!E19="Categorie_1_LCA_Producten",VLOOKUP(Inschrijf_Fossiele_Energie_Totaal[[#This Row],[Product]],Categorie_1_Producten[#All],28,FALSE)*(Inschrijfberekening!K19)),Referentie_Backlog!D177),0))</f>
        <v>0</v>
      </c>
      <c r="G97" s="111">
        <f>(IF(Inschrijfberekening!C19="Nieuwe Situatie",_xlfn.IFNA(VLOOKUP(Inschrijfberekening!K52,Database_Transport[#All],45,FALSE)*(Inschrijfberekening!K19*Inschrijfberekening!N19),Referentie_Backlog!G177),0))</f>
        <v>0</v>
      </c>
      <c r="H97" s="272">
        <f>_xlfn.IFNA((IF(Inschrijfberekening!C19="Nieuwe Situatie",(VLOOKUP(Inschrijfberekening!P19,Database_Asfalt_Aanlegset[#All],45,FALSE)*Inschrijfberekening!K19)+IFERROR(((VLOOKUP(Inschrijfberekening!Q19,Database_Overig_Materieel[#All],45,FALSE)*(Inschrijfberekening!L19/VLOOKUP(Inschrijfberekening!Q19,Database_Overig_Materieel[#All],45,FALSE)))),0),0)),Referentie_Backlog!H177)</f>
        <v>0</v>
      </c>
      <c r="I97" s="111" cm="1">
        <f t="array" ref="I97">(IF(Inschrijfberekening!C19="Nieuwe Situatie",_xlfn.IFNA(_xlfn.IFS(Inschrijfberekening!E19="Bitumineuze_verhardingen",VLOOKUP(Inschrijf_Fossiele_Energie_Totaal[[#This Row],[Product]]&amp;", "&amp;Inschrijf_Fossiele_Energie_Totaal[[#Headers],[B1]],Database_Productkaarten[#All],50,FALSE)*Inschrijfberekening!K19,Inschrijfberekening!E19="Funderingslagen",VLOOKUP(Inschrijf_Fossiele_Energie_Totaal[[#This Row],[Product]]&amp;", "&amp;Inschrijf_Fossiele_Energie_Totaal[[#Headers],[B1]],Database_Productkaarten[#All],50,FALSE)*Inschrijfberekening!K19,Inschrijfberekening!E19="Grondwerken",VLOOKUP(Inschrijf_Fossiele_Energie_Totaal[[#This Row],[Product]]&amp;", "&amp;Inschrijf_Fossiele_Energie_Totaal[[#Headers],[B1]],Database_Productkaarten[#All],50,FALSE)*Inschrijfberekening!K19,Inschrijfberekening!E19="Categorie_1_LCA_Producten",VLOOKUP(Inschrijf_Fossiele_Energie_Totaal[[#This Row],[Product]],Categorie_1_Producten[#All],29,FALSE)*(Inschrijfberekening!K19)),Referentie_Backlog!D177),0))</f>
        <v>0</v>
      </c>
      <c r="J97" s="173">
        <f>(IF(Inschrijfberekening!C19="Nieuwe Situatie",_xlfn.IFNA(SUM(Inschrijf_Fossiele_Energie_Totaal[[#This Row],[A1]:[B1]],Inschrijf_Fossiele_Energie_Totaal[[#This Row],[C1]:[D2]])*Inschrijfberekening!M19,0),0))</f>
        <v>0</v>
      </c>
      <c r="K97" s="273">
        <f>(IF(Inschrijfberekening!C19="Bestaande Situatie",IF(IFERROR((VLOOKUP(Inschrijfberekening!R19,Database_Asfalt_Verwijderset[#All],45,FALSE)*Inschrijfberekening!K19),0)+IFERROR((VLOOKUP(Inschrijfberekening!S19,Database_Overig_Materieel[#All],45,FALSE)*(Inschrijfberekening!L19/VLOOKUP(Inschrijfberekening!S19,Database_Overig_Materieel[#All],45,FALSE))),0)=0,Referentie_Backlog!K177,IFERROR((VLOOKUP(Inschrijfberekening!R19,Database_Asfalt_Verwijderset[#All],45,FALSE)*Inschrijfberekening!K19),0)+IFERROR((VLOOKUP(Inschrijfberekening!S19,Database_Overig_Materieel[#All],45,FALSE)*(Inschrijfberekening!L19/VLOOKUP(Inschrijfberekening!S19,Database_Overig_Materieel[#All],45,FALSE))),0)),0))</f>
        <v>0</v>
      </c>
      <c r="L97" s="111">
        <f>(IF(Inschrijfberekening!C19="Bestaande Situatie",_xlfn.IFNA(VLOOKUP(Inschrijfberekening!U19,Database_Transport[#All],45,FALSE)*(Inschrijfberekening!K19*Inschrijfberekening!T19),Referentie_Backlog!L177),0))</f>
        <v>0</v>
      </c>
      <c r="M97" s="111">
        <f>(IF(Inschrijfberekening!C19="Bestaande Situatie",_xlfn.IFNA(VLOOKUP(Inschrijfberekening!V19,Database_Asfalt_Verwerkingsset[#All],45,FALSE)*(Inschrijfberekening!K19/VLOOKUP(Inschrijfberekening!V19,Database_Asfalt_Verwerkingsset[#All],45,FALSE)),Referentie_Backlog!M177),0))</f>
        <v>0</v>
      </c>
      <c r="N97" s="111">
        <f>(IF(Inschrijfberekening!C19="Bestaande Situatie",_xlfn.IFNA(VLOOKUP(Inschrijf_Fossiele_Energie_Totaal[[#This Row],[Product]]&amp;", "&amp;Inschrijf_MKI_Totaal[[#Headers],[C4]],Database_Productkaarten[#All],50,FALSE)*Inschrijfberekening!K19,Referentie_Backlog!N177),0))</f>
        <v>0</v>
      </c>
      <c r="O97" s="111" cm="1">
        <f t="array" ref="O97">(IF(Inschrijfberekening!C19="Bestaande Situatie",_xlfn.IFNA((IF(Inschrijfberekening!C19="Nieuwe Situatie",_xlfn.IFS(Inschrijfberekening!E19="Bitumineuze_verhardingen",VLOOKUP(Inschrijf_Fossiele_Energie_Totaal[[#This Row],[Product]]&amp;", "&amp;Inschrijf_Fossiele_Energie_Totaal[[#Headers],[D1]],Database_Productkaarten[#All],50,FALSE)*Inschrijfberekening!K19,Inschrijfberekening!E19="Funderingslagen",VLOOKUP(Inschrijf_Fossiele_Energie_Totaal[[#This Row],[Product]]&amp;", "&amp;Inschrijf_Fossiele_Energie_Totaal[[#Headers],[D1]],Database_Productkaarten[#All],50,FALSE)*Inschrijfberekening!K19,Inschrijfberekening!E19="Grondwerken",VLOOKUP(Inschrijf_Fossiele_Energie_Totaal[[#This Row],[Product]]&amp;", "&amp;Inschrijf_Fossiele_Energie_Totaal[[#Headers],[D1]],Database_Productkaarten[#All],50,FALSE)*Inschrijfberekening!K19,Inschrijfberekening!E19="Categorie_1_LCA_Producten",VLOOKUP(Inschrijf_Fossiele_Energie_Totaal[[#This Row],[Product]],Categorie_1_Producten[#All],30,FALSE)*(Inschrijfberekening!K19)),0)),Referentie_Backlog!P177),0))</f>
        <v>0</v>
      </c>
      <c r="P97" s="111" cm="1">
        <f t="array" ref="P97">(IF(Inschrijfberekening!C19="Bestaande Situatie",_xlfn.IFNA((IF(Inschrijfberekening!C19="Nieuwe Situatie",_xlfn.IFS(Inschrijfberekening!E19="Bitumineuze_verhardingen",VLOOKUP(Inschrijf_Fossiele_Energie_Totaal[[#This Row],[Product]]&amp;", "&amp;Inschrijf_Fossiele_Energie_Totaal[[#Headers],[D2]],Database_Productkaarten[#All],50,FALSE)*Inschrijfberekening!K19,Inschrijfberekening!E19="Funderingslagen",VLOOKUP(Inschrijf_Fossiele_Energie_Totaal[[#This Row],[Product]]&amp;", "&amp;Inschrijf_Fossiele_Energie_Totaal[[#Headers],[D2]],Database_Productkaarten[#All],50,FALSE)*Inschrijfberekening!K19,Inschrijfberekening!E19="Grondwerken",VLOOKUP(Inschrijf_Fossiele_Energie_Totaal[[#This Row],[Product]]&amp;", "&amp;Inschrijf_Fossiele_Energie_Totaal[[#Headers],[D2]],Database_Productkaarten[#All],50,FALSE)*Inschrijfberekening!K19,Inschrijfberekening!E19="Categorie_1_LCA_Producten",VLOOKUP(Inschrijf_Fossiele_Energie_Totaal[[#This Row],[Product]],Categorie_1_Producten[#All],31,FALSE)*(Inschrijfberekening!K19)),0)),Referentie_Backlog!P177),0))</f>
        <v>0</v>
      </c>
      <c r="Q97" s="111">
        <f>SUM(Inschrijf_Fossiele_Energie_Totaal[[#This Row],[A1]:[D2]])</f>
        <v>0</v>
      </c>
    </row>
    <row r="98" spans="2:17" ht="18" x14ac:dyDescent="0.55000000000000004">
      <c r="B98" s="285">
        <f>Inschrijfberekening!B20</f>
        <v>0</v>
      </c>
      <c r="C98" s="39">
        <f>Inschrijfberekening!F20</f>
        <v>0</v>
      </c>
      <c r="D98" s="111" cm="1">
        <f t="array" ref="D98">(IF(Inschrijfberekening!C20="Nieuwe Situatie",_xlfn.IFNA(_xlfn.IFS(Inschrijfberekening!E20="Bitumineuze_verhardingen",VLOOKUP(Inschrijf_Fossiele_Energie_Totaal[[#This Row],[Product]]&amp;", "&amp;Inschrijf_Fossiele_Energie_Totaal[[#Headers],[A1]],Database_Productkaarten[#All],50,FALSE)*Inschrijfberekening!K20,Inschrijfberekening!E20="Funderingslagen",VLOOKUP(Inschrijf_Fossiele_Energie_Totaal[[#This Row],[Product]]&amp;", "&amp;Inschrijf_Fossiele_Energie_Totaal[[#Headers],[A1]],Database_Productkaarten[#All],22,FALSE)*Inschrijfberekening!K20,Inschrijfberekening!E20="Grondwerken",VLOOKUP(Inschrijf_Fossiele_Energie_Totaal[[#This Row],[Product]]&amp;", "&amp;Inschrijf_Fossiele_Energie_Totaal[[#Headers],[A1]],Database_Productkaarten[#All],22,FALSE)*Inschrijfberekening!K20,Inschrijfberekening!E20="Categorie_1_LCA_Producten",VLOOKUP(Inschrijf_Fossiele_Energie_Totaal[[#This Row],[Product]],Categorie_1_Producten[#All],26,FALSE)*(Inschrijfberekening!K20)),Referentie_Backlog!D178),0))</f>
        <v>0</v>
      </c>
      <c r="E98" s="111" cm="1">
        <f t="array" ref="E98">(IF(Inschrijfberekening!C20="Nieuwe Situatie",_xlfn.IFNA(_xlfn.IFS(Inschrijfberekening!E20="Bitumineuze_verhardingen",VLOOKUP(Inschrijf_Fossiele_Energie_Totaal[[#This Row],[Product]]&amp;", "&amp;Inschrijf_Fossiele_Energie_Totaal[[#Headers],[A2]],Database_Productkaarten[#All],50,FALSE)*Inschrijfberekening!K20,Inschrijfberekening!E20="Funderingslagen",VLOOKUP(Inschrijf_Fossiele_Energie_Totaal[[#This Row],[Product]]&amp;", "&amp;Inschrijf_Fossiele_Energie_Totaal[[#Headers],[A2]],Database_Productkaarten[#All],50,FALSE)*Inschrijfberekening!K20,Inschrijfberekening!E20="Grondwerken",VLOOKUP(Inschrijf_Fossiele_Energie_Totaal[[#This Row],[Product]]&amp;", "&amp;Inschrijf_Fossiele_Energie_Totaal[[#Headers],[A2]],Database_Productkaarten[#All],50,FALSE)*Inschrijfberekening!K20,Inschrijfberekening!E20="Categorie_1_LCA_Producten",VLOOKUP(Inschrijf_Fossiele_Energie_Totaal[[#This Row],[Product]],Categorie_1_Producten[#All],27,FALSE)*(Inschrijfberekening!K20)),Referentie_Backlog!D178),0))</f>
        <v>0</v>
      </c>
      <c r="F98" s="111" cm="1">
        <f t="array" ref="F98">(IF(Inschrijfberekening!C20="Nieuwe Situatie",_xlfn.IFNA(_xlfn.IFS(Inschrijfberekening!E20="Bitumineuze_verhardingen",VLOOKUP(Inschrijf_Fossiele_Energie_Totaal[[#This Row],[Product]]&amp;", "&amp;Inschrijf_Fossiele_Energie_Totaal[[#Headers],[A3]],Database_Productkaarten[#All],50,FALSE)*Inschrijfberekening!K20,Inschrijfberekening!E20="Funderingslagen",VLOOKUP(Inschrijf_Fossiele_Energie_Totaal[[#This Row],[Product]]&amp;", "&amp;Inschrijf_Fossiele_Energie_Totaal[[#Headers],[A3]],Database_Productkaarten[#All],50,FALSE)*Inschrijfberekening!K20,Inschrijfberekening!E20="Grondwerken",VLOOKUP(Inschrijf_Fossiele_Energie_Totaal[[#This Row],[Product]]&amp;", "&amp;Inschrijf_Fossiele_Energie_Totaal[[#Headers],[A3]],Database_Productkaarten[#All],50,FALSE)*Inschrijfberekening!K20,Inschrijfberekening!E20="Categorie_1_LCA_Producten",VLOOKUP(Inschrijf_Fossiele_Energie_Totaal[[#This Row],[Product]],Categorie_1_Producten[#All],28,FALSE)*(Inschrijfberekening!K20)),Referentie_Backlog!D178),0))</f>
        <v>0</v>
      </c>
      <c r="G98" s="111">
        <f>(IF(Inschrijfberekening!C20="Nieuwe Situatie",_xlfn.IFNA(VLOOKUP(Inschrijfberekening!K55,Database_Transport[#All],45,FALSE)*(Inschrijfberekening!K20*Inschrijfberekening!N20),Referentie_Backlog!G178),0))</f>
        <v>0</v>
      </c>
      <c r="H98" s="272">
        <f>_xlfn.IFNA((IF(Inschrijfberekening!C20="Nieuwe Situatie",(VLOOKUP(Inschrijfberekening!P20,Database_Asfalt_Aanlegset[#All],45,FALSE)*Inschrijfberekening!K20)+IFERROR(((VLOOKUP(Inschrijfberekening!Q20,Database_Overig_Materieel[#All],45,FALSE)*(Inschrijfberekening!L20/VLOOKUP(Inschrijfberekening!Q20,Database_Overig_Materieel[#All],45,FALSE)))),0),0)),Referentie_Backlog!H178)</f>
        <v>0</v>
      </c>
      <c r="I98" s="111" cm="1">
        <f t="array" ref="I98">(IF(Inschrijfberekening!C20="Nieuwe Situatie",_xlfn.IFNA(_xlfn.IFS(Inschrijfberekening!E20="Bitumineuze_verhardingen",VLOOKUP(Inschrijf_Fossiele_Energie_Totaal[[#This Row],[Product]]&amp;", "&amp;Inschrijf_Fossiele_Energie_Totaal[[#Headers],[B1]],Database_Productkaarten[#All],50,FALSE)*Inschrijfberekening!K20,Inschrijfberekening!E20="Funderingslagen",VLOOKUP(Inschrijf_Fossiele_Energie_Totaal[[#This Row],[Product]]&amp;", "&amp;Inschrijf_Fossiele_Energie_Totaal[[#Headers],[B1]],Database_Productkaarten[#All],50,FALSE)*Inschrijfberekening!K20,Inschrijfberekening!E20="Grondwerken",VLOOKUP(Inschrijf_Fossiele_Energie_Totaal[[#This Row],[Product]]&amp;", "&amp;Inschrijf_Fossiele_Energie_Totaal[[#Headers],[B1]],Database_Productkaarten[#All],50,FALSE)*Inschrijfberekening!K20,Inschrijfberekening!E20="Categorie_1_LCA_Producten",VLOOKUP(Inschrijf_Fossiele_Energie_Totaal[[#This Row],[Product]],Categorie_1_Producten[#All],29,FALSE)*(Inschrijfberekening!K20)),Referentie_Backlog!D178),0))</f>
        <v>0</v>
      </c>
      <c r="J98" s="173">
        <f>(IF(Inschrijfberekening!C20="Nieuwe Situatie",_xlfn.IFNA(SUM(Inschrijf_Fossiele_Energie_Totaal[[#This Row],[A1]:[B1]],Inschrijf_Fossiele_Energie_Totaal[[#This Row],[C1]:[D2]])*Inschrijfberekening!M20,0),0))</f>
        <v>0</v>
      </c>
      <c r="K98" s="273">
        <f>(IF(Inschrijfberekening!C20="Bestaande Situatie",IF(IFERROR((VLOOKUP(Inschrijfberekening!R20,Database_Asfalt_Verwijderset[#All],45,FALSE)*Inschrijfberekening!K20),0)+IFERROR((VLOOKUP(Inschrijfberekening!S20,Database_Overig_Materieel[#All],45,FALSE)*(Inschrijfberekening!L20/VLOOKUP(Inschrijfberekening!S20,Database_Overig_Materieel[#All],45,FALSE))),0)=0,Referentie_Backlog!K178,IFERROR((VLOOKUP(Inschrijfberekening!R20,Database_Asfalt_Verwijderset[#All],45,FALSE)*Inschrijfberekening!K20),0)+IFERROR((VLOOKUP(Inschrijfberekening!S20,Database_Overig_Materieel[#All],45,FALSE)*(Inschrijfberekening!L20/VLOOKUP(Inschrijfberekening!S20,Database_Overig_Materieel[#All],45,FALSE))),0)),0))</f>
        <v>0</v>
      </c>
      <c r="L98" s="111">
        <f>(IF(Inschrijfberekening!C20="Bestaande Situatie",_xlfn.IFNA(VLOOKUP(Inschrijfberekening!U20,Database_Transport[#All],45,FALSE)*(Inschrijfberekening!K20*Inschrijfberekening!T20),Referentie_Backlog!L178),0))</f>
        <v>0</v>
      </c>
      <c r="M98" s="111">
        <f>(IF(Inschrijfberekening!C20="Bestaande Situatie",_xlfn.IFNA(VLOOKUP(Inschrijfberekening!V20,Database_Asfalt_Verwerkingsset[#All],45,FALSE)*(Inschrijfberekening!K20/VLOOKUP(Inschrijfberekening!V20,Database_Asfalt_Verwerkingsset[#All],45,FALSE)),Referentie_Backlog!M178),0))</f>
        <v>0</v>
      </c>
      <c r="N98" s="111">
        <f>(IF(Inschrijfberekening!C20="Bestaande Situatie",_xlfn.IFNA(VLOOKUP(Inschrijf_Fossiele_Energie_Totaal[[#This Row],[Product]]&amp;", "&amp;Inschrijf_MKI_Totaal[[#Headers],[C4]],Database_Productkaarten[#All],50,FALSE)*Inschrijfberekening!K20,Referentie_Backlog!N178),0))</f>
        <v>0</v>
      </c>
      <c r="O98" s="111" cm="1">
        <f t="array" ref="O98">(IF(Inschrijfberekening!C20="Bestaande Situatie",_xlfn.IFNA((IF(Inschrijfberekening!C20="Nieuwe Situatie",_xlfn.IFS(Inschrijfberekening!E20="Bitumineuze_verhardingen",VLOOKUP(Inschrijf_Fossiele_Energie_Totaal[[#This Row],[Product]]&amp;", "&amp;Inschrijf_Fossiele_Energie_Totaal[[#Headers],[D1]],Database_Productkaarten[#All],50,FALSE)*Inschrijfberekening!K20,Inschrijfberekening!E20="Funderingslagen",VLOOKUP(Inschrijf_Fossiele_Energie_Totaal[[#This Row],[Product]]&amp;", "&amp;Inschrijf_Fossiele_Energie_Totaal[[#Headers],[D1]],Database_Productkaarten[#All],50,FALSE)*Inschrijfberekening!K20,Inschrijfberekening!E20="Grondwerken",VLOOKUP(Inschrijf_Fossiele_Energie_Totaal[[#This Row],[Product]]&amp;", "&amp;Inschrijf_Fossiele_Energie_Totaal[[#Headers],[D1]],Database_Productkaarten[#All],50,FALSE)*Inschrijfberekening!K20,Inschrijfberekening!E20="Categorie_1_LCA_Producten",VLOOKUP(Inschrijf_Fossiele_Energie_Totaal[[#This Row],[Product]],Categorie_1_Producten[#All],30,FALSE)*(Inschrijfberekening!K20)),0)),Referentie_Backlog!P178),0))</f>
        <v>0</v>
      </c>
      <c r="P98" s="111" cm="1">
        <f t="array" ref="P98">(IF(Inschrijfberekening!C20="Bestaande Situatie",_xlfn.IFNA((IF(Inschrijfberekening!C20="Nieuwe Situatie",_xlfn.IFS(Inschrijfberekening!E20="Bitumineuze_verhardingen",VLOOKUP(Inschrijf_Fossiele_Energie_Totaal[[#This Row],[Product]]&amp;", "&amp;Inschrijf_Fossiele_Energie_Totaal[[#Headers],[D2]],Database_Productkaarten[#All],50,FALSE)*Inschrijfberekening!K20,Inschrijfberekening!E20="Funderingslagen",VLOOKUP(Inschrijf_Fossiele_Energie_Totaal[[#This Row],[Product]]&amp;", "&amp;Inschrijf_Fossiele_Energie_Totaal[[#Headers],[D2]],Database_Productkaarten[#All],50,FALSE)*Inschrijfberekening!K20,Inschrijfberekening!E20="Grondwerken",VLOOKUP(Inschrijf_Fossiele_Energie_Totaal[[#This Row],[Product]]&amp;", "&amp;Inschrijf_Fossiele_Energie_Totaal[[#Headers],[D2]],Database_Productkaarten[#All],50,FALSE)*Inschrijfberekening!K20,Inschrijfberekening!E20="Categorie_1_LCA_Producten",VLOOKUP(Inschrijf_Fossiele_Energie_Totaal[[#This Row],[Product]],Categorie_1_Producten[#All],31,FALSE)*(Inschrijfberekening!K20)),0)),Referentie_Backlog!P178),0))</f>
        <v>0</v>
      </c>
      <c r="Q98" s="111">
        <f>SUM(Inschrijf_Fossiele_Energie_Totaal[[#This Row],[A1]:[D2]])</f>
        <v>0</v>
      </c>
    </row>
    <row r="99" spans="2:17" ht="18" x14ac:dyDescent="0.55000000000000004">
      <c r="B99" s="23" t="s">
        <v>16</v>
      </c>
      <c r="C99" s="23"/>
      <c r="D99" s="77">
        <f>SUBTOTAL(109,Inschrijf_Fossiele_Energie_Totaal[A1])</f>
        <v>33058.611734187005</v>
      </c>
      <c r="E99" s="77">
        <f>SUBTOTAL(109,Inschrijf_Fossiele_Energie_Totaal[A2])</f>
        <v>2754.710936326976</v>
      </c>
      <c r="F99" s="77">
        <f>SUBTOTAL(109,Inschrijf_Fossiele_Energie_Totaal[A3])</f>
        <v>4080.3379517345074</v>
      </c>
      <c r="G99" s="77">
        <f>SUBTOTAL(109,Inschrijf_Fossiele_Energie_Totaal[A4])</f>
        <v>0</v>
      </c>
      <c r="H99" s="77">
        <f>SUBTOTAL(109,Inschrijf_Fossiele_Energie_Totaal[A5])</f>
        <v>60735.793044646802</v>
      </c>
      <c r="I99" s="77">
        <f>SUBTOTAL(109,Inschrijf_Fossiele_Energie_Totaal[B1])</f>
        <v>0</v>
      </c>
      <c r="J99" s="77">
        <f>SUBTOTAL(109,Inschrijf_Fossiele_Energie_Totaal[B4])</f>
        <v>0</v>
      </c>
      <c r="K99" s="77">
        <f>SUBTOTAL(109,Inschrijf_Fossiele_Energie_Totaal[C1])</f>
        <v>0</v>
      </c>
      <c r="L99" s="77">
        <f>SUBTOTAL(109,Inschrijf_Fossiele_Energie_Totaal[C2])</f>
        <v>0</v>
      </c>
      <c r="M99" s="77">
        <f>SUBTOTAL(109,Inschrijf_Fossiele_Energie_Totaal[C3])</f>
        <v>0</v>
      </c>
      <c r="N99" s="77">
        <f>SUBTOTAL(109,Inschrijf_Fossiele_Energie_Totaal[C4])</f>
        <v>0</v>
      </c>
      <c r="O99" s="77">
        <f>SUBTOTAL(109,Inschrijf_Fossiele_Energie_Totaal[D1])</f>
        <v>0</v>
      </c>
      <c r="P99" s="77">
        <f>SUBTOTAL(109,Inschrijf_Fossiele_Energie_Totaal[D2])</f>
        <v>0</v>
      </c>
      <c r="Q99" s="190">
        <f>SUBTOTAL(109,Inschrijf_Fossiele_Energie_Totaal[Totaal])</f>
        <v>100629.45366689529</v>
      </c>
    </row>
    <row r="102" spans="2:17" ht="22" x14ac:dyDescent="0.65">
      <c r="B102" s="134" t="s">
        <v>343</v>
      </c>
      <c r="C102" s="134"/>
      <c r="D102" s="134"/>
      <c r="E102" s="17"/>
      <c r="F102" s="17"/>
      <c r="G102" s="17"/>
      <c r="H102" s="17"/>
    </row>
    <row r="103" spans="2:17" ht="18.5" thickBot="1" x14ac:dyDescent="0.6">
      <c r="B103" s="65" t="s">
        <v>55</v>
      </c>
      <c r="C103" s="66" t="s">
        <v>4</v>
      </c>
      <c r="D103" s="74" t="s">
        <v>344</v>
      </c>
      <c r="E103" s="75" t="s">
        <v>345</v>
      </c>
      <c r="F103" s="75" t="s">
        <v>348</v>
      </c>
      <c r="G103" s="75" t="s">
        <v>349</v>
      </c>
      <c r="H103" s="75" t="s">
        <v>343</v>
      </c>
      <c r="I103" s="74" t="s">
        <v>480</v>
      </c>
      <c r="J103" s="75" t="s">
        <v>481</v>
      </c>
      <c r="K103" s="75" t="s">
        <v>484</v>
      </c>
      <c r="L103" s="195" t="s">
        <v>496</v>
      </c>
      <c r="M103" s="195" t="s">
        <v>497</v>
      </c>
      <c r="N103" s="195" t="s">
        <v>498</v>
      </c>
    </row>
    <row r="104" spans="2:17" ht="18.5" thickTop="1" x14ac:dyDescent="0.55000000000000004">
      <c r="B104" s="286">
        <f>Inschrijfberekening!B6</f>
        <v>422410</v>
      </c>
      <c r="C104" s="67" t="str">
        <f>Inschrijfberekening!F6</f>
        <v>20460-TB - AC 16 Bin/Base 35/50 60% PR Bestone</v>
      </c>
      <c r="D104" s="117">
        <f>(IF(Inschrijfberekening!C6="Nieuwe Situatie",(Inschrijfberekening!N6),0)*Inschrijfberekening!K6)</f>
        <v>13300</v>
      </c>
      <c r="E104" s="122">
        <f>(IF(Inschrijfberekening!C6="Nieuwe Situatie",(Inschrijfberekening!T6),(Inschrijfberekening!T6))*Inschrijfberekening!K6)</f>
        <v>13300</v>
      </c>
      <c r="F104" s="118" t="str" cm="1">
        <f t="array" ref="F104">_xlfn.IFNA(_xlfn.IFS(Inschrijfberekening!O6="Vrachtwagen (&gt;32 ton), elektrisch groen","Ja",Inschrijfberekening!O6="Vrachtwagen (&gt;32 ton), elektrisch grijs","Ja"),"Nee")</f>
        <v>Nee</v>
      </c>
      <c r="G104" s="118" t="str" cm="1">
        <f t="array" ref="G104">_xlfn.IFNA(_xlfn.IFS(Inschrijfberekening!U6="Vrachtwagen (&gt;32 ton), elektrisch groen","Ja",Inschrijfberekening!U6="Vrachtwagen (&gt;32 ton), elektrisch grijs","Ja"),"Nee")</f>
        <v>Nee</v>
      </c>
      <c r="H104"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4" s="182">
        <f>(IF(Inschrijfberekening!C6="Nieuwe Situatie",(Inschrijfberekening!N6),0)*Inschrijfberekening!K6)*Inschrijfberekening!M6</f>
        <v>0</v>
      </c>
      <c r="J104" s="182">
        <f>(IF(Inschrijfberekening!C6="Nieuwe Situatie",(Inschrijfberekening!T6),(Inschrijfberekening!T6))*Inschrijfberekening!K6)*Inschrijfberekening!M6</f>
        <v>0</v>
      </c>
      <c r="K104"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4" s="182">
        <f>Inschrijf_Transport_Totaal[[#This Row],[Emissieloos Transport]]+Inschrijf_Transport_Totaal[[#This Row],[Emissieloos Transport Vervangingen]]</f>
        <v>0</v>
      </c>
      <c r="M104"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26600</v>
      </c>
      <c r="N104" s="182">
        <f>Inschrijf_Transport_Totaal[[#This Row],[Totaal Emissieloos Transport]]+Inschrijf_Transport_Totaal[[#This Row],[Totaal Niet Emissieloos Transport]]</f>
        <v>26600</v>
      </c>
    </row>
    <row r="105" spans="2:17" ht="18" x14ac:dyDescent="0.55000000000000004">
      <c r="B105" s="286">
        <f>Inschrijfberekening!B7</f>
        <v>422510</v>
      </c>
      <c r="C105" s="67" t="str">
        <f>Inschrijfberekening!F7</f>
        <v>AC 11 surf DL-A rood*</v>
      </c>
      <c r="D105" s="117">
        <f>(IF(Inschrijfberekening!C7="Nieuwe Situatie",(Inschrijfberekening!N7),0)*Inschrijfberekening!K7)</f>
        <v>325</v>
      </c>
      <c r="E105" s="122">
        <f>(IF(Inschrijfberekening!C7="Nieuwe Situatie",(Inschrijfberekening!T7),(Inschrijfberekening!T7))*Inschrijfberekening!K7)</f>
        <v>325</v>
      </c>
      <c r="F105" s="118" t="str" cm="1">
        <f t="array" ref="F105">_xlfn.IFNA(_xlfn.IFS(Inschrijfberekening!O7="Vrachtwagen (&gt;32 ton), elektrisch groen","Ja",Inschrijfberekening!O7="Vrachtwagen (&gt;32 ton), elektrisch grijs","Ja"),"Nee")</f>
        <v>Nee</v>
      </c>
      <c r="G105" s="118" t="str" cm="1">
        <f t="array" ref="G105">_xlfn.IFNA(_xlfn.IFS(Inschrijfberekening!U7="Vrachtwagen (&gt;32 ton), elektrisch groen","Ja",Inschrijfberekening!U7="Vrachtwagen (&gt;32 ton), elektrisch grijs","Ja"),"Nee")</f>
        <v>Nee</v>
      </c>
      <c r="H105"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5" s="182">
        <f>(IF(Inschrijfberekening!C7="Nieuwe Situatie",(Inschrijfberekening!N7),0)*Inschrijfberekening!K7)*Inschrijfberekening!M7</f>
        <v>0</v>
      </c>
      <c r="J105" s="182">
        <f>(IF(Inschrijfberekening!C7="Nieuwe Situatie",(Inschrijfberekening!T7),(Inschrijfberekening!T7))*Inschrijfberekening!K7)*Inschrijfberekening!M7</f>
        <v>0</v>
      </c>
      <c r="K105"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5" s="182">
        <f>Inschrijf_Transport_Totaal[[#This Row],[Emissieloos Transport]]+Inschrijf_Transport_Totaal[[#This Row],[Emissieloos Transport Vervangingen]]</f>
        <v>0</v>
      </c>
      <c r="M105"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650</v>
      </c>
      <c r="N105" s="182">
        <f>Inschrijf_Transport_Totaal[[#This Row],[Totaal Emissieloos Transport]]+Inschrijf_Transport_Totaal[[#This Row],[Totaal Niet Emissieloos Transport]]</f>
        <v>650</v>
      </c>
    </row>
    <row r="106" spans="2:17" ht="18" x14ac:dyDescent="0.55000000000000004">
      <c r="B106" s="286">
        <f>Inschrijfberekening!B8</f>
        <v>422520</v>
      </c>
      <c r="C106" s="67" t="str">
        <f>Inschrijfberekening!F8</f>
        <v>88405-TB - SMA-NL 11B 40/60 Bestone</v>
      </c>
      <c r="D106" s="117">
        <f>(IF(Inschrijfberekening!C8="Nieuwe Situatie",(Inschrijfberekening!N8),0)*Inschrijfberekening!K8)</f>
        <v>85000</v>
      </c>
      <c r="E106" s="122">
        <f>(IF(Inschrijfberekening!C8="Nieuwe Situatie",(Inschrijfberekening!T8),(Inschrijfberekening!T8))*Inschrijfberekening!K8)</f>
        <v>85000</v>
      </c>
      <c r="F106" s="118" t="str" cm="1">
        <f t="array" ref="F106">_xlfn.IFNA(_xlfn.IFS(Inschrijfberekening!O8="Vrachtwagen (&gt;32 ton), elektrisch groen","Ja",Inschrijfberekening!O8="Vrachtwagen (&gt;32 ton), elektrisch grijs","Ja"),"Nee")</f>
        <v>Nee</v>
      </c>
      <c r="G106" s="118" t="str" cm="1">
        <f t="array" ref="G106">_xlfn.IFNA(_xlfn.IFS(Inschrijfberekening!U8="Vrachtwagen (&gt;32 ton), elektrisch groen","Ja",Inschrijfberekening!U8="Vrachtwagen (&gt;32 ton), elektrisch grijs","Ja"),"Nee")</f>
        <v>Nee</v>
      </c>
      <c r="H106"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6" s="182">
        <f>(IF(Inschrijfberekening!C8="Nieuwe Situatie",(Inschrijfberekening!N8),0)*Inschrijfberekening!K8)*Inschrijfberekening!M8</f>
        <v>0</v>
      </c>
      <c r="J106" s="182">
        <f>(IF(Inschrijfberekening!C8="Nieuwe Situatie",(Inschrijfberekening!T8),(Inschrijfberekening!T8))*Inschrijfberekening!K8)*Inschrijfberekening!M8</f>
        <v>0</v>
      </c>
      <c r="K106"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6" s="182">
        <f>Inschrijf_Transport_Totaal[[#This Row],[Emissieloos Transport]]+Inschrijf_Transport_Totaal[[#This Row],[Emissieloos Transport Vervangingen]]</f>
        <v>0</v>
      </c>
      <c r="M106"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170000</v>
      </c>
      <c r="N106" s="182">
        <f>Inschrijf_Transport_Totaal[[#This Row],[Totaal Emissieloos Transport]]+Inschrijf_Transport_Totaal[[#This Row],[Totaal Niet Emissieloos Transport]]</f>
        <v>170000</v>
      </c>
    </row>
    <row r="107" spans="2:17" ht="18" x14ac:dyDescent="0.55000000000000004">
      <c r="B107" s="286">
        <f>Inschrijfberekening!B9</f>
        <v>601230</v>
      </c>
      <c r="C107" s="67" t="str">
        <f>Inschrijfberekening!F9</f>
        <v>20060-TB - AC 22 Bin/Base 35/50 60% PR Bestone</v>
      </c>
      <c r="D107" s="117">
        <f>(IF(Inschrijfberekening!C9="Nieuwe Situatie",(Inschrijfberekening!N9),0)*Inschrijfberekening!K9)</f>
        <v>65</v>
      </c>
      <c r="E107" s="122">
        <f>(IF(Inschrijfberekening!C9="Nieuwe Situatie",(Inschrijfberekening!T9),(Inschrijfberekening!T9))*Inschrijfberekening!K9)</f>
        <v>65</v>
      </c>
      <c r="F107" s="118" t="str" cm="1">
        <f t="array" ref="F107">_xlfn.IFNA(_xlfn.IFS(Inschrijfberekening!O9="Vrachtwagen (&gt;32 ton), elektrisch groen","Ja",Inschrijfberekening!O9="Vrachtwagen (&gt;32 ton), elektrisch grijs","Ja"),"Nee")</f>
        <v>Nee</v>
      </c>
      <c r="G107" s="118" t="str" cm="1">
        <f t="array" ref="G107">_xlfn.IFNA(_xlfn.IFS(Inschrijfberekening!U9="Vrachtwagen (&gt;32 ton), elektrisch groen","Ja",Inschrijfberekening!U9="Vrachtwagen (&gt;32 ton), elektrisch grijs","Ja"),"Nee")</f>
        <v>Nee</v>
      </c>
      <c r="H107"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7" s="182">
        <f>(IF(Inschrijfberekening!C9="Nieuwe Situatie",(Inschrijfberekening!N9),0)*Inschrijfberekening!K9)*Inschrijfberekening!M9</f>
        <v>0</v>
      </c>
      <c r="J107" s="182">
        <f>(IF(Inschrijfberekening!C9="Nieuwe Situatie",(Inschrijfberekening!T9),(Inschrijfberekening!T9))*Inschrijfberekening!K9)*Inschrijfberekening!M9</f>
        <v>0</v>
      </c>
      <c r="K107"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7" s="182">
        <f>Inschrijf_Transport_Totaal[[#This Row],[Emissieloos Transport]]+Inschrijf_Transport_Totaal[[#This Row],[Emissieloos Transport Vervangingen]]</f>
        <v>0</v>
      </c>
      <c r="M107"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130</v>
      </c>
      <c r="N107" s="182">
        <f>Inschrijf_Transport_Totaal[[#This Row],[Totaal Emissieloos Transport]]+Inschrijf_Transport_Totaal[[#This Row],[Totaal Niet Emissieloos Transport]]</f>
        <v>130</v>
      </c>
    </row>
    <row r="108" spans="2:17" ht="18" x14ac:dyDescent="0.55000000000000004">
      <c r="B108" s="286">
        <f>Inschrijfberekening!B10</f>
        <v>601240</v>
      </c>
      <c r="C108" s="67" t="str">
        <f>Inschrijfberekening!F10</f>
        <v>20060-TB - AC 22 Bin/Base 35/50 60% PR Bestone</v>
      </c>
      <c r="D108" s="117">
        <f>(IF(Inschrijfberekening!C10="Nieuwe Situatie",(Inschrijfberekening!N10),0)*Inschrijfberekening!K10)</f>
        <v>650</v>
      </c>
      <c r="E108" s="122">
        <f>(IF(Inschrijfberekening!C10="Nieuwe Situatie",(Inschrijfberekening!T10),(Inschrijfberekening!T10))*Inschrijfberekening!K10)</f>
        <v>650</v>
      </c>
      <c r="F108" s="118" t="str" cm="1">
        <f t="array" ref="F108">_xlfn.IFNA(_xlfn.IFS(Inschrijfberekening!O10="Vrachtwagen (&gt;32 ton), elektrisch groen","Ja",Inschrijfberekening!O10="Vrachtwagen (&gt;32 ton), elektrisch grijs","Ja"),"Nee")</f>
        <v>Nee</v>
      </c>
      <c r="G108" s="118" t="str" cm="1">
        <f t="array" ref="G108">_xlfn.IFNA(_xlfn.IFS(Inschrijfberekening!U10="Vrachtwagen (&gt;32 ton), elektrisch groen","Ja",Inschrijfberekening!U10="Vrachtwagen (&gt;32 ton), elektrisch grijs","Ja"),"Nee")</f>
        <v>Nee</v>
      </c>
      <c r="H108"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8" s="182">
        <f>(IF(Inschrijfberekening!C10="Nieuwe Situatie",(Inschrijfberekening!N10),0)*Inschrijfberekening!K10)*Inschrijfberekening!M10</f>
        <v>0</v>
      </c>
      <c r="J108" s="182">
        <f>(IF(Inschrijfberekening!C10="Nieuwe Situatie",(Inschrijfberekening!T10),(Inschrijfberekening!T10))*Inschrijfberekening!K10)*Inschrijfberekening!M10</f>
        <v>0</v>
      </c>
      <c r="K108"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8" s="182">
        <f>Inschrijf_Transport_Totaal[[#This Row],[Emissieloos Transport]]+Inschrijf_Transport_Totaal[[#This Row],[Emissieloos Transport Vervangingen]]</f>
        <v>0</v>
      </c>
      <c r="M108"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1300</v>
      </c>
      <c r="N108" s="182">
        <f>Inschrijf_Transport_Totaal[[#This Row],[Totaal Emissieloos Transport]]+Inschrijf_Transport_Totaal[[#This Row],[Totaal Niet Emissieloos Transport]]</f>
        <v>1300</v>
      </c>
    </row>
    <row r="109" spans="2:17" ht="18" x14ac:dyDescent="0.55000000000000004">
      <c r="B109" s="286">
        <f>Inschrijfberekening!B11</f>
        <v>601250</v>
      </c>
      <c r="C109" s="67" t="str">
        <f>Inschrijfberekening!F11</f>
        <v>20460-TB - AC 16 Bin/Base 35/50 60% PR Bestone</v>
      </c>
      <c r="D109" s="117">
        <f>(IF(Inschrijfberekening!C11="Nieuwe Situatie",(Inschrijfberekening!N11),0)*Inschrijfberekening!K11)</f>
        <v>1150</v>
      </c>
      <c r="E109" s="122">
        <f>(IF(Inschrijfberekening!C11="Nieuwe Situatie",(Inschrijfberekening!T11),(Inschrijfberekening!T11))*Inschrijfberekening!K11)</f>
        <v>1150</v>
      </c>
      <c r="F109" s="118" t="str" cm="1">
        <f t="array" ref="F109">_xlfn.IFNA(_xlfn.IFS(Inschrijfberekening!O11="Vrachtwagen (&gt;32 ton), elektrisch groen","Ja",Inschrijfberekening!O11="Vrachtwagen (&gt;32 ton), elektrisch grijs","Ja"),"Nee")</f>
        <v>Nee</v>
      </c>
      <c r="G109" s="118" t="str" cm="1">
        <f t="array" ref="G109">_xlfn.IFNA(_xlfn.IFS(Inschrijfberekening!U11="Vrachtwagen (&gt;32 ton), elektrisch groen","Ja",Inschrijfberekening!U11="Vrachtwagen (&gt;32 ton), elektrisch grijs","Ja"),"Nee")</f>
        <v>Nee</v>
      </c>
      <c r="H109"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9" s="182">
        <f>(IF(Inschrijfberekening!C11="Nieuwe Situatie",(Inschrijfberekening!N11),0)*Inschrijfberekening!K11)*Inschrijfberekening!M11</f>
        <v>0</v>
      </c>
      <c r="J109" s="182">
        <f>(IF(Inschrijfberekening!C11="Nieuwe Situatie",(Inschrijfberekening!T11),(Inschrijfberekening!T11))*Inschrijfberekening!K11)*Inschrijfberekening!M11</f>
        <v>0</v>
      </c>
      <c r="K109"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9" s="182">
        <f>Inschrijf_Transport_Totaal[[#This Row],[Emissieloos Transport]]+Inschrijf_Transport_Totaal[[#This Row],[Emissieloos Transport Vervangingen]]</f>
        <v>0</v>
      </c>
      <c r="M109"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2300</v>
      </c>
      <c r="N109" s="182">
        <f>Inschrijf_Transport_Totaal[[#This Row],[Totaal Emissieloos Transport]]+Inschrijf_Transport_Totaal[[#This Row],[Totaal Niet Emissieloos Transport]]</f>
        <v>2300</v>
      </c>
    </row>
    <row r="110" spans="2:17" ht="18" x14ac:dyDescent="0.55000000000000004">
      <c r="B110" s="286">
        <f>Inschrijfberekening!B12</f>
        <v>601260</v>
      </c>
      <c r="C110" s="67" t="str">
        <f>Inschrijfberekening!F12</f>
        <v>88405-TB - SMA-NL 11B 40/60 Bestone</v>
      </c>
      <c r="D110" s="117">
        <f>(IF(Inschrijfberekening!C12="Nieuwe Situatie",(Inschrijfberekening!N12),0)*Inschrijfberekening!K12)</f>
        <v>1050</v>
      </c>
      <c r="E110" s="122">
        <f>(IF(Inschrijfberekening!C12="Nieuwe Situatie",(Inschrijfberekening!T12),(Inschrijfberekening!T12))*Inschrijfberekening!K12)</f>
        <v>1050</v>
      </c>
      <c r="F110" s="118" t="str" cm="1">
        <f t="array" ref="F110">_xlfn.IFNA(_xlfn.IFS(Inschrijfberekening!O12="Vrachtwagen (&gt;32 ton), elektrisch groen","Ja",Inschrijfberekening!O12="Vrachtwagen (&gt;32 ton), elektrisch grijs","Ja"),"Nee")</f>
        <v>Nee</v>
      </c>
      <c r="G110" s="118" t="str" cm="1">
        <f t="array" ref="G110">_xlfn.IFNA(_xlfn.IFS(Inschrijfberekening!U12="Vrachtwagen (&gt;32 ton), elektrisch groen","Ja",Inschrijfberekening!U12="Vrachtwagen (&gt;32 ton), elektrisch grijs","Ja"),"Nee")</f>
        <v>Nee</v>
      </c>
      <c r="H110"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0" s="182">
        <f>(IF(Inschrijfberekening!C12="Nieuwe Situatie",(Inschrijfberekening!N12),0)*Inschrijfberekening!K12)*Inschrijfberekening!M12</f>
        <v>0</v>
      </c>
      <c r="J110" s="182">
        <f>(IF(Inschrijfberekening!C12="Nieuwe Situatie",(Inschrijfberekening!T12),(Inschrijfberekening!T12))*Inschrijfberekening!K12)*Inschrijfberekening!M12</f>
        <v>0</v>
      </c>
      <c r="K110"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0" s="182">
        <f>Inschrijf_Transport_Totaal[[#This Row],[Emissieloos Transport]]+Inschrijf_Transport_Totaal[[#This Row],[Emissieloos Transport Vervangingen]]</f>
        <v>0</v>
      </c>
      <c r="M110"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2100</v>
      </c>
      <c r="N110" s="182">
        <f>Inschrijf_Transport_Totaal[[#This Row],[Totaal Emissieloos Transport]]+Inschrijf_Transport_Totaal[[#This Row],[Totaal Niet Emissieloos Transport]]</f>
        <v>2100</v>
      </c>
    </row>
    <row r="111" spans="2:17" ht="18" x14ac:dyDescent="0.55000000000000004">
      <c r="B111" s="286">
        <f>Inschrijfberekening!B13</f>
        <v>601270</v>
      </c>
      <c r="C111" s="67" t="str">
        <f>Inschrijfberekening!F13</f>
        <v>88405-TB - SMA-NL 11B 40/60 Bestone</v>
      </c>
      <c r="D111" s="117">
        <f>(IF(Inschrijfberekening!C13="Nieuwe Situatie",(Inschrijfberekening!N13),0)*Inschrijfberekening!K13)</f>
        <v>900</v>
      </c>
      <c r="E111" s="122">
        <f>(IF(Inschrijfberekening!C13="Nieuwe Situatie",(Inschrijfberekening!T13),(Inschrijfberekening!T13))*Inschrijfberekening!K13)</f>
        <v>900</v>
      </c>
      <c r="F111" s="118" t="str" cm="1">
        <f t="array" ref="F111">_xlfn.IFNA(_xlfn.IFS(Inschrijfberekening!O13="Vrachtwagen (&gt;32 ton), elektrisch groen","Ja",Inschrijfberekening!O13="Vrachtwagen (&gt;32 ton), elektrisch grijs","Ja"),"Nee")</f>
        <v>Nee</v>
      </c>
      <c r="G111" s="118" t="str" cm="1">
        <f t="array" ref="G111">_xlfn.IFNA(_xlfn.IFS(Inschrijfberekening!U13="Vrachtwagen (&gt;32 ton), elektrisch groen","Ja",Inschrijfberekening!U13="Vrachtwagen (&gt;32 ton), elektrisch grijs","Ja"),"Nee")</f>
        <v>Nee</v>
      </c>
      <c r="H111"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1" s="182">
        <f>(IF(Inschrijfberekening!C13="Nieuwe Situatie",(Inschrijfberekening!N13),0)*Inschrijfberekening!K13)*Inschrijfberekening!M13</f>
        <v>0</v>
      </c>
      <c r="J111" s="182">
        <f>(IF(Inschrijfberekening!C13="Nieuwe Situatie",(Inschrijfberekening!T13),(Inschrijfberekening!T13))*Inschrijfberekening!K13)*Inschrijfberekening!M13</f>
        <v>0</v>
      </c>
      <c r="K111"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1" s="182">
        <f>Inschrijf_Transport_Totaal[[#This Row],[Emissieloos Transport]]+Inschrijf_Transport_Totaal[[#This Row],[Emissieloos Transport Vervangingen]]</f>
        <v>0</v>
      </c>
      <c r="M111"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1800</v>
      </c>
      <c r="N111" s="182">
        <f>Inschrijf_Transport_Totaal[[#This Row],[Totaal Emissieloos Transport]]+Inschrijf_Transport_Totaal[[#This Row],[Totaal Niet Emissieloos Transport]]</f>
        <v>1800</v>
      </c>
    </row>
    <row r="112" spans="2:17" ht="18" x14ac:dyDescent="0.55000000000000004">
      <c r="B112" s="286">
        <f>Inschrijfberekening!B14</f>
        <v>0</v>
      </c>
      <c r="C112" s="67">
        <f>Inschrijfberekening!F14</f>
        <v>0</v>
      </c>
      <c r="D112" s="117">
        <f>(IF(Inschrijfberekening!C14="Nieuwe Situatie",(Inschrijfberekening!N14),0)*Inschrijfberekening!K14)</f>
        <v>0</v>
      </c>
      <c r="E112" s="122">
        <f>(IF(Inschrijfberekening!C14="Nieuwe Situatie",(Inschrijfberekening!T14),(Inschrijfberekening!T14))*Inschrijfberekening!K14)</f>
        <v>0</v>
      </c>
      <c r="F112" s="118" t="str" cm="1">
        <f t="array" ref="F112">_xlfn.IFNA(_xlfn.IFS(Inschrijfberekening!O14="Vrachtwagen (&gt;32 ton), elektrisch groen","Ja",Inschrijfberekening!O14="Vrachtwagen (&gt;32 ton), elektrisch grijs","Ja"),"Nee")</f>
        <v>Nee</v>
      </c>
      <c r="G112" s="118" t="str" cm="1">
        <f t="array" ref="G112">_xlfn.IFNA(_xlfn.IFS(Inschrijfberekening!U14="Vrachtwagen (&gt;32 ton), elektrisch groen","Ja",Inschrijfberekening!U14="Vrachtwagen (&gt;32 ton), elektrisch grijs","Ja"),"Nee")</f>
        <v>Nee</v>
      </c>
      <c r="H112"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2" s="182">
        <f>(IF(Inschrijfberekening!C14="Nieuwe Situatie",(Inschrijfberekening!N14),0)*Inschrijfberekening!K14)*Inschrijfberekening!M14</f>
        <v>0</v>
      </c>
      <c r="J112" s="182">
        <f>(IF(Inschrijfberekening!C14="Nieuwe Situatie",(Inschrijfberekening!T14),(Inschrijfberekening!T14))*Inschrijfberekening!K14)*Inschrijfberekening!M14</f>
        <v>0</v>
      </c>
      <c r="K112"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2" s="182">
        <f>Inschrijf_Transport_Totaal[[#This Row],[Emissieloos Transport]]+Inschrijf_Transport_Totaal[[#This Row],[Emissieloos Transport Vervangingen]]</f>
        <v>0</v>
      </c>
      <c r="M112"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2" s="182">
        <f>Inschrijf_Transport_Totaal[[#This Row],[Totaal Emissieloos Transport]]+Inschrijf_Transport_Totaal[[#This Row],[Totaal Niet Emissieloos Transport]]</f>
        <v>0</v>
      </c>
    </row>
    <row r="113" spans="2:20" ht="18" x14ac:dyDescent="0.55000000000000004">
      <c r="B113" s="286">
        <f>Inschrijfberekening!B15</f>
        <v>0</v>
      </c>
      <c r="C113" s="67">
        <f>Inschrijfberekening!F15</f>
        <v>0</v>
      </c>
      <c r="D113" s="117">
        <f>(IF(Inschrijfberekening!C15="Nieuwe Situatie",(Inschrijfberekening!N15),0)*Inschrijfberekening!K15)</f>
        <v>0</v>
      </c>
      <c r="E113" s="122">
        <f>(IF(Inschrijfberekening!C15="Nieuwe Situatie",(Inschrijfberekening!T15),(Inschrijfberekening!T15))*Inschrijfberekening!K15)</f>
        <v>0</v>
      </c>
      <c r="F113" s="118" t="str" cm="1">
        <f t="array" ref="F113">_xlfn.IFNA(_xlfn.IFS(Inschrijfberekening!O15="Vrachtwagen (&gt;32 ton), elektrisch groen","Ja",Inschrijfberekening!O15="Vrachtwagen (&gt;32 ton), elektrisch grijs","Ja"),"Nee")</f>
        <v>Nee</v>
      </c>
      <c r="G113" s="118" t="str" cm="1">
        <f t="array" ref="G113">_xlfn.IFNA(_xlfn.IFS(Inschrijfberekening!U15="Vrachtwagen (&gt;32 ton), elektrisch groen","Ja",Inschrijfberekening!U15="Vrachtwagen (&gt;32 ton), elektrisch grijs","Ja"),"Nee")</f>
        <v>Nee</v>
      </c>
      <c r="H113"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3" s="182">
        <f>(IF(Inschrijfberekening!C15="Nieuwe Situatie",(Inschrijfberekening!N15),0)*Inschrijfberekening!K15)*Inschrijfberekening!M15</f>
        <v>0</v>
      </c>
      <c r="J113" s="182">
        <f>(IF(Inschrijfberekening!C15="Nieuwe Situatie",(Inschrijfberekening!T15),(Inschrijfberekening!T15))*Inschrijfberekening!K15)*Inschrijfberekening!M15</f>
        <v>0</v>
      </c>
      <c r="K113"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3" s="182">
        <f>Inschrijf_Transport_Totaal[[#This Row],[Emissieloos Transport]]+Inschrijf_Transport_Totaal[[#This Row],[Emissieloos Transport Vervangingen]]</f>
        <v>0</v>
      </c>
      <c r="M113"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3" s="182">
        <f>Inschrijf_Transport_Totaal[[#This Row],[Totaal Emissieloos Transport]]+Inschrijf_Transport_Totaal[[#This Row],[Totaal Niet Emissieloos Transport]]</f>
        <v>0</v>
      </c>
    </row>
    <row r="114" spans="2:20" ht="18" x14ac:dyDescent="0.55000000000000004">
      <c r="B114" s="286">
        <f>Inschrijfberekening!B16</f>
        <v>0</v>
      </c>
      <c r="C114" s="67">
        <f>Inschrijfberekening!F16</f>
        <v>0</v>
      </c>
      <c r="D114" s="117">
        <f>(IF(Inschrijfberekening!C16="Nieuwe Situatie",(Inschrijfberekening!N16),0)*Inschrijfberekening!K16)</f>
        <v>0</v>
      </c>
      <c r="E114" s="122">
        <f>(IF(Inschrijfberekening!C16="Nieuwe Situatie",(Inschrijfberekening!T16),(Inschrijfberekening!T16))*Inschrijfberekening!K16)</f>
        <v>0</v>
      </c>
      <c r="F114" s="118" t="str" cm="1">
        <f t="array" ref="F114">_xlfn.IFNA(_xlfn.IFS(Inschrijfberekening!O16="Vrachtwagen (&gt;32 ton), elektrisch groen","Ja",Inschrijfberekening!O16="Vrachtwagen (&gt;32 ton), elektrisch grijs","Ja"),"Nee")</f>
        <v>Nee</v>
      </c>
      <c r="G114" s="118" t="str" cm="1">
        <f t="array" ref="G114">_xlfn.IFNA(_xlfn.IFS(Inschrijfberekening!U16="Vrachtwagen (&gt;32 ton), elektrisch groen","Ja",Inschrijfberekening!U16="Vrachtwagen (&gt;32 ton), elektrisch grijs","Ja"),"Nee")</f>
        <v>Nee</v>
      </c>
      <c r="H114"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4" s="182">
        <f>(IF(Inschrijfberekening!C16="Nieuwe Situatie",(Inschrijfberekening!N16),0)*Inschrijfberekening!K16)*Inschrijfberekening!M16</f>
        <v>0</v>
      </c>
      <c r="J114" s="182">
        <f>(IF(Inschrijfberekening!C16="Nieuwe Situatie",(Inschrijfberekening!T16),(Inschrijfberekening!T16))*Inschrijfberekening!K16)*Inschrijfberekening!M16</f>
        <v>0</v>
      </c>
      <c r="K114"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4" s="182">
        <f>Inschrijf_Transport_Totaal[[#This Row],[Emissieloos Transport]]+Inschrijf_Transport_Totaal[[#This Row],[Emissieloos Transport Vervangingen]]</f>
        <v>0</v>
      </c>
      <c r="M114"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4" s="182">
        <f>Inschrijf_Transport_Totaal[[#This Row],[Totaal Emissieloos Transport]]+Inschrijf_Transport_Totaal[[#This Row],[Totaal Niet Emissieloos Transport]]</f>
        <v>0</v>
      </c>
    </row>
    <row r="115" spans="2:20" ht="18" x14ac:dyDescent="0.55000000000000004">
      <c r="B115" s="286">
        <f>Inschrijfberekening!B17</f>
        <v>0</v>
      </c>
      <c r="C115" s="269">
        <f>Inschrijfberekening!F17</f>
        <v>0</v>
      </c>
      <c r="D115" s="122">
        <f>(IF(Inschrijfberekening!C17="Nieuwe Situatie",(Inschrijfberekening!N17),0)*Inschrijfberekening!K17)</f>
        <v>0</v>
      </c>
      <c r="E115" s="271">
        <f>(IF(Inschrijfberekening!C17="Nieuwe Situatie",(Inschrijfberekening!T17),(Inschrijfberekening!T17))*Inschrijfberekening!K17)</f>
        <v>0</v>
      </c>
      <c r="F115" s="260" t="str" cm="1">
        <f t="array" ref="F115">_xlfn.IFNA(_xlfn.IFS(Inschrijfberekening!O17="Vrachtwagen (&gt;32 ton), elektrisch groen","Ja",Inschrijfberekening!O17="Vrachtwagen (&gt;32 ton), elektrisch grijs","Ja"),"Nee")</f>
        <v>Nee</v>
      </c>
      <c r="G115" s="274" t="str" cm="1">
        <f t="array" ref="G115">_xlfn.IFNA(_xlfn.IFS(Inschrijfberekening!U17="Vrachtwagen (&gt;32 ton), elektrisch groen","Ja",Inschrijfberekening!U17="Vrachtwagen (&gt;32 ton), elektrisch grijs","Ja"),"Nee")</f>
        <v>Nee</v>
      </c>
      <c r="H115"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5" s="182">
        <f>(IF(Inschrijfberekening!C17="Nieuwe Situatie",(Inschrijfberekening!N17),0)*Inschrijfberekening!K17)*Inschrijfberekening!M17</f>
        <v>0</v>
      </c>
      <c r="J115" s="182">
        <f>(IF(Inschrijfberekening!C17="Nieuwe Situatie",(Inschrijfberekening!T17),(Inschrijfberekening!T17))*Inschrijfberekening!K17)*Inschrijfberekening!M17</f>
        <v>0</v>
      </c>
      <c r="K115"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5" s="182">
        <f>Inschrijf_Transport_Totaal[[#This Row],[Emissieloos Transport]]+Inschrijf_Transport_Totaal[[#This Row],[Emissieloos Transport Vervangingen]]</f>
        <v>0</v>
      </c>
      <c r="M115"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5" s="182">
        <f>Inschrijf_Transport_Totaal[[#This Row],[Totaal Emissieloos Transport]]+Inschrijf_Transport_Totaal[[#This Row],[Totaal Niet Emissieloos Transport]]</f>
        <v>0</v>
      </c>
    </row>
    <row r="116" spans="2:20" ht="18" x14ac:dyDescent="0.55000000000000004">
      <c r="B116" s="286">
        <f>Inschrijfberekening!B18</f>
        <v>0</v>
      </c>
      <c r="C116" s="269">
        <f>Inschrijfberekening!F18</f>
        <v>0</v>
      </c>
      <c r="D116" s="122">
        <f>(IF(Inschrijfberekening!C18="Nieuwe Situatie",(Inschrijfberekening!N18),0)*Inschrijfberekening!K18)</f>
        <v>0</v>
      </c>
      <c r="E116" s="271">
        <f>(IF(Inschrijfberekening!C18="Nieuwe Situatie",(Inschrijfberekening!T18),(Inschrijfberekening!T18))*Inschrijfberekening!K18)</f>
        <v>0</v>
      </c>
      <c r="F116" s="260" t="str" cm="1">
        <f t="array" ref="F116">_xlfn.IFNA(_xlfn.IFS(Inschrijfberekening!O18="Vrachtwagen (&gt;32 ton), elektrisch groen","Ja",Inschrijfberekening!O18="Vrachtwagen (&gt;32 ton), elektrisch grijs","Ja"),"Nee")</f>
        <v>Nee</v>
      </c>
      <c r="G116" s="274" t="str" cm="1">
        <f t="array" ref="G116">_xlfn.IFNA(_xlfn.IFS(Inschrijfberekening!U18="Vrachtwagen (&gt;32 ton), elektrisch groen","Ja",Inschrijfberekening!U18="Vrachtwagen (&gt;32 ton), elektrisch grijs","Ja"),"Nee")</f>
        <v>Nee</v>
      </c>
      <c r="H116"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6" s="182">
        <f>(IF(Inschrijfberekening!C18="Nieuwe Situatie",(Inschrijfberekening!N18),0)*Inschrijfberekening!K18)*Inschrijfberekening!M18</f>
        <v>0</v>
      </c>
      <c r="J116" s="182">
        <f>(IF(Inschrijfberekening!C18="Nieuwe Situatie",(Inschrijfberekening!T18),(Inschrijfberekening!T18))*Inschrijfberekening!K18)*Inschrijfberekening!M18</f>
        <v>0</v>
      </c>
      <c r="K116"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6" s="182">
        <f>Inschrijf_Transport_Totaal[[#This Row],[Emissieloos Transport]]+Inschrijf_Transport_Totaal[[#This Row],[Emissieloos Transport Vervangingen]]</f>
        <v>0</v>
      </c>
      <c r="M116"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6" s="182">
        <f>Inschrijf_Transport_Totaal[[#This Row],[Totaal Emissieloos Transport]]+Inschrijf_Transport_Totaal[[#This Row],[Totaal Niet Emissieloos Transport]]</f>
        <v>0</v>
      </c>
    </row>
    <row r="117" spans="2:20" ht="18" x14ac:dyDescent="0.55000000000000004">
      <c r="B117" s="286">
        <f>Inschrijfberekening!B19</f>
        <v>0</v>
      </c>
      <c r="C117" s="269">
        <f>Inschrijfberekening!F19</f>
        <v>0</v>
      </c>
      <c r="D117" s="122">
        <f>(IF(Inschrijfberekening!C19="Nieuwe Situatie",(Inschrijfberekening!N19),0)*Inschrijfberekening!K19)</f>
        <v>0</v>
      </c>
      <c r="E117" s="271">
        <f>(IF(Inschrijfberekening!C19="Nieuwe Situatie",(Inschrijfberekening!T19),(Inschrijfberekening!T19))*Inschrijfberekening!K19)</f>
        <v>0</v>
      </c>
      <c r="F117" s="260" t="str" cm="1">
        <f t="array" ref="F117">_xlfn.IFNA(_xlfn.IFS(Inschrijfberekening!O19="Vrachtwagen (&gt;32 ton), elektrisch groen","Ja",Inschrijfberekening!O19="Vrachtwagen (&gt;32 ton), elektrisch grijs","Ja"),"Nee")</f>
        <v>Nee</v>
      </c>
      <c r="G117" s="274" t="str" cm="1">
        <f t="array" ref="G117">_xlfn.IFNA(_xlfn.IFS(Inschrijfberekening!U19="Vrachtwagen (&gt;32 ton), elektrisch groen","Ja",Inschrijfberekening!U19="Vrachtwagen (&gt;32 ton), elektrisch grijs","Ja"),"Nee")</f>
        <v>Nee</v>
      </c>
      <c r="H117"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7" s="182">
        <f>(IF(Inschrijfberekening!C19="Nieuwe Situatie",(Inschrijfberekening!N19),0)*Inschrijfberekening!K19)*Inschrijfberekening!M19</f>
        <v>0</v>
      </c>
      <c r="J117" s="182">
        <f>(IF(Inschrijfberekening!C19="Nieuwe Situatie",(Inschrijfberekening!T19),(Inschrijfberekening!T19))*Inschrijfberekening!K19)*Inschrijfberekening!M19</f>
        <v>0</v>
      </c>
      <c r="K117"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7" s="182">
        <f>Inschrijf_Transport_Totaal[[#This Row],[Emissieloos Transport]]+Inschrijf_Transport_Totaal[[#This Row],[Emissieloos Transport Vervangingen]]</f>
        <v>0</v>
      </c>
      <c r="M117"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7" s="182">
        <f>Inschrijf_Transport_Totaal[[#This Row],[Totaal Emissieloos Transport]]+Inschrijf_Transport_Totaal[[#This Row],[Totaal Niet Emissieloos Transport]]</f>
        <v>0</v>
      </c>
    </row>
    <row r="118" spans="2:20" ht="18.5" thickBot="1" x14ac:dyDescent="0.6">
      <c r="B118" s="286">
        <f>Inschrijfberekening!B20</f>
        <v>0</v>
      </c>
      <c r="C118" s="269">
        <f>Inschrijfberekening!F20</f>
        <v>0</v>
      </c>
      <c r="D118" s="122">
        <f>(IF(Inschrijfberekening!C20="Nieuwe Situatie",(Inschrijfberekening!N20),0)*Inschrijfberekening!K20)</f>
        <v>0</v>
      </c>
      <c r="E118" s="271">
        <f>(IF(Inschrijfberekening!C20="Nieuwe Situatie",(Inschrijfberekening!T20),(Inschrijfberekening!T20))*Inschrijfberekening!K20)</f>
        <v>0</v>
      </c>
      <c r="F118" s="118" t="str" cm="1">
        <f t="array" ref="F118">_xlfn.IFNA(_xlfn.IFS(Inschrijfberekening!O20="Vrachtwagen (&gt;32 ton), elektrisch groen","Ja",Inschrijfberekening!O20="Vrachtwagen (&gt;32 ton), elektrisch grijs","Ja"),"Nee")</f>
        <v>Nee</v>
      </c>
      <c r="G118" s="274" t="str" cm="1">
        <f t="array" ref="G118">_xlfn.IFNA(_xlfn.IFS(Inschrijfberekening!U20="Vrachtwagen (&gt;32 ton), elektrisch groen","Ja",Inschrijfberekening!U20="Vrachtwagen (&gt;32 ton), elektrisch grijs","Ja"),"Nee")</f>
        <v>Nee</v>
      </c>
      <c r="H118" s="182">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8" s="182">
        <f>(IF(Inschrijfberekening!C20="Nieuwe Situatie",(Inschrijfberekening!N20),0)*Inschrijfberekening!K20)*Inschrijfberekening!M20</f>
        <v>0</v>
      </c>
      <c r="J118" s="182">
        <f>(IF(Inschrijfberekening!C20="Nieuwe Situatie",(Inschrijfberekening!T20),(Inschrijfberekening!T20))*Inschrijfberekening!K20)*Inschrijfberekening!M20</f>
        <v>0</v>
      </c>
      <c r="K118" s="182">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8" s="182">
        <f>Inschrijf_Transport_Totaal[[#This Row],[Emissieloos Transport]]+Inschrijf_Transport_Totaal[[#This Row],[Emissieloos Transport Vervangingen]]</f>
        <v>0</v>
      </c>
      <c r="M118" s="182">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8" s="182">
        <f>Inschrijf_Transport_Totaal[[#This Row],[Totaal Emissieloos Transport]]+Inschrijf_Transport_Totaal[[#This Row],[Totaal Niet Emissieloos Transport]]</f>
        <v>0</v>
      </c>
    </row>
    <row r="119" spans="2:20" ht="18.5" thickTop="1" x14ac:dyDescent="0.55000000000000004">
      <c r="B119" s="68" t="s">
        <v>16</v>
      </c>
      <c r="C119" s="69"/>
      <c r="D119" s="97">
        <f>SUBTOTAL(109,Inschrijf_Transport_Totaal[Transport naar bouwplaats '[tkm']])</f>
        <v>102440</v>
      </c>
      <c r="E119" s="97">
        <f>SUBTOTAL(109,Inschrijf_Transport_Totaal[Transport naar verwerker '[tkm']])</f>
        <v>102440</v>
      </c>
      <c r="F119" s="97">
        <f>SUBTOTAL(109,Inschrijf_Transport_Totaal[Emissieloos Transport naar bouwplaats?])</f>
        <v>0</v>
      </c>
      <c r="G119" s="97">
        <f>SUBTOTAL(109,Inschrijf_Transport_Totaal[Emissieloos Transport naar verwerker?])</f>
        <v>0</v>
      </c>
      <c r="H119" s="180">
        <f>SUBTOTAL(109,Inschrijf_Transport_Totaal[Emissieloos Transport])</f>
        <v>0</v>
      </c>
      <c r="I119" s="180">
        <f>SUBTOTAL(109,Inschrijf_Transport_Totaal[Transport naar bouwplaats Vervangingen '[tkm']])</f>
        <v>0</v>
      </c>
      <c r="J119" s="97">
        <f>SUBTOTAL(109,Inschrijf_Transport_Totaal[Transport naar verwerker Vervangingen '[tkm']])</f>
        <v>0</v>
      </c>
      <c r="K119" s="180">
        <f>SUBTOTAL(109,Inschrijf_Transport_Totaal[Emissieloos Transport Vervangingen])</f>
        <v>0</v>
      </c>
      <c r="L119" s="180">
        <f>SUBTOTAL(109,Inschrijf_Transport_Totaal[Totaal Emissieloos Transport])</f>
        <v>0</v>
      </c>
      <c r="M119" s="180">
        <f>SUBTOTAL(109,Inschrijf_Transport_Totaal[Totaal Niet Emissieloos Transport])</f>
        <v>204880</v>
      </c>
      <c r="N119" s="180">
        <f>SUBTOTAL(109,Inschrijf_Transport_Totaal[Totaal Transport])</f>
        <v>204880</v>
      </c>
    </row>
    <row r="122" spans="2:20" ht="22" x14ac:dyDescent="0.65">
      <c r="B122" s="134" t="s">
        <v>350</v>
      </c>
      <c r="C122" s="134"/>
      <c r="D122" s="134"/>
      <c r="E122" s="17"/>
      <c r="F122" s="17"/>
      <c r="G122" s="17"/>
      <c r="H122" s="17"/>
    </row>
    <row r="123" spans="2:20" ht="18.5" thickBot="1" x14ac:dyDescent="0.6">
      <c r="B123" s="65" t="s">
        <v>55</v>
      </c>
      <c r="C123" s="66" t="s">
        <v>4</v>
      </c>
      <c r="D123" s="74" t="s">
        <v>427</v>
      </c>
      <c r="E123" s="75" t="s">
        <v>428</v>
      </c>
      <c r="F123" s="75" t="s">
        <v>429</v>
      </c>
      <c r="G123" s="75" t="s">
        <v>430</v>
      </c>
      <c r="H123" s="75" t="s">
        <v>425</v>
      </c>
      <c r="I123" s="75" t="s">
        <v>353</v>
      </c>
      <c r="J123" s="75" t="s">
        <v>426</v>
      </c>
      <c r="K123" s="75" t="s">
        <v>355</v>
      </c>
      <c r="L123" s="75" t="s">
        <v>354</v>
      </c>
      <c r="M123" s="74" t="s">
        <v>489</v>
      </c>
      <c r="N123" s="75" t="s">
        <v>490</v>
      </c>
      <c r="O123" s="75" t="s">
        <v>491</v>
      </c>
      <c r="P123" s="75" t="s">
        <v>492</v>
      </c>
      <c r="Q123" s="178" t="s">
        <v>485</v>
      </c>
      <c r="R123" s="195" t="s">
        <v>499</v>
      </c>
      <c r="S123" s="195" t="s">
        <v>500</v>
      </c>
      <c r="T123" s="195" t="s">
        <v>501</v>
      </c>
    </row>
    <row r="124" spans="2:20" ht="18.5" thickTop="1" x14ac:dyDescent="0.55000000000000004">
      <c r="B124" s="286">
        <f>Inschrijfberekening!B6</f>
        <v>422410</v>
      </c>
      <c r="C124" s="67" t="str">
        <f>Inschrijfberekening!F6</f>
        <v>20460-TB - AC 16 Bin/Base 35/50 60% PR Bestone</v>
      </c>
      <c r="D124" s="183" cm="1">
        <f t="array" ref="D124">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f>
        <v>0</v>
      </c>
      <c r="E124" s="184" cm="1">
        <f t="array" ref="E124">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f>
        <v>0</v>
      </c>
      <c r="F124" s="184" cm="1">
        <f t="array" ref="F124">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f>
        <v>0</v>
      </c>
      <c r="G124" s="187" cm="1">
        <f t="array" ref="G124">_xlfn.IFNA((_xlfn.IFS(Inschrijfberekening!E6="Funderingslagen",(Inschrijfberekening!L6/VLOOKUP(Inschrijfberekening!S6,Database_Overig_Materieel[#All],8,FALSE)),Inschrijfberekening!E6="Grondwerken",(Inschrijfberekening!L6/VLOOKUP(Inschrijfberekening!S6,Database_Overig_Materieel[#All],8,FALSE)))),0)</f>
        <v>0</v>
      </c>
      <c r="H124" s="118" t="str" cm="1">
        <f t="array" ref="H124">_xlfn.IFNA(_xlfn.IFS(Inschrijfberekening!P6="400 ton/dag - Elektrisch groen","Ja",Inschrijfberekening!P6="1000 ton/dag - Elektrisch groen","Ja",Inschrijfberekening!P6="2000 ton/dag - Elektrisch groen","Ja",Inschrijfberekening!P6="400 ton/dag - Elektrisch grijs","Ja",Inschrijfberekening!P6="1000 ton/dag - Elektrisch grijs","Ja",Inschrijfberekening!P6="2000 ton/dag - Elektrisch grijs","Ja"),"Nee")</f>
        <v>Nee</v>
      </c>
      <c r="I124" s="118" t="str" cm="1">
        <f t="array" ref="I124">_xlfn.IFNA(_xlfn.IFS(Inschrijfberekening!Q6="Graafmachine, Elektrisch groen","Ja",Inschrijfberekening!Q6="Graafmachine, Elektrisch grijs","Ja",Inschrijfberekening!Q6="Wiellader, Elektrisch groen","Ja",Inschrijfberekening!Q6="Wiellader, Elektrisch grijs","Ja",Inschrijfberekening!Q6="Bulldozer, Elektrisch groen","Ja",Inschrijfberekening!Q6="Bulldozer, Elektrisch groen","Ja"),"Nee")</f>
        <v>Nee</v>
      </c>
      <c r="J124" s="118" t="str" cm="1">
        <f t="array" ref="J124">_xlfn.IFNA(_xlfn.IFS(Inschrijfberekening!R6="400 ton/dag - Elektrisch groen","Ja",Inschrijfberekening!R6="1000 ton/dag - Elektrisch groen","Ja",Inschrijfberekening!R6="2000 ton/dag - Elektrisch groen","Ja",Inschrijfberekening!R6="400 ton/dag - Elektrisch grijs","Ja",Inschrijfberekening!R6="1000 ton/dag - Elektrisch grijs","Ja",Inschrijfberekening!R6="2000 ton/dag - Elektrisch grijs","Ja"),"Nee")</f>
        <v>Nee</v>
      </c>
      <c r="K124" s="151" t="str" cm="1">
        <f t="array" ref="K124">_xlfn.IFNA(_xlfn.IFS(Inschrijfberekening!S6="Graafmachine, Elektrisch groen","Ja",Inschrijfberekening!S6="Graafmachine, Elektrisch grijs","Ja",Inschrijfberekening!S6="Wiellader, Elektrisch groen","Ja",Inschrijfberekening!S6="Wiellader, Elektrisch grijs","Ja",Inschrijfberekening!S6="Bulldozer, Elektrisch groen","Ja",Inschrijfberekening!S6="Bulldozer, Elektrisch groen","Ja"),"Nee")</f>
        <v>Nee</v>
      </c>
      <c r="L124"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4" s="188" cm="1">
        <f t="array" ref="M124">(_xlfn.IFNA((_xlfn.IFS(Inschrijfberekening!C6="Bestaande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situatie",0,Inschrijfberekening!E6="Bitumineuze_verhardingen",(Inschrijfberekening!K6/(VLOOKUP(Inschrijfberekening!P6,Database_Asfalt_Aanlegset[#All],60,FALSE)/8)))),0)*Inschrijfberekening!M6)*Inschrijfberekening!M6</f>
        <v>0</v>
      </c>
      <c r="N124" s="188" cm="1">
        <f t="array" ref="N124">(_xlfn.IFNA((_xlfn.IFS(Inschrijfberekening!C6="Bestaande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Inschrijfberekening!M6</f>
        <v>0</v>
      </c>
      <c r="O124" s="188" cm="1">
        <f t="array" ref="O124">(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Inschrijfberekening!M6</f>
        <v>0</v>
      </c>
      <c r="P124" s="188" cm="1">
        <f t="array" ref="P124">(_xlfn.IFNA((_xlfn.IFS(Inschrijfberekening!E6="Funderingslagen",(Inschrijfberekening!L6/VLOOKUP(Inschrijfberekening!S6,Database_Overig_Materieel[#All],8,FALSE)),Inschrijfberekening!E6="Grondwerken",(Inschrijfberekening!L6/VLOOKUP(Inschrijfberekening!S6,Database_Overig_Materieel[#All],8,FALSE)))),0))*Inschrijfberekening!M6</f>
        <v>0</v>
      </c>
      <c r="Q124"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4" s="188">
        <f>Inschrijf_Bouwplaats_Totaal[[#This Row],[Emissieloos bouwplaats]]+Inschrijf_Bouwplaats_Totaal[[#This Row],[Emissieloos bouwplaats Vervangingen]]</f>
        <v>0</v>
      </c>
      <c r="S124"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24" s="188">
        <f>Inschrijf_Bouwplaats_Totaal[[#This Row],[Totaal Emissieloos Bouwplaats]]+Inschrijf_Bouwplaats_Totaal[[#This Row],[Totaal Niet Emissieloos Bouwplaats]]</f>
        <v>0</v>
      </c>
    </row>
    <row r="125" spans="2:20" ht="18" x14ac:dyDescent="0.55000000000000004">
      <c r="B125" s="286">
        <f>Inschrijfberekening!B7</f>
        <v>422510</v>
      </c>
      <c r="C125" s="67" t="str">
        <f>Inschrijfberekening!F7</f>
        <v>AC 11 surf DL-A rood*</v>
      </c>
      <c r="D125" s="183" cm="1">
        <f t="array" ref="D125">_xlfn.IFNA((_xlfn.IFS(Inschrijfberekening!C7="Bestaande situatie",0,Inschrijfberekening!E7="Bitumineuze_verhardingen",(Inschrijfberekening!K7/(VLOOKUP(Inschrijfberekening!P7,Database_Asfalt_Aanlegset[#All],60,FALSE)/8)))),0)+_xlfn.IFNA((_xlfn.IFS(Inschrijfberekening!C7="Bestaande situatie",0,Inschrijfberekening!E7="Bitumineuze_verhardingen",(Inschrijfberekening!K7/(VLOOKUP(Inschrijfberekening!P7,Database_Asfalt_Aanlegset[#All],60,FALSE)/8)))),0)*Inschrijfberekening!M7</f>
        <v>0.13</v>
      </c>
      <c r="E125" s="184" cm="1">
        <f t="array" ref="E125">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Inschrijfberekening!M7</f>
        <v>0</v>
      </c>
      <c r="F125" s="184" cm="1">
        <f t="array" ref="F125">_xlfn.IFNA((_xlfn.IFS(Inschrijfberekening!E7="Bitumineuze_verhardingen",(Inschrijfberekening!K7/(VLOOKUP(Inschrijfberekening!R7,Database_Asfalt_Aanlegset[#All],60,FALSE)/8)))),0)+_xlfn.IFNA((_xlfn.IFS(Inschrijfberekening!E7="Bitumineuze_verhardingen",(Inschrijfberekening!K7/(VLOOKUP(Inschrijfberekening!R7,Database_Asfalt_Aanlegset[#All],60,FALSE)/8)))),0)*Inschrijfberekening!M7</f>
        <v>0.13</v>
      </c>
      <c r="G125" s="187" cm="1">
        <f t="array" ref="G125">_xlfn.IFNA((_xlfn.IFS(Inschrijfberekening!E7="Funderingslagen",(Inschrijfberekening!L7/VLOOKUP(Inschrijfberekening!S7,Database_Overig_Materieel[#All],8,FALSE)),Inschrijfberekening!E7="Grondwerken",(Inschrijfberekening!L7/VLOOKUP(Inschrijfberekening!S7,Database_Overig_Materieel[#All],8,FALSE)))),0)</f>
        <v>0</v>
      </c>
      <c r="H125" s="118" t="str" cm="1">
        <f t="array" ref="H125">_xlfn.IFNA(_xlfn.IFS(Inschrijfberekening!P7="400 ton/dag - Elektrisch groen","Ja",Inschrijfberekening!P7="1000 ton/dag - Elektrisch groen","Ja",Inschrijfberekening!P7="2000 ton/dag - Elektrisch groen","Ja",Inschrijfberekening!P7="400 ton/dag - Elektrisch grijs","Ja",Inschrijfberekening!P7="1000 ton/dag - Elektrisch grijs","Ja",Inschrijfberekening!P7="2000 ton/dag - Elektrisch grijs","Ja"),"Nee")</f>
        <v>Nee</v>
      </c>
      <c r="I125" s="118" t="str" cm="1">
        <f t="array" ref="I125">_xlfn.IFNA(_xlfn.IFS(Inschrijfberekening!Q7="Graafmachine, Elektrisch groen","Ja",Inschrijfberekening!Q7="Graafmachine, Elektrisch grijs","Ja",Inschrijfberekening!Q7="Wiellader, Elektrisch groen","Ja",Inschrijfberekening!Q7="Wiellader, Elektrisch grijs","Ja",Inschrijfberekening!Q7="Bulldozer, Elektrisch groen","Ja",Inschrijfberekening!Q7="Bulldozer, Elektrisch groen","Ja"),"Nee")</f>
        <v>Nee</v>
      </c>
      <c r="J125" s="118" t="str" cm="1">
        <f t="array" ref="J125">_xlfn.IFNA(_xlfn.IFS(Inschrijfberekening!R7="400 ton/dag - Elektrisch groen","Ja",Inschrijfberekening!R7="1000 ton/dag - Elektrisch groen","Ja",Inschrijfberekening!R7="2000 ton/dag - Elektrisch groen","Ja",Inschrijfberekening!R7="400 ton/dag - Elektrisch grijs","Ja",Inschrijfberekening!R7="1000 ton/dag - Elektrisch grijs","Ja",Inschrijfberekening!R7="2000 ton/dag - Elektrisch grijs","Ja"),"Nee")</f>
        <v>Nee</v>
      </c>
      <c r="K125" s="151" t="str" cm="1">
        <f t="array" ref="K125">_xlfn.IFNA(_xlfn.IFS(Inschrijfberekening!S7="Graafmachine, Elektrisch groen","Ja",Inschrijfberekening!S7="Graafmachine, Elektrisch grijs","Ja",Inschrijfberekening!S7="Wiellader, Elektrisch groen","Ja",Inschrijfberekening!S7="Wiellader, Elektrisch grijs","Ja",Inschrijfberekening!S7="Bulldozer, Elektrisch groen","Ja",Inschrijfberekening!S7="Bulldozer, Elektrisch groen","Ja"),"Nee")</f>
        <v>Nee</v>
      </c>
      <c r="L125"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5" s="188" cm="1">
        <f t="array" ref="M125">(_xlfn.IFNA((_xlfn.IFS(Inschrijfberekening!C7="Bestaande situatie",0,Inschrijfberekening!E7="Bitumineuze_verhardingen",(Inschrijfberekening!K7/(VLOOKUP(Inschrijfberekening!P7,Database_Asfalt_Aanlegset[#All],60,FALSE)/8)))),0)+_xlfn.IFNA((_xlfn.IFS(Inschrijfberekening!C7="Bestaande situatie",0,Inschrijfberekening!E7="Bitumineuze_verhardingen",(Inschrijfberekening!K7/(VLOOKUP(Inschrijfberekening!P7,Database_Asfalt_Aanlegset[#All],60,FALSE)/8)))),0)*Inschrijfberekening!M7)*Inschrijfberekening!M7</f>
        <v>0</v>
      </c>
      <c r="N125" s="188" cm="1">
        <f t="array" ref="N125">(_xlfn.IFNA((_xlfn.IFS(Inschrijfberekening!C7="Bestaande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Inschrijfberekening!M7)*Inschrijfberekening!M7</f>
        <v>0</v>
      </c>
      <c r="O125" s="188" cm="1">
        <f t="array" ref="O125">(_xlfn.IFNA((_xlfn.IFS(Inschrijfberekening!E7="Bitumineuze_verhardingen",(Inschrijfberekening!K7/(VLOOKUP(Inschrijfberekening!R7,Database_Asfalt_Aanlegset[#All],60,FALSE)/8)))),0)+_xlfn.IFNA((_xlfn.IFS(Inschrijfberekening!E7="Bitumineuze_verhardingen",(Inschrijfberekening!K7/(VLOOKUP(Inschrijfberekening!R7,Database_Asfalt_Aanlegset[#All],60,FALSE)/8)))),0)*Inschrijfberekening!M7)*Inschrijfberekening!M7</f>
        <v>0</v>
      </c>
      <c r="P125" s="188" cm="1">
        <f t="array" ref="P125">(_xlfn.IFNA((_xlfn.IFS(Inschrijfberekening!E7="Funderingslagen",(Inschrijfberekening!L7/VLOOKUP(Inschrijfberekening!S7,Database_Overig_Materieel[#All],8,FALSE)),Inschrijfberekening!E7="Grondwerken",(Inschrijfberekening!L7/VLOOKUP(Inschrijfberekening!S7,Database_Overig_Materieel[#All],8,FALSE)))),0))*Inschrijfberekening!M7</f>
        <v>0</v>
      </c>
      <c r="Q125"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5" s="188">
        <f>Inschrijf_Bouwplaats_Totaal[[#This Row],[Emissieloos bouwplaats]]+Inschrijf_Bouwplaats_Totaal[[#This Row],[Emissieloos bouwplaats Vervangingen]]</f>
        <v>0</v>
      </c>
      <c r="S125"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0.26</v>
      </c>
      <c r="T125" s="188">
        <f>Inschrijf_Bouwplaats_Totaal[[#This Row],[Totaal Emissieloos Bouwplaats]]+Inschrijf_Bouwplaats_Totaal[[#This Row],[Totaal Niet Emissieloos Bouwplaats]]</f>
        <v>0.26</v>
      </c>
    </row>
    <row r="126" spans="2:20" ht="18" x14ac:dyDescent="0.55000000000000004">
      <c r="B126" s="286">
        <f>Inschrijfberekening!B8</f>
        <v>422520</v>
      </c>
      <c r="C126" s="67" t="str">
        <f>Inschrijfberekening!F8</f>
        <v>88405-TB - SMA-NL 11B 40/60 Bestone</v>
      </c>
      <c r="D126" s="183" cm="1">
        <f t="array" ref="D126">_xlfn.IFNA((_xlfn.IFS(Inschrijfberekening!C8="Bestaande situatie",0,Inschrijfberekening!E8="Bitumineuze_verhardingen",(Inschrijfberekening!K8/(VLOOKUP(Inschrijfberekening!P8,Database_Asfalt_Aanlegset[#All],60,FALSE)/8)))),0)+_xlfn.IFNA((_xlfn.IFS(Inschrijfberekening!C8="Bestaande situatie",0,Inschrijfberekening!E8="Bitumineuze_verhardingen",(Inschrijfberekening!K8/(VLOOKUP(Inschrijfberekening!P8,Database_Asfalt_Aanlegset[#All],60,FALSE)/8)))),0)*Inschrijfberekening!M8</f>
        <v>0</v>
      </c>
      <c r="E126" s="184" cm="1">
        <f t="array" ref="E126">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Inschrijfberekening!M8</f>
        <v>0</v>
      </c>
      <c r="F126" s="184" cm="1">
        <f t="array" ref="F126">_xlfn.IFNA((_xlfn.IFS(Inschrijfberekening!E8="Bitumineuze_verhardingen",(Inschrijfberekening!K8/(VLOOKUP(Inschrijfberekening!R8,Database_Asfalt_Aanlegset[#All],60,FALSE)/8)))),0)+_xlfn.IFNA((_xlfn.IFS(Inschrijfberekening!E8="Bitumineuze_verhardingen",(Inschrijfberekening!K8/(VLOOKUP(Inschrijfberekening!R8,Database_Asfalt_Aanlegset[#All],60,FALSE)/8)))),0)*Inschrijfberekening!M8</f>
        <v>0</v>
      </c>
      <c r="G126" s="187" cm="1">
        <f t="array" ref="G126">_xlfn.IFNA((_xlfn.IFS(Inschrijfberekening!E8="Funderingslagen",(Inschrijfberekening!L8/VLOOKUP(Inschrijfberekening!S8,Database_Overig_Materieel[#All],8,FALSE)),Inschrijfberekening!E8="Grondwerken",(Inschrijfberekening!L8/VLOOKUP(Inschrijfberekening!S8,Database_Overig_Materieel[#All],8,FALSE)))),0)</f>
        <v>0</v>
      </c>
      <c r="H126" s="118" t="str" cm="1">
        <f t="array" ref="H126">_xlfn.IFNA(_xlfn.IFS(Inschrijfberekening!P8="400 ton/dag - Elektrisch groen","Ja",Inschrijfberekening!P8="1000 ton/dag - Elektrisch groen","Ja",Inschrijfberekening!P8="2000 ton/dag - Elektrisch groen","Ja",Inschrijfberekening!P8="400 ton/dag - Elektrisch grijs","Ja",Inschrijfberekening!P8="1000 ton/dag - Elektrisch grijs","Ja",Inschrijfberekening!P8="2000 ton/dag - Elektrisch grijs","Ja"),"Nee")</f>
        <v>Nee</v>
      </c>
      <c r="I126" s="118" t="str" cm="1">
        <f t="array" ref="I126">_xlfn.IFNA(_xlfn.IFS(Inschrijfberekening!Q8="Graafmachine, Elektrisch groen","Ja",Inschrijfberekening!Q8="Graafmachine, Elektrisch grijs","Ja",Inschrijfberekening!Q8="Wiellader, Elektrisch groen","Ja",Inschrijfberekening!Q8="Wiellader, Elektrisch grijs","Ja",Inschrijfberekening!Q8="Bulldozer, Elektrisch groen","Ja",Inschrijfberekening!Q8="Bulldozer, Elektrisch groen","Ja"),"Nee")</f>
        <v>Nee</v>
      </c>
      <c r="J126" s="118" t="str" cm="1">
        <f t="array" ref="J126">_xlfn.IFNA(_xlfn.IFS(Inschrijfberekening!R8="400 ton/dag - Elektrisch groen","Ja",Inschrijfberekening!R8="1000 ton/dag - Elektrisch groen","Ja",Inschrijfberekening!R8="2000 ton/dag - Elektrisch groen","Ja",Inschrijfberekening!R8="400 ton/dag - Elektrisch grijs","Ja",Inschrijfberekening!R8="1000 ton/dag - Elektrisch grijs","Ja",Inschrijfberekening!R8="2000 ton/dag - Elektrisch grijs","Ja"),"Nee")</f>
        <v>Nee</v>
      </c>
      <c r="K126" s="151" t="str" cm="1">
        <f t="array" ref="K126">_xlfn.IFNA(_xlfn.IFS(Inschrijfberekening!S8="Graafmachine, Elektrisch groen","Ja",Inschrijfberekening!S8="Graafmachine, Elektrisch grijs","Ja",Inschrijfberekening!S8="Wiellader, Elektrisch groen","Ja",Inschrijfberekening!S8="Wiellader, Elektrisch grijs","Ja",Inschrijfberekening!S8="Bulldozer, Elektrisch groen","Ja",Inschrijfberekening!S8="Bulldozer, Elektrisch groen","Ja"),"Nee")</f>
        <v>Nee</v>
      </c>
      <c r="L126"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6" s="188" cm="1">
        <f t="array" ref="M126">(_xlfn.IFNA((_xlfn.IFS(Inschrijfberekening!C8="Bestaande situatie",0,Inschrijfberekening!E8="Bitumineuze_verhardingen",(Inschrijfberekening!K8/(VLOOKUP(Inschrijfberekening!P8,Database_Asfalt_Aanlegset[#All],60,FALSE)/8)))),0)+_xlfn.IFNA((_xlfn.IFS(Inschrijfberekening!C8="Bestaande situatie",0,Inschrijfberekening!E8="Bitumineuze_verhardingen",(Inschrijfberekening!K8/(VLOOKUP(Inschrijfberekening!P8,Database_Asfalt_Aanlegset[#All],60,FALSE)/8)))),0)*Inschrijfberekening!M8)*Inschrijfberekening!M8</f>
        <v>0</v>
      </c>
      <c r="N126" s="188" cm="1">
        <f t="array" ref="N126">(_xlfn.IFNA((_xlfn.IFS(Inschrijfberekening!C8="Bestaande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Inschrijfberekening!M8)*Inschrijfberekening!M8</f>
        <v>0</v>
      </c>
      <c r="O126" s="188" cm="1">
        <f t="array" ref="O126">(_xlfn.IFNA((_xlfn.IFS(Inschrijfberekening!E8="Bitumineuze_verhardingen",(Inschrijfberekening!K8/(VLOOKUP(Inschrijfberekening!R8,Database_Asfalt_Aanlegset[#All],60,FALSE)/8)))),0)+_xlfn.IFNA((_xlfn.IFS(Inschrijfberekening!E8="Bitumineuze_verhardingen",(Inschrijfberekening!K8/(VLOOKUP(Inschrijfberekening!R8,Database_Asfalt_Aanlegset[#All],60,FALSE)/8)))),0)*Inschrijfberekening!M8)*Inschrijfberekening!M8</f>
        <v>0</v>
      </c>
      <c r="P126" s="188" cm="1">
        <f t="array" ref="P126">(_xlfn.IFNA((_xlfn.IFS(Inschrijfberekening!E8="Funderingslagen",(Inschrijfberekening!L8/VLOOKUP(Inschrijfberekening!S8,Database_Overig_Materieel[#All],8,FALSE)),Inschrijfberekening!E8="Grondwerken",(Inschrijfberekening!L8/VLOOKUP(Inschrijfberekening!S8,Database_Overig_Materieel[#All],8,FALSE)))),0))*Inschrijfberekening!M8</f>
        <v>0</v>
      </c>
      <c r="Q126"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6" s="188">
        <f>Inschrijf_Bouwplaats_Totaal[[#This Row],[Emissieloos bouwplaats]]+Inschrijf_Bouwplaats_Totaal[[#This Row],[Emissieloos bouwplaats Vervangingen]]</f>
        <v>0</v>
      </c>
      <c r="S126"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26" s="188">
        <f>Inschrijf_Bouwplaats_Totaal[[#This Row],[Totaal Emissieloos Bouwplaats]]+Inschrijf_Bouwplaats_Totaal[[#This Row],[Totaal Niet Emissieloos Bouwplaats]]</f>
        <v>0</v>
      </c>
    </row>
    <row r="127" spans="2:20" ht="18" x14ac:dyDescent="0.55000000000000004">
      <c r="B127" s="286">
        <f>Inschrijfberekening!B9</f>
        <v>601230</v>
      </c>
      <c r="C127" s="67" t="str">
        <f>Inschrijfberekening!F9</f>
        <v>20060-TB - AC 22 Bin/Base 35/50 60% PR Bestone</v>
      </c>
      <c r="D127" s="183" cm="1">
        <f t="array" ref="D127">_xlfn.IFNA((_xlfn.IFS(Inschrijfberekening!C9="Bestaande situatie",0,Inschrijfberekening!E9="Bitumineuze_verhardingen",(Inschrijfberekening!K9/(VLOOKUP(Inschrijfberekening!P9,Database_Asfalt_Aanlegset[#All],60,FALSE)/8)))),0)+_xlfn.IFNA((_xlfn.IFS(Inschrijfberekening!C9="Bestaande situatie",0,Inschrijfberekening!E9="Bitumineuze_verhardingen",(Inschrijfberekening!K9/(VLOOKUP(Inschrijfberekening!P9,Database_Asfalt_Aanlegset[#All],60,FALSE)/8)))),0)*Inschrijfberekening!M9</f>
        <v>0</v>
      </c>
      <c r="E127" s="184" cm="1">
        <f t="array" ref="E127">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Inschrijfberekening!M9</f>
        <v>0</v>
      </c>
      <c r="F127" s="184" cm="1">
        <f t="array" ref="F127">_xlfn.IFNA((_xlfn.IFS(Inschrijfberekening!E9="Bitumineuze_verhardingen",(Inschrijfberekening!K9/(VLOOKUP(Inschrijfberekening!R9,Database_Asfalt_Aanlegset[#All],60,FALSE)/8)))),0)+_xlfn.IFNA((_xlfn.IFS(Inschrijfberekening!E9="Bitumineuze_verhardingen",(Inschrijfberekening!K9/(VLOOKUP(Inschrijfberekening!R9,Database_Asfalt_Aanlegset[#All],60,FALSE)/8)))),0)*Inschrijfberekening!M9</f>
        <v>0</v>
      </c>
      <c r="G127" s="187" cm="1">
        <f t="array" ref="G127">_xlfn.IFNA((_xlfn.IFS(Inschrijfberekening!E9="Funderingslagen",(Inschrijfberekening!L9/VLOOKUP(Inschrijfberekening!S9,Database_Overig_Materieel[#All],8,FALSE)),Inschrijfberekening!E9="Grondwerken",(Inschrijfberekening!L9/VLOOKUP(Inschrijfberekening!S9,Database_Overig_Materieel[#All],8,FALSE)))),0)</f>
        <v>0</v>
      </c>
      <c r="H127" s="118" t="str" cm="1">
        <f t="array" ref="H127">_xlfn.IFNA(_xlfn.IFS(Inschrijfberekening!P9="400 ton/dag - Elektrisch groen","Ja",Inschrijfberekening!P9="1000 ton/dag - Elektrisch groen","Ja",Inschrijfberekening!P9="2000 ton/dag - Elektrisch groen","Ja",Inschrijfberekening!P9="400 ton/dag - Elektrisch grijs","Ja",Inschrijfberekening!P9="1000 ton/dag - Elektrisch grijs","Ja",Inschrijfberekening!P9="2000 ton/dag - Elektrisch grijs","Ja"),"Nee")</f>
        <v>Nee</v>
      </c>
      <c r="I127" s="118" t="str" cm="1">
        <f t="array" ref="I127">_xlfn.IFNA(_xlfn.IFS(Inschrijfberekening!Q9="Graafmachine, Elektrisch groen","Ja",Inschrijfberekening!Q9="Graafmachine, Elektrisch grijs","Ja",Inschrijfberekening!Q9="Wiellader, Elektrisch groen","Ja",Inschrijfberekening!Q9="Wiellader, Elektrisch grijs","Ja",Inschrijfberekening!Q9="Bulldozer, Elektrisch groen","Ja",Inschrijfberekening!Q9="Bulldozer, Elektrisch groen","Ja"),"Nee")</f>
        <v>Nee</v>
      </c>
      <c r="J127" s="118" t="str" cm="1">
        <f t="array" ref="J127">_xlfn.IFNA(_xlfn.IFS(Inschrijfberekening!R9="400 ton/dag - Elektrisch groen","Ja",Inschrijfberekening!R9="1000 ton/dag - Elektrisch groen","Ja",Inschrijfberekening!R9="2000 ton/dag - Elektrisch groen","Ja",Inschrijfberekening!R9="400 ton/dag - Elektrisch grijs","Ja",Inschrijfberekening!R9="1000 ton/dag - Elektrisch grijs","Ja",Inschrijfberekening!R9="2000 ton/dag - Elektrisch grijs","Ja"),"Nee")</f>
        <v>Nee</v>
      </c>
      <c r="K127" s="151" t="str" cm="1">
        <f t="array" ref="K127">_xlfn.IFNA(_xlfn.IFS(Inschrijfberekening!S9="Graafmachine, Elektrisch groen","Ja",Inschrijfberekening!S9="Graafmachine, Elektrisch grijs","Ja",Inschrijfberekening!S9="Wiellader, Elektrisch groen","Ja",Inschrijfberekening!S9="Wiellader, Elektrisch grijs","Ja",Inschrijfberekening!S9="Bulldozer, Elektrisch groen","Ja",Inschrijfberekening!S9="Bulldozer, Elektrisch groen","Ja"),"Nee")</f>
        <v>Nee</v>
      </c>
      <c r="L127"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7" s="188" cm="1">
        <f t="array" ref="M127">(_xlfn.IFNA((_xlfn.IFS(Inschrijfberekening!C9="Bestaande situatie",0,Inschrijfberekening!E9="Bitumineuze_verhardingen",(Inschrijfberekening!K9/(VLOOKUP(Inschrijfberekening!P9,Database_Asfalt_Aanlegset[#All],60,FALSE)/8)))),0)+_xlfn.IFNA((_xlfn.IFS(Inschrijfberekening!C9="Bestaande situatie",0,Inschrijfberekening!E9="Bitumineuze_verhardingen",(Inschrijfberekening!K9/(VLOOKUP(Inschrijfberekening!P9,Database_Asfalt_Aanlegset[#All],60,FALSE)/8)))),0)*Inschrijfberekening!M9)*Inschrijfberekening!M9</f>
        <v>0</v>
      </c>
      <c r="N127" s="188" cm="1">
        <f t="array" ref="N127">(_xlfn.IFNA((_xlfn.IFS(Inschrijfberekening!C9="Bestaande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Inschrijfberekening!M9)*Inschrijfberekening!M9</f>
        <v>0</v>
      </c>
      <c r="O127" s="188" cm="1">
        <f t="array" ref="O127">(_xlfn.IFNA((_xlfn.IFS(Inschrijfberekening!E9="Bitumineuze_verhardingen",(Inschrijfberekening!K9/(VLOOKUP(Inschrijfberekening!R9,Database_Asfalt_Aanlegset[#All],60,FALSE)/8)))),0)+_xlfn.IFNA((_xlfn.IFS(Inschrijfberekening!E9="Bitumineuze_verhardingen",(Inschrijfberekening!K9/(VLOOKUP(Inschrijfberekening!R9,Database_Asfalt_Aanlegset[#All],60,FALSE)/8)))),0)*Inschrijfberekening!M9)*Inschrijfberekening!M9</f>
        <v>0</v>
      </c>
      <c r="P127" s="188" cm="1">
        <f t="array" ref="P127">(_xlfn.IFNA((_xlfn.IFS(Inschrijfberekening!E9="Funderingslagen",(Inschrijfberekening!L9/VLOOKUP(Inschrijfberekening!S9,Database_Overig_Materieel[#All],8,FALSE)),Inschrijfberekening!E9="Grondwerken",(Inschrijfberekening!L9/VLOOKUP(Inschrijfberekening!S9,Database_Overig_Materieel[#All],8,FALSE)))),0))*Inschrijfberekening!M9</f>
        <v>0</v>
      </c>
      <c r="Q127"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7" s="188">
        <f>Inschrijf_Bouwplaats_Totaal[[#This Row],[Emissieloos bouwplaats]]+Inschrijf_Bouwplaats_Totaal[[#This Row],[Emissieloos bouwplaats Vervangingen]]</f>
        <v>0</v>
      </c>
      <c r="S127"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27" s="188">
        <f>Inschrijf_Bouwplaats_Totaal[[#This Row],[Totaal Emissieloos Bouwplaats]]+Inschrijf_Bouwplaats_Totaal[[#This Row],[Totaal Niet Emissieloos Bouwplaats]]</f>
        <v>0</v>
      </c>
    </row>
    <row r="128" spans="2:20" ht="18" x14ac:dyDescent="0.55000000000000004">
      <c r="B128" s="286">
        <f>Inschrijfberekening!B10</f>
        <v>601240</v>
      </c>
      <c r="C128" s="67" t="str">
        <f>Inschrijfberekening!F10</f>
        <v>20060-TB - AC 22 Bin/Base 35/50 60% PR Bestone</v>
      </c>
      <c r="D128" s="183" cm="1">
        <f t="array" ref="D128">_xlfn.IFNA((_xlfn.IFS(Inschrijfberekening!C10="Bestaande situatie",0,Inschrijfberekening!E10="Bitumineuze_verhardingen",(Inschrijfberekening!K10/(VLOOKUP(Inschrijfberekening!P10,Database_Asfalt_Aanlegset[#All],60,FALSE)/8)))),0)+_xlfn.IFNA((_xlfn.IFS(Inschrijfberekening!C10="Bestaande situatie",0,Inschrijfberekening!E10="Bitumineuze_verhardingen",(Inschrijfberekening!K10/(VLOOKUP(Inschrijfberekening!P10,Database_Asfalt_Aanlegset[#All],60,FALSE)/8)))),0)*Inschrijfberekening!M10</f>
        <v>0</v>
      </c>
      <c r="E128" s="184" cm="1">
        <f t="array" ref="E128">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Inschrijfberekening!M10</f>
        <v>0</v>
      </c>
      <c r="F128" s="184" cm="1">
        <f t="array" ref="F128">_xlfn.IFNA((_xlfn.IFS(Inschrijfberekening!E10="Bitumineuze_verhardingen",(Inschrijfberekening!K10/(VLOOKUP(Inschrijfberekening!R10,Database_Asfalt_Aanlegset[#All],60,FALSE)/8)))),0)+_xlfn.IFNA((_xlfn.IFS(Inschrijfberekening!E10="Bitumineuze_verhardingen",(Inschrijfberekening!K10/(VLOOKUP(Inschrijfberekening!R10,Database_Asfalt_Aanlegset[#All],60,FALSE)/8)))),0)*Inschrijfberekening!M10</f>
        <v>0</v>
      </c>
      <c r="G128" s="187" cm="1">
        <f t="array" ref="G128">_xlfn.IFNA((_xlfn.IFS(Inschrijfberekening!E10="Funderingslagen",(Inschrijfberekening!L10/VLOOKUP(Inschrijfberekening!S10,Database_Overig_Materieel[#All],8,FALSE)),Inschrijfberekening!E10="Grondwerken",(Inschrijfberekening!L10/VLOOKUP(Inschrijfberekening!S10,Database_Overig_Materieel[#All],8,FALSE)))),0)</f>
        <v>0</v>
      </c>
      <c r="H128" s="118" t="str" cm="1">
        <f t="array" ref="H128">_xlfn.IFNA(_xlfn.IFS(Inschrijfberekening!P10="400 ton/dag - Elektrisch groen","Ja",Inschrijfberekening!P10="1000 ton/dag - Elektrisch groen","Ja",Inschrijfberekening!P10="2000 ton/dag - Elektrisch groen","Ja",Inschrijfberekening!P10="400 ton/dag - Elektrisch grijs","Ja",Inschrijfberekening!P10="1000 ton/dag - Elektrisch grijs","Ja",Inschrijfberekening!P10="2000 ton/dag - Elektrisch grijs","Ja"),"Nee")</f>
        <v>Nee</v>
      </c>
      <c r="I128" s="118" t="str" cm="1">
        <f t="array" ref="I128">_xlfn.IFNA(_xlfn.IFS(Inschrijfberekening!Q10="Graafmachine, Elektrisch groen","Ja",Inschrijfberekening!Q10="Graafmachine, Elektrisch grijs","Ja",Inschrijfberekening!Q10="Wiellader, Elektrisch groen","Ja",Inschrijfberekening!Q10="Wiellader, Elektrisch grijs","Ja",Inschrijfberekening!Q10="Bulldozer, Elektrisch groen","Ja",Inschrijfberekening!Q10="Bulldozer, Elektrisch groen","Ja"),"Nee")</f>
        <v>Nee</v>
      </c>
      <c r="J128" s="118" t="str" cm="1">
        <f t="array" ref="J128">_xlfn.IFNA(_xlfn.IFS(Inschrijfberekening!R10="400 ton/dag - Elektrisch groen","Ja",Inschrijfberekening!R10="1000 ton/dag - Elektrisch groen","Ja",Inschrijfberekening!R10="2000 ton/dag - Elektrisch groen","Ja",Inschrijfberekening!R10="400 ton/dag - Elektrisch grijs","Ja",Inschrijfberekening!R10="1000 ton/dag - Elektrisch grijs","Ja",Inschrijfberekening!R10="2000 ton/dag - Elektrisch grijs","Ja"),"Nee")</f>
        <v>Nee</v>
      </c>
      <c r="K128" s="151" t="str" cm="1">
        <f t="array" ref="K128">_xlfn.IFNA(_xlfn.IFS(Inschrijfberekening!S10="Graafmachine, Elektrisch groen","Ja",Inschrijfberekening!S10="Graafmachine, Elektrisch grijs","Ja",Inschrijfberekening!S10="Wiellader, Elektrisch groen","Ja",Inschrijfberekening!S10="Wiellader, Elektrisch grijs","Ja",Inschrijfberekening!S10="Bulldozer, Elektrisch groen","Ja",Inschrijfberekening!S10="Bulldozer, Elektrisch groen","Ja"),"Nee")</f>
        <v>Nee</v>
      </c>
      <c r="L128"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8" s="188" cm="1">
        <f t="array" ref="M128">(_xlfn.IFNA((_xlfn.IFS(Inschrijfberekening!C10="Bestaande situatie",0,Inschrijfberekening!E10="Bitumineuze_verhardingen",(Inschrijfberekening!K10/(VLOOKUP(Inschrijfberekening!P10,Database_Asfalt_Aanlegset[#All],60,FALSE)/8)))),0)+_xlfn.IFNA((_xlfn.IFS(Inschrijfberekening!C10="Bestaande situatie",0,Inschrijfberekening!E10="Bitumineuze_verhardingen",(Inschrijfberekening!K10/(VLOOKUP(Inschrijfberekening!P10,Database_Asfalt_Aanlegset[#All],60,FALSE)/8)))),0)*Inschrijfberekening!M10)*Inschrijfberekening!M10</f>
        <v>0</v>
      </c>
      <c r="N128" s="188" cm="1">
        <f t="array" ref="N128">(_xlfn.IFNA((_xlfn.IFS(Inschrijfberekening!C10="Bestaande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Inschrijfberekening!M10)*Inschrijfberekening!M10</f>
        <v>0</v>
      </c>
      <c r="O128" s="188" cm="1">
        <f t="array" ref="O128">(_xlfn.IFNA((_xlfn.IFS(Inschrijfberekening!E10="Bitumineuze_verhardingen",(Inschrijfberekening!K10/(VLOOKUP(Inschrijfberekening!R10,Database_Asfalt_Aanlegset[#All],60,FALSE)/8)))),0)+_xlfn.IFNA((_xlfn.IFS(Inschrijfberekening!E10="Bitumineuze_verhardingen",(Inschrijfberekening!K10/(VLOOKUP(Inschrijfberekening!R10,Database_Asfalt_Aanlegset[#All],60,FALSE)/8)))),0)*Inschrijfberekening!M10)*Inschrijfberekening!M10</f>
        <v>0</v>
      </c>
      <c r="P128" s="188" cm="1">
        <f t="array" ref="P128">(_xlfn.IFNA((_xlfn.IFS(Inschrijfberekening!E10="Funderingslagen",(Inschrijfberekening!L10/VLOOKUP(Inschrijfberekening!S10,Database_Overig_Materieel[#All],8,FALSE)),Inschrijfberekening!E10="Grondwerken",(Inschrijfberekening!L10/VLOOKUP(Inschrijfberekening!S10,Database_Overig_Materieel[#All],8,FALSE)))),0))*Inschrijfberekening!M10</f>
        <v>0</v>
      </c>
      <c r="Q128"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8" s="188">
        <f>Inschrijf_Bouwplaats_Totaal[[#This Row],[Emissieloos bouwplaats]]+Inschrijf_Bouwplaats_Totaal[[#This Row],[Emissieloos bouwplaats Vervangingen]]</f>
        <v>0</v>
      </c>
      <c r="S128"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28" s="188">
        <f>Inschrijf_Bouwplaats_Totaal[[#This Row],[Totaal Emissieloos Bouwplaats]]+Inschrijf_Bouwplaats_Totaal[[#This Row],[Totaal Niet Emissieloos Bouwplaats]]</f>
        <v>0</v>
      </c>
    </row>
    <row r="129" spans="2:20" ht="18" x14ac:dyDescent="0.55000000000000004">
      <c r="B129" s="286">
        <f>Inschrijfberekening!B11</f>
        <v>601250</v>
      </c>
      <c r="C129" s="67" t="str">
        <f>Inschrijfberekening!F11</f>
        <v>20460-TB - AC 16 Bin/Base 35/50 60% PR Bestone</v>
      </c>
      <c r="D129" s="183" cm="1">
        <f t="array" ref="D129">_xlfn.IFNA((_xlfn.IFS(Inschrijfberekening!C11="Bestaande situatie",0,Inschrijfberekening!E11="Bitumineuze_verhardingen",(Inschrijfberekening!K11/(VLOOKUP(Inschrijfberekening!P11,Database_Asfalt_Aanlegset[#All],60,FALSE)/8)))),0)+_xlfn.IFNA((_xlfn.IFS(Inschrijfberekening!C11="Bestaande situatie",0,Inschrijfberekening!E11="Bitumineuze_verhardingen",(Inschrijfberekening!K11/(VLOOKUP(Inschrijfberekening!P11,Database_Asfalt_Aanlegset[#All],60,FALSE)/8)))),0)*Inschrijfberekening!M11</f>
        <v>0</v>
      </c>
      <c r="E129" s="184" cm="1">
        <f t="array" ref="E129">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Inschrijfberekening!M11</f>
        <v>0</v>
      </c>
      <c r="F129" s="184" cm="1">
        <f t="array" ref="F129">_xlfn.IFNA((_xlfn.IFS(Inschrijfberekening!E11="Bitumineuze_verhardingen",(Inschrijfberekening!K11/(VLOOKUP(Inschrijfberekening!R11,Database_Asfalt_Aanlegset[#All],60,FALSE)/8)))),0)+_xlfn.IFNA((_xlfn.IFS(Inschrijfberekening!E11="Bitumineuze_verhardingen",(Inschrijfberekening!K11/(VLOOKUP(Inschrijfberekening!R11,Database_Asfalt_Aanlegset[#All],60,FALSE)/8)))),0)*Inschrijfberekening!M11</f>
        <v>0</v>
      </c>
      <c r="G129" s="187" cm="1">
        <f t="array" ref="G129">_xlfn.IFNA((_xlfn.IFS(Inschrijfberekening!E11="Funderingslagen",(Inschrijfberekening!L11/VLOOKUP(Inschrijfberekening!S11,Database_Overig_Materieel[#All],8,FALSE)),Inschrijfberekening!E11="Grondwerken",(Inschrijfberekening!L11/VLOOKUP(Inschrijfberekening!S11,Database_Overig_Materieel[#All],8,FALSE)))),0)</f>
        <v>0</v>
      </c>
      <c r="H129" s="118" t="str" cm="1">
        <f t="array" ref="H129">_xlfn.IFNA(_xlfn.IFS(Inschrijfberekening!P11="400 ton/dag - Elektrisch groen","Ja",Inschrijfberekening!P11="1000 ton/dag - Elektrisch groen","Ja",Inschrijfberekening!P11="2000 ton/dag - Elektrisch groen","Ja",Inschrijfberekening!P11="400 ton/dag - Elektrisch grijs","Ja",Inschrijfberekening!P11="1000 ton/dag - Elektrisch grijs","Ja",Inschrijfberekening!P11="2000 ton/dag - Elektrisch grijs","Ja"),"Nee")</f>
        <v>Nee</v>
      </c>
      <c r="I129" s="118" t="str" cm="1">
        <f t="array" ref="I129">_xlfn.IFNA(_xlfn.IFS(Inschrijfberekening!Q11="Graafmachine, Elektrisch groen","Ja",Inschrijfberekening!Q11="Graafmachine, Elektrisch grijs","Ja",Inschrijfberekening!Q11="Wiellader, Elektrisch groen","Ja",Inschrijfberekening!Q11="Wiellader, Elektrisch grijs","Ja",Inschrijfberekening!Q11="Bulldozer, Elektrisch groen","Ja",Inschrijfberekening!Q11="Bulldozer, Elektrisch groen","Ja"),"Nee")</f>
        <v>Nee</v>
      </c>
      <c r="J129" s="118" t="str" cm="1">
        <f t="array" ref="J129">_xlfn.IFNA(_xlfn.IFS(Inschrijfberekening!R11="400 ton/dag - Elektrisch groen","Ja",Inschrijfberekening!R11="1000 ton/dag - Elektrisch groen","Ja",Inschrijfberekening!R11="2000 ton/dag - Elektrisch groen","Ja",Inschrijfberekening!R11="400 ton/dag - Elektrisch grijs","Ja",Inschrijfberekening!R11="1000 ton/dag - Elektrisch grijs","Ja",Inschrijfberekening!R11="2000 ton/dag - Elektrisch grijs","Ja"),"Nee")</f>
        <v>Nee</v>
      </c>
      <c r="K129" s="151" t="str" cm="1">
        <f t="array" ref="K129">_xlfn.IFNA(_xlfn.IFS(Inschrijfberekening!S11="Graafmachine, Elektrisch groen","Ja",Inschrijfberekening!S11="Graafmachine, Elektrisch grijs","Ja",Inschrijfberekening!S11="Wiellader, Elektrisch groen","Ja",Inschrijfberekening!S11="Wiellader, Elektrisch grijs","Ja",Inschrijfberekening!S11="Bulldozer, Elektrisch groen","Ja",Inschrijfberekening!S11="Bulldozer, Elektrisch groen","Ja"),"Nee")</f>
        <v>Nee</v>
      </c>
      <c r="L129"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9" s="188" cm="1">
        <f t="array" ref="M129">(_xlfn.IFNA((_xlfn.IFS(Inschrijfberekening!C11="Bestaande situatie",0,Inschrijfberekening!E11="Bitumineuze_verhardingen",(Inschrijfberekening!K11/(VLOOKUP(Inschrijfberekening!P11,Database_Asfalt_Aanlegset[#All],60,FALSE)/8)))),0)+_xlfn.IFNA((_xlfn.IFS(Inschrijfberekening!C11="Bestaande situatie",0,Inschrijfberekening!E11="Bitumineuze_verhardingen",(Inschrijfberekening!K11/(VLOOKUP(Inschrijfberekening!P11,Database_Asfalt_Aanlegset[#All],60,FALSE)/8)))),0)*Inschrijfberekening!M11)*Inschrijfberekening!M11</f>
        <v>0</v>
      </c>
      <c r="N129" s="188" cm="1">
        <f t="array" ref="N129">(_xlfn.IFNA((_xlfn.IFS(Inschrijfberekening!C11="Bestaande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Inschrijfberekening!M11)*Inschrijfberekening!M11</f>
        <v>0</v>
      </c>
      <c r="O129" s="188" cm="1">
        <f t="array" ref="O129">(_xlfn.IFNA((_xlfn.IFS(Inschrijfberekening!E11="Bitumineuze_verhardingen",(Inschrijfberekening!K11/(VLOOKUP(Inschrijfberekening!R11,Database_Asfalt_Aanlegset[#All],60,FALSE)/8)))),0)+_xlfn.IFNA((_xlfn.IFS(Inschrijfberekening!E11="Bitumineuze_verhardingen",(Inschrijfberekening!K11/(VLOOKUP(Inschrijfberekening!R11,Database_Asfalt_Aanlegset[#All],60,FALSE)/8)))),0)*Inschrijfberekening!M11)*Inschrijfberekening!M11</f>
        <v>0</v>
      </c>
      <c r="P129" s="188" cm="1">
        <f t="array" ref="P129">(_xlfn.IFNA((_xlfn.IFS(Inschrijfberekening!E11="Funderingslagen",(Inschrijfberekening!L11/VLOOKUP(Inschrijfberekening!S11,Database_Overig_Materieel[#All],8,FALSE)),Inschrijfberekening!E11="Grondwerken",(Inschrijfberekening!L11/VLOOKUP(Inschrijfberekening!S11,Database_Overig_Materieel[#All],8,FALSE)))),0))*Inschrijfberekening!M11</f>
        <v>0</v>
      </c>
      <c r="Q129"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9" s="188">
        <f>Inschrijf_Bouwplaats_Totaal[[#This Row],[Emissieloos bouwplaats]]+Inschrijf_Bouwplaats_Totaal[[#This Row],[Emissieloos bouwplaats Vervangingen]]</f>
        <v>0</v>
      </c>
      <c r="S129"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29" s="188">
        <f>Inschrijf_Bouwplaats_Totaal[[#This Row],[Totaal Emissieloos Bouwplaats]]+Inschrijf_Bouwplaats_Totaal[[#This Row],[Totaal Niet Emissieloos Bouwplaats]]</f>
        <v>0</v>
      </c>
    </row>
    <row r="130" spans="2:20" ht="18" x14ac:dyDescent="0.55000000000000004">
      <c r="B130" s="286">
        <f>Inschrijfberekening!B12</f>
        <v>601260</v>
      </c>
      <c r="C130" s="67" t="str">
        <f>Inschrijfberekening!F12</f>
        <v>88405-TB - SMA-NL 11B 40/60 Bestone</v>
      </c>
      <c r="D130" s="183" cm="1">
        <f t="array" ref="D130">_xlfn.IFNA((_xlfn.IFS(Inschrijfberekening!C12="Bestaande situatie",0,Inschrijfberekening!E12="Bitumineuze_verhardingen",(Inschrijfberekening!K12/(VLOOKUP(Inschrijfberekening!P12,Database_Asfalt_Aanlegset[#All],60,FALSE)/8)))),0)+_xlfn.IFNA((_xlfn.IFS(Inschrijfberekening!C12="Bestaande situatie",0,Inschrijfberekening!E12="Bitumineuze_verhardingen",(Inschrijfberekening!K12/(VLOOKUP(Inschrijfberekening!P12,Database_Asfalt_Aanlegset[#All],60,FALSE)/8)))),0)*Inschrijfberekening!M12</f>
        <v>0</v>
      </c>
      <c r="E130" s="184" cm="1">
        <f t="array" ref="E13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Inschrijfberekening!M12</f>
        <v>0</v>
      </c>
      <c r="F130" s="184" cm="1">
        <f t="array" ref="F130">_xlfn.IFNA((_xlfn.IFS(Inschrijfberekening!E12="Bitumineuze_verhardingen",(Inschrijfberekening!K12/(VLOOKUP(Inschrijfberekening!R12,Database_Asfalt_Aanlegset[#All],60,FALSE)/8)))),0)+_xlfn.IFNA((_xlfn.IFS(Inschrijfberekening!E12="Bitumineuze_verhardingen",(Inschrijfberekening!K12/(VLOOKUP(Inschrijfberekening!R12,Database_Asfalt_Aanlegset[#All],60,FALSE)/8)))),0)*Inschrijfberekening!M12</f>
        <v>0</v>
      </c>
      <c r="G130" s="187" cm="1">
        <f t="array" ref="G130">_xlfn.IFNA((_xlfn.IFS(Inschrijfberekening!E12="Funderingslagen",(Inschrijfberekening!L12/VLOOKUP(Inschrijfberekening!S12,Database_Overig_Materieel[#All],8,FALSE)),Inschrijfberekening!E12="Grondwerken",(Inschrijfberekening!L12/VLOOKUP(Inschrijfberekening!S12,Database_Overig_Materieel[#All],8,FALSE)))),0)</f>
        <v>0</v>
      </c>
      <c r="H130" s="118" t="str" cm="1">
        <f t="array" ref="H130">_xlfn.IFNA(_xlfn.IFS(Inschrijfberekening!P12="400 ton/dag - Elektrisch groen","Ja",Inschrijfberekening!P12="1000 ton/dag - Elektrisch groen","Ja",Inschrijfberekening!P12="2000 ton/dag - Elektrisch groen","Ja",Inschrijfberekening!P12="400 ton/dag - Elektrisch grijs","Ja",Inschrijfberekening!P12="1000 ton/dag - Elektrisch grijs","Ja",Inschrijfberekening!P12="2000 ton/dag - Elektrisch grijs","Ja"),"Nee")</f>
        <v>Nee</v>
      </c>
      <c r="I130" s="118" t="str" cm="1">
        <f t="array" ref="I130">_xlfn.IFNA(_xlfn.IFS(Inschrijfberekening!Q12="Graafmachine, Elektrisch groen","Ja",Inschrijfberekening!Q12="Graafmachine, Elektrisch grijs","Ja",Inschrijfberekening!Q12="Wiellader, Elektrisch groen","Ja",Inschrijfberekening!Q12="Wiellader, Elektrisch grijs","Ja",Inschrijfberekening!Q12="Bulldozer, Elektrisch groen","Ja",Inschrijfberekening!Q12="Bulldozer, Elektrisch groen","Ja"),"Nee")</f>
        <v>Nee</v>
      </c>
      <c r="J130" s="118" t="str" cm="1">
        <f t="array" ref="J130">_xlfn.IFNA(_xlfn.IFS(Inschrijfberekening!R12="400 ton/dag - Elektrisch groen","Ja",Inschrijfberekening!R12="1000 ton/dag - Elektrisch groen","Ja",Inschrijfberekening!R12="2000 ton/dag - Elektrisch groen","Ja",Inschrijfberekening!R12="400 ton/dag - Elektrisch grijs","Ja",Inschrijfberekening!R12="1000 ton/dag - Elektrisch grijs","Ja",Inschrijfberekening!R12="2000 ton/dag - Elektrisch grijs","Ja"),"Nee")</f>
        <v>Nee</v>
      </c>
      <c r="K130" s="151" t="str" cm="1">
        <f t="array" ref="K130">_xlfn.IFNA(_xlfn.IFS(Inschrijfberekening!S12="Graafmachine, Elektrisch groen","Ja",Inschrijfberekening!S12="Graafmachine, Elektrisch grijs","Ja",Inschrijfberekening!S12="Wiellader, Elektrisch groen","Ja",Inschrijfberekening!S12="Wiellader, Elektrisch grijs","Ja",Inschrijfberekening!S12="Bulldozer, Elektrisch groen","Ja",Inschrijfberekening!S12="Bulldozer, Elektrisch groen","Ja"),"Nee")</f>
        <v>Nee</v>
      </c>
      <c r="L130"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0" s="188" cm="1">
        <f t="array" ref="M130">(_xlfn.IFNA((_xlfn.IFS(Inschrijfberekening!C12="Bestaande situatie",0,Inschrijfberekening!E12="Bitumineuze_verhardingen",(Inschrijfberekening!K12/(VLOOKUP(Inschrijfberekening!P12,Database_Asfalt_Aanlegset[#All],60,FALSE)/8)))),0)+_xlfn.IFNA((_xlfn.IFS(Inschrijfberekening!C12="Bestaande situatie",0,Inschrijfberekening!E12="Bitumineuze_verhardingen",(Inschrijfberekening!K12/(VLOOKUP(Inschrijfberekening!P12,Database_Asfalt_Aanlegset[#All],60,FALSE)/8)))),0)*Inschrijfberekening!M12)*Inschrijfberekening!M12</f>
        <v>0</v>
      </c>
      <c r="N130" s="188" cm="1">
        <f t="array" ref="N13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Inschrijfberekening!M12)*Inschrijfberekening!M12</f>
        <v>0</v>
      </c>
      <c r="O130" s="188" cm="1">
        <f t="array" ref="O130">(_xlfn.IFNA((_xlfn.IFS(Inschrijfberekening!E12="Bitumineuze_verhardingen",(Inschrijfberekening!K12/(VLOOKUP(Inschrijfberekening!R12,Database_Asfalt_Aanlegset[#All],60,FALSE)/8)))),0)+_xlfn.IFNA((_xlfn.IFS(Inschrijfberekening!E12="Bitumineuze_verhardingen",(Inschrijfberekening!K12/(VLOOKUP(Inschrijfberekening!R12,Database_Asfalt_Aanlegset[#All],60,FALSE)/8)))),0)*Inschrijfberekening!M12)*Inschrijfberekening!M12</f>
        <v>0</v>
      </c>
      <c r="P130" s="188" cm="1">
        <f t="array" ref="P130">(_xlfn.IFNA((_xlfn.IFS(Inschrijfberekening!E12="Funderingslagen",(Inschrijfberekening!L12/VLOOKUP(Inschrijfberekening!S12,Database_Overig_Materieel[#All],8,FALSE)),Inschrijfberekening!E12="Grondwerken",(Inschrijfberekening!L12/VLOOKUP(Inschrijfberekening!S12,Database_Overig_Materieel[#All],8,FALSE)))),0))*Inschrijfberekening!M12</f>
        <v>0</v>
      </c>
      <c r="Q130"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0" s="188">
        <f>Inschrijf_Bouwplaats_Totaal[[#This Row],[Emissieloos bouwplaats]]+Inschrijf_Bouwplaats_Totaal[[#This Row],[Emissieloos bouwplaats Vervangingen]]</f>
        <v>0</v>
      </c>
      <c r="S130"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0" s="188">
        <f>Inschrijf_Bouwplaats_Totaal[[#This Row],[Totaal Emissieloos Bouwplaats]]+Inschrijf_Bouwplaats_Totaal[[#This Row],[Totaal Niet Emissieloos Bouwplaats]]</f>
        <v>0</v>
      </c>
    </row>
    <row r="131" spans="2:20" ht="18" x14ac:dyDescent="0.55000000000000004">
      <c r="B131" s="286">
        <f>Inschrijfberekening!B13</f>
        <v>601270</v>
      </c>
      <c r="C131" s="67" t="str">
        <f>Inschrijfberekening!F13</f>
        <v>88405-TB - SMA-NL 11B 40/60 Bestone</v>
      </c>
      <c r="D131" s="183" cm="1">
        <f t="array" ref="D131">_xlfn.IFNA((_xlfn.IFS(Inschrijfberekening!C13="Bestaande situatie",0,Inschrijfberekening!E13="Bitumineuze_verhardingen",(Inschrijfberekening!K13/(VLOOKUP(Inschrijfberekening!P13,Database_Asfalt_Aanlegset[#All],60,FALSE)/8)))),0)+_xlfn.IFNA((_xlfn.IFS(Inschrijfberekening!C13="Bestaande situatie",0,Inschrijfberekening!E13="Bitumineuze_verhardingen",(Inschrijfberekening!K13/(VLOOKUP(Inschrijfberekening!P13,Database_Asfalt_Aanlegset[#All],60,FALSE)/8)))),0)*Inschrijfberekening!M13</f>
        <v>0</v>
      </c>
      <c r="E131" s="184" cm="1">
        <f t="array" ref="E131">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Inschrijfberekening!M13</f>
        <v>0</v>
      </c>
      <c r="F131" s="184" cm="1">
        <f t="array" ref="F131">_xlfn.IFNA((_xlfn.IFS(Inschrijfberekening!E13="Bitumineuze_verhardingen",(Inschrijfberekening!K13/(VLOOKUP(Inschrijfberekening!R13,Database_Asfalt_Aanlegset[#All],60,FALSE)/8)))),0)+_xlfn.IFNA((_xlfn.IFS(Inschrijfberekening!E13="Bitumineuze_verhardingen",(Inschrijfberekening!K13/(VLOOKUP(Inschrijfberekening!R13,Database_Asfalt_Aanlegset[#All],60,FALSE)/8)))),0)*Inschrijfberekening!M13</f>
        <v>0</v>
      </c>
      <c r="G131" s="187" cm="1">
        <f t="array" ref="G131">_xlfn.IFNA((_xlfn.IFS(Inschrijfberekening!E13="Funderingslagen",(Inschrijfberekening!L13/VLOOKUP(Inschrijfberekening!S13,Database_Overig_Materieel[#All],8,FALSE)),Inschrijfberekening!E13="Grondwerken",(Inschrijfberekening!L13/VLOOKUP(Inschrijfberekening!S13,Database_Overig_Materieel[#All],8,FALSE)))),0)</f>
        <v>0</v>
      </c>
      <c r="H131" s="118" t="str" cm="1">
        <f t="array" ref="H131">_xlfn.IFNA(_xlfn.IFS(Inschrijfberekening!P13="400 ton/dag - Elektrisch groen","Ja",Inschrijfberekening!P13="1000 ton/dag - Elektrisch groen","Ja",Inschrijfberekening!P13="2000 ton/dag - Elektrisch groen","Ja",Inschrijfberekening!P13="400 ton/dag - Elektrisch grijs","Ja",Inschrijfberekening!P13="1000 ton/dag - Elektrisch grijs","Ja",Inschrijfberekening!P13="2000 ton/dag - Elektrisch grijs","Ja"),"Nee")</f>
        <v>Nee</v>
      </c>
      <c r="I131" s="118" t="str" cm="1">
        <f t="array" ref="I131">_xlfn.IFNA(_xlfn.IFS(Inschrijfberekening!Q13="Graafmachine, Elektrisch groen","Ja",Inschrijfberekening!Q13="Graafmachine, Elektrisch grijs","Ja",Inschrijfberekening!Q13="Wiellader, Elektrisch groen","Ja",Inschrijfberekening!Q13="Wiellader, Elektrisch grijs","Ja",Inschrijfberekening!Q13="Bulldozer, Elektrisch groen","Ja",Inschrijfberekening!Q13="Bulldozer, Elektrisch groen","Ja"),"Nee")</f>
        <v>Nee</v>
      </c>
      <c r="J131" s="118" t="str" cm="1">
        <f t="array" ref="J131">_xlfn.IFNA(_xlfn.IFS(Inschrijfberekening!R13="400 ton/dag - Elektrisch groen","Ja",Inschrijfberekening!R13="1000 ton/dag - Elektrisch groen","Ja",Inschrijfberekening!R13="2000 ton/dag - Elektrisch groen","Ja",Inschrijfberekening!R13="400 ton/dag - Elektrisch grijs","Ja",Inschrijfberekening!R13="1000 ton/dag - Elektrisch grijs","Ja",Inschrijfberekening!R13="2000 ton/dag - Elektrisch grijs","Ja"),"Nee")</f>
        <v>Nee</v>
      </c>
      <c r="K131" s="151" t="str" cm="1">
        <f t="array" ref="K131">_xlfn.IFNA(_xlfn.IFS(Inschrijfberekening!S13="Graafmachine, Elektrisch groen","Ja",Inschrijfberekening!S13="Graafmachine, Elektrisch grijs","Ja",Inschrijfberekening!S13="Wiellader, Elektrisch groen","Ja",Inschrijfberekening!S13="Wiellader, Elektrisch grijs","Ja",Inschrijfberekening!S13="Bulldozer, Elektrisch groen","Ja",Inschrijfberekening!S13="Bulldozer, Elektrisch groen","Ja"),"Nee")</f>
        <v>Nee</v>
      </c>
      <c r="L131"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1" s="188" cm="1">
        <f t="array" ref="M131">(_xlfn.IFNA((_xlfn.IFS(Inschrijfberekening!C13="Bestaande situatie",0,Inschrijfberekening!E13="Bitumineuze_verhardingen",(Inschrijfberekening!K13/(VLOOKUP(Inschrijfberekening!P13,Database_Asfalt_Aanlegset[#All],60,FALSE)/8)))),0)+_xlfn.IFNA((_xlfn.IFS(Inschrijfberekening!C13="Bestaande situatie",0,Inschrijfberekening!E13="Bitumineuze_verhardingen",(Inschrijfberekening!K13/(VLOOKUP(Inschrijfberekening!P13,Database_Asfalt_Aanlegset[#All],60,FALSE)/8)))),0)*Inschrijfberekening!M13)*Inschrijfberekening!M13</f>
        <v>0</v>
      </c>
      <c r="N131" s="188" cm="1">
        <f t="array" ref="N131">(_xlfn.IFNA((_xlfn.IFS(Inschrijfberekening!C13="Bestaande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Inschrijfberekening!M13)*Inschrijfberekening!M13</f>
        <v>0</v>
      </c>
      <c r="O131" s="188" cm="1">
        <f t="array" ref="O131">(_xlfn.IFNA((_xlfn.IFS(Inschrijfberekening!E13="Bitumineuze_verhardingen",(Inschrijfberekening!K13/(VLOOKUP(Inschrijfberekening!R13,Database_Asfalt_Aanlegset[#All],60,FALSE)/8)))),0)+_xlfn.IFNA((_xlfn.IFS(Inschrijfberekening!E13="Bitumineuze_verhardingen",(Inschrijfberekening!K13/(VLOOKUP(Inschrijfberekening!R13,Database_Asfalt_Aanlegset[#All],60,FALSE)/8)))),0)*Inschrijfberekening!M13)*Inschrijfberekening!M13</f>
        <v>0</v>
      </c>
      <c r="P131" s="188" cm="1">
        <f t="array" ref="P131">(_xlfn.IFNA((_xlfn.IFS(Inschrijfberekening!E13="Funderingslagen",(Inschrijfberekening!L13/VLOOKUP(Inschrijfberekening!S13,Database_Overig_Materieel[#All],8,FALSE)),Inschrijfberekening!E13="Grondwerken",(Inschrijfberekening!L13/VLOOKUP(Inschrijfberekening!S13,Database_Overig_Materieel[#All],8,FALSE)))),0))*Inschrijfberekening!M13</f>
        <v>0</v>
      </c>
      <c r="Q131"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1" s="188">
        <f>Inschrijf_Bouwplaats_Totaal[[#This Row],[Emissieloos bouwplaats]]+Inschrijf_Bouwplaats_Totaal[[#This Row],[Emissieloos bouwplaats Vervangingen]]</f>
        <v>0</v>
      </c>
      <c r="S131"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1" s="188">
        <f>Inschrijf_Bouwplaats_Totaal[[#This Row],[Totaal Emissieloos Bouwplaats]]+Inschrijf_Bouwplaats_Totaal[[#This Row],[Totaal Niet Emissieloos Bouwplaats]]</f>
        <v>0</v>
      </c>
    </row>
    <row r="132" spans="2:20" ht="18" x14ac:dyDescent="0.55000000000000004">
      <c r="B132" s="286">
        <f>Inschrijfberekening!B14</f>
        <v>0</v>
      </c>
      <c r="C132" s="67">
        <f>Inschrijfberekening!F14</f>
        <v>0</v>
      </c>
      <c r="D132" s="183" cm="1">
        <f t="array" ref="D132">_xlfn.IFNA((_xlfn.IFS(Inschrijfberekening!C14="Bestaande situatie",0,Inschrijfberekening!E14="Bitumineuze_verhardingen",(Inschrijfberekening!K14/(VLOOKUP(Inschrijfberekening!P14,Database_Asfalt_Aanlegset[#All],60,FALSE)/8)))),0)+_xlfn.IFNA((_xlfn.IFS(Inschrijfberekening!C14="Bestaande situatie",0,Inschrijfberekening!E14="Bitumineuze_verhardingen",(Inschrijfberekening!K14/(VLOOKUP(Inschrijfberekening!P14,Database_Asfalt_Aanlegset[#All],60,FALSE)/8)))),0)*Inschrijfberekening!M14</f>
        <v>0</v>
      </c>
      <c r="E132" s="184" cm="1">
        <f t="array" ref="E132">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Inschrijfberekening!M14</f>
        <v>0</v>
      </c>
      <c r="F132" s="184" cm="1">
        <f t="array" ref="F132">_xlfn.IFNA((_xlfn.IFS(Inschrijfberekening!E14="Bitumineuze_verhardingen",(Inschrijfberekening!K14/(VLOOKUP(Inschrijfberekening!R14,Database_Asfalt_Aanlegset[#All],60,FALSE)/8)))),0)+_xlfn.IFNA((_xlfn.IFS(Inschrijfberekening!E14="Bitumineuze_verhardingen",(Inschrijfberekening!K14/(VLOOKUP(Inschrijfberekening!R14,Database_Asfalt_Aanlegset[#All],60,FALSE)/8)))),0)*Inschrijfberekening!M14</f>
        <v>0</v>
      </c>
      <c r="G132" s="187" cm="1">
        <f t="array" ref="G132">_xlfn.IFNA((_xlfn.IFS(Inschrijfberekening!E14="Funderingslagen",(Inschrijfberekening!L14/VLOOKUP(Inschrijfberekening!S14,Database_Overig_Materieel[#All],8,FALSE)),Inschrijfberekening!E14="Grondwerken",(Inschrijfberekening!L14/VLOOKUP(Inschrijfberekening!S14,Database_Overig_Materieel[#All],8,FALSE)))),0)</f>
        <v>0</v>
      </c>
      <c r="H132" s="118" t="str" cm="1">
        <f t="array" ref="H132">_xlfn.IFNA(_xlfn.IFS(Inschrijfberekening!P14="400 ton/dag - Elektrisch groen","Ja",Inschrijfberekening!P14="1000 ton/dag - Elektrisch groen","Ja",Inschrijfberekening!P14="2000 ton/dag - Elektrisch groen","Ja",Inschrijfberekening!P14="400 ton/dag - Elektrisch grijs","Ja",Inschrijfberekening!P14="1000 ton/dag - Elektrisch grijs","Ja",Inschrijfberekening!P14="2000 ton/dag - Elektrisch grijs","Ja"),"Nee")</f>
        <v>Nee</v>
      </c>
      <c r="I132" s="118" t="str" cm="1">
        <f t="array" ref="I132">_xlfn.IFNA(_xlfn.IFS(Inschrijfberekening!Q14="Graafmachine, Elektrisch groen","Ja",Inschrijfberekening!Q14="Graafmachine, Elektrisch grijs","Ja",Inschrijfberekening!Q14="Wiellader, Elektrisch groen","Ja",Inschrijfberekening!Q14="Wiellader, Elektrisch grijs","Ja",Inschrijfberekening!Q14="Bulldozer, Elektrisch groen","Ja",Inschrijfberekening!Q14="Bulldozer, Elektrisch groen","Ja"),"Nee")</f>
        <v>Nee</v>
      </c>
      <c r="J132" s="118" t="str" cm="1">
        <f t="array" ref="J132">_xlfn.IFNA(_xlfn.IFS(Inschrijfberekening!R14="400 ton/dag - Elektrisch groen","Ja",Inschrijfberekening!R14="1000 ton/dag - Elektrisch groen","Ja",Inschrijfberekening!R14="2000 ton/dag - Elektrisch groen","Ja",Inschrijfberekening!R14="400 ton/dag - Elektrisch grijs","Ja",Inschrijfberekening!R14="1000 ton/dag - Elektrisch grijs","Ja",Inschrijfberekening!R14="2000 ton/dag - Elektrisch grijs","Ja"),"Nee")</f>
        <v>Nee</v>
      </c>
      <c r="K132" s="151" t="str" cm="1">
        <f t="array" ref="K132">_xlfn.IFNA(_xlfn.IFS(Inschrijfberekening!S14="Graafmachine, Elektrisch groen","Ja",Inschrijfberekening!S14="Graafmachine, Elektrisch grijs","Ja",Inschrijfberekening!S14="Wiellader, Elektrisch groen","Ja",Inschrijfberekening!S14="Wiellader, Elektrisch grijs","Ja",Inschrijfberekening!S14="Bulldozer, Elektrisch groen","Ja",Inschrijfberekening!S14="Bulldozer, Elektrisch groen","Ja"),"Nee")</f>
        <v>Nee</v>
      </c>
      <c r="L132"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2" s="188" cm="1">
        <f t="array" ref="M132">(_xlfn.IFNA((_xlfn.IFS(Inschrijfberekening!C14="Bestaande situatie",0,Inschrijfberekening!E14="Bitumineuze_verhardingen",(Inschrijfberekening!K14/(VLOOKUP(Inschrijfberekening!P14,Database_Asfalt_Aanlegset[#All],60,FALSE)/8)))),0)+_xlfn.IFNA((_xlfn.IFS(Inschrijfberekening!C14="Bestaande situatie",0,Inschrijfberekening!E14="Bitumineuze_verhardingen",(Inschrijfberekening!K14/(VLOOKUP(Inschrijfberekening!P14,Database_Asfalt_Aanlegset[#All],60,FALSE)/8)))),0)*Inschrijfberekening!M14)*Inschrijfberekening!M14</f>
        <v>0</v>
      </c>
      <c r="N132" s="188" cm="1">
        <f t="array" ref="N132">(_xlfn.IFNA((_xlfn.IFS(Inschrijfberekening!C14="Bestaande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Inschrijfberekening!M14)*Inschrijfberekening!M14</f>
        <v>0</v>
      </c>
      <c r="O132" s="188" cm="1">
        <f t="array" ref="O132">(_xlfn.IFNA((_xlfn.IFS(Inschrijfberekening!E14="Bitumineuze_verhardingen",(Inschrijfberekening!K14/(VLOOKUP(Inschrijfberekening!R14,Database_Asfalt_Aanlegset[#All],60,FALSE)/8)))),0)+_xlfn.IFNA((_xlfn.IFS(Inschrijfberekening!E14="Bitumineuze_verhardingen",(Inschrijfberekening!K14/(VLOOKUP(Inschrijfberekening!R14,Database_Asfalt_Aanlegset[#All],60,FALSE)/8)))),0)*Inschrijfberekening!M14)*Inschrijfberekening!M14</f>
        <v>0</v>
      </c>
      <c r="P132" s="188" cm="1">
        <f t="array" ref="P132">(_xlfn.IFNA((_xlfn.IFS(Inschrijfberekening!E14="Funderingslagen",(Inschrijfberekening!L14/VLOOKUP(Inschrijfberekening!S14,Database_Overig_Materieel[#All],8,FALSE)),Inschrijfberekening!E14="Grondwerken",(Inschrijfberekening!L14/VLOOKUP(Inschrijfberekening!S14,Database_Overig_Materieel[#All],8,FALSE)))),0))*Inschrijfberekening!M14</f>
        <v>0</v>
      </c>
      <c r="Q132"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2" s="188">
        <f>Inschrijf_Bouwplaats_Totaal[[#This Row],[Emissieloos bouwplaats]]+Inschrijf_Bouwplaats_Totaal[[#This Row],[Emissieloos bouwplaats Vervangingen]]</f>
        <v>0</v>
      </c>
      <c r="S132"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2" s="188">
        <f>Inschrijf_Bouwplaats_Totaal[[#This Row],[Totaal Emissieloos Bouwplaats]]+Inschrijf_Bouwplaats_Totaal[[#This Row],[Totaal Niet Emissieloos Bouwplaats]]</f>
        <v>0</v>
      </c>
    </row>
    <row r="133" spans="2:20" ht="18" x14ac:dyDescent="0.55000000000000004">
      <c r="B133" s="286">
        <f>Inschrijfberekening!B15</f>
        <v>0</v>
      </c>
      <c r="C133" s="67">
        <f>Inschrijfberekening!F15</f>
        <v>0</v>
      </c>
      <c r="D133" s="183" cm="1">
        <f t="array" ref="D133">_xlfn.IFNA((_xlfn.IFS(Inschrijfberekening!C15="Bestaande situatie",0,Inschrijfberekening!E15="Bitumineuze_verhardingen",(Inschrijfberekening!K15/(VLOOKUP(Inschrijfberekening!P15,Database_Asfalt_Aanlegset[#All],60,FALSE)/8)))),0)+_xlfn.IFNA((_xlfn.IFS(Inschrijfberekening!C15="Bestaande situatie",0,Inschrijfberekening!E15="Bitumineuze_verhardingen",(Inschrijfberekening!K15/(VLOOKUP(Inschrijfberekening!P15,Database_Asfalt_Aanlegset[#All],60,FALSE)/8)))),0)*Inschrijfberekening!M15</f>
        <v>0</v>
      </c>
      <c r="E133" s="184" cm="1">
        <f t="array" ref="E133">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Inschrijfberekening!M15</f>
        <v>0</v>
      </c>
      <c r="F133" s="184" cm="1">
        <f t="array" ref="F133">_xlfn.IFNA((_xlfn.IFS(Inschrijfberekening!E15="Bitumineuze_verhardingen",(Inschrijfberekening!K15/(VLOOKUP(Inschrijfberekening!R15,Database_Asfalt_Aanlegset[#All],60,FALSE)/8)))),0)+_xlfn.IFNA((_xlfn.IFS(Inschrijfberekening!E15="Bitumineuze_verhardingen",(Inschrijfberekening!K15/(VLOOKUP(Inschrijfberekening!R15,Database_Asfalt_Aanlegset[#All],60,FALSE)/8)))),0)*Inschrijfberekening!M15</f>
        <v>0</v>
      </c>
      <c r="G133" s="187" cm="1">
        <f t="array" ref="G133">_xlfn.IFNA((_xlfn.IFS(Inschrijfberekening!E15="Funderingslagen",(Inschrijfberekening!L15/VLOOKUP(Inschrijfberekening!S15,Database_Overig_Materieel[#All],8,FALSE)),Inschrijfberekening!E15="Grondwerken",(Inschrijfberekening!L15/VLOOKUP(Inschrijfberekening!S15,Database_Overig_Materieel[#All],8,FALSE)))),0)</f>
        <v>0</v>
      </c>
      <c r="H133" s="118" t="str" cm="1">
        <f t="array" ref="H133">_xlfn.IFNA(_xlfn.IFS(Inschrijfberekening!P15="400 ton/dag - Elektrisch groen","Ja",Inschrijfberekening!P15="1000 ton/dag - Elektrisch groen","Ja",Inschrijfberekening!P15="2000 ton/dag - Elektrisch groen","Ja",Inschrijfberekening!P15="400 ton/dag - Elektrisch grijs","Ja",Inschrijfberekening!P15="1000 ton/dag - Elektrisch grijs","Ja",Inschrijfberekening!P15="2000 ton/dag - Elektrisch grijs","Ja"),"Nee")</f>
        <v>Nee</v>
      </c>
      <c r="I133" s="118" t="str" cm="1">
        <f t="array" ref="I133">_xlfn.IFNA(_xlfn.IFS(Inschrijfberekening!Q15="Graafmachine, Elektrisch groen","Ja",Inschrijfberekening!Q15="Graafmachine, Elektrisch grijs","Ja",Inschrijfberekening!Q15="Wiellader, Elektrisch groen","Ja",Inschrijfberekening!Q15="Wiellader, Elektrisch grijs","Ja",Inschrijfberekening!Q15="Bulldozer, Elektrisch groen","Ja",Inschrijfberekening!Q15="Bulldozer, Elektrisch groen","Ja"),"Nee")</f>
        <v>Nee</v>
      </c>
      <c r="J133" s="118" t="str" cm="1">
        <f t="array" ref="J133">_xlfn.IFNA(_xlfn.IFS(Inschrijfberekening!R15="400 ton/dag - Elektrisch groen","Ja",Inschrijfberekening!R15="1000 ton/dag - Elektrisch groen","Ja",Inschrijfberekening!R15="2000 ton/dag - Elektrisch groen","Ja",Inschrijfberekening!R15="400 ton/dag - Elektrisch grijs","Ja",Inschrijfberekening!R15="1000 ton/dag - Elektrisch grijs","Ja",Inschrijfberekening!R15="2000 ton/dag - Elektrisch grijs","Ja"),"Nee")</f>
        <v>Nee</v>
      </c>
      <c r="K133" s="151" t="str" cm="1">
        <f t="array" ref="K133">_xlfn.IFNA(_xlfn.IFS(Inschrijfberekening!S15="Graafmachine, Elektrisch groen","Ja",Inschrijfberekening!S15="Graafmachine, Elektrisch grijs","Ja",Inschrijfberekening!S15="Wiellader, Elektrisch groen","Ja",Inschrijfberekening!S15="Wiellader, Elektrisch grijs","Ja",Inschrijfberekening!S15="Bulldozer, Elektrisch groen","Ja",Inschrijfberekening!S15="Bulldozer, Elektrisch groen","Ja"),"Nee")</f>
        <v>Nee</v>
      </c>
      <c r="L133"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3" s="188" cm="1">
        <f t="array" ref="M133">(_xlfn.IFNA((_xlfn.IFS(Inschrijfberekening!C15="Bestaande situatie",0,Inschrijfberekening!E15="Bitumineuze_verhardingen",(Inschrijfberekening!K15/(VLOOKUP(Inschrijfberekening!P15,Database_Asfalt_Aanlegset[#All],60,FALSE)/8)))),0)+_xlfn.IFNA((_xlfn.IFS(Inschrijfberekening!C15="Bestaande situatie",0,Inschrijfberekening!E15="Bitumineuze_verhardingen",(Inschrijfberekening!K15/(VLOOKUP(Inschrijfberekening!P15,Database_Asfalt_Aanlegset[#All],60,FALSE)/8)))),0)*Inschrijfberekening!M15)*Inschrijfberekening!M15</f>
        <v>0</v>
      </c>
      <c r="N133" s="188" cm="1">
        <f t="array" ref="N133">(_xlfn.IFNA((_xlfn.IFS(Inschrijfberekening!C15="Bestaande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Inschrijfberekening!M15)*Inschrijfberekening!M15</f>
        <v>0</v>
      </c>
      <c r="O133" s="188" cm="1">
        <f t="array" ref="O133">(_xlfn.IFNA((_xlfn.IFS(Inschrijfberekening!E15="Bitumineuze_verhardingen",(Inschrijfberekening!K15/(VLOOKUP(Inschrijfberekening!R15,Database_Asfalt_Aanlegset[#All],60,FALSE)/8)))),0)+_xlfn.IFNA((_xlfn.IFS(Inschrijfberekening!E15="Bitumineuze_verhardingen",(Inschrijfberekening!K15/(VLOOKUP(Inschrijfberekening!R15,Database_Asfalt_Aanlegset[#All],60,FALSE)/8)))),0)*Inschrijfberekening!M15)*Inschrijfberekening!M15</f>
        <v>0</v>
      </c>
      <c r="P133" s="188" cm="1">
        <f t="array" ref="P133">(_xlfn.IFNA((_xlfn.IFS(Inschrijfberekening!E15="Funderingslagen",(Inschrijfberekening!L15/VLOOKUP(Inschrijfberekening!S15,Database_Overig_Materieel[#All],8,FALSE)),Inschrijfberekening!E15="Grondwerken",(Inschrijfberekening!L15/VLOOKUP(Inschrijfberekening!S15,Database_Overig_Materieel[#All],8,FALSE)))),0))*Inschrijfberekening!M15</f>
        <v>0</v>
      </c>
      <c r="Q133"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3" s="188">
        <f>Inschrijf_Bouwplaats_Totaal[[#This Row],[Emissieloos bouwplaats]]+Inschrijf_Bouwplaats_Totaal[[#This Row],[Emissieloos bouwplaats Vervangingen]]</f>
        <v>0</v>
      </c>
      <c r="S133"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3" s="188">
        <f>Inschrijf_Bouwplaats_Totaal[[#This Row],[Totaal Emissieloos Bouwplaats]]+Inschrijf_Bouwplaats_Totaal[[#This Row],[Totaal Niet Emissieloos Bouwplaats]]</f>
        <v>0</v>
      </c>
    </row>
    <row r="134" spans="2:20" ht="18" x14ac:dyDescent="0.55000000000000004">
      <c r="B134" s="286">
        <f>Inschrijfberekening!B16</f>
        <v>0</v>
      </c>
      <c r="C134" s="67">
        <f>Inschrijfberekening!F16</f>
        <v>0</v>
      </c>
      <c r="D134" s="183" cm="1">
        <f t="array" ref="D134">_xlfn.IFNA((_xlfn.IFS(Inschrijfberekening!C16="Bestaande situatie",0,Inschrijfberekening!E16="Bitumineuze_verhardingen",(Inschrijfberekening!K16/(VLOOKUP(Inschrijfberekening!P16,Database_Asfalt_Aanlegset[#All],60,FALSE)/8)))),0)+_xlfn.IFNA((_xlfn.IFS(Inschrijfberekening!C16="Bestaande situatie",0,Inschrijfberekening!E16="Bitumineuze_verhardingen",(Inschrijfberekening!K16/(VLOOKUP(Inschrijfberekening!P16,Database_Asfalt_Aanlegset[#All],60,FALSE)/8)))),0)*Inschrijfberekening!M16</f>
        <v>0</v>
      </c>
      <c r="E134" s="184" cm="1">
        <f t="array" ref="E134">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Inschrijfberekening!M16</f>
        <v>0</v>
      </c>
      <c r="F134" s="184" cm="1">
        <f t="array" ref="F134">_xlfn.IFNA((_xlfn.IFS(Inschrijfberekening!E16="Bitumineuze_verhardingen",(Inschrijfberekening!K16/(VLOOKUP(Inschrijfberekening!R16,Database_Asfalt_Aanlegset[#All],60,FALSE)/8)))),0)+_xlfn.IFNA((_xlfn.IFS(Inschrijfberekening!E16="Bitumineuze_verhardingen",(Inschrijfberekening!K16/(VLOOKUP(Inschrijfberekening!R16,Database_Asfalt_Aanlegset[#All],60,FALSE)/8)))),0)*Inschrijfberekening!M16</f>
        <v>0</v>
      </c>
      <c r="G134" s="187" cm="1">
        <f t="array" ref="G134">_xlfn.IFNA((_xlfn.IFS(Inschrijfberekening!E16="Funderingslagen",(Inschrijfberekening!L16/VLOOKUP(Inschrijfberekening!S16,Database_Overig_Materieel[#All],8,FALSE)),Inschrijfberekening!E16="Grondwerken",(Inschrijfberekening!L16/VLOOKUP(Inschrijfberekening!S16,Database_Overig_Materieel[#All],8,FALSE)))),0)</f>
        <v>0</v>
      </c>
      <c r="H134" s="118" t="str" cm="1">
        <f t="array" ref="H134">_xlfn.IFNA(_xlfn.IFS(Inschrijfberekening!P16="400 ton/dag - Elektrisch groen","Ja",Inschrijfberekening!P16="1000 ton/dag - Elektrisch groen","Ja",Inschrijfberekening!P16="2000 ton/dag - Elektrisch groen","Ja",Inschrijfberekening!P16="400 ton/dag - Elektrisch grijs","Ja",Inschrijfberekening!P16="1000 ton/dag - Elektrisch grijs","Ja",Inschrijfberekening!P16="2000 ton/dag - Elektrisch grijs","Ja"),"Nee")</f>
        <v>Nee</v>
      </c>
      <c r="I134" s="118" t="str" cm="1">
        <f t="array" ref="I134">_xlfn.IFNA(_xlfn.IFS(Inschrijfberekening!Q16="Graafmachine, Elektrisch groen","Ja",Inschrijfberekening!Q16="Graafmachine, Elektrisch grijs","Ja",Inschrijfberekening!Q16="Wiellader, Elektrisch groen","Ja",Inschrijfberekening!Q16="Wiellader, Elektrisch grijs","Ja",Inschrijfberekening!Q16="Bulldozer, Elektrisch groen","Ja",Inschrijfberekening!Q16="Bulldozer, Elektrisch groen","Ja"),"Nee")</f>
        <v>Nee</v>
      </c>
      <c r="J134" s="118" t="str" cm="1">
        <f t="array" ref="J134">_xlfn.IFNA(_xlfn.IFS(Inschrijfberekening!R16="400 ton/dag - Elektrisch groen","Ja",Inschrijfberekening!R16="1000 ton/dag - Elektrisch groen","Ja",Inschrijfberekening!R16="2000 ton/dag - Elektrisch groen","Ja",Inschrijfberekening!R16="400 ton/dag - Elektrisch grijs","Ja",Inschrijfberekening!R16="1000 ton/dag - Elektrisch grijs","Ja",Inschrijfberekening!R16="2000 ton/dag - Elektrisch grijs","Ja"),"Nee")</f>
        <v>Nee</v>
      </c>
      <c r="K134" s="151" t="str" cm="1">
        <f t="array" ref="K134">_xlfn.IFNA(_xlfn.IFS(Inschrijfberekening!S16="Graafmachine, Elektrisch groen","Ja",Inschrijfberekening!S16="Graafmachine, Elektrisch grijs","Ja",Inschrijfberekening!S16="Wiellader, Elektrisch groen","Ja",Inschrijfberekening!S16="Wiellader, Elektrisch grijs","Ja",Inschrijfberekening!S16="Bulldozer, Elektrisch groen","Ja",Inschrijfberekening!S16="Bulldozer, Elektrisch groen","Ja"),"Nee")</f>
        <v>Nee</v>
      </c>
      <c r="L134"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4" s="188" cm="1">
        <f t="array" ref="M134">(_xlfn.IFNA((_xlfn.IFS(Inschrijfberekening!C16="Bestaande situatie",0,Inschrijfberekening!E16="Bitumineuze_verhardingen",(Inschrijfberekening!K16/(VLOOKUP(Inschrijfberekening!P16,Database_Asfalt_Aanlegset[#All],60,FALSE)/8)))),0)+_xlfn.IFNA((_xlfn.IFS(Inschrijfberekening!C16="Bestaande situatie",0,Inschrijfberekening!E16="Bitumineuze_verhardingen",(Inschrijfberekening!K16/(VLOOKUP(Inschrijfberekening!P16,Database_Asfalt_Aanlegset[#All],60,FALSE)/8)))),0)*Inschrijfberekening!M16)*Inschrijfberekening!M16</f>
        <v>0</v>
      </c>
      <c r="N134" s="188" cm="1">
        <f t="array" ref="N134">(_xlfn.IFNA((_xlfn.IFS(Inschrijfberekening!C16="Bestaande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Inschrijfberekening!M16)*Inschrijfberekening!M16</f>
        <v>0</v>
      </c>
      <c r="O134" s="188" cm="1">
        <f t="array" ref="O134">(_xlfn.IFNA((_xlfn.IFS(Inschrijfberekening!E16="Bitumineuze_verhardingen",(Inschrijfberekening!K16/(VLOOKUP(Inschrijfberekening!R16,Database_Asfalt_Aanlegset[#All],60,FALSE)/8)))),0)+_xlfn.IFNA((_xlfn.IFS(Inschrijfberekening!E16="Bitumineuze_verhardingen",(Inschrijfberekening!K16/(VLOOKUP(Inschrijfberekening!R16,Database_Asfalt_Aanlegset[#All],60,FALSE)/8)))),0)*Inschrijfberekening!M16)*Inschrijfberekening!M16</f>
        <v>0</v>
      </c>
      <c r="P134" s="188" cm="1">
        <f t="array" ref="P134">(_xlfn.IFNA((_xlfn.IFS(Inschrijfberekening!E16="Funderingslagen",(Inschrijfberekening!L16/VLOOKUP(Inschrijfberekening!S16,Database_Overig_Materieel[#All],8,FALSE)),Inschrijfberekening!E16="Grondwerken",(Inschrijfberekening!L16/VLOOKUP(Inschrijfberekening!S16,Database_Overig_Materieel[#All],8,FALSE)))),0))*Inschrijfberekening!M16</f>
        <v>0</v>
      </c>
      <c r="Q134" s="18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4" s="188">
        <f>Inschrijf_Bouwplaats_Totaal[[#This Row],[Emissieloos bouwplaats]]+Inschrijf_Bouwplaats_Totaal[[#This Row],[Emissieloos bouwplaats Vervangingen]]</f>
        <v>0</v>
      </c>
      <c r="S134"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4" s="188">
        <f>Inschrijf_Bouwplaats_Totaal[[#This Row],[Totaal Emissieloos Bouwplaats]]+Inschrijf_Bouwplaats_Totaal[[#This Row],[Totaal Niet Emissieloos Bouwplaats]]</f>
        <v>0</v>
      </c>
    </row>
    <row r="135" spans="2:20" ht="18" x14ac:dyDescent="0.55000000000000004">
      <c r="B135" s="286">
        <f>Inschrijfberekening!B17</f>
        <v>0</v>
      </c>
      <c r="C135" s="269">
        <f>Inschrijfberekening!F17</f>
        <v>0</v>
      </c>
      <c r="D135" s="184" cm="1">
        <f t="array" ref="D135">_xlfn.IFNA((_xlfn.IFS(Inschrijfberekening!C17="Bestaande situatie",0,Inschrijfberekening!E17="Bitumineuze_verhardingen",(Inschrijfberekening!K17/(VLOOKUP(Inschrijfberekening!P17,Database_Asfalt_Aanlegset[#All],60,FALSE)/8)))),0)+_xlfn.IFNA((_xlfn.IFS(Inschrijfberekening!C17="Bestaande situatie",0,Inschrijfberekening!E17="Bitumineuze_verhardingen",(Inschrijfberekening!K17/(VLOOKUP(Inschrijfberekening!P17,Database_Asfalt_Aanlegset[#All],60,FALSE)/8)))),0)*Inschrijfberekening!M17</f>
        <v>0</v>
      </c>
      <c r="E135" s="184" cm="1">
        <f t="array" ref="E135">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Inschrijfberekening!M17</f>
        <v>0</v>
      </c>
      <c r="F135" s="184" cm="1">
        <f t="array" ref="F135">_xlfn.IFNA((_xlfn.IFS(Inschrijfberekening!E17="Bitumineuze_verhardingen",(Inschrijfberekening!K17/(VLOOKUP(Inschrijfberekening!R17,Database_Asfalt_Aanlegset[#All],60,FALSE)/8)))),0)+_xlfn.IFNA((_xlfn.IFS(Inschrijfberekening!E17="Bitumineuze_verhardingen",(Inschrijfberekening!K17/(VLOOKUP(Inschrijfberekening!R17,Database_Asfalt_Aanlegset[#All],60,FALSE)/8)))),0)*Inschrijfberekening!M17</f>
        <v>0</v>
      </c>
      <c r="G135" s="187" cm="1">
        <f t="array" ref="G135">_xlfn.IFNA((_xlfn.IFS(Inschrijfberekening!E17="Funderingslagen",(Inschrijfberekening!L17/VLOOKUP(Inschrijfberekening!S17,Database_Overig_Materieel[#All],8,FALSE)),Inschrijfberekening!E17="Grondwerken",(Inschrijfberekening!L17/VLOOKUP(Inschrijfberekening!S17,Database_Overig_Materieel[#All],8,FALSE)))),0)</f>
        <v>0</v>
      </c>
      <c r="H135" s="260" t="str" cm="1">
        <f t="array" ref="H135">_xlfn.IFNA(_xlfn.IFS(Inschrijfberekening!P17="400 ton/dag - Elektrisch groen","Ja",Inschrijfberekening!P17="1000 ton/dag - Elektrisch groen","Ja",Inschrijfberekening!P17="2000 ton/dag - Elektrisch groen","Ja",Inschrijfberekening!P17="400 ton/dag - Elektrisch grijs","Ja",Inschrijfberekening!P17="1000 ton/dag - Elektrisch grijs","Ja",Inschrijfberekening!P17="2000 ton/dag - Elektrisch grijs","Ja"),"Nee")</f>
        <v>Nee</v>
      </c>
      <c r="I135" s="260" t="str" cm="1">
        <f t="array" ref="I135">_xlfn.IFNA(_xlfn.IFS(Inschrijfberekening!Q17="Graafmachine, Elektrisch groen","Ja",Inschrijfberekening!Q17="Graafmachine, Elektrisch grijs","Ja",Inschrijfberekening!Q17="Wiellader, Elektrisch groen","Ja",Inschrijfberekening!Q17="Wiellader, Elektrisch grijs","Ja",Inschrijfberekening!Q17="Bulldozer, Elektrisch groen","Ja",Inschrijfberekening!Q17="Bulldozer, Elektrisch groen","Ja"),"Nee")</f>
        <v>Nee</v>
      </c>
      <c r="J135" s="260" t="str" cm="1">
        <f t="array" ref="J135">_xlfn.IFNA(_xlfn.IFS(Inschrijfberekening!R17="400 ton/dag - Elektrisch groen","Ja",Inschrijfberekening!R17="1000 ton/dag - Elektrisch groen","Ja",Inschrijfberekening!R17="2000 ton/dag - Elektrisch groen","Ja",Inschrijfberekening!R17="400 ton/dag - Elektrisch grijs","Ja",Inschrijfberekening!R17="1000 ton/dag - Elektrisch grijs","Ja",Inschrijfberekening!R17="2000 ton/dag - Elektrisch grijs","Ja"),"Nee")</f>
        <v>Nee</v>
      </c>
      <c r="K135" s="151" t="str" cm="1">
        <f t="array" ref="K135">_xlfn.IFNA(_xlfn.IFS(Inschrijfberekening!S17="Graafmachine, Elektrisch groen","Ja",Inschrijfberekening!S17="Graafmachine, Elektrisch grijs","Ja",Inschrijfberekening!S17="Wiellader, Elektrisch groen","Ja",Inschrijfberekening!S17="Wiellader, Elektrisch grijs","Ja",Inschrijfberekening!S17="Bulldozer, Elektrisch groen","Ja",Inschrijfberekening!S17="Bulldozer, Elektrisch groen","Ja"),"Nee")</f>
        <v>Nee</v>
      </c>
      <c r="L135"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5" s="188" cm="1">
        <f t="array" ref="M135">(_xlfn.IFNA((_xlfn.IFS(Inschrijfberekening!C17="Bestaande situatie",0,Inschrijfberekening!E17="Bitumineuze_verhardingen",(Inschrijfberekening!K17/(VLOOKUP(Inschrijfberekening!P17,Database_Asfalt_Aanlegset[#All],60,FALSE)/8)))),0)+_xlfn.IFNA((_xlfn.IFS(Inschrijfberekening!C17="Bestaande situatie",0,Inschrijfberekening!E17="Bitumineuze_verhardingen",(Inschrijfberekening!K17/(VLOOKUP(Inschrijfberekening!P17,Database_Asfalt_Aanlegset[#All],60,FALSE)/8)))),0)*Inschrijfberekening!M17)*Inschrijfberekening!M17</f>
        <v>0</v>
      </c>
      <c r="N135" s="275" cm="1">
        <f t="array" ref="N135">(_xlfn.IFNA((_xlfn.IFS(Inschrijfberekening!C17="Bestaande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Inschrijfberekening!M17)*Inschrijfberekening!M17</f>
        <v>0</v>
      </c>
      <c r="O135" s="188" cm="1">
        <f t="array" ref="O135">(_xlfn.IFNA((_xlfn.IFS(Inschrijfberekening!E17="Bitumineuze_verhardingen",(Inschrijfberekening!K17/(VLOOKUP(Inschrijfberekening!R17,Database_Asfalt_Aanlegset[#All],60,FALSE)/8)))),0)+_xlfn.IFNA((_xlfn.IFS(Inschrijfberekening!E17="Bitumineuze_verhardingen",(Inschrijfberekening!K17/(VLOOKUP(Inschrijfberekening!R17,Database_Asfalt_Aanlegset[#All],60,FALSE)/8)))),0)*Inschrijfberekening!M17)*Inschrijfberekening!M17</f>
        <v>0</v>
      </c>
      <c r="P135" s="275" cm="1">
        <f t="array" ref="P135">(_xlfn.IFNA((_xlfn.IFS(Inschrijfberekening!E17="Funderingslagen",(Inschrijfberekening!L17/VLOOKUP(Inschrijfberekening!S17,Database_Overig_Materieel[#All],8,FALSE)),Inschrijfberekening!E17="Grondwerken",(Inschrijfberekening!L17/VLOOKUP(Inschrijfberekening!S17,Database_Overig_Materieel[#All],8,FALSE)))),0))*Inschrijfberekening!M17</f>
        <v>0</v>
      </c>
      <c r="Q135"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5" s="188">
        <f>Inschrijf_Bouwplaats_Totaal[[#This Row],[Emissieloos bouwplaats]]+Inschrijf_Bouwplaats_Totaal[[#This Row],[Emissieloos bouwplaats Vervangingen]]</f>
        <v>0</v>
      </c>
      <c r="S135"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5" s="188">
        <f>Inschrijf_Bouwplaats_Totaal[[#This Row],[Totaal Emissieloos Bouwplaats]]+Inschrijf_Bouwplaats_Totaal[[#This Row],[Totaal Niet Emissieloos Bouwplaats]]</f>
        <v>0</v>
      </c>
    </row>
    <row r="136" spans="2:20" ht="18" x14ac:dyDescent="0.55000000000000004">
      <c r="B136" s="286">
        <f>Inschrijfberekening!B18</f>
        <v>0</v>
      </c>
      <c r="C136" s="269">
        <f>Inschrijfberekening!F18</f>
        <v>0</v>
      </c>
      <c r="D136" s="184" cm="1">
        <f t="array" ref="D136">_xlfn.IFNA((_xlfn.IFS(Inschrijfberekening!C18="Bestaande situatie",0,Inschrijfberekening!E18="Bitumineuze_verhardingen",(Inschrijfberekening!K18/(VLOOKUP(Inschrijfberekening!P18,Database_Asfalt_Aanlegset[#All],60,FALSE)/8)))),0)+_xlfn.IFNA((_xlfn.IFS(Inschrijfberekening!C18="Bestaande situatie",0,Inschrijfberekening!E18="Bitumineuze_verhardingen",(Inschrijfberekening!K18/(VLOOKUP(Inschrijfberekening!P18,Database_Asfalt_Aanlegset[#All],60,FALSE)/8)))),0)*Inschrijfberekening!M18</f>
        <v>0</v>
      </c>
      <c r="E136" s="184" cm="1">
        <f t="array" ref="E136">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Inschrijfberekening!M18</f>
        <v>0</v>
      </c>
      <c r="F136" s="184" cm="1">
        <f t="array" ref="F136">_xlfn.IFNA((_xlfn.IFS(Inschrijfberekening!E18="Bitumineuze_verhardingen",(Inschrijfberekening!K18/(VLOOKUP(Inschrijfberekening!R18,Database_Asfalt_Aanlegset[#All],60,FALSE)/8)))),0)+_xlfn.IFNA((_xlfn.IFS(Inschrijfberekening!E18="Bitumineuze_verhardingen",(Inschrijfberekening!K18/(VLOOKUP(Inschrijfberekening!R18,Database_Asfalt_Aanlegset[#All],60,FALSE)/8)))),0)*Inschrijfberekening!M18</f>
        <v>0</v>
      </c>
      <c r="G136" s="187" cm="1">
        <f t="array" ref="G136">_xlfn.IFNA((_xlfn.IFS(Inschrijfberekening!E18="Funderingslagen",(Inschrijfberekening!L18/VLOOKUP(Inschrijfberekening!S18,Database_Overig_Materieel[#All],8,FALSE)),Inschrijfberekening!E18="Grondwerken",(Inschrijfberekening!L18/VLOOKUP(Inschrijfberekening!S18,Database_Overig_Materieel[#All],8,FALSE)))),0)</f>
        <v>0</v>
      </c>
      <c r="H136" s="260" t="str" cm="1">
        <f t="array" ref="H136">_xlfn.IFNA(_xlfn.IFS(Inschrijfberekening!P18="400 ton/dag - Elektrisch groen","Ja",Inschrijfberekening!P18="1000 ton/dag - Elektrisch groen","Ja",Inschrijfberekening!P18="2000 ton/dag - Elektrisch groen","Ja",Inschrijfberekening!P18="400 ton/dag - Elektrisch grijs","Ja",Inschrijfberekening!P18="1000 ton/dag - Elektrisch grijs","Ja",Inschrijfberekening!P18="2000 ton/dag - Elektrisch grijs","Ja"),"Nee")</f>
        <v>Nee</v>
      </c>
      <c r="I136" s="260" t="str" cm="1">
        <f t="array" ref="I136">_xlfn.IFNA(_xlfn.IFS(Inschrijfberekening!Q18="Graafmachine, Elektrisch groen","Ja",Inschrijfberekening!Q18="Graafmachine, Elektrisch grijs","Ja",Inschrijfberekening!Q18="Wiellader, Elektrisch groen","Ja",Inschrijfberekening!Q18="Wiellader, Elektrisch grijs","Ja",Inschrijfberekening!Q18="Bulldozer, Elektrisch groen","Ja",Inschrijfberekening!Q18="Bulldozer, Elektrisch groen","Ja"),"Nee")</f>
        <v>Nee</v>
      </c>
      <c r="J136" s="260" t="str" cm="1">
        <f t="array" ref="J136">_xlfn.IFNA(_xlfn.IFS(Inschrijfberekening!R18="400 ton/dag - Elektrisch groen","Ja",Inschrijfberekening!R18="1000 ton/dag - Elektrisch groen","Ja",Inschrijfberekening!R18="2000 ton/dag - Elektrisch groen","Ja",Inschrijfberekening!R18="400 ton/dag - Elektrisch grijs","Ja",Inschrijfberekening!R18="1000 ton/dag - Elektrisch grijs","Ja",Inschrijfberekening!R18="2000 ton/dag - Elektrisch grijs","Ja"),"Nee")</f>
        <v>Nee</v>
      </c>
      <c r="K136" s="151" t="str" cm="1">
        <f t="array" ref="K136">_xlfn.IFNA(_xlfn.IFS(Inschrijfberekening!S18="Graafmachine, Elektrisch groen","Ja",Inschrijfberekening!S18="Graafmachine, Elektrisch grijs","Ja",Inschrijfberekening!S18="Wiellader, Elektrisch groen","Ja",Inschrijfberekening!S18="Wiellader, Elektrisch grijs","Ja",Inschrijfberekening!S18="Bulldozer, Elektrisch groen","Ja",Inschrijfberekening!S18="Bulldozer, Elektrisch groen","Ja"),"Nee")</f>
        <v>Nee</v>
      </c>
      <c r="L136"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6" s="188" cm="1">
        <f t="array" ref="M136">(_xlfn.IFNA((_xlfn.IFS(Inschrijfberekening!C18="Bestaande situatie",0,Inschrijfberekening!E18="Bitumineuze_verhardingen",(Inschrijfberekening!K18/(VLOOKUP(Inschrijfberekening!P18,Database_Asfalt_Aanlegset[#All],60,FALSE)/8)))),0)+_xlfn.IFNA((_xlfn.IFS(Inschrijfberekening!C18="Bestaande situatie",0,Inschrijfberekening!E18="Bitumineuze_verhardingen",(Inschrijfberekening!K18/(VLOOKUP(Inschrijfberekening!P18,Database_Asfalt_Aanlegset[#All],60,FALSE)/8)))),0)*Inschrijfberekening!M18)*Inschrijfberekening!M18</f>
        <v>0</v>
      </c>
      <c r="N136" s="275" cm="1">
        <f t="array" ref="N136">(_xlfn.IFNA((_xlfn.IFS(Inschrijfberekening!C18="Bestaande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Inschrijfberekening!M18)*Inschrijfberekening!M18</f>
        <v>0</v>
      </c>
      <c r="O136" s="188" cm="1">
        <f t="array" ref="O136">(_xlfn.IFNA((_xlfn.IFS(Inschrijfberekening!E18="Bitumineuze_verhardingen",(Inschrijfberekening!K18/(VLOOKUP(Inschrijfberekening!R18,Database_Asfalt_Aanlegset[#All],60,FALSE)/8)))),0)+_xlfn.IFNA((_xlfn.IFS(Inschrijfberekening!E18="Bitumineuze_verhardingen",(Inschrijfberekening!K18/(VLOOKUP(Inschrijfberekening!R18,Database_Asfalt_Aanlegset[#All],60,FALSE)/8)))),0)*Inschrijfberekening!M18)*Inschrijfberekening!M18</f>
        <v>0</v>
      </c>
      <c r="P136" s="275" cm="1">
        <f t="array" ref="P136">(_xlfn.IFNA((_xlfn.IFS(Inschrijfberekening!E18="Funderingslagen",(Inschrijfberekening!L18/VLOOKUP(Inschrijfberekening!S18,Database_Overig_Materieel[#All],8,FALSE)),Inschrijfberekening!E18="Grondwerken",(Inschrijfberekening!L18/VLOOKUP(Inschrijfberekening!S18,Database_Overig_Materieel[#All],8,FALSE)))),0))*Inschrijfberekening!M18</f>
        <v>0</v>
      </c>
      <c r="Q136"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6" s="188">
        <f>Inschrijf_Bouwplaats_Totaal[[#This Row],[Emissieloos bouwplaats]]+Inschrijf_Bouwplaats_Totaal[[#This Row],[Emissieloos bouwplaats Vervangingen]]</f>
        <v>0</v>
      </c>
      <c r="S136"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6" s="188">
        <f>Inschrijf_Bouwplaats_Totaal[[#This Row],[Totaal Emissieloos Bouwplaats]]+Inschrijf_Bouwplaats_Totaal[[#This Row],[Totaal Niet Emissieloos Bouwplaats]]</f>
        <v>0</v>
      </c>
    </row>
    <row r="137" spans="2:20" ht="18" x14ac:dyDescent="0.55000000000000004">
      <c r="B137" s="286">
        <f>Inschrijfberekening!B19</f>
        <v>0</v>
      </c>
      <c r="C137" s="269">
        <f>Inschrijfberekening!F19</f>
        <v>0</v>
      </c>
      <c r="D137" s="184" cm="1">
        <f t="array" ref="D137">_xlfn.IFNA((_xlfn.IFS(Inschrijfberekening!C19="Bestaande situatie",0,Inschrijfberekening!E19="Bitumineuze_verhardingen",(Inschrijfberekening!K19/(VLOOKUP(Inschrijfberekening!P19,Database_Asfalt_Aanlegset[#All],60,FALSE)/8)))),0)+_xlfn.IFNA((_xlfn.IFS(Inschrijfberekening!C19="Bestaande situatie",0,Inschrijfberekening!E19="Bitumineuze_verhardingen",(Inschrijfberekening!K19/(VLOOKUP(Inschrijfberekening!P19,Database_Asfalt_Aanlegset[#All],60,FALSE)/8)))),0)*Inschrijfberekening!M19</f>
        <v>0</v>
      </c>
      <c r="E137" s="184" cm="1">
        <f t="array" ref="E137">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Inschrijfberekening!M19</f>
        <v>0</v>
      </c>
      <c r="F137" s="184" cm="1">
        <f t="array" ref="F137">_xlfn.IFNA((_xlfn.IFS(Inschrijfberekening!E19="Bitumineuze_verhardingen",(Inschrijfberekening!K19/(VLOOKUP(Inschrijfberekening!R19,Database_Asfalt_Aanlegset[#All],60,FALSE)/8)))),0)+_xlfn.IFNA((_xlfn.IFS(Inschrijfberekening!E19="Bitumineuze_verhardingen",(Inschrijfberekening!K19/(VLOOKUP(Inschrijfberekening!R19,Database_Asfalt_Aanlegset[#All],60,FALSE)/8)))),0)*Inschrijfberekening!M19</f>
        <v>0</v>
      </c>
      <c r="G137" s="187" cm="1">
        <f t="array" ref="G137">_xlfn.IFNA((_xlfn.IFS(Inschrijfberekening!E19="Funderingslagen",(Inschrijfberekening!L19/VLOOKUP(Inschrijfberekening!S19,Database_Overig_Materieel[#All],8,FALSE)),Inschrijfberekening!E19="Grondwerken",(Inschrijfberekening!L19/VLOOKUP(Inschrijfberekening!S19,Database_Overig_Materieel[#All],8,FALSE)))),0)</f>
        <v>0</v>
      </c>
      <c r="H137" s="260" t="str" cm="1">
        <f t="array" ref="H137">_xlfn.IFNA(_xlfn.IFS(Inschrijfberekening!P19="400 ton/dag - Elektrisch groen","Ja",Inschrijfberekening!P19="1000 ton/dag - Elektrisch groen","Ja",Inschrijfberekening!P19="2000 ton/dag - Elektrisch groen","Ja",Inschrijfberekening!P19="400 ton/dag - Elektrisch grijs","Ja",Inschrijfberekening!P19="1000 ton/dag - Elektrisch grijs","Ja",Inschrijfberekening!P19="2000 ton/dag - Elektrisch grijs","Ja"),"Nee")</f>
        <v>Nee</v>
      </c>
      <c r="I137" s="260" t="str" cm="1">
        <f t="array" ref="I137">_xlfn.IFNA(_xlfn.IFS(Inschrijfberekening!Q19="Graafmachine, Elektrisch groen","Ja",Inschrijfberekening!Q19="Graafmachine, Elektrisch grijs","Ja",Inschrijfberekening!Q19="Wiellader, Elektrisch groen","Ja",Inschrijfberekening!Q19="Wiellader, Elektrisch grijs","Ja",Inschrijfberekening!Q19="Bulldozer, Elektrisch groen","Ja",Inschrijfberekening!Q19="Bulldozer, Elektrisch groen","Ja"),"Nee")</f>
        <v>Nee</v>
      </c>
      <c r="J137" s="260" t="str" cm="1">
        <f t="array" ref="J137">_xlfn.IFNA(_xlfn.IFS(Inschrijfberekening!R19="400 ton/dag - Elektrisch groen","Ja",Inschrijfberekening!R19="1000 ton/dag - Elektrisch groen","Ja",Inschrijfberekening!R19="2000 ton/dag - Elektrisch groen","Ja",Inschrijfberekening!R19="400 ton/dag - Elektrisch grijs","Ja",Inschrijfberekening!R19="1000 ton/dag - Elektrisch grijs","Ja",Inschrijfberekening!R19="2000 ton/dag - Elektrisch grijs","Ja"),"Nee")</f>
        <v>Nee</v>
      </c>
      <c r="K137" s="151" t="str" cm="1">
        <f t="array" ref="K137">_xlfn.IFNA(_xlfn.IFS(Inschrijfberekening!S19="Graafmachine, Elektrisch groen","Ja",Inschrijfberekening!S19="Graafmachine, Elektrisch grijs","Ja",Inschrijfberekening!S19="Wiellader, Elektrisch groen","Ja",Inschrijfberekening!S19="Wiellader, Elektrisch grijs","Ja",Inschrijfberekening!S19="Bulldozer, Elektrisch groen","Ja",Inschrijfberekening!S19="Bulldozer, Elektrisch groen","Ja"),"Nee")</f>
        <v>Nee</v>
      </c>
      <c r="L137"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7" s="188" cm="1">
        <f t="array" ref="M137">(_xlfn.IFNA((_xlfn.IFS(Inschrijfberekening!C19="Bestaande situatie",0,Inschrijfberekening!E19="Bitumineuze_verhardingen",(Inschrijfberekening!K19/(VLOOKUP(Inschrijfberekening!P19,Database_Asfalt_Aanlegset[#All],60,FALSE)/8)))),0)+_xlfn.IFNA((_xlfn.IFS(Inschrijfberekening!C19="Bestaande situatie",0,Inschrijfberekening!E19="Bitumineuze_verhardingen",(Inschrijfberekening!K19/(VLOOKUP(Inschrijfberekening!P19,Database_Asfalt_Aanlegset[#All],60,FALSE)/8)))),0)*Inschrijfberekening!M19)*Inschrijfberekening!M19</f>
        <v>0</v>
      </c>
      <c r="N137" s="275" cm="1">
        <f t="array" ref="N137">(_xlfn.IFNA((_xlfn.IFS(Inschrijfberekening!C19="Bestaande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Inschrijfberekening!M19)*Inschrijfberekening!M19</f>
        <v>0</v>
      </c>
      <c r="O137" s="188" cm="1">
        <f t="array" ref="O137">(_xlfn.IFNA((_xlfn.IFS(Inschrijfberekening!E19="Bitumineuze_verhardingen",(Inschrijfberekening!K19/(VLOOKUP(Inschrijfberekening!R19,Database_Asfalt_Aanlegset[#All],60,FALSE)/8)))),0)+_xlfn.IFNA((_xlfn.IFS(Inschrijfberekening!E19="Bitumineuze_verhardingen",(Inschrijfberekening!K19/(VLOOKUP(Inschrijfberekening!R19,Database_Asfalt_Aanlegset[#All],60,FALSE)/8)))),0)*Inschrijfberekening!M19)*Inschrijfberekening!M19</f>
        <v>0</v>
      </c>
      <c r="P137" s="275" cm="1">
        <f t="array" ref="P137">(_xlfn.IFNA((_xlfn.IFS(Inschrijfberekening!E19="Funderingslagen",(Inschrijfberekening!L19/VLOOKUP(Inschrijfberekening!S19,Database_Overig_Materieel[#All],8,FALSE)),Inschrijfberekening!E19="Grondwerken",(Inschrijfberekening!L19/VLOOKUP(Inschrijfberekening!S19,Database_Overig_Materieel[#All],8,FALSE)))),0))*Inschrijfberekening!M19</f>
        <v>0</v>
      </c>
      <c r="Q137"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7" s="188">
        <f>Inschrijf_Bouwplaats_Totaal[[#This Row],[Emissieloos bouwplaats]]+Inschrijf_Bouwplaats_Totaal[[#This Row],[Emissieloos bouwplaats Vervangingen]]</f>
        <v>0</v>
      </c>
      <c r="S137" s="18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7" s="188">
        <f>Inschrijf_Bouwplaats_Totaal[[#This Row],[Totaal Emissieloos Bouwplaats]]+Inschrijf_Bouwplaats_Totaal[[#This Row],[Totaal Niet Emissieloos Bouwplaats]]</f>
        <v>0</v>
      </c>
    </row>
    <row r="138" spans="2:20" ht="18.5" thickBot="1" x14ac:dyDescent="0.6">
      <c r="B138" s="286">
        <f>Inschrijfberekening!B20</f>
        <v>0</v>
      </c>
      <c r="C138" s="269">
        <f>Inschrijfberekening!F20</f>
        <v>0</v>
      </c>
      <c r="D138" s="184" cm="1">
        <f t="array" ref="D138">_xlfn.IFNA((_xlfn.IFS(Inschrijfberekening!C20="Bestaande situatie",0,Inschrijfberekening!E20="Bitumineuze_verhardingen",(Inschrijfberekening!K20/(VLOOKUP(Inschrijfberekening!P20,Database_Asfalt_Aanlegset[#All],60,FALSE)/8)))),0)+_xlfn.IFNA((_xlfn.IFS(Inschrijfberekening!C20="Bestaande situatie",0,Inschrijfberekening!E20="Bitumineuze_verhardingen",(Inschrijfberekening!K20/(VLOOKUP(Inschrijfberekening!P20,Database_Asfalt_Aanlegset[#All],60,FALSE)/8)))),0)*Inschrijfberekening!M20</f>
        <v>0</v>
      </c>
      <c r="E138" s="184" cm="1">
        <f t="array" ref="E138">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Inschrijfberekening!M20</f>
        <v>0</v>
      </c>
      <c r="F138" s="184" cm="1">
        <f t="array" ref="F138">_xlfn.IFNA((_xlfn.IFS(Inschrijfberekening!E20="Bitumineuze_verhardingen",(Inschrijfberekening!K20/(VLOOKUP(Inschrijfberekening!R20,Database_Asfalt_Aanlegset[#All],60,FALSE)/8)))),0)+_xlfn.IFNA((_xlfn.IFS(Inschrijfberekening!E20="Bitumineuze_verhardingen",(Inschrijfberekening!K20/(VLOOKUP(Inschrijfberekening!R20,Database_Asfalt_Aanlegset[#All],60,FALSE)/8)))),0)*Inschrijfberekening!M20</f>
        <v>0</v>
      </c>
      <c r="G138" s="187" cm="1">
        <f t="array" ref="G138">_xlfn.IFNA((_xlfn.IFS(Inschrijfberekening!E20="Funderingslagen",(Inschrijfberekening!L20/VLOOKUP(Inschrijfberekening!S20,Database_Overig_Materieel[#All],8,FALSE)),Inschrijfberekening!E20="Grondwerken",(Inschrijfberekening!L20/VLOOKUP(Inschrijfberekening!S20,Database_Overig_Materieel[#All],8,FALSE)))),0)</f>
        <v>0</v>
      </c>
      <c r="H138" s="118" t="str" cm="1">
        <f t="array" ref="H138">_xlfn.IFNA(_xlfn.IFS(Inschrijfberekening!P20="400 ton/dag - Elektrisch groen","Ja",Inschrijfberekening!P20="1000 ton/dag - Elektrisch groen","Ja",Inschrijfberekening!P20="2000 ton/dag - Elektrisch groen","Ja",Inschrijfberekening!P20="400 ton/dag - Elektrisch grijs","Ja",Inschrijfberekening!P20="1000 ton/dag - Elektrisch grijs","Ja",Inschrijfberekening!P20="2000 ton/dag - Elektrisch grijs","Ja"),"Nee")</f>
        <v>Nee</v>
      </c>
      <c r="I138" s="118" t="str" cm="1">
        <f t="array" ref="I138">_xlfn.IFNA(_xlfn.IFS(Inschrijfberekening!Q20="Graafmachine, Elektrisch groen","Ja",Inschrijfberekening!Q20="Graafmachine, Elektrisch grijs","Ja",Inschrijfberekening!Q20="Wiellader, Elektrisch groen","Ja",Inschrijfberekening!Q20="Wiellader, Elektrisch grijs","Ja",Inschrijfberekening!Q20="Bulldozer, Elektrisch groen","Ja",Inschrijfberekening!Q20="Bulldozer, Elektrisch groen","Ja"),"Nee")</f>
        <v>Nee</v>
      </c>
      <c r="J138" s="118" t="str" cm="1">
        <f t="array" ref="J138">_xlfn.IFNA(_xlfn.IFS(Inschrijfberekening!R20="400 ton/dag - Elektrisch groen","Ja",Inschrijfberekening!R20="1000 ton/dag - Elektrisch groen","Ja",Inschrijfberekening!R20="2000 ton/dag - Elektrisch groen","Ja",Inschrijfberekening!R20="400 ton/dag - Elektrisch grijs","Ja",Inschrijfberekening!R20="1000 ton/dag - Elektrisch grijs","Ja",Inschrijfberekening!R20="2000 ton/dag - Elektrisch grijs","Ja"),"Nee")</f>
        <v>Nee</v>
      </c>
      <c r="K138" s="151" t="str" cm="1">
        <f t="array" ref="K138">_xlfn.IFNA(_xlfn.IFS(Inschrijfberekening!S20="Graafmachine, Elektrisch groen","Ja",Inschrijfberekening!S20="Graafmachine, Elektrisch grijs","Ja",Inschrijfberekening!S20="Wiellader, Elektrisch groen","Ja",Inschrijfberekening!S20="Wiellader, Elektrisch grijs","Ja",Inschrijfberekening!S20="Bulldozer, Elektrisch groen","Ja",Inschrijfberekening!S20="Bulldozer, Elektrisch groen","Ja"),"Nee")</f>
        <v>Nee</v>
      </c>
      <c r="L138" s="181">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8" s="275" cm="1">
        <f t="array" ref="M138">(_xlfn.IFNA((_xlfn.IFS(Inschrijfberekening!C20="Bestaande situatie",0,Inschrijfberekening!E20="Bitumineuze_verhardingen",(Inschrijfberekening!K20/(VLOOKUP(Inschrijfberekening!P20,Database_Asfalt_Aanlegset[#All],60,FALSE)/8)))),0)+_xlfn.IFNA((_xlfn.IFS(Inschrijfberekening!C20="Bestaande situatie",0,Inschrijfberekening!E20="Bitumineuze_verhardingen",(Inschrijfberekening!K20/(VLOOKUP(Inschrijfberekening!P20,Database_Asfalt_Aanlegset[#All],60,FALSE)/8)))),0)*Inschrijfberekening!M20)*Inschrijfberekening!M20</f>
        <v>0</v>
      </c>
      <c r="N138" s="275" cm="1">
        <f t="array" ref="N138">(_xlfn.IFNA((_xlfn.IFS(Inschrijfberekening!C20="Bestaande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Inschrijfberekening!M20)*Inschrijfberekening!M20</f>
        <v>0</v>
      </c>
      <c r="O138" s="275" cm="1">
        <f t="array" ref="O138">(_xlfn.IFNA((_xlfn.IFS(Inschrijfberekening!E20="Bitumineuze_verhardingen",(Inschrijfberekening!K20/(VLOOKUP(Inschrijfberekening!R20,Database_Asfalt_Aanlegset[#All],60,FALSE)/8)))),0)+_xlfn.IFNA((_xlfn.IFS(Inschrijfberekening!E20="Bitumineuze_verhardingen",(Inschrijfberekening!K20/(VLOOKUP(Inschrijfberekening!R20,Database_Asfalt_Aanlegset[#All],60,FALSE)/8)))),0)*Inschrijfberekening!M20)*Inschrijfberekening!M20</f>
        <v>0</v>
      </c>
      <c r="P138" s="275" cm="1">
        <f t="array" ref="P138">(_xlfn.IFNA((_xlfn.IFS(Inschrijfberekening!E20="Funderingslagen",(Inschrijfberekening!L20/VLOOKUP(Inschrijfberekening!S20,Database_Overig_Materieel[#All],8,FALSE)),Inschrijfberekening!E20="Grondwerken",(Inschrijfberekening!L20/VLOOKUP(Inschrijfberekening!S20,Database_Overig_Materieel[#All],8,FALSE)))),0))*Inschrijfberekening!M20</f>
        <v>0</v>
      </c>
      <c r="Q138"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8" s="275">
        <f>Inschrijf_Bouwplaats_Totaal[[#This Row],[Emissieloos bouwplaats]]+Inschrijf_Bouwplaats_Totaal[[#This Row],[Emissieloos bouwplaats Vervangingen]]</f>
        <v>0</v>
      </c>
      <c r="S138" s="275">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8" s="275">
        <f>Inschrijf_Bouwplaats_Totaal[[#This Row],[Totaal Emissieloos Bouwplaats]]+Inschrijf_Bouwplaats_Totaal[[#This Row],[Totaal Niet Emissieloos Bouwplaats]]</f>
        <v>0</v>
      </c>
    </row>
    <row r="139" spans="2:20" ht="18.5" thickTop="1" x14ac:dyDescent="0.55000000000000004">
      <c r="B139" s="68" t="s">
        <v>16</v>
      </c>
      <c r="C139" s="69"/>
      <c r="D139" s="185">
        <f>SUBTOTAL(109,Inschrijf_Bouwplaats_Totaal[Draaiuren Bouw Asfalt])</f>
        <v>0.13</v>
      </c>
      <c r="E139" s="185">
        <f>SUBTOTAL(109,Inschrijf_Bouwplaats_Totaal[Draaiuren Bouw Overig])</f>
        <v>0</v>
      </c>
      <c r="F139" s="185">
        <f>SUBTOTAL(109,Inschrijf_Bouwplaats_Totaal[Draaiuren Verwijder Asfalt])</f>
        <v>0.13</v>
      </c>
      <c r="G139" s="185">
        <f>SUBTOTAL(109,Inschrijf_Bouwplaats_Totaal[Draaiuren Verwijder Overig])</f>
        <v>0</v>
      </c>
      <c r="H139" s="97">
        <f>SUBTOTAL(109,Inschrijf_Bouwplaats_Totaal[Emissieloos Asfalt Aanlegset])</f>
        <v>0</v>
      </c>
      <c r="I139" s="97"/>
      <c r="J139" s="97">
        <f>SUBTOTAL(109,Inschrijf_Bouwplaats_Totaal[Emissieloos Asfalt Verwijderset])</f>
        <v>0</v>
      </c>
      <c r="K139" s="97"/>
      <c r="L139" s="194">
        <f>SUBTOTAL(109,Inschrijf_Bouwplaats_Totaal[Emissieloos bouwplaats])</f>
        <v>0</v>
      </c>
      <c r="M139" s="185">
        <f>SUBTOTAL(109,Inschrijf_Bouwplaats_Totaal[Draaiuren Bouw Asfalt Vervangingen])</f>
        <v>0</v>
      </c>
      <c r="N139" s="185">
        <f>SUBTOTAL(109,Inschrijf_Bouwplaats_Totaal[Draaiuren Bouw Overig Vervangingen])</f>
        <v>0</v>
      </c>
      <c r="O139" s="194">
        <f>SUBTOTAL(109,Inschrijf_Bouwplaats_Totaal[Draaiuren Verwijder Asfalt Vervangingen])</f>
        <v>0</v>
      </c>
      <c r="P139" s="194">
        <f>SUBTOTAL(109,Inschrijf_Bouwplaats_Totaal[Draaiuren Verwijder Overig Vervangingen])</f>
        <v>0</v>
      </c>
      <c r="Q139" s="194">
        <f>SUBTOTAL(109,Inschrijf_Bouwplaats_Totaal[Emissieloos bouwplaats Vervangingen])</f>
        <v>0</v>
      </c>
      <c r="R139" s="194">
        <f>SUBTOTAL(109,Inschrijf_Bouwplaats_Totaal[Totaal Emissieloos Bouwplaats])</f>
        <v>0</v>
      </c>
      <c r="S139" s="194">
        <f>SUBTOTAL(109,Inschrijf_Bouwplaats_Totaal[Totaal Niet Emissieloos Bouwplaats])</f>
        <v>0.26</v>
      </c>
      <c r="T139" s="194">
        <f>SUBTOTAL(109,Inschrijf_Bouwplaats_Totaal[Totaal Bouwplaats])</f>
        <v>0.26</v>
      </c>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2BA10AA7-9EC1-4D64-9F8A-477B0F41C053}">
          <x14:formula1>
            <xm:f>Keuzelijst_Producten!$W$2:$W$3</xm:f>
          </x14:formula1>
          <xm:sqref>F104:G118 H124:K138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863D-C49B-492C-8E6C-D6CAE78ADBA8}">
  <sheetPr codeName="Blad6"/>
  <dimension ref="A1:Q22"/>
  <sheetViews>
    <sheetView zoomScale="70" zoomScaleNormal="70" workbookViewId="0">
      <selection activeCell="C6" sqref="C6"/>
    </sheetView>
  </sheetViews>
  <sheetFormatPr defaultColWidth="9.1796875" defaultRowHeight="14.5" x14ac:dyDescent="0.35"/>
  <cols>
    <col min="1" max="1" width="9.1796875" style="18"/>
    <col min="2" max="2" width="23" style="18" customWidth="1"/>
    <col min="3" max="3" width="17.1796875" style="18" bestFit="1" customWidth="1"/>
    <col min="4" max="4" width="26.453125" style="18" customWidth="1"/>
    <col min="5" max="5" width="25.1796875" style="18" bestFit="1" customWidth="1"/>
    <col min="6" max="6" width="15.81640625" style="18" customWidth="1"/>
    <col min="7" max="9" width="9.1796875" style="18"/>
    <col min="10" max="10" width="16.81640625" style="18" bestFit="1" customWidth="1"/>
    <col min="11" max="16384" width="9.1796875" style="18"/>
  </cols>
  <sheetData>
    <row r="1" spans="1:17" x14ac:dyDescent="0.35">
      <c r="B1" s="19" t="s">
        <v>92</v>
      </c>
    </row>
    <row r="2" spans="1:17" x14ac:dyDescent="0.35">
      <c r="B2" s="19" t="s">
        <v>130</v>
      </c>
    </row>
    <row r="3" spans="1:17" x14ac:dyDescent="0.35">
      <c r="B3" s="19"/>
    </row>
    <row r="4" spans="1:17" ht="169.5" x14ac:dyDescent="0.45">
      <c r="A4" s="10"/>
      <c r="B4" s="2" t="s">
        <v>55</v>
      </c>
      <c r="C4" s="16" t="s">
        <v>157</v>
      </c>
      <c r="D4" s="7" t="s">
        <v>5</v>
      </c>
      <c r="E4" s="20" t="s">
        <v>164</v>
      </c>
      <c r="F4" s="21" t="s">
        <v>165</v>
      </c>
      <c r="G4" s="21" t="s">
        <v>167</v>
      </c>
      <c r="H4" s="144" t="s">
        <v>320</v>
      </c>
      <c r="I4" s="145" t="s">
        <v>321</v>
      </c>
      <c r="J4" s="145" t="s">
        <v>322</v>
      </c>
      <c r="K4" s="145" t="s">
        <v>323</v>
      </c>
      <c r="L4" s="145" t="s">
        <v>324</v>
      </c>
      <c r="M4" s="145" t="s">
        <v>325</v>
      </c>
      <c r="N4" s="145" t="s">
        <v>326</v>
      </c>
      <c r="O4" s="145" t="s">
        <v>327</v>
      </c>
      <c r="P4" s="145" t="s">
        <v>328</v>
      </c>
      <c r="Q4" s="146" t="s">
        <v>121</v>
      </c>
    </row>
    <row r="5" spans="1:17" ht="18" x14ac:dyDescent="0.55000000000000004">
      <c r="B5" s="170" t="str">
        <f>Invoer_Referentie[[#This Row],[Omschrijving]]</f>
        <v xml:space="preserve"> Opbreken betonstraatstenen. </v>
      </c>
      <c r="C5" s="3" t="s">
        <v>160</v>
      </c>
      <c r="D5" s="1" t="s">
        <v>140</v>
      </c>
      <c r="E5" s="356" t="s">
        <v>1433</v>
      </c>
      <c r="F5" s="3">
        <v>266.10000000000002</v>
      </c>
      <c r="G5" s="3">
        <v>0</v>
      </c>
      <c r="H5" s="6"/>
      <c r="I5" s="6"/>
      <c r="J5" s="6"/>
      <c r="K5" s="6"/>
      <c r="L5" s="6"/>
      <c r="M5" s="6"/>
      <c r="N5" s="6"/>
      <c r="O5" s="6"/>
      <c r="P5" s="6"/>
      <c r="Q5" s="3"/>
    </row>
    <row r="6" spans="1:17" ht="18" x14ac:dyDescent="0.55000000000000004">
      <c r="B6" s="170" t="str">
        <f>Invoer_Referentie[[#This Row],[Omschrijving]]</f>
        <v>Aanbrengen band 280x300x260 mm, betonrug.</v>
      </c>
      <c r="C6" s="3" t="s">
        <v>160</v>
      </c>
      <c r="D6" s="1" t="s">
        <v>140</v>
      </c>
      <c r="E6" s="339" t="s">
        <v>1432</v>
      </c>
      <c r="F6" s="3">
        <v>8.8800000000000008</v>
      </c>
      <c r="G6" s="3">
        <v>0</v>
      </c>
      <c r="H6" s="6"/>
      <c r="I6" s="6"/>
      <c r="J6" s="6"/>
      <c r="K6" s="6"/>
      <c r="L6" s="6"/>
      <c r="M6" s="6"/>
      <c r="N6" s="6"/>
      <c r="O6" s="6"/>
      <c r="P6" s="6"/>
      <c r="Q6" s="3"/>
    </row>
    <row r="7" spans="1:17" ht="18" x14ac:dyDescent="0.55000000000000004">
      <c r="B7" s="170" t="str">
        <f>Invoer_Referentie[[#This Row],[Omschrijving]]</f>
        <v>Aanbrengen opsluitband 100x200mm.</v>
      </c>
      <c r="C7" s="3" t="s">
        <v>160</v>
      </c>
      <c r="D7" s="1" t="s">
        <v>140</v>
      </c>
      <c r="E7" s="339" t="s">
        <v>1431</v>
      </c>
      <c r="F7" s="3">
        <v>1425.2</v>
      </c>
      <c r="G7" s="3">
        <v>0</v>
      </c>
      <c r="H7" s="6"/>
      <c r="I7" s="6"/>
      <c r="J7" s="6"/>
      <c r="K7" s="6"/>
      <c r="L7" s="6"/>
      <c r="M7" s="6"/>
      <c r="N7" s="6"/>
      <c r="O7" s="6"/>
      <c r="P7" s="6"/>
      <c r="Q7" s="3"/>
    </row>
    <row r="8" spans="1:17" ht="18" x14ac:dyDescent="0.55000000000000004">
      <c r="B8" s="170" t="str">
        <f>Invoer_Referentie[[#This Row],[Omschrijving]]</f>
        <v>Aanbrengen straatlaag van straatzand dik 50 mm.</v>
      </c>
      <c r="C8" s="3" t="s">
        <v>160</v>
      </c>
      <c r="D8" s="1" t="s">
        <v>140</v>
      </c>
      <c r="E8" s="339" t="s">
        <v>1434</v>
      </c>
      <c r="F8" s="3">
        <v>0</v>
      </c>
      <c r="G8" s="3">
        <v>0</v>
      </c>
      <c r="H8" s="6"/>
      <c r="I8" s="6"/>
      <c r="J8" s="6"/>
      <c r="K8" s="6"/>
      <c r="L8" s="6"/>
      <c r="M8" s="6"/>
      <c r="N8" s="6"/>
      <c r="O8" s="6"/>
      <c r="P8" s="6"/>
      <c r="Q8" s="3"/>
    </row>
    <row r="9" spans="1:17" ht="18" x14ac:dyDescent="0.55000000000000004">
      <c r="B9" s="170" t="str">
        <f>Invoer_Referentie[[#This Row],[Omschrijving]]</f>
        <v>Aanbrengen betontegels 300x300x45 mm.</v>
      </c>
      <c r="C9" s="3" t="s">
        <v>160</v>
      </c>
      <c r="D9" s="1" t="s">
        <v>140</v>
      </c>
      <c r="E9" s="339" t="s">
        <v>1434</v>
      </c>
      <c r="F9" s="3">
        <v>0</v>
      </c>
      <c r="G9" s="3">
        <v>0</v>
      </c>
      <c r="H9" s="6"/>
      <c r="I9" s="6"/>
      <c r="J9" s="6"/>
      <c r="K9" s="6"/>
      <c r="L9" s="6"/>
      <c r="M9" s="6"/>
      <c r="N9" s="6"/>
      <c r="O9" s="6"/>
      <c r="P9" s="6"/>
      <c r="Q9" s="3"/>
    </row>
    <row r="10" spans="1:17" ht="18" x14ac:dyDescent="0.55000000000000004">
      <c r="B10" s="170" t="str">
        <f>Invoer_Referentie[[#This Row],[Omschrijving]]</f>
        <v xml:space="preserve"> Opbreken asfaltverharding, dik 120 mm. </v>
      </c>
      <c r="C10" s="3" t="s">
        <v>160</v>
      </c>
      <c r="D10" s="1" t="s">
        <v>140</v>
      </c>
      <c r="E10" s="356" t="s">
        <v>1433</v>
      </c>
      <c r="F10" s="3">
        <v>15.06</v>
      </c>
      <c r="G10" s="3">
        <v>0</v>
      </c>
      <c r="H10" s="6"/>
      <c r="I10" s="6"/>
      <c r="J10" s="6"/>
      <c r="K10" s="6"/>
      <c r="L10" s="6"/>
      <c r="M10" s="6"/>
      <c r="N10" s="6"/>
      <c r="O10" s="6"/>
      <c r="P10" s="6"/>
      <c r="Q10" s="3"/>
    </row>
    <row r="11" spans="1:17" ht="18" x14ac:dyDescent="0.55000000000000004">
      <c r="B11" s="170" t="str">
        <f>Invoer_Referentie[[#This Row],[Omschrijving]]</f>
        <v xml:space="preserve"> Frezen asfalt dik 30 mm - fietspad. </v>
      </c>
      <c r="C11" s="3" t="s">
        <v>160</v>
      </c>
      <c r="D11" s="1" t="s">
        <v>140</v>
      </c>
      <c r="E11" s="339" t="s">
        <v>1431</v>
      </c>
      <c r="F11" s="3">
        <v>0</v>
      </c>
      <c r="G11" s="3">
        <v>0</v>
      </c>
      <c r="H11" s="6"/>
      <c r="I11" s="6"/>
      <c r="J11" s="6"/>
      <c r="K11" s="6"/>
      <c r="L11" s="6"/>
      <c r="M11" s="6"/>
      <c r="N11" s="6"/>
      <c r="O11" s="6"/>
      <c r="P11" s="6"/>
      <c r="Q11" s="3"/>
    </row>
    <row r="12" spans="1:17" ht="18" x14ac:dyDescent="0.55000000000000004">
      <c r="B12" s="170" t="str">
        <f>Invoer_Referentie[[#This Row],[Omschrijving]]</f>
        <v>Aanbrengen menggranulaat, dik 300 mm - rijweg.</v>
      </c>
      <c r="C12" s="3" t="s">
        <v>160</v>
      </c>
      <c r="D12" s="1" t="s">
        <v>140</v>
      </c>
      <c r="E12" s="339" t="s">
        <v>1431</v>
      </c>
      <c r="F12" s="3">
        <v>26.08</v>
      </c>
      <c r="G12" s="3">
        <v>0</v>
      </c>
      <c r="H12" s="6"/>
      <c r="I12" s="6"/>
      <c r="J12" s="6"/>
      <c r="K12" s="6"/>
      <c r="L12" s="6"/>
      <c r="M12" s="6"/>
      <c r="N12" s="6"/>
      <c r="O12" s="6"/>
      <c r="P12" s="6"/>
      <c r="Q12" s="3"/>
    </row>
    <row r="13" spans="1:17" ht="18" x14ac:dyDescent="0.55000000000000004">
      <c r="B13" s="170" t="str">
        <f>Invoer_Referentie[[#This Row],[Omschrijving]]</f>
        <v>Aanbrengen onderlaag AC 22 base, dik 70 mm.</v>
      </c>
      <c r="C13" s="3"/>
      <c r="D13" s="1"/>
      <c r="E13" s="1"/>
      <c r="F13" s="3">
        <f>_xlfn.IFNA(VLOOKUP(E13&amp;", "&amp;"Totaal",Database_Productkaarten[#All],7,FALSE),0)</f>
        <v>0</v>
      </c>
      <c r="G13" s="3">
        <v>0</v>
      </c>
      <c r="H13" s="6"/>
      <c r="I13" s="6"/>
      <c r="J13" s="6"/>
      <c r="K13" s="6"/>
      <c r="L13" s="6"/>
      <c r="M13" s="6"/>
      <c r="N13" s="6"/>
      <c r="O13" s="6"/>
      <c r="P13" s="6"/>
      <c r="Q13" s="3"/>
    </row>
    <row r="14" spans="1:17" ht="18" x14ac:dyDescent="0.55000000000000004">
      <c r="B14" s="170" t="str">
        <f>Invoer_Referentie[[#This Row],[Omschrijving]]</f>
        <v>Aanbrengen tussenlaag AC16 bind, dik 50 mm</v>
      </c>
      <c r="C14" s="3"/>
      <c r="D14" s="1"/>
      <c r="E14" s="1"/>
      <c r="F14" s="3">
        <f>_xlfn.IFNA(VLOOKUP(E14&amp;", "&amp;"Totaal",Database_Productkaarten[#All],7,FALSE),0)</f>
        <v>0</v>
      </c>
      <c r="G14" s="3">
        <v>0</v>
      </c>
      <c r="H14" s="6"/>
      <c r="I14" s="6"/>
      <c r="J14" s="6"/>
      <c r="K14" s="6"/>
      <c r="L14" s="6"/>
      <c r="M14" s="6"/>
      <c r="N14" s="6"/>
      <c r="O14" s="6"/>
      <c r="P14" s="6"/>
      <c r="Q14" s="3"/>
    </row>
    <row r="15" spans="1:17" ht="18" x14ac:dyDescent="0.55000000000000004">
      <c r="B15" s="170" t="str">
        <f>Invoer_Referentie[[#This Row],[Omschrijving]]</f>
        <v>Aanbrengen deklaag van SMA-NL 8, dik 30 mm.</v>
      </c>
      <c r="C15" s="3"/>
      <c r="D15" s="1"/>
      <c r="E15" s="1"/>
      <c r="F15" s="3">
        <f>_xlfn.IFNA(VLOOKUP(E15&amp;", "&amp;"Totaal",Database_Productkaarten[#All],7,FALSE),0)</f>
        <v>0</v>
      </c>
      <c r="G15" s="3">
        <v>0</v>
      </c>
      <c r="H15" s="6"/>
      <c r="I15" s="6"/>
      <c r="J15" s="6"/>
      <c r="K15" s="6"/>
      <c r="L15" s="6"/>
      <c r="M15" s="6"/>
      <c r="N15" s="6"/>
      <c r="O15" s="6"/>
      <c r="P15" s="6"/>
      <c r="Q15" s="3"/>
    </row>
    <row r="18" spans="2:2" x14ac:dyDescent="0.35">
      <c r="B18" s="43" t="s">
        <v>168</v>
      </c>
    </row>
    <row r="19" spans="2:2" x14ac:dyDescent="0.35">
      <c r="B19" s="44" t="s">
        <v>166</v>
      </c>
    </row>
    <row r="20" spans="2:2" x14ac:dyDescent="0.35">
      <c r="B20" s="18" t="s">
        <v>170</v>
      </c>
    </row>
    <row r="21" spans="2:2" x14ac:dyDescent="0.35">
      <c r="B21" s="18" t="s">
        <v>171</v>
      </c>
    </row>
    <row r="22" spans="2:2" x14ac:dyDescent="0.35">
      <c r="B22" s="18" t="s">
        <v>169</v>
      </c>
    </row>
  </sheetData>
  <conditionalFormatting sqref="H5:K15">
    <cfRule type="expression" dxfId="469" priority="2">
      <formula>"$C4=""Bestaande Situatie"""</formula>
    </cfRule>
  </conditionalFormatting>
  <conditionalFormatting sqref="N5:N12">
    <cfRule type="expression" dxfId="468" priority="1">
      <formula>"$C4=""Bestaande Situatie"""</formula>
    </cfRule>
  </conditionalFormatting>
  <dataValidations count="1">
    <dataValidation type="list" allowBlank="1" showInputMessage="1" showErrorMessage="1" sqref="E5:E12" xr:uid="{1035B6AB-65A7-407D-B3EE-A8D0F0E3F92B}">
      <formula1>INDIRECT(D5)</formula1>
    </dataValidation>
  </dataValidations>
  <pageMargins left="0.7" right="0.7" top="0.75" bottom="0.75" header="0.3" footer="0.3"/>
  <ignoredErrors>
    <ignoredError sqref="G5:G15" calculatedColumn="1"/>
  </ignoredErrors>
  <tableParts count="1">
    <tablePart r:id="rId1"/>
  </tableParts>
  <extLst>
    <ext xmlns:x14="http://schemas.microsoft.com/office/spreadsheetml/2009/9/main" uri="{CCE6A557-97BC-4b89-ADB6-D9C93CAAB3DF}">
      <x14:dataValidations xmlns:xm="http://schemas.microsoft.com/office/excel/2006/main" count="9">
        <x14:dataValidation type="list" allowBlank="1" showInputMessage="1" showErrorMessage="1" xr:uid="{05765C71-300E-F444-9C59-5CEBEB8724AD}">
          <x14:formula1>
            <xm:f>Keuzelijst_Producten!$U$2:$U$3</xm:f>
          </x14:formula1>
          <xm:sqref>C5:C15</xm:sqref>
        </x14:dataValidation>
        <x14:dataValidation type="list" allowBlank="1" showInputMessage="1" showErrorMessage="1" xr:uid="{181E8F00-F6D7-2A46-9E35-C460E288E81D}">
          <x14:formula1>
            <xm:f>Database!$A$1163:$A$1214</xm:f>
          </x14:formula1>
          <xm:sqref>K5:K15 M5:M15</xm:sqref>
        </x14:dataValidation>
        <x14:dataValidation type="list" allowBlank="1" showInputMessage="1" showErrorMessage="1" xr:uid="{709550EC-BB84-B344-86B6-36A3D28CD451}">
          <x14:formula1>
            <xm:f>Database!$A$1087:$A$1111</xm:f>
          </x14:formula1>
          <xm:sqref>J5:J15</xm:sqref>
        </x14:dataValidation>
        <x14:dataValidation type="list" allowBlank="1" showInputMessage="1" showErrorMessage="1" xr:uid="{57C0F53A-6AD1-C340-B94D-A4D80259A8D4}">
          <x14:formula1>
            <xm:f>Database!$A$1049:$A$1082</xm:f>
          </x14:formula1>
          <xm:sqref>I5 O5:O15</xm:sqref>
        </x14:dataValidation>
        <x14:dataValidation type="list" allowBlank="1" showInputMessage="1" showErrorMessage="1" xr:uid="{941919FB-E8E0-4F4A-9377-60F3B2A16937}">
          <x14:formula1>
            <xm:f>Database!$A$1146:$A$1158</xm:f>
          </x14:formula1>
          <xm:sqref>P5:P15</xm:sqref>
        </x14:dataValidation>
        <x14:dataValidation type="list" allowBlank="1" showInputMessage="1" showErrorMessage="1" xr:uid="{4F63777B-E20F-5940-B815-25136F94E48A}">
          <x14:formula1>
            <xm:f>Database!$A$1050:$A$1082</xm:f>
          </x14:formula1>
          <xm:sqref>I6:I15</xm:sqref>
        </x14:dataValidation>
        <x14:dataValidation type="list" allowBlank="1" showInputMessage="1" showErrorMessage="1" xr:uid="{895F8594-2063-5445-9BBB-8D41AD3DB3FB}">
          <x14:formula1>
            <xm:f>Database!$A$1117:$A$1141</xm:f>
          </x14:formula1>
          <xm:sqref>L5:L15</xm:sqref>
        </x14:dataValidation>
        <x14:dataValidation type="list" allowBlank="1" showInputMessage="1" showErrorMessage="1" xr:uid="{50E4675D-BA1E-D549-99B4-04001CD8F0BE}">
          <x14:formula1>
            <xm:f>Keuzelijst_Producten!$A$2:$A$67</xm:f>
          </x14:formula1>
          <xm:sqref>D5:D15</xm:sqref>
        </x14:dataValidation>
        <x14:dataValidation type="list" allowBlank="1" showInputMessage="1" showErrorMessage="1" xr:uid="{995CF0BE-8525-B843-ACDB-CD17D9C1D6CD}">
          <x14:formula1>
            <xm:f>Keuzelijst_Producten!$B$29:$B$47</xm:f>
          </x14:formula1>
          <xm:sqref>E13:E15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91F86394A0EE49BD52049B2464C3A6" ma:contentTypeVersion="0" ma:contentTypeDescription="Een nieuw document maken." ma:contentTypeScope="" ma:versionID="7054edfc9b23e971fc00e0d5fdc962a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8 2 e 0 8 e 7 4 - 3 7 f 1 - 4 6 3 3 - 9 d 8 e - 0 c 1 c 3 d b a f f 4 4 "   x m l n s = " h t t p : / / s c h e m a s . m i c r o s o f t . c o m / D a t a M a s h u p " > A A A A A D 4 k A A B Q S w M E F A A C A A g A d G w s V W / 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d G w s 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R s L F V 7 F X o s O C E A A G Z G A Q A T A B w A R m 9 y b X V s Y X M v U 2 V j d G l v b j E u b S C i G A A o o B Q A A A A A A A A A A A A A A A A A A A A A A A A A A A D t X X 2 P G 7 f R / z + A v 8 P i g q B n d O / y n F 7 c P m j T 4 L R y E C d N 7 P q c F M X B E G S J d 7 e x p N W z W t l x D P / T z 9 N P 1 U / y c F + 0 y 5 0 Z D o c r 2 a 5 R 5 Y + L t Z w 3 k k M u O f N b c q N m W Z y s g q v y / x d / u v f Z v c 8 2 d 9 N U z Y M n a f K L f j x 5 N J 4 8 V T c q V a s s V s F X w U J l 9 z 4 L 9 H + j V H N + F T z 8 d a Y W 5 9 E 2 z S n + n q Q v X y T J y 9 P 7 b 6 9 / n C 7 V V y e k m J P n 7 6 6 j Z J X p H 8 / D U t r n J 8 / e r F V w q 1 7 H v / w W 3 8 5 P t O h n 0 x c L d f 4 s n a 4 2 N 0 m 6 j J L F d r n K y T a n u f L w 7 d u d + O D R + C Q M s l x C p n 7 N 3 o V B U 7 R Q r 9 R q M 9 9 u U 0 3 y a J U 9 G J z n M t 6 9 u 3 / v s 3 h l 0 W 6 2 x K P V q 0 S l e 7 U C E n G 4 F h i p T a Z e b t b J J k N N k J d N p 6 u 5 C q 7 i b D v N T U 9 u g h 9 j t X 2 d P 5 l u 9 Z O v E d f 3 W p R a p d N l v L o N r v / 9 z 3 8 9 b z d c 1 b j z 7 S y 7 T R O 1 p l o + L 7 Q 9 z x / u y q a r N 0 X R 4 / V a p a 8 W 0 5 e Z C q 6 X P U L j O C 7 L n u 9 Y V 9 v l C 5 U W Z V d J k m Z q E f / y s m i + 2 V 0 W X G e 6 X 7 4 M l n 2 K / t t E + 4 R a 3 K l 4 r i X 2 C W 0 t C i 2 K k v K z t n i 6 u t W t p F Z Y w u U g O A u K n l t r 4 6 Y 3 u i d W 8 2 A 1 n a b B i 2 T 7 e r 2 Y T r N N c P 2 y q d C u L d q c y 3 g + V w v I i H i G m u d y c z N d Z M H l d L V Q t x u V k U S P X 6 k 0 v g 1 + m G b 6 / 7 q K Q f b i V c U C 6 a O L R q i u r P b L u U o J u Q U d K b f m K l q o z d S z t o + W 9 F q l L 1 V K N k + b 0 W y e m g + x 9 D X L z 2 W p 7 q 4 N U Y e f 4 u x W d + Z m v c 0 H p V k q n i e a 0 T 3 5 4 f t H k 2 e J H n s L / 7 m C F P N h 5 g s w c G u / u S C 8 / 7 J H P e x T D w f U w y H x c E Q p G g 3 w 4 I o o w o i y K K I s i i i L x p T M M Z T Z x R u i x 7 1 D e E M j 5 r / I G 0 D H v y 9 n g C + b 9 + Y L 5 f y o + / A g 8 w M Q 9 l H 9 Q v L K / C J f a m 5 X 8 2 m c E q V P 0 n i p S 4 L l r l p 6 Q n + R b u O X V n m 1 N C F P l x 7 7 V q W r f M X 0 Q h d M H q 5 U e q s f H q D z G L n H 8 f 3 J j u 9 v k s 0 m V o u D e o p F 5 t F L P l k v q Z e v h 3 A P K O y j + k V t D N 7 q Z C / J z R v g M B b / F o a H y 7 g Y D 0 m y C a z q v o a G M V y 1 S h l T x z C C 0 W O j 2 s x D 9 D + S 9 l E d Y J x O p / F W m x b k d l E D q C a 4 0 u 2 6 d n R w L m S 5 2 1 N y 3 V M I E 1 G 2 d t F d e t K I a T 1 a b W Z 3 a f y L d q G 9 Y m O G n P + I 4 F h O Y 9 p k 8 v s G z n Z y b j r H z W o J 7 9 W z d 7 7 S L W p W 2 7 j W f z a H j Z t Z w 2 Z 7 B b 4 s a 2 p 3 c A w E v v C 7 3 S P y x U b N + N h X 3 T 5 s 8 K t N J Y h + 1 Q y u 8 F e b U B r / a r g 8 A m B w r S M P g T X q 7 D G w m u Y A Q b B 6 G O w V A 6 O k f J C x / x + x 2 k U P K f Z P I A T W 9 O I + E T B K y n + P L 1 A 7 n / f h C u 9 3 6 2 O M 5 7 3 j X 3 Z Z H 9 M r 3 m P 0 i 4 1 7 / S C g N m 0 z 3 9 1 W Q + 2 B O M e r n 7 G L Y + 3 g R w e N y o n E H u e c T 3 X O O V h M z i n y 6 C O f q o / s H 5 G z y / q Y X v F f F 4 / j K w 1 e f 5 4 t I O K m K 2 Y H i 3 R w 1 g P E D x l h H 9 N d 2 9 H D a v f N B h E L u n L z z d L V W 3 G J 0 I b Y K t n s Z h f w x h n Q r H f g h F Q O e e M O g J K S c S z F 3 r S N F d z C j + w P x u n 5 v p F r g x 3 l U E k 3 w o G X p g 9 / L U Y 8 H p L l i P k m T Z Z P k 9 e b 0 + 8 2 y e p 8 n M y 2 S z 3 S T k f x a p q + O R + r W b J c p 2 q z 2 T 3 J 6 Z / p X j w 9 i Q e D b y 4 v v / p K m 1 i W P V z N k r m 2 + n w 0 3 a g H g / t h E F X M c S 5 a 3 S y 0 O 9 z X j 7 U l w S Q 3 6 f S 0 q t x i k R t T u M f 9 Y K m y a X B 9 l S / Y F / F v a n 6 e 6 9 P U W b p V z + 8 H 8 a r y p Y L l + v O T 7 5 N F s g w u 8 l l g k j 2 / v 9 8 k s R P W D j H X M v + 2 V e m b I E v U r X q l / x h S d V 1 f x C t 1 + h Y p D l H o m R F 4 Q U p E a k N L 2 N + Q / H h 5 l y S 3 w T x J 0 o I r N Y z 9 J l 4 s f l q f U u p D E K m n g / M g H F 8 T z a f Z d h l c j 8 d n P / x w 9 o 9 / 5 G + k k 6 t Z U s S K 8 0 h t 7 g r 5 P x + v 5 + l 0 d p d p t V q A Y f X P y e I 2 S e c q 0 E M g e J l 3 h v Z H q h e f q p w s L f t w c 0 r W N 3 w L F B m W H q h y R p 0 a 1 w G v G n E M n w K e t q C m t r g + j O Q b L 7 R 2 v N 4 Z o y d D B 1 Q U H s b d / Q L t 0 t C 6 N Z o u C a B z M X N x m N w r M i 6 M h V v C 3 z j i X Y 0 d O F / 8 b h N s 9 L p p h S a h H 3 O / m 3 + X x K t T 9 1 D a Z Z d 2 j v o u J O P l B B k d E Q + D X P H 3 8 W p + / l d 1 k z 3 e 6 k b l D b + w W E 5 W k j W 3 C c b y 5 h p B W 3 9 z e x 7 m X j i a F w Q L H Y 0 M Q 4 v + t v c 9 b O / x t j N R K b 4 a X D j L v 0 Y D j x r 1 + R p Z 4 i d 8 b W x B F / + a D D 1 q M u B r A j f 7 f B V Q a M D f 9 g c e t g 9 5 2 9 H W j z c e 7 x R 5 6 8 l c 4 D b O V w Z a k p 5 u 6 4 r o J b O e 4 o t / l 8 s L S 3 0 e n N i n w i o C V o a 8 y h h X G d Q q o 1 h l 2 K o M V J W R q T I U V c a e y m B T G V 4 q 4 0 k n l e B 2 c t 9 Q e V 6 q o 4 t 6 9 q K + v W h g L x p a i 0 Z 2 M 0 Z 2 g Z G d K 7 I b H 9 m N j + y 6 x n Z d Y 7 u u X f t T / m T k E 8 X + 5 P R G + 2 v r w 7 h W o x K 5 l l n U s x f 1 7 U U D e 9 H Q W g R d y y y y C 4 S u Z R b Z j Y e u Z R b Z d U H X M o v s u j j X Q g n K D g 5 m c U / X C o P O I o K 0 I Z s n d C Q G 3 Z l A e e r P J 9 d X O X y w E 1 6 v / m 9 V b V p F A q W S R K g I T t K g b c / J d m X o Q Z M z l G x v M H y O j h L W h e 7 D L u a i L u t m u 4 8 Y g V O 4 u X l / c f N j V 6 I m B S 7 b 3 O U F x M 0 x H g v 4 D / N e Y m x A L y q W t u d B 2 / e g H X j Q D u W 0 8 O 3 H 0 n r Y A N + P L K 1 H m 8 E 3 K E v r Y S 9 8 x 7 K 0 H v Z y b 2 F b y r 7 D Y J O O X e F W 8 8 O M O Y t + N N 6 s d D 0 h X V 9 I N x D S D W V 0 c G x Z 6 Y R 6 4 Z i y 0 g n b B Y 4 l K 5 3 Q P j i G r H R C + 7 i x g 6 A M H Q a N Z P y 1 D C U C G x L w g R t t I I c X i C E F V h i B L 3 D A E y k g g w b s F r l 2 I 8 v y H 2 O V O Y m a Z 2 C C g f 1 1 L u g r O T f R j Q y z v I e 7 C W l 3 v q 8 M v 5 o 7 X a Z L I 3 p L k j k a Z 4 r D B 9 2 s v H u 6 + Q 3 P p S Y 5 D I H p M M u x M 2 X L S i r 0 a U e r W O E p P B 6 F B 6 C 4 E C c s y k Q A L O H B J H b 8 i A w w I k O I e G B C P E A g Q t g H N f G O W j W 1 u T Z J Z T w E c y 9 y p n O r I 3 k w N Y 4 i Y 6 I c 0 J d T p t P l u F J e 5 N S e S q H D S 9 n x Y J B y t g e K t w c w M 7 b Q H T p K c A 6 + b o 7 i J U Y 4 a D k R z g E t Y H Y M d o E E c y J o X m V P 4 1 8 K b M B N v M h a S K E r v e y e Z Q V C T P 7 C C w M 1 n d 0 F p 9 d G 9 u 5 5 8 O e / F E i v I I d P o J L / u d 8 Y M 9 6 + e K H V B q / 1 u m O u z X q 1 6 z j D r n G 8 y e L V L D v F t q O 0 Y S P 5 + x 0 K g h L 5 V C 2 T V 6 o B F D F m h A 1 Q 7 J 0 N c H b h Q J z R 1 u Q Y N H E o + I l K Z 2 q V T W 9 V 6 5 t e G 1 i p Q L T p 5 8 p E t O U A 3 J U A b b X S d E 3 b w K q i D 7 x 3 v 8 7 0 r 5 Z d b a T V j m o R 3 6 i N X h y 1 X 0 4 V / i p a x L q W J 6 7 q 1 c L y K p b U A I f 1 9 P L v t T 1 i T F a O V t 6 U M J z W i x M h s O K Z q m 2 k w F j 6 9 3 Z d U j h R W F d r N Y t v 4 t n Z 3 1 V 8 e 5 f l h V / m R d a v u 0 4 u l 8 l 2 l Z U / M V U l t i K q J c H p 6 6 n S g 3 q m c g h o t U 7 w R X W d 1 b R n 8 z g n n q m z L D m b J a t N l m 6 L g z 3 P N n G m C g 5 C A 4 M E M 2 Q v k z k t t h J p B 4 2 d X W 7 W d / o 5 Y F W Z w e l A l W k h j 7 M 7 l b Z F q P / b x u t l 7 a c 8 9 K y 2 I s 3 n n O m i M U A O S 7 u o r N i J g A b 4 w d a a t j W 7 b Z 0 m M 7 X Z J G n T X V K E W w / 3 V i 2 t k k S D 4 K L + 2 Z O S M H + 4 a x c M j b v c b L b L d d 7 2 a E m L Y B E P o 0 d n + Y P i N 0 P c A 8 Q 9 j r g P i P s c 8 Q A Q D z j i I S A e M s Q j U M E R V 8 E R M G P E m R E B y R E n O Q J N F 3 F N F 4 G m i 7 i m i 4 D N E W f z G N g 8 5 m w e A 5 v H n M 3 1 R t t g K P 4 6 g R P 6 g d X 5 E J T C I E b W I H C F Q Y x a E M E t D G L U g g i A Y R A j 5 0 O Q j I Y Y O x 8 C a R j E n B k R k I y d D w E 5 D G K u 6 S L Q d N j 5 E N j D I O Z s H g O b s f M h Q I h B z N n c O F / D Q D q f D G t Q U S 1 2 X Q y X D n I s A p D 0 R V W Y v n E K Y q E K Q G x B m 7 6 R W e j A M g D R t c E y 4 W 6 4 A 9 m 2 Z + b C S q Z J j o 2 g G 6 u D S h 8 k h a 0 Z O 6 i t N p A c 8 g J o K / 6 e e X l F p Y Q H a J B q P D 2 k U i Q V T w p 1 Y x z 0 f k y 9 z n d m Z 0 X x G + s L x g 2 B s I l C 8 5 E b I W E T h W Z Y N 4 D C J g r N v 2 5 8 h U 0 U e r G 5 4 R c W U f i 1 5 0 Z n 2 E R 5 V T D i r M K v T D e 2 w y b K y x k i z h n w 6 9 a N D L G J 8 m q r M d d W + F X t x p X Y R H m 1 V f N m t 4 g j X / M 8 I K M o X b h m B h 6 s Q c p A N e O B H K Q M 1 P 0 8 y I O U g f q d B 4 C Q M t D o 5 8 E h l A w 8 7 H n g C C l D X J f I a g c e 6 D z g h J Q h 7 t v I 2 r d 4 a P N A F V K G u D 3 G 1 v b A g 5 k H u J A y x O 3 R j G B K D j l 8 u 8 A d m r h a J b j + T Y b X s j p g s x d O g t X a R I d E 2 u T A C q i 1 5 N R V u 0 m V O u N r v o 8 Z b W i G h x U g s t U F 1 C H U t o c r O U B D I r 8 6 S 1 v L + 7 2 c r I M 9 d T t 3 s E M I d x J 2 e o d 2 S H g Q C 6 p 4 s f v o 7 A a J A P d C q p z 8 q L X t q V Z Q M a t M D z x C h N y z 1 P B 4 r d J p 8 f A u 2 a Z n L b I q 8 u 6 t t Q E X d N F a h O p 9 d F J 4 C K H i p 1 V C o E N N K S y F p 1 Z h T V 0 o D J v W t m N S P d v k U j o j O T o o L 3 M x I A e z J y J E Z g b o b v / q Y 0 C J n + K 9 q t 7 O 8 X V o + C v i n d 8 V 0 C J z 9 Q 3 t d k b g q + P k c h h 7 y u 7 o a I 0 T a i M 1 C X r l 3 v b s 2 U R t Z / W y R g j 9 6 e C 7 B Z W X L c Q i Y i Q a Q d R q A t G K 9 T t g S L w R e H 3 R 3 R A f v Y Q W A w e j 3 z 6 3 a j 3 d Z K o E w p C H P F 3 O 5 z V w l w X O d F s m 7 I B T 1 5 / v t b R 5 / v u O A s p 3 9 3 N R o 1 z Q r c I 1 o / d i w r 8 9 4 N r H p y n a K 5 j n L G r s w g 4 b Y 9 s s f H u I x c X + r 2 g Z / u v C D g A j 2 y R H g e 2 5 c O s 0 k V Z 4 k s 7 L J d / 2 l E 4 c P f + Z 4 6 L r e 9 9 7 r A i W M R 6 j x 7 k I k c 0 q f e 9 Z p d d h F d C h r b j 1 j F c z 2 R c i / I z T 6 z T j 9 L k Z x z F 3 d t 3 7 H X I h f b h F 8 I H W r g d Z c u 4 Z u t g v B i E + a / G C O W y R d N D c 1 U q o b t j C / 4 Y E z j c E c N 2 w R u e G J u Q 2 3 A F r Q w C j D b k z D i 3 g 2 b C N k g 1 b e N g Q o F 9 D b z R r K M W o h j w Q N X R D T E M r i D R k k a G h F O o J C D G C M y S A m m E b l B k C 3 G U I o J U h Q E + G A C A Z A g x k C G C O I U A y h g C s G A I 8 Y g g g h y F A F Y Y A O B g C b G C I o X 9 t p B x E + 0 F A H 8 T s Q V g e Q N 4 h c B 3 E o k G I H E T B Q a A b 4 E d w N c B f V 5 G B i + F S A w J m x S b Z e A H U x q a a w B h Z V Y l o O f Q S p i 5 3 k 4 6 q l E T O C h V / 6 0 I 7 q o c p Z E E 8 L C y H B d p w 0 B k e D M N C N l j A C g t B Y U E l n E 4 e + M H p r E e A B V F h K 7 E j K O y 4 C D v a w Y p h Y J A J 9 v y 6 H U V g x w b Y M / 5 W P U x 2 3 q q n b u 4 u u W 5 x 6 t B K 7 p V l 9 u N v v T e l m V 7 v h i C S k u J W k f H K s 6 G U Y i I E u W c 6 0 q q l R e K / O + y 6 A / e P b 3 U M E 3 Y J k n h H O b o F t a + q 4 X G I e P j e A e 2 D B K O 7 R J b B X l 7 v q u b b 9 U L v Z N p f s R b P 9 J K g j n Q 4 9 2 Q d j P F n C c 6 C 7 5 N 1 r E 7 Y k E T f H p I g K s 0 E I l x W C M O V P a 9 w Z b 8 I V 1 I n 7 l 9 t 0 x v t g c X P I r L Y O o L / 2 V 0 8 e 7 n S k + b 1 D v T R 3 n 1 W 2 9 L i 5 z v 5 b r v H 7 L b 5 S r + f b b f Z C L D W 0 l 1 5 6 r k t p z f p x 2 3 5 c V t + 3 J Y f t + X H b f l x W 3 7 c l h + 3 5 c d t + X F b f t y W H 7 f l + 2 3 L u T 1 V 3 7 6 R d O 7 i 8 k 3 l A U c M C 8 b n T 7 Y a 2 L f n f O X F k I H 9 x 6 Z 8 f 9 z 3 y 0 Y P P m Y 2 G u x 7 + Z 3 0 c V t 8 3 B Y f t 8 X H b f F x W 3 z c F h + 3 x c d t 8 X F b / A l v i 9 n 1 + i G 3 x e 9 x i 3 v c q 3 5 K e 9 V B 5 7 1 q 3 z y 1 t 7 0 z m o B T e 6 m d 0 q R 9 Z i / c P + 2 o m s N 4 m x 2 V / l e t g d n + 7 I o m 1 C G 4 X b Y 7 x v f q O 4 5 J l k x M j g k 8 n F a 6 R T K E 5 4 S k 3 N 0 Z s 4 7 d 1 K Q q B g K a M 2 q d 2 y 0 t o y B p S 0 B H 1 N r 3 Z L U J V c n E O K C W 3 a 9 d V I p 3 f O h U W v F + b o I I 8 z Y l T 6 R 1 b f 1 6 u G / Q W b R 4 d x j 1 J 8 R B t M Q m c V L / h h Q 9 Q N F D F H 1 A 0 U c U A 0 A x Q B R D Q D G E F C N g 6 Q h Z O g J a R k h L B G R E S E Y E a h u h 2 k a g t h G q b Q T s i J A d Y 2 D H G N k x B n a M k R 3 1 0 q 0 h K h + V v o D 3 y K C H i V 0 z 6 G F i H w 1 6 m N h Z g x 4 m 9 t q g h 4 n d N + h h Y j 8 O e p j Y o Y M e J v b s o I e J X T z o Y W J f D 3 q Y 2 O m D H i b 2 / q C H i W h A Q 2 T 0 s C x E M M G l F D c d Q p i g Q o r X t i 2 f E M U U v 3 3 H P i E J 7 L X n Y w m t p p h Y j v j s E t J o V 1 Q o W R g A g U 0 g l F 6 u x x w 9 U / y d O P u n l O X s p V K a o K + K v 6 w U g 1 c W n y m P M 3 s D Z j h Z + A b w 9 n j e P s f b 5 3 k H H O + A 5 x 1 y v E O W d 8 S 1 1 Y h v q x F n 8 4 i 3 O e L 0 R r z e i O u j i O + j i O u j i O + j i K t v x N d 3 z N V 3 z N e 3 n u o t 7 M a 8 7 w q M 0 W P B F T S j R 4 E r o E b 7 v y v Y R n u + K x B H + 7 w r S E d 7 u y u A R / u 5 K 7 h H e 7 g r 8 E f 7 t i s o S H u 1 K 2 B I + 7 M r m E h 7 s i v Q C L i Y e t X O T z E a n r 9 v j H I C 2 O h t c 3 M O X t f g J q W H O m b y Y N H Q S Z t / k v N P + G p 6 W 0 D H U 9 2 a w R 6 1 S y S W V 9 L F N x z R U 5 G j T C y n J x 4 k + M u 6 k F R z t 9 C x o 0 u l t S 4 W j R 6 9 W y 4 f / f q 4 0 C E N V r f 0 a K Y u u g S S g Z w D B M J L b w N s k 5 x t I j 8 / R h Z B Z 1 T V p 8 b I T 6 m R V q r d E f I 6 i a L 1 d k V 7 1 o g M 8 M u q N b m q Z + D 3 k B 0 Q 2 l B Q o X P b D p p m M C 2 h x j e i l d j Q I V O B 7 c D j v 5 M t H T R b 9 M h y 5 X h N J T v D a e B / h l O x a m y u j t L / W 0 0 u L y b F 6 r + 6 G N O M G j / / v f m z 1 / 7 Z f 3 7 / 3 m d f X n / e Q n / J z l I a e p + l B A 1 f 9 v e x 2 7 A 6 z 9 r I j H 7 g b X Q r N k q 3 t h n B 1 W a a 4 d r 2 z 7 b V H m 3 9 B 2 + z H w C z c V t 3 t B q 0 N Y G N H H Y 6 S u o P O a L y q r w I U 5 a a H H p 9 j z k s j 4 8 j W 6 R 4 n B W T Q P 1 0 F / G l + t 2 g z + r H Z U C N 9 O 7 i M S X f M o o N e i D f l r M 0 0 5 m v i X T m z y r d V O / 6 3 T 9 3 S Y s m H F F l L L J W e K K V X m p T 9 B B F H 1 D 0 E c U A U A w Q x R B Q D C H F C F g 6 Q p a O g J Y R 0 h I B G R G S E Y H a R q i 2 E a h t h G o b A T s i Z M c Y 2 D F G d o y B H W N k R 7 1 J b 4 i y Z m v e S i + Z r m u m m 1 o 9 b F D 0 E E U f U P Q R x Q B Q D B D F E F A M I c U I W D p C l o 6 A l h H S E g E Z E Z I R g d p G q L Y R q G 2 E a h s B O y J k x x j Y M U Z 2 j I E d Y 2 R H 3 c M N k d H D T E L J j O K X f F N b u g l n l D D z F x s 6 3 U T l k z D 3 2 p r O o L N J W M K G S W G 4 c k i 2 p g D b Z p t c e w r J W l G h Z C 6 B x D S B U H q 5 t H X 0 T P m q c f Z P K c v Z S 6 U 0 Q V 8 V f 1 k p V L o J R d F b y 3 B V F r Z n O H t G i e G F q Q w U U W d 4 Y S o D x d U Z X p j K Q N F 1 h h e m m 1 C M 3 c 6 L 0 k 0 o 0 s 7 w 8 j b D d F O L F 6 W b U N S d 4 e X 7 C K a b 2 r x 8 H 8 F 0 U 5 u X r y 9 M N 7 V 4 U b o J 7 R w Z X r 6 + 9 W v C w m 6 8 M y w J q S b S T 4 4 j S 0 L K x t V j u P p W r j 7 D N b B y D R i u o Z V r a O c a W V t j x L T G y G r h i L E w s u q K G F 2 R t e U j p u U j a 8 t H T M t H 1 n p F T L 3 G 1 n q N m X q N r f U a M / W q n Z 9 i N D y / S 8 6 p F V K u J H q n q g S 5 J 5 c e N l X V J d V E K F Q t f r 6 a 3 h Z Y U l V O z b Z U l S P / J F f S x T e I h I u 3 o z i T N r 7 p J r E L S T X L s 0 0 e X S q t d b G S 9 O j d c u n p 1 8 c F C 5 d 1 s u p Z 5 a B n f 1 0 C y U B O l 5 w T G e 4 u d S R t t h m b 1 h E k n u S q U l t i R 5 h 0 Y j S 1 O 0 J e J z r z J F a 0 Z 4 0 m 9 l S V q 1 q W V E j X H F N 3 G 8 z R z N t D j W e c d W E s o c a 3 Z 5 v Y x n s H O / D 4 7 2 R L B 8 2 2 T z / 8 P k E J i + 9 K M g 8 O p M X + L Q o Q 7 v x o x f 5 V S l h 8 c D J 1 f L T C f 5 F S y k g E H 6 2 Q n 6 a E x a c n U / t H K 9 b P U k r O h P 9 o R f I t S l h 8 a J K 5 C Z F M / E 0 K k G X 9 a G V C f b S y x h + t N A d h a L f V Y m f Z T s b j 9 V z / v M t u 1 a v q 6 o 6 S V J g d / a N / d n T Y z p + 0 k l 7 X Z n q j S i j u 9 q r t n 3 1 Z X u 5 / v f N y f 2 y n j 9 r m m b H 5 K g d n m G d G 3 f O 0 b b w S W f i n e 5 / d + 2 x z N 0 3 V P H i q b l S q 2 z 9 W k 4 e / 5 l 2 v z V + o r J Q z S p N V X Z 1 v 0 m T 5 N H m 9 O f 1 u k 6 z O x 8 l s m z v s 6 S h e T d M 3 5 2 M 1 S 5 b r V L v B 7 k l O / 0 z 9 m p 2 e x I P B N 5 e X X 3 2 l a 1 W W P V z N k r l 2 l / P R d K M e D O 6 H Q V Q x x 7 l o d b O Y Z u q + f q w t C S a 5 S a e n + e E m w W q 7 W O T G B J k W f D 9 Y q m w a X F 8 V Q c L 4 N z U / z / V p a j 2 W 1 f P 7 Q b w K C q 6 s Y L n e H R J b X D M y y Y z + f J Z T N X e p 1 V U u B s x N k i 7 L f s z J d P V 0 o + S J w 5 2 w s F K i V Z s + / L e t S t + Q d 7 r p u r 6 I V + r 0 L V I c B o 9 W m j h f R + 1 6 x Z D 4 N P 6 l c O u b e J G 1 b w S 7 U g s 1 y 4 r O I R T X + d 3 q m J j n w Z / / U r T k f b u 1 F 6 S 5 y I I w a L 7 f p I 0 u B P 9 u E 2 z y A Y q a 4 k e l P X T + X R K v C M N z 8 W 9 P R j n J S z 0 r b Y q p x f D X J l V K 0 J 2 Q h F p i r u z 7 e D U / / 6 u 6 y R 5 v d T 0 a Y x 8 v 7 5 L k N p g n S V r Y Y J 6 c / E 2 8 W P y 0 P r X U K C Q m t q p p g t a H r t q l X 6 n V Z r 7 d t m j m 0 2 y 7 L H K 2 u 3 N / 6 q S s + M A i 5 r w i o m K U x b s H K 7 1 y 6 1 4 F I 7 P c j J F W / 1 Q / p 9 O V r o x e 7 2 7 1 h k A F y U 1 + z e P 2 d f 5 k u t V P v i 5 F a L 5 V O l 3 q + S K 4 / v c / / 1 W d B r w 7 D E k 5 D k O i z l t u H a 9 8 p R s l U 4 v 4 l 5 d F U + r q B 3 m S I f g y q N L o 3 y a 6 v m p x p + J 5 c E 0 9 2 + U r 4 A W d l 4 P g r L m Z e n q T v 5 / n 6 J b 0 Z u F l U i / j + V w t I H G 5 a t F 0 1 A 3 G R U F 1 a + k P u 9 t 1 g + z F q 4 q s X H k 0 z O j 2 3 w s b f 0 1 Z X T z a s 9 a r u W y 9 W a L Y q l X T l s s I T f Z z + S R f S F Q 2 / R R n t 7 p J N + v t K i u V 0 + P a M e N c W K Y c 1 4 j i J 6 A G C + K Y g B p C x w R E 2 d 7 j p k t U T 8 e U W W b U q n y b e + I E 5 B 2 s 7 3 t Y 3 3 N Y / 6 1 K V / k E 8 U K v X M p Q b 6 x k F W E 4 O 9 R p 4 F G n v q N O R W x a L T z r Y + H q U J e h R 1 0 G j r q 0 g 1 v O S k D y D t Y / 8 L B + 6 L A e X f n r M B / R O + w n J 6 5 g G + e v X y 1 K r Y x J S i / F 9 Z R a / L v e Q t D 1 Z 1 Y 6 e g 9 c v H n L f F y Z X y v z Z W X + q 8 x n V b i Z E p N S 4 k 5 K j E v x v M z X l P m X 3 V R b 5 h s J n X X q n S z r M W V 9 p m z A l A 3 t Z S P G l h E j M 2 L 4 I q Y O E V O H i N E 3 Z v S N G X 3 4 x U e + c D w c T O C g z G v t A 3 l b o x N 7 m 1 k G W 8 4 s g z 1 l l s G e M s u g t x l l y N v M M k Y m 8 j a z j K k D 8 j a z j N G H v M 0 s Y / S x 3 g a X C d 1 8 z u a z z i X J W 3 o 1 / k V Q 4 Z L i a p s S L / U / g + V O g F 5 + v k i 3 8 c u G o 6 b n i E x d 5 Y K / W O 8 3 B H Z F 5 v 5 A p p X m q F p p p 6 h e q 9 + q g s s g a W Q z R K g I z f C g z c / J 9 u Y Y Q F 9 w p I J + 4 t h F f S i t G 9 m / 3 Y y n e 7 J r T f y l C X x G w M 7 7 k 0 A A 9 j V b F O 7 C E Y b z m I H y a J 3 c O 5 + o d K Y J p 7 d a s d Z U D A Y Y 4 y g i f v l B Y + / o G Z H Z b 3 h M j r B B f P Y 0 H + h 1 z B i B 3 8 8 s M X z 5 s M T w 7 c c S w 9 c h S w z f 8 R w x e u m z x D 5 m o G U B S + z T d G j h w B L 7 2 I y W F i y x j 8 3 s 4 s O y F e 6 2 B h G P W + l 2 / A M N Q 4 s B e A h a C W F / W A m h / 1 g J o e 9 Y C e G Q s x G i 4 W Y l l K p G w 8 x K K G 0 e N L y s h F I b 0 b C y E k p t Z I c T D M p 0 G 0 e i Q d m 2 l o g G G X A p H D V H A D M U g N 5 R l K g O t U i S T W A V + L W D s p Z r J y S s M Q w G S z a X 9 T Q 5 b S D M O 1 S N b T e y L P 8 x V p m T C B y R w H T Y u a C z P N i J j u S 4 5 Z 3 c U U r b A b y F e N b e 6 T i d W t J f l M z h W G M c z i j g 5 R 1 V I M B w Y n L S Q 6 H c b r M e P 3 e 2 T a W i x 2 9 P x u l 0 G m 8 1 S Z C X F 6 / 9 + s m V r v o a T g I 5 2 X K 3 p 4 K F B Y e 1 t J 1 V b G t G P Q z M Q O W 0 Y M n M N G q Z Y e t x k s p 4 C C c n 1 L z n u G m F 5 H W 7 s / R s p 4 g 5 c Y + J W d v d 6 d E U 3 G h 2 t o s f s 9 B L W B l O F 5 J w O / x L I s J 0 P i t G x w L R k U 8 9 N X b H S E R R + B 3 i e A P 7 m Q v Q y N A E M / m d u O B 1 4 E J 1 / 7 U F / 2 f G W d i z 4 W n 8 C X 0 6 f I N K w c f D A 0 S K e U a 8 G J 3 S X N V V 8 N n A K v k V X j u z K N x K e a l X h Y / c / 3 5 w J 6 S F P e i e w r s Y R 3 1 g m l 3 8 E R 1 c j A e 2 c Y N Y h R z 2 g 8 h Y 0 M w I G 2 1 i k 4 W w G g L D b D n / h 0 H g 1 F j h y A J K d k N 0 a u B y S 8 R D i E r m c D z c Y f p S j I / z X H 0 v D J D H 2 f o y u J D k h H 0 S U U Q f s o 9 x R u Z V b c 6 U N z 6 T n 0 u C 4 / P 5 u b Q 4 P q u f S 5 T j c / u 5 1 D k + w 5 9 L p u P z / L n 0 O j 7 b n 0 u 4 4 3 P + u R Q 8 P v O f S 8 r j 8 / + 5 N D 2 + C 4 B L 3 O N 7 A b h U P r 4 j g E 3 u t z i K v + 5 8 O L 4 8 g M u Q 4 4 s E u J w 5 v l S A y 6 L j C w a 4 v D q + b I D L t O O L B 7 j c O 7 6 E g M v G 4 w s J u P w 8 v p y A y 9 j j i w q 4 H D 6 + t I D L 6 u M L D L g 8 P 7 7 M g M 3 8 t z h o V 5 S l i V 2 X H X i k k R 1 X H + y Z Z X Z e j b B 3 G l p w d c J e m W q v y x Q O m d b 2 u 2 z h s E l w 3 8 s Y 9 k y a C 6 9 p 2 D u 3 L r 7 A o U s S 3 i K f l i p J + T q u e v D K C D u u f v B K G D u u g v D K J z u u h v B K N z u u i v D K R j u u j v B K V j u u k v D K Z T u u l v B K d T u u m v D K h D u u n v B K l D u u o v D K o z u u p v B K s 1 u P p P W Q 1 S w E L P L o V Q G f m u a u w R C n r b l b M c Q p b e 6 S D H G 6 m 7 s z Q 5 w K 5 6 7 Q E K f J u R s 1 x C l 0 7 o I N c X q d u 2 9 D n H r n r t 8 Q p + W 5 2 z j E K X v u c g 5 x O p + 7 q 0 O c 6 u e u 7 p D D A C y C 6 M H c J e f L H l y D A 3 f N 2 S / 7 J Y t Z t U + I Y 5 M O k 1 3 2 O P r I e r r 4 A f L T H m Y 8 a Y f N O m W 2 p c c v 7 e F P D v w E 1 c v 4 X J K n 9 C l D B 0 y m y 9 y u i y F C 7 I e w 4 7 u 0 R O K A l X i d 1 S R V 5 0 C p e J / d J N U r U G M X K k k / d 7 4 2 x D d v 3 e X S k O 6 5 7 q 4 X h + y R I + 9 w h U j H t P p e 1 4 f s k 5 O X K e 7 c o 6 6 s / j 7 q J z j r d w i Q w M F u U d k P b d D 5 Y C u h X 9 h m Q R 8 r H E d b + V n i o 5 h Q 8 4 7 F L F z Y Q Q s s C i G U n n j m c 1 5 d Z x c X H R R E n x N E t k l 4 y M t d u l 0 3 c u F 9 r B G w + i P c 7 N L z t r m V R v l Y N 7 v 0 v c 3 u A b P f 1 8 0 u 3 B C 8 s C O B 2 L r m k C D v O 0 8 8 7 1 T x v r P F 9 0 4 Y z 0 m Q n G 0 K w f x h f v v P 8 k 7 N B z r A c G 8 7 P s l D L r v v v c L D H 5 Q r 3 X c S q j O T 1 / t 4 Y O 8 t u M u C z k c k i 4 I e H k 3 f + d h p O t r j p 1 l 4 1 D Y X 5 h J 3 t b R 3 L d E 7 7 w 4 1 9 H E Q u t D n 2 E 8 L e i 4 U H v s p g w O G f k e a + s E X g X D p Y a z H C 8 G O F 4 J B i u J v m 6 j 4 2 1 7 u H C 8 E Q x T H C 8 E w 9 / F C s O O F Y M c L w Y y 5 z 4 4 r Y n i P F 4 L h + 4 4 s v M c L w W C O n + E 9 X g h m 4 z p e C E a M i + O F Y N j z p W g G + Q b e s p c u 3 o L H y 4 y O l x k d L z N i 4 7 z H K 1 g 6 X M G C D v M 3 b 2 K R 5 S g H d C q K z w O F H + 6 y l a F 3 q q y 9 F 3 / / l 6 0 M T / 7 0 / 1 B L A Q I t A B Q A A g A I A H R s L F V v / H M r p A A A A P Y A A A A S A A A A A A A A A A A A A A A A A A A A A A B D b 2 5 m a W c v U G F j a 2 F n Z S 5 4 b W x Q S w E C L Q A U A A I A C A B 0 b C x V D 8 r p q 6 Q A A A D p A A A A E w A A A A A A A A A A A A A A A A D w A A A A W 0 N v b n R l b n R f V H l w Z X N d L n h t b F B L A Q I t A B Q A A g A I A H R s L F V 7 F X o s O C E A A G Z G A Q A T A A A A A A A A A A A A A A A A A O E B A A B G b 3 J t d W x h c y 9 T Z W N 0 a W 9 u M S 5 t U E s F B g A A A A A D A A M A w g A A A G Y j 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4 n A g A A A A A A 3 C c C 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B Z 0 F B Q U F B Q U F B Q 1 l n Z F B t Z j J 5 c l N h U 2 R 3 Q U U x e W h w e U N s S m x a b V Z 5 W l c 1 M G F X V U F B Q U F B Q U F B Q U F B Q U F i S U 5 O c 1 p B d y 9 F N l F Z V m t N R l J S U 2 N B b E p i b k 5 q Y U h K c G F t W U F B Q U V B Q U F B P S I g L z 4 8 L 1 N 0 Y W J s Z U V u d H J p Z X M + P C 9 J d G V t P j x J d G V t P j x J d G V t T G 9 j Y X R p b 2 4 + P E l 0 Z W 1 U e X B l P k Z v c m 1 1 b G E 8 L 0 l 0 Z W 1 U e X B l P j x J d G V t U G F 0 a D 5 T Z W N 0 a W 9 u M S 9 S Z W Z l c m V u d G l l X 0 1 L S V 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w I i A v P j x F b n R y e S B U e X B l P S J G a W x s U 3 R h d H V z I i B W Y W x 1 Z T 0 i c 0 N v b X B s Z X R l 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Q 2 9 s d W 1 u V H l w Z X M i I F Z h b H V l P S J z Q U F B R k J R V U Z C U V V E Q l F V R k J R V U Y i I C 8 + P E V u d H J 5 I F R 5 c G U 9 I k Z p b G x M Y X N 0 V X B k Y X R l Z C I g V m F s d W U 9 I m Q y M D I y L T A 3 L T I w V D E 1 O j A 5 O j I 4 L j k 0 O T Y w M j F 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M T U s J n F 1 b 3 Q 7 a 2 V 5 Q 2 9 s d W 1 u T m F t Z X M m c X V v d D s 6 W 1 0 s J n F 1 b 3 Q 7 c X V l c n l S Z W x h d G l v b n N o a X B z J n F 1 b 3 Q 7 O l t d L C Z x d W 9 0 O 2 N v b H V t b k l k Z W 5 0 a X R p Z X M m c X V v d D s 6 W y Z x d W 9 0 O 1 N l Y 3 R p b 2 4 x L 1 J l Z m V y Z W 5 0 a W V f T U t J X 1 R v d G F h b C 9 B d X R v U m V t b 3 Z l Z E N v b H V t b n M x L n t C Z X N 0 Z W t z c G 9 z d C w w f S Z x d W 9 0 O y w m c X V v d D t T Z W N 0 a W 9 u M S 9 S Z W Z l c m V u d G l l X 0 1 L S V 9 U b 3 R h Y W w v Q X V 0 b 1 J l b W 9 2 Z W R D b 2 x 1 b W 5 z M S 5 7 U H J v Z H V j d C w x f S Z x d W 9 0 O y w m c X V v d D t T Z W N 0 a W 9 u M S 9 S Z W Z l c m V u d G l l X 0 1 L S V 9 U b 3 R h Y W w v Q X V 0 b 1 J l b W 9 2 Z W R D b 2 x 1 b W 5 z M S 5 7 Q T E s M n 0 m c X V v d D s s J n F 1 b 3 Q 7 U 2 V j d G l v b j E v U m V m Z X J l b n R p Z V 9 N S 0 l f V G 9 0 Y W F s L 0 F 1 d G 9 S Z W 1 v d m V k Q 2 9 s d W 1 u c z E u e 0 E y L D N 9 J n F 1 b 3 Q 7 L C Z x d W 9 0 O 1 N l Y 3 R p b 2 4 x L 1 J l Z m V y Z W 5 0 a W V f T U t J X 1 R v d G F h b C 9 B d X R v U m V t b 3 Z l Z E N v b H V t b n M x L n t B M y w 0 f S Z x d W 9 0 O y w m c X V v d D t T Z W N 0 a W 9 u M S 9 S Z W Z l c m V u d G l l X 0 1 L S V 9 U b 3 R h Y W w v Q X V 0 b 1 J l b W 9 2 Z W R D b 2 x 1 b W 5 z M S 5 7 Q T Q s N X 0 m c X V v d D s s J n F 1 b 3 Q 7 U 2 V j d G l v b j E v U m V m Z X J l b n R p Z V 9 N S 0 l f V G 9 0 Y W F s L 0 F 1 d G 9 S Z W 1 v d m V k Q 2 9 s d W 1 u c z E u e 0 E 1 L D Z 9 J n F 1 b 3 Q 7 L C Z x d W 9 0 O 1 N l Y 3 R p b 2 4 x L 1 J l Z m V y Z W 5 0 a W V f T U t J X 1 R v d G F h b C 9 B d X R v U m V t b 3 Z l Z E N v b H V t b n M x L n t C M S w 3 f S Z x d W 9 0 O y w m c X V v d D t T Z W N 0 a W 9 u M S 9 S Z W Z l c m V u d G l l X 0 1 L S V 9 U b 3 R h Y W w v Q X V 0 b 1 J l b W 9 2 Z W R D b 2 x 1 b W 5 z M S 5 7 Q j Q s O H 0 m c X V v d D s s J n F 1 b 3 Q 7 U 2 V j d G l v b j E v U m V m Z X J l b n R p Z V 9 N S 0 l f V G 9 0 Y W F s L 0 F 1 d G 9 S Z W 1 v d m V k Q 2 9 s d W 1 u c z E u e 0 M x L D l 9 J n F 1 b 3 Q 7 L C Z x d W 9 0 O 1 N l Y 3 R p b 2 4 x L 1 J l Z m V y Z W 5 0 a W V f T U t J X 1 R v d G F h b C 9 B d X R v U m V t b 3 Z l Z E N v b H V t b n M x L n t D M i w x M H 0 m c X V v d D s s J n F 1 b 3 Q 7 U 2 V j d G l v b j E v U m V m Z X J l b n R p Z V 9 N S 0 l f V G 9 0 Y W F s L 0 F 1 d G 9 S Z W 1 v d m V k Q 2 9 s d W 1 u c z E u e 0 M z L D E x f S Z x d W 9 0 O y w m c X V v d D t T Z W N 0 a W 9 u M S 9 S Z W Z l c m V u d G l l X 0 1 L S V 9 U b 3 R h Y W w v Q X V 0 b 1 J l b W 9 2 Z W R D b 2 x 1 b W 5 z M S 5 7 Q z Q s M T J 9 J n F 1 b 3 Q 7 L C Z x d W 9 0 O 1 N l Y 3 R p b 2 4 x L 1 J l Z m V y Z W 5 0 a W V f T U t J X 1 R v d G F h b C 9 B d X R v U m V t b 3 Z l Z E N v b H V t b n M x L n t E M S w x M 3 0 m c X V v d D s s J n F 1 b 3 Q 7 U 2 V j d G l v b j E v U m V m Z X J l b n R p Z V 9 N S 0 l f V G 9 0 Y W F s L 0 F 1 d G 9 S Z W 1 v d m V k Q 2 9 s d W 1 u c z E u e 0 Q y L D E 0 f S Z x d W 9 0 O 1 0 s J n F 1 b 3 Q 7 Q 2 9 s d W 1 u Q 2 9 1 b n Q m c X V v d D s 6 M T U s J n F 1 b 3 Q 7 S 2 V 5 Q 2 9 s d W 1 u T m F t Z X M m c X V v d D s 6 W 1 0 s J n F 1 b 3 Q 7 Q 2 9 s d W 1 u S W R l b n R p d G l l c y Z x d W 9 0 O z p b J n F 1 b 3 Q 7 U 2 V j d G l v b j E v U m V m Z X J l b n R p Z V 9 N S 0 l f V G 9 0 Y W F s L 0 F 1 d G 9 S Z W 1 v d m V k Q 2 9 s d W 1 u c z E u e 0 J l c 3 R l a 3 N w b 3 N 0 L D B 9 J n F 1 b 3 Q 7 L C Z x d W 9 0 O 1 N l Y 3 R p b 2 4 x L 1 J l Z m V y Z W 5 0 a W V f T U t J X 1 R v d G F h b C 9 B d X R v U m V t b 3 Z l Z E N v b H V t b n M x L n t Q c m 9 k d W N 0 L D F 9 J n F 1 b 3 Q 7 L C Z x d W 9 0 O 1 N l Y 3 R p b 2 4 x L 1 J l Z m V y Z W 5 0 a W V f T U t J X 1 R v d G F h b C 9 B d X R v U m V t b 3 Z l Z E N v b H V t b n M x L n t B M S w y f S Z x d W 9 0 O y w m c X V v d D t T Z W N 0 a W 9 u M S 9 S Z W Z l c m V u d G l l X 0 1 L S V 9 U b 3 R h Y W w v Q X V 0 b 1 J l b W 9 2 Z W R D b 2 x 1 b W 5 z M S 5 7 Q T I s M 3 0 m c X V v d D s s J n F 1 b 3 Q 7 U 2 V j d G l v b j E v U m V m Z X J l b n R p Z V 9 N S 0 l f V G 9 0 Y W F s L 0 F 1 d G 9 S Z W 1 v d m V k Q 2 9 s d W 1 u c z E u e 0 E z L D R 9 J n F 1 b 3 Q 7 L C Z x d W 9 0 O 1 N l Y 3 R p b 2 4 x L 1 J l Z m V y Z W 5 0 a W V f T U t J X 1 R v d G F h b C 9 B d X R v U m V t b 3 Z l Z E N v b H V t b n M x L n t B N C w 1 f S Z x d W 9 0 O y w m c X V v d D t T Z W N 0 a W 9 u M S 9 S Z W Z l c m V u d G l l X 0 1 L S V 9 U b 3 R h Y W w v Q X V 0 b 1 J l b W 9 2 Z W R D b 2 x 1 b W 5 z M S 5 7 Q T U s N n 0 m c X V v d D s s J n F 1 b 3 Q 7 U 2 V j d G l v b j E v U m V m Z X J l b n R p Z V 9 N S 0 l f V G 9 0 Y W F s L 0 F 1 d G 9 S Z W 1 v d m V k Q 2 9 s d W 1 u c z E u e 0 I x L D d 9 J n F 1 b 3 Q 7 L C Z x d W 9 0 O 1 N l Y 3 R p b 2 4 x L 1 J l Z m V y Z W 5 0 a W V f T U t J X 1 R v d G F h b C 9 B d X R v U m V t b 3 Z l Z E N v b H V t b n M x L n t C N C w 4 f S Z x d W 9 0 O y w m c X V v d D t T Z W N 0 a W 9 u M S 9 S Z W Z l c m V u d G l l X 0 1 L S V 9 U b 3 R h Y W w v Q X V 0 b 1 J l b W 9 2 Z W R D b 2 x 1 b W 5 z M S 5 7 Q z E s O X 0 m c X V v d D s s J n F 1 b 3 Q 7 U 2 V j d G l v b j E v U m V m Z X J l b n R p Z V 9 N S 0 l f V G 9 0 Y W F s L 0 F 1 d G 9 S Z W 1 v d m V k Q 2 9 s d W 1 u c z E u e 0 M y L D E w f S Z x d W 9 0 O y w m c X V v d D t T Z W N 0 a W 9 u M S 9 S Z W Z l c m V u d G l l X 0 1 L S V 9 U b 3 R h Y W w v Q X V 0 b 1 J l b W 9 2 Z W R D b 2 x 1 b W 5 z M S 5 7 Q z M s M T F 9 J n F 1 b 3 Q 7 L C Z x d W 9 0 O 1 N l Y 3 R p b 2 4 x L 1 J l Z m V y Z W 5 0 a W V f T U t J X 1 R v d G F h b C 9 B d X R v U m V t b 3 Z l Z E N v b H V t b n M x L n t D N C w x M n 0 m c X V v d D s s J n F 1 b 3 Q 7 U 2 V j d G l v b j E v U m V m Z X J l b n R p Z V 9 N S 0 l f V G 9 0 Y W F s L 0 F 1 d G 9 S Z W 1 v d m V k Q 2 9 s d W 1 u c z E u e 0 Q x L D E z f S Z x d W 9 0 O y w m c X V v d D t T Z W N 0 a W 9 u M S 9 S Z W Z l c m V u d G l l X 0 1 L S V 9 U b 3 R h Y W w v Q X V 0 b 1 J l b W 9 2 Z W R D b 2 x 1 b W 5 z M S 5 7 R D I s M T R 9 J n F 1 b 3 Q 7 X S w m c X V v d D t S Z W x h d G l v b n N o a X B J b m Z v J n F 1 b 3 Q 7 O l t d f S I g L z 4 8 L 1 N 0 Y W J s Z U V u d H J p Z X M + P C 9 J d G V t P j x J d G V t P j x J d G V t T G 9 j Y X R p b 2 4 + P E l 0 Z W 1 U e X B l P k Z v c m 1 1 b G E 8 L 0 l 0 Z W 1 U e X B l P j x J d G V t U G F 0 a D 5 T Z W N 0 a W 9 u M S 9 S Z W Z l c m V u d G l l X 0 1 L S V 9 U b 3 R h Y W w v Q n J v b j w v S X R l b V B h d G g + P C 9 J d G V t T G 9 j Y X R p b 2 4 + P F N 0 Y W J s Z U V u d H J p Z X M g L z 4 8 L 0 l 0 Z W 0 + P E l 0 Z W 0 + P E l 0 Z W 1 M b 2 N h d G l v b j 4 8 S X R l b V R 5 c G U + R m 9 y b X V s Y T w v S X R l b V R 5 c G U + P E l 0 Z W 1 Q Y X R o P l N l Y 3 R p b 2 4 x L 1 J l Z m V y Z W 5 0 a W V f T U t J X 1 R v d G F h b C 9 U e X B l J T I w Z 2 V 3 a W p 6 a W d k P C 9 J d G V t U G F 0 a D 4 8 L 0 l 0 Z W 1 M b 2 N h d G l v b j 4 8 U 3 R h Y m x l R W 5 0 c m l l c y A v P j w v S X R l b T 4 8 S X R l b T 4 8 S X R l b U x v Y 2 F 0 a W 9 u P j x J d G V t V H l w Z T 5 G b 3 J t d W x h P C 9 J d G V t V H l w Z T 4 8 S X R l b V B h d G g + U 2 V j d G l v b j E v U m V m Z X J l b n R p Z V 9 D T z J 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E N v b H V t b l R 5 c G V z I i B W Y W x 1 Z T 0 i c 0 F B Q U Z C U V V G Q l F N R E J R V U Z B d 1 V G I i A v P j x F b n R y e S B U e X B l P S J G a W x s T G F z d F V w Z G F 0 Z W Q i I F Z h b H V l P S J k M j A y M i 0 w N y 0 y M F Q x N T o w O T o y O S 4 w M D Q z M j U x 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E 1 L C Z x d W 9 0 O 2 t l e U N v b H V t b k 5 h b W V z J n F 1 b 3 Q 7 O l t d L C Z x d W 9 0 O 3 F 1 Z X J 5 U m V s Y X R p b 2 5 z a G l w c y Z x d W 9 0 O z p b X S w m c X V v d D t j b 2 x 1 b W 5 J Z G V u d G l 0 a W V z J n F 1 b 3 Q 7 O l s m c X V v d D t T Z W N 0 a W 9 u M S 9 S Z W Z l c m V u d G l l X 0 N P M l 9 U b 3 R h Y W w v Q X V 0 b 1 J l b W 9 2 Z W R D b 2 x 1 b W 5 z M S 5 7 Q m V z d G V r c 3 B v c 3 Q s M H 0 m c X V v d D s s J n F 1 b 3 Q 7 U 2 V j d G l v b j E v U m V m Z X J l b n R p Z V 9 D T z J f V G 9 0 Y W F s L 0 F 1 d G 9 S Z W 1 v d m V k Q 2 9 s d W 1 u c z E u e 1 B y b 2 R 1 Y 3 Q s M X 0 m c X V v d D s s J n F 1 b 3 Q 7 U 2 V j d G l v b j E v U m V m Z X J l b n R p Z V 9 D T z J f V G 9 0 Y W F s L 0 F 1 d G 9 S Z W 1 v d m V k Q 2 9 s d W 1 u c z E u e 0 E x L D J 9 J n F 1 b 3 Q 7 L C Z x d W 9 0 O 1 N l Y 3 R p b 2 4 x L 1 J l Z m V y Z W 5 0 a W V f Q 0 8 y X 1 R v d G F h b C 9 B d X R v U m V t b 3 Z l Z E N v b H V t b n M x L n t B M i w z f S Z x d W 9 0 O y w m c X V v d D t T Z W N 0 a W 9 u M S 9 S Z W Z l c m V u d G l l X 0 N P M l 9 U b 3 R h Y W w v Q X V 0 b 1 J l b W 9 2 Z W R D b 2 x 1 b W 5 z M S 5 7 Q T M s N H 0 m c X V v d D s s J n F 1 b 3 Q 7 U 2 V j d G l v b j E v U m V m Z X J l b n R p Z V 9 D T z J f V G 9 0 Y W F s L 0 F 1 d G 9 S Z W 1 v d m V k Q 2 9 s d W 1 u c z E u e 0 E 0 L D V 9 J n F 1 b 3 Q 7 L C Z x d W 9 0 O 1 N l Y 3 R p b 2 4 x L 1 J l Z m V y Z W 5 0 a W V f Q 0 8 y X 1 R v d G F h b C 9 B d X R v U m V t b 3 Z l Z E N v b H V t b n M x L n t B N S w 2 f S Z x d W 9 0 O y w m c X V v d D t T Z W N 0 a W 9 u M S 9 S Z W Z l c m V u d G l l X 0 N P M l 9 U b 3 R h Y W w v Q X V 0 b 1 J l b W 9 2 Z W R D b 2 x 1 b W 5 z M S 5 7 Q j E s N 3 0 m c X V v d D s s J n F 1 b 3 Q 7 U 2 V j d G l v b j E v U m V m Z X J l b n R p Z V 9 D T z J f V G 9 0 Y W F s L 0 F 1 d G 9 S Z W 1 v d m V k Q 2 9 s d W 1 u c z E u e 0 I 0 L D h 9 J n F 1 b 3 Q 7 L C Z x d W 9 0 O 1 N l Y 3 R p b 2 4 x L 1 J l Z m V y Z W 5 0 a W V f Q 0 8 y X 1 R v d G F h b C 9 B d X R v U m V t b 3 Z l Z E N v b H V t b n M x L n t D M S w 5 f S Z x d W 9 0 O y w m c X V v d D t T Z W N 0 a W 9 u M S 9 S Z W Z l c m V u d G l l X 0 N P M l 9 U b 3 R h Y W w v Q X V 0 b 1 J l b W 9 2 Z W R D b 2 x 1 b W 5 z M S 5 7 Q z I s M T B 9 J n F 1 b 3 Q 7 L C Z x d W 9 0 O 1 N l Y 3 R p b 2 4 x L 1 J l Z m V y Z W 5 0 a W V f Q 0 8 y X 1 R v d G F h b C 9 B d X R v U m V t b 3 Z l Z E N v b H V t b n M x L n t D M y w x M X 0 m c X V v d D s s J n F 1 b 3 Q 7 U 2 V j d G l v b j E v U m V m Z X J l b n R p Z V 9 D T z J f V G 9 0 Y W F s L 0 F 1 d G 9 S Z W 1 v d m V k Q 2 9 s d W 1 u c z E u e 0 M 0 L D E y f S Z x d W 9 0 O y w m c X V v d D t T Z W N 0 a W 9 u M S 9 S Z W Z l c m V u d G l l X 0 N P M l 9 U b 3 R h Y W w v Q X V 0 b 1 J l b W 9 2 Z W R D b 2 x 1 b W 5 z M S 5 7 R D E s M T N 9 J n F 1 b 3 Q 7 L C Z x d W 9 0 O 1 N l Y 3 R p b 2 4 x L 1 J l Z m V y Z W 5 0 a W V f Q 0 8 y X 1 R v d G F h b C 9 B d X R v U m V t b 3 Z l Z E N v b H V t b n M x L n t E M i w x N H 0 m c X V v d D t d L C Z x d W 9 0 O 0 N v b H V t b k N v d W 5 0 J n F 1 b 3 Q 7 O j E 1 L C Z x d W 9 0 O 0 t l e U N v b H V t b k 5 h b W V z J n F 1 b 3 Q 7 O l t d L C Z x d W 9 0 O 0 N v b H V t b k l k Z W 5 0 a X R p Z X M m c X V v d D s 6 W y Z x d W 9 0 O 1 N l Y 3 R p b 2 4 x L 1 J l Z m V y Z W 5 0 a W V f Q 0 8 y X 1 R v d G F h b C 9 B d X R v U m V t b 3 Z l Z E N v b H V t b n M x L n t C Z X N 0 Z W t z c G 9 z d C w w f S Z x d W 9 0 O y w m c X V v d D t T Z W N 0 a W 9 u M S 9 S Z W Z l c m V u d G l l X 0 N P M l 9 U b 3 R h Y W w v Q X V 0 b 1 J l b W 9 2 Z W R D b 2 x 1 b W 5 z M S 5 7 U H J v Z H V j d C w x f S Z x d W 9 0 O y w m c X V v d D t T Z W N 0 a W 9 u M S 9 S Z W Z l c m V u d G l l X 0 N P M l 9 U b 3 R h Y W w v Q X V 0 b 1 J l b W 9 2 Z W R D b 2 x 1 b W 5 z M S 5 7 Q T E s M n 0 m c X V v d D s s J n F 1 b 3 Q 7 U 2 V j d G l v b j E v U m V m Z X J l b n R p Z V 9 D T z J f V G 9 0 Y W F s L 0 F 1 d G 9 S Z W 1 v d m V k Q 2 9 s d W 1 u c z E u e 0 E y L D N 9 J n F 1 b 3 Q 7 L C Z x d W 9 0 O 1 N l Y 3 R p b 2 4 x L 1 J l Z m V y Z W 5 0 a W V f Q 0 8 y X 1 R v d G F h b C 9 B d X R v U m V t b 3 Z l Z E N v b H V t b n M x L n t B M y w 0 f S Z x d W 9 0 O y w m c X V v d D t T Z W N 0 a W 9 u M S 9 S Z W Z l c m V u d G l l X 0 N P M l 9 U b 3 R h Y W w v Q X V 0 b 1 J l b W 9 2 Z W R D b 2 x 1 b W 5 z M S 5 7 Q T Q s N X 0 m c X V v d D s s J n F 1 b 3 Q 7 U 2 V j d G l v b j E v U m V m Z X J l b n R p Z V 9 D T z J f V G 9 0 Y W F s L 0 F 1 d G 9 S Z W 1 v d m V k Q 2 9 s d W 1 u c z E u e 0 E 1 L D Z 9 J n F 1 b 3 Q 7 L C Z x d W 9 0 O 1 N l Y 3 R p b 2 4 x L 1 J l Z m V y Z W 5 0 a W V f Q 0 8 y X 1 R v d G F h b C 9 B d X R v U m V t b 3 Z l Z E N v b H V t b n M x L n t C M S w 3 f S Z x d W 9 0 O y w m c X V v d D t T Z W N 0 a W 9 u M S 9 S Z W Z l c m V u d G l l X 0 N P M l 9 U b 3 R h Y W w v Q X V 0 b 1 J l b W 9 2 Z W R D b 2 x 1 b W 5 z M S 5 7 Q j Q s O H 0 m c X V v d D s s J n F 1 b 3 Q 7 U 2 V j d G l v b j E v U m V m Z X J l b n R p Z V 9 D T z J f V G 9 0 Y W F s L 0 F 1 d G 9 S Z W 1 v d m V k Q 2 9 s d W 1 u c z E u e 0 M x L D l 9 J n F 1 b 3 Q 7 L C Z x d W 9 0 O 1 N l Y 3 R p b 2 4 x L 1 J l Z m V y Z W 5 0 a W V f Q 0 8 y X 1 R v d G F h b C 9 B d X R v U m V t b 3 Z l Z E N v b H V t b n M x L n t D M i w x M H 0 m c X V v d D s s J n F 1 b 3 Q 7 U 2 V j d G l v b j E v U m V m Z X J l b n R p Z V 9 D T z J f V G 9 0 Y W F s L 0 F 1 d G 9 S Z W 1 v d m V k Q 2 9 s d W 1 u c z E u e 0 M z L D E x f S Z x d W 9 0 O y w m c X V v d D t T Z W N 0 a W 9 u M S 9 S Z W Z l c m V u d G l l X 0 N P M l 9 U b 3 R h Y W w v Q X V 0 b 1 J l b W 9 2 Z W R D b 2 x 1 b W 5 z M S 5 7 Q z Q s M T J 9 J n F 1 b 3 Q 7 L C Z x d W 9 0 O 1 N l Y 3 R p b 2 4 x L 1 J l Z m V y Z W 5 0 a W V f Q 0 8 y X 1 R v d G F h b C 9 B d X R v U m V t b 3 Z l Z E N v b H V t b n M x L n t E M S w x M 3 0 m c X V v d D s s J n F 1 b 3 Q 7 U 2 V j d G l v b j E v U m V m Z X J l b n R p Z V 9 D T z J f V G 9 0 Y W F s L 0 F 1 d G 9 S Z W 1 v d m V k Q 2 9 s d W 1 u c z E u e 0 Q y L D E 0 f S Z x d W 9 0 O 1 0 s J n F 1 b 3 Q 7 U m V s Y X R p b 2 5 z a G l w S W 5 m b y Z x d W 9 0 O z p b X X 0 i I C 8 + P C 9 T d G F i b G V F b n R y a W V z P j w v S X R l b T 4 8 S X R l b T 4 8 S X R l b U x v Y 2 F 0 a W 9 u P j x J d G V t V H l w Z T 5 G b 3 J t d W x h P C 9 J d G V t V H l w Z T 4 8 S X R l b V B h d G g + U 2 V j d G l v b j E v U m V m Z X J l b n R p Z V 9 D T z J f V G 9 0 Y W F s L 0 J y b 2 4 8 L 0 l 0 Z W 1 Q Y X R o P j w v S X R l b U x v Y 2 F 0 a W 9 u P j x T d G F i b G V F b n R y a W V z I C 8 + P C 9 J d G V t P j x J d G V t P j x J d G V t T G 9 j Y X R p b 2 4 + P E l 0 Z W 1 U e X B l P k Z v c m 1 1 b G E 8 L 0 l 0 Z W 1 U e X B l P j x J d G V t U G F 0 a D 5 T Z W N 0 a W 9 u M S 9 S Z W Z l c m V u d G l l X 0 N P M l 9 U b 3 R h Y W w v V H l w Z S U y M G d l d 2 l q e m l n Z D w v S X R l b V B h d G g + P C 9 J d G V t T G 9 j Y X R p b 2 4 + P F N 0 Y W J s Z U V u d H J p Z X M g L z 4 8 L 0 l 0 Z W 0 + P E l 0 Z W 0 + P E l 0 Z W 1 M b 2 N h d G l v b j 4 8 S X R l b V R 5 c G U + R m 9 y b X V s Y T w v S X R l b V R 5 c G U + P E l 0 Z W 1 Q Y X R o P l N l Y 3 R p b 2 4 x L 1 J l Z m V y Z W 5 0 a W V f T W F 0 Z X J p Y W F s 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I b 2 V 2 Z W V s a G V p Z C B b d G 9 u X S Z x d W 9 0 O y w m c X V v d D s l I F N l Y 3 V u Z G F p c i Z x d W 9 0 O y w m c X V v d D t Q c m l t Y W l y I G 1 h d G V y a W F h b H Z l c m J y d W l r I F t 0 b 2 5 d J n F 1 b 3 Q 7 L C Z x d W 9 0 O 1 N l Y 3 V u Z G F p c i B t Y X R l c m l h Y W x 2 Z X J i c n V p a y B b d G 9 u X S Z x d W 9 0 O 1 0 i I C 8 + P E V u d H J 5 I F R 5 c G U 9 I k Z p b G x D b 2 x 1 b W 5 U e X B l c y I g V m F s d W U 9 I n N B Q U F G Q l F V R i I g L z 4 8 R W 5 0 c n k g V H l w Z T 0 i R m l s b E x h c 3 R V c G R h d G V k I i B W Y W x 1 Z T 0 i Z D I w M j I t M D c t M j B U M T U 6 M D k 6 M j k u M T A 3 M D c 0 M l 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2 L C Z x d W 9 0 O 2 t l e U N v b H V t b k 5 h b W V z J n F 1 b 3 Q 7 O l t d L C Z x d W 9 0 O 3 F 1 Z X J 5 U m V s Y X R p b 2 5 z a G l w c y Z x d W 9 0 O z p b X S w m c X V v d D t j b 2 x 1 b W 5 J Z G V u d G l 0 a W V z J n F 1 b 3 Q 7 O l s m c X V v d D t T Z W N 0 a W 9 u M S 9 S Z W Z l c m V u d G l l X 0 1 h d G V y a W F h b F 9 U b 3 R h Y W w v Q X V 0 b 1 J l b W 9 2 Z W R D b 2 x 1 b W 5 z M S 5 7 Q m V z d G V r c 3 B v c 3 Q s M H 0 m c X V v d D s s J n F 1 b 3 Q 7 U 2 V j d G l v b j E v U m V m Z X J l b n R p Z V 9 N Y X R l c m l h Y W x f V G 9 0 Y W F s L 0 F 1 d G 9 S Z W 1 v d m V k Q 2 9 s d W 1 u c z E u e 1 B y b 2 R 1 Y 3 Q s M X 0 m c X V v d D s s J n F 1 b 3 Q 7 U 2 V j d G l v b j E v U m V m Z X J l b n R p Z V 9 N Y X R l c m l h Y W x f V G 9 0 Y W F s L 0 F 1 d G 9 S Z W 1 v d m V k Q 2 9 s d W 1 u c z E u e 0 h v Z X Z l Z W x o Z W l k I F t 0 b 2 5 d L D J 9 J n F 1 b 3 Q 7 L C Z x d W 9 0 O 1 N l Y 3 R p b 2 4 x L 1 J l Z m V y Z W 5 0 a W V f T W F 0 Z X J p Y W F s X 1 R v d G F h b C 9 B d X R v U m V t b 3 Z l Z E N v b H V t b n M x L n s l I F N l Y 3 V u Z G F p c i w z f S Z x d W 9 0 O y w m c X V v d D t T Z W N 0 a W 9 u M S 9 S Z W Z l c m V u d G l l X 0 1 h d G V y a W F h b F 9 U b 3 R h Y W w v Q X V 0 b 1 J l b W 9 2 Z W R D b 2 x 1 b W 5 z M S 5 7 U H J p b W F p c i B t Y X R l c m l h Y W x 2 Z X J i c n V p a y B b d G 9 u X S w 0 f S Z x d W 9 0 O y w m c X V v d D t T Z W N 0 a W 9 u M S 9 S Z W Z l c m V u d G l l X 0 1 h d G V y a W F h b F 9 U b 3 R h Y W w v Q X V 0 b 1 J l b W 9 2 Z W R D b 2 x 1 b W 5 z M S 5 7 U 2 V j d W 5 k Y W l y I G 1 h d G V y a W F h b H Z l c m J y d W l r I F t 0 b 2 5 d L D V 9 J n F 1 b 3 Q 7 X S w m c X V v d D t D b 2 x 1 b W 5 D b 3 V u d C Z x d W 9 0 O z o 2 L C Z x d W 9 0 O 0 t l e U N v b H V t b k 5 h b W V z J n F 1 b 3 Q 7 O l t d L C Z x d W 9 0 O 0 N v b H V t b k l k Z W 5 0 a X R p Z X M m c X V v d D s 6 W y Z x d W 9 0 O 1 N l Y 3 R p b 2 4 x L 1 J l Z m V y Z W 5 0 a W V f T W F 0 Z X J p Y W F s X 1 R v d G F h b C 9 B d X R v U m V t b 3 Z l Z E N v b H V t b n M x L n t C Z X N 0 Z W t z c G 9 z d C w w f S Z x d W 9 0 O y w m c X V v d D t T Z W N 0 a W 9 u M S 9 S Z W Z l c m V u d G l l X 0 1 h d G V y a W F h b F 9 U b 3 R h Y W w v Q X V 0 b 1 J l b W 9 2 Z W R D b 2 x 1 b W 5 z M S 5 7 U H J v Z H V j d C w x f S Z x d W 9 0 O y w m c X V v d D t T Z W N 0 a W 9 u M S 9 S Z W Z l c m V u d G l l X 0 1 h d G V y a W F h b F 9 U b 3 R h Y W w v Q X V 0 b 1 J l b W 9 2 Z W R D b 2 x 1 b W 5 z M S 5 7 S G 9 l d m V l b G h l a W Q g W 3 R v b l 0 s M n 0 m c X V v d D s s J n F 1 b 3 Q 7 U 2 V j d G l v b j E v U m V m Z X J l b n R p Z V 9 N Y X R l c m l h Y W x f V G 9 0 Y W F s L 0 F 1 d G 9 S Z W 1 v d m V k Q 2 9 s d W 1 u c z E u e y U g U 2 V j d W 5 k Y W l y L D N 9 J n F 1 b 3 Q 7 L C Z x d W 9 0 O 1 N l Y 3 R p b 2 4 x L 1 J l Z m V y Z W 5 0 a W V f T W F 0 Z X J p Y W F s X 1 R v d G F h b C 9 B d X R v U m V t b 3 Z l Z E N v b H V t b n M x L n t Q c m l t Y W l y I G 1 h d G V y a W F h b H Z l c m J y d W l r I F t 0 b 2 5 d L D R 9 J n F 1 b 3 Q 7 L C Z x d W 9 0 O 1 N l Y 3 R p b 2 4 x L 1 J l Z m V y Z W 5 0 a W V f T W F 0 Z X J p Y W F s X 1 R v d G F h b C 9 B d X R v U m V t b 3 Z l Z E N v b H V t b n M x L n t T Z W N 1 b m R h a X I g b W F 0 Z X J p Y W F s d m V y Y n J 1 a W s g W 3 R v b l 0 s N X 0 m c X V v d D t d L C Z x d W 9 0 O 1 J l b G F 0 a W 9 u c 2 h p c E l u Z m 8 m c X V v d D s 6 W 1 1 9 I i A v P j w v U 3 R h Y m x l R W 5 0 c m l l c z 4 8 L 0 l 0 Z W 0 + P E l 0 Z W 0 + P E l 0 Z W 1 M b 2 N h d G l v b j 4 8 S X R l b V R 5 c G U + R m 9 y b X V s Y T w v S X R l b V R 5 c G U + P E l 0 Z W 1 Q Y X R o P l N l Y 3 R p b 2 4 x L 1 J l Z m V y Z W 5 0 a W V f T W F 0 Z X J p Y W F s X 1 R v d G F h b C 9 C c m 9 u P C 9 J d G V t U G F 0 a D 4 8 L 0 l 0 Z W 1 M b 2 N h d G l v b j 4 8 U 3 R h Y m x l R W 5 0 c m l l c y A v P j w v S X R l b T 4 8 S X R l b T 4 8 S X R l b U x v Y 2 F 0 a W 9 u P j x J d G V t V H l w Z T 5 G b 3 J t d W x h P C 9 J d G V t V H l w Z T 4 8 S X R l b V B h d G g + U 2 V j d G l v b j E v U m V m Z X J l b n R p Z V 9 N Y X R l c m l h Y W x f V G 9 0 Y W F s L 1 R 5 c G U l M j B n Z X d p a n p p Z 2 Q 8 L 0 l 0 Z W 1 Q Y X R o P j w v S X R l b U x v Y 2 F 0 a W 9 u P j x T d G F i b G V F b n R y a W V z I C 8 + P C 9 J d G V t P j x J d G V t P j x J d G V t T G 9 j Y X R p b 2 4 + P E l 0 Z W 1 U e X B l P k Z v c m 1 1 b G E 8 L 0 l 0 Z W 1 U e X B l P j x J d G V t U G F 0 a D 5 T Z W N 0 a W 9 u M S 9 S Z W Z l c m V u d G l l X 0 h l c m 5 p Z X V 3 Y m F y Z V 9 F b m V y Z 2 l l 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D b 2 x 1 b W 5 U e X B l c y I g V m F s d W U 9 I n N B Q U F G Q l F V R k J R T U R C U V V G Q X d V R i I g L z 4 8 R W 5 0 c n k g V H l w Z T 0 i R m l s b E x h c 3 R V c G R h d G V k I i B W Y W x 1 Z T 0 i Z D I w M j I t M D c t M j B U M T U 6 M D k 6 M j k u M T U 2 M D E 2 O V 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x N S w m c X V v d D t r Z X l D b 2 x 1 b W 5 O Y W 1 l c y Z x d W 9 0 O z p b X S w m c X V v d D t x d W V y e V J l b G F 0 a W 9 u c 2 h p c H M m c X V v d D s 6 W 1 0 s J n F 1 b 3 Q 7 Y 2 9 s d W 1 u S W R l b n R p d G l l c y Z x d W 9 0 O z p b J n F 1 b 3 Q 7 U 2 V j d G l v b j E v U m V m Z X J l b n R p Z V 9 I Z X J u a W V 1 d 2 J h c m V f R W 5 l c m d p Z V 9 U b 3 R h Y W w v Q X V 0 b 1 J l b W 9 2 Z W R D b 2 x 1 b W 5 z M S 5 7 Q m V z d G V r c 3 B v c 3 Q s M H 0 m c X V v d D s s J n F 1 b 3 Q 7 U 2 V j d G l v b j E v U m V m Z X J l b n R p Z V 9 I Z X J u a W V 1 d 2 J h c m V f R W 5 l c m d p Z V 9 U b 3 R h Y W w v Q X V 0 b 1 J l b W 9 2 Z W R D b 2 x 1 b W 5 z M S 5 7 U H J v Z H V j d C w x f S Z x d W 9 0 O y w m c X V v d D t T Z W N 0 a W 9 u M S 9 S Z W Z l c m V u d G l l X 0 h l c m 5 p Z X V 3 Y m F y Z V 9 F b m V y Z 2 l l X 1 R v d G F h b C 9 B d X R v U m V t b 3 Z l Z E N v b H V t b n M x L n t B M S w y f S Z x d W 9 0 O y w m c X V v d D t T Z W N 0 a W 9 u M S 9 S Z W Z l c m V u d G l l X 0 h l c m 5 p Z X V 3 Y m F y Z V 9 F b m V y Z 2 l l X 1 R v d G F h b C 9 B d X R v U m V t b 3 Z l Z E N v b H V t b n M x L n t B M i w z f S Z x d W 9 0 O y w m c X V v d D t T Z W N 0 a W 9 u M S 9 S Z W Z l c m V u d G l l X 0 h l c m 5 p Z X V 3 Y m F y Z V 9 F b m V y Z 2 l l X 1 R v d G F h b C 9 B d X R v U m V t b 3 Z l Z E N v b H V t b n M x L n t B M y w 0 f S Z x d W 9 0 O y w m c X V v d D t T Z W N 0 a W 9 u M S 9 S Z W Z l c m V u d G l l X 0 h l c m 5 p Z X V 3 Y m F y Z V 9 F b m V y Z 2 l l X 1 R v d G F h b C 9 B d X R v U m V t b 3 Z l Z E N v b H V t b n M x L n t B N C w 1 f S Z x d W 9 0 O y w m c X V v d D t T Z W N 0 a W 9 u M S 9 S Z W Z l c m V u d G l l X 0 h l c m 5 p Z X V 3 Y m F y Z V 9 F b m V y Z 2 l l X 1 R v d G F h b C 9 B d X R v U m V t b 3 Z l Z E N v b H V t b n M x L n t B N S w 2 f S Z x d W 9 0 O y w m c X V v d D t T Z W N 0 a W 9 u M S 9 S Z W Z l c m V u d G l l X 0 h l c m 5 p Z X V 3 Y m F y Z V 9 F b m V y Z 2 l l X 1 R v d G F h b C 9 B d X R v U m V t b 3 Z l Z E N v b H V t b n M x L n t C M S w 3 f S Z x d W 9 0 O y w m c X V v d D t T Z W N 0 a W 9 u M S 9 S Z W Z l c m V u d G l l X 0 h l c m 5 p Z X V 3 Y m F y Z V 9 F b m V y Z 2 l l X 1 R v d G F h b C 9 B d X R v U m V t b 3 Z l Z E N v b H V t b n M x L n t C N C w 4 f S Z x d W 9 0 O y w m c X V v d D t T Z W N 0 a W 9 u M S 9 S Z W Z l c m V u d G l l X 0 h l c m 5 p Z X V 3 Y m F y Z V 9 F b m V y Z 2 l l X 1 R v d G F h b C 9 B d X R v U m V t b 3 Z l Z E N v b H V t b n M x L n t D M S w 5 f S Z x d W 9 0 O y w m c X V v d D t T Z W N 0 a W 9 u M S 9 S Z W Z l c m V u d G l l X 0 h l c m 5 p Z X V 3 Y m F y Z V 9 F b m V y Z 2 l l X 1 R v d G F h b C 9 B d X R v U m V t b 3 Z l Z E N v b H V t b n M x L n t D M i w x M H 0 m c X V v d D s s J n F 1 b 3 Q 7 U 2 V j d G l v b j E v U m V m Z X J l b n R p Z V 9 I Z X J u a W V 1 d 2 J h c m V f R W 5 l c m d p Z V 9 U b 3 R h Y W w v Q X V 0 b 1 J l b W 9 2 Z W R D b 2 x 1 b W 5 z M S 5 7 Q z M s M T F 9 J n F 1 b 3 Q 7 L C Z x d W 9 0 O 1 N l Y 3 R p b 2 4 x L 1 J l Z m V y Z W 5 0 a W V f S G V y b m l l d X d i Y X J l X 0 V u Z X J n a W V f V G 9 0 Y W F s L 0 F 1 d G 9 S Z W 1 v d m V k Q 2 9 s d W 1 u c z E u e 0 M 0 L D E y f S Z x d W 9 0 O y w m c X V v d D t T Z W N 0 a W 9 u M S 9 S Z W Z l c m V u d G l l X 0 h l c m 5 p Z X V 3 Y m F y Z V 9 F b m V y Z 2 l l X 1 R v d G F h b C 9 B d X R v U m V t b 3 Z l Z E N v b H V t b n M x L n t E M S w x M 3 0 m c X V v d D s s J n F 1 b 3 Q 7 U 2 V j d G l v b j E v U m V m Z X J l b n R p Z V 9 I Z X J u a W V 1 d 2 J h c m V f R W 5 l c m d p Z V 9 U b 3 R h Y W w v Q X V 0 b 1 J l b W 9 2 Z W R D b 2 x 1 b W 5 z M S 5 7 R D I s M T R 9 J n F 1 b 3 Q 7 X S w m c X V v d D t D b 2 x 1 b W 5 D b 3 V u d C Z x d W 9 0 O z o x N S w m c X V v d D t L Z X l D b 2 x 1 b W 5 O Y W 1 l c y Z x d W 9 0 O z p b X S w m c X V v d D t D b 2 x 1 b W 5 J Z G V u d G l 0 a W V z J n F 1 b 3 Q 7 O l s m c X V v d D t T Z W N 0 a W 9 u M S 9 S Z W Z l c m V u d G l l X 0 h l c m 5 p Z X V 3 Y m F y Z V 9 F b m V y Z 2 l l X 1 R v d G F h b C 9 B d X R v U m V t b 3 Z l Z E N v b H V t b n M x L n t C Z X N 0 Z W t z c G 9 z d C w w f S Z x d W 9 0 O y w m c X V v d D t T Z W N 0 a W 9 u M S 9 S Z W Z l c m V u d G l l X 0 h l c m 5 p Z X V 3 Y m F y Z V 9 F b m V y Z 2 l l X 1 R v d G F h b C 9 B d X R v U m V t b 3 Z l Z E N v b H V t b n M x L n t Q c m 9 k d W N 0 L D F 9 J n F 1 b 3 Q 7 L C Z x d W 9 0 O 1 N l Y 3 R p b 2 4 x L 1 J l Z m V y Z W 5 0 a W V f S G V y b m l l d X d i Y X J l X 0 V u Z X J n a W V f V G 9 0 Y W F s L 0 F 1 d G 9 S Z W 1 v d m V k Q 2 9 s d W 1 u c z E u e 0 E x L D J 9 J n F 1 b 3 Q 7 L C Z x d W 9 0 O 1 N l Y 3 R p b 2 4 x L 1 J l Z m V y Z W 5 0 a W V f S G V y b m l l d X d i Y X J l X 0 V u Z X J n a W V f V G 9 0 Y W F s L 0 F 1 d G 9 S Z W 1 v d m V k Q 2 9 s d W 1 u c z E u e 0 E y L D N 9 J n F 1 b 3 Q 7 L C Z x d W 9 0 O 1 N l Y 3 R p b 2 4 x L 1 J l Z m V y Z W 5 0 a W V f S G V y b m l l d X d i Y X J l X 0 V u Z X J n a W V f V G 9 0 Y W F s L 0 F 1 d G 9 S Z W 1 v d m V k Q 2 9 s d W 1 u c z E u e 0 E z L D R 9 J n F 1 b 3 Q 7 L C Z x d W 9 0 O 1 N l Y 3 R p b 2 4 x L 1 J l Z m V y Z W 5 0 a W V f S G V y b m l l d X d i Y X J l X 0 V u Z X J n a W V f V G 9 0 Y W F s L 0 F 1 d G 9 S Z W 1 v d m V k Q 2 9 s d W 1 u c z E u e 0 E 0 L D V 9 J n F 1 b 3 Q 7 L C Z x d W 9 0 O 1 N l Y 3 R p b 2 4 x L 1 J l Z m V y Z W 5 0 a W V f S G V y b m l l d X d i Y X J l X 0 V u Z X J n a W V f V G 9 0 Y W F s L 0 F 1 d G 9 S Z W 1 v d m V k Q 2 9 s d W 1 u c z E u e 0 E 1 L D Z 9 J n F 1 b 3 Q 7 L C Z x d W 9 0 O 1 N l Y 3 R p b 2 4 x L 1 J l Z m V y Z W 5 0 a W V f S G V y b m l l d X d i Y X J l X 0 V u Z X J n a W V f V G 9 0 Y W F s L 0 F 1 d G 9 S Z W 1 v d m V k Q 2 9 s d W 1 u c z E u e 0 I x L D d 9 J n F 1 b 3 Q 7 L C Z x d W 9 0 O 1 N l Y 3 R p b 2 4 x L 1 J l Z m V y Z W 5 0 a W V f S G V y b m l l d X d i Y X J l X 0 V u Z X J n a W V f V G 9 0 Y W F s L 0 F 1 d G 9 S Z W 1 v d m V k Q 2 9 s d W 1 u c z E u e 0 I 0 L D h 9 J n F 1 b 3 Q 7 L C Z x d W 9 0 O 1 N l Y 3 R p b 2 4 x L 1 J l Z m V y Z W 5 0 a W V f S G V y b m l l d X d i Y X J l X 0 V u Z X J n a W V f V G 9 0 Y W F s L 0 F 1 d G 9 S Z W 1 v d m V k Q 2 9 s d W 1 u c z E u e 0 M x L D l 9 J n F 1 b 3 Q 7 L C Z x d W 9 0 O 1 N l Y 3 R p b 2 4 x L 1 J l Z m V y Z W 5 0 a W V f S G V y b m l l d X d i Y X J l X 0 V u Z X J n a W V f V G 9 0 Y W F s L 0 F 1 d G 9 S Z W 1 v d m V k Q 2 9 s d W 1 u c z E u e 0 M y L D E w f S Z x d W 9 0 O y w m c X V v d D t T Z W N 0 a W 9 u M S 9 S Z W Z l c m V u d G l l X 0 h l c m 5 p Z X V 3 Y m F y Z V 9 F b m V y Z 2 l l X 1 R v d G F h b C 9 B d X R v U m V t b 3 Z l Z E N v b H V t b n M x L n t D M y w x M X 0 m c X V v d D s s J n F 1 b 3 Q 7 U 2 V j d G l v b j E v U m V m Z X J l b n R p Z V 9 I Z X J u a W V 1 d 2 J h c m V f R W 5 l c m d p Z V 9 U b 3 R h Y W w v Q X V 0 b 1 J l b W 9 2 Z W R D b 2 x 1 b W 5 z M S 5 7 Q z Q s M T J 9 J n F 1 b 3 Q 7 L C Z x d W 9 0 O 1 N l Y 3 R p b 2 4 x L 1 J l Z m V y Z W 5 0 a W V f S G V y b m l l d X d i Y X J l X 0 V u Z X J n a W V f V G 9 0 Y W F s L 0 F 1 d G 9 S Z W 1 v d m V k Q 2 9 s d W 1 u c z E u e 0 Q x L D E z f S Z x d W 9 0 O y w m c X V v d D t T Z W N 0 a W 9 u M S 9 S Z W Z l c m V u d G l l X 0 h l c m 5 p Z X V 3 Y m F y Z V 9 F b m V y Z 2 l l X 1 R v d G F h b C 9 B d X R v U m V t b 3 Z l Z E N v b H V t b n M x L n t E M i w x N H 0 m c X V v d D t d L C Z x d W 9 0 O 1 J l b G F 0 a W 9 u c 2 h p c E l u Z m 8 m c X V v d D s 6 W 1 1 9 I i A v P j w v U 3 R h Y m x l R W 5 0 c m l l c z 4 8 L 0 l 0 Z W 0 + P E l 0 Z W 0 + P E l 0 Z W 1 M b 2 N h d G l v b j 4 8 S X R l b V R 5 c G U + R m 9 y b X V s Y T w v S X R l b V R 5 c G U + P E l 0 Z W 1 Q Y X R o P l N l Y 3 R p b 2 4 x L 1 J l Z m V y Z W 5 0 a W V f S G V y b m l l d X d i Y X J l X 0 V u Z X J n a W V f V G 9 0 Y W F s L 0 J y b 2 4 8 L 0 l 0 Z W 1 Q Y X R o P j w v S X R l b U x v Y 2 F 0 a W 9 u P j x T d G F i b G V F b n R y a W V z I C 8 + P C 9 J d G V t P j x J d G V t P j x J d G V t T G 9 j Y X R p b 2 4 + P E l 0 Z W 1 U e X B l P k Z v c m 1 1 b G E 8 L 0 l 0 Z W 1 U e X B l P j x J d G V t U G F 0 a D 5 T Z W N 0 a W 9 u M S 9 S Z W Z l c m V u d G l l X 0 h l c m 5 p Z X V 3 Y m F y Z V 9 F b m V y Z 2 l l X 1 R v d G F h b C 9 U e X B l J T I w Z 2 V 3 a W p 6 a W d k P C 9 J d G V t U G F 0 a D 4 8 L 0 l 0 Z W 1 M b 2 N h d G l v b j 4 8 U 3 R h Y m x l R W 5 0 c m l l c y A v P j w v S X R l b T 4 8 S X R l b T 4 8 S X R l b U x v Y 2 F 0 a W 9 u P j x J d G V t V H l w Z T 5 G b 3 J t d W x h P C 9 J d G V t V H l w Z T 4 8 S X R l b V B h d G g + U 2 V j d G l v b j E v U m V m Z X J l b n R p Z V 9 G b 3 N z a W V s Z V 9 F b m V y Z 2 l l 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D b 2 x 1 b W 5 U e X B l c y I g V m F s d W U 9 I n N B Q U F G Q l F V R k J R T U R C U V V G Q X d V R i I g L z 4 8 R W 5 0 c n k g V H l w Z T 0 i R m l s b E x h c 3 R V c G R h d G V k I i B W Y W x 1 Z T 0 i Z D I w M j I t M D c t M j B U M T U 6 M D k 6 M j k u M j A w O T c 5 M 1 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x N S w m c X V v d D t r Z X l D b 2 x 1 b W 5 O Y W 1 l c y Z x d W 9 0 O z p b X S w m c X V v d D t x d W V y e V J l b G F 0 a W 9 u c 2 h p c H M m c X V v d D s 6 W 1 0 s J n F 1 b 3 Q 7 Y 2 9 s d W 1 u S W R l b n R p d G l l c y Z x d W 9 0 O z p b J n F 1 b 3 Q 7 U 2 V j d G l v b j E v U m V m Z X J l b n R p Z V 9 G b 3 N z a W V s Z V 9 F b m V y Z 2 l l X 1 R v d G F h b C 9 B d X R v U m V t b 3 Z l Z E N v b H V t b n M x L n t C Z X N 0 Z W t z c G 9 z d C w w f S Z x d W 9 0 O y w m c X V v d D t T Z W N 0 a W 9 u M S 9 S Z W Z l c m V u d G l l X 0 Z v c 3 N p Z W x l X 0 V u Z X J n a W V f V G 9 0 Y W F s L 0 F 1 d G 9 S Z W 1 v d m V k Q 2 9 s d W 1 u c z E u e 1 B y b 2 R 1 Y 3 Q s M X 0 m c X V v d D s s J n F 1 b 3 Q 7 U 2 V j d G l v b j E v U m V m Z X J l b n R p Z V 9 G b 3 N z a W V s Z V 9 F b m V y Z 2 l l X 1 R v d G F h b C 9 B d X R v U m V t b 3 Z l Z E N v b H V t b n M x L n t B M S w y f S Z x d W 9 0 O y w m c X V v d D t T Z W N 0 a W 9 u M S 9 S Z W Z l c m V u d G l l X 0 Z v c 3 N p Z W x l X 0 V u Z X J n a W V f V G 9 0 Y W F s L 0 F 1 d G 9 S Z W 1 v d m V k Q 2 9 s d W 1 u c z E u e 0 E y L D N 9 J n F 1 b 3 Q 7 L C Z x d W 9 0 O 1 N l Y 3 R p b 2 4 x L 1 J l Z m V y Z W 5 0 a W V f R m 9 z c 2 l l b G V f R W 5 l c m d p Z V 9 U b 3 R h Y W w v Q X V 0 b 1 J l b W 9 2 Z W R D b 2 x 1 b W 5 z M S 5 7 Q T M s N H 0 m c X V v d D s s J n F 1 b 3 Q 7 U 2 V j d G l v b j E v U m V m Z X J l b n R p Z V 9 G b 3 N z a W V s Z V 9 F b m V y Z 2 l l X 1 R v d G F h b C 9 B d X R v U m V t b 3 Z l Z E N v b H V t b n M x L n t B N C w 1 f S Z x d W 9 0 O y w m c X V v d D t T Z W N 0 a W 9 u M S 9 S Z W Z l c m V u d G l l X 0 Z v c 3 N p Z W x l X 0 V u Z X J n a W V f V G 9 0 Y W F s L 0 F 1 d G 9 S Z W 1 v d m V k Q 2 9 s d W 1 u c z E u e 0 E 1 L D Z 9 J n F 1 b 3 Q 7 L C Z x d W 9 0 O 1 N l Y 3 R p b 2 4 x L 1 J l Z m V y Z W 5 0 a W V f R m 9 z c 2 l l b G V f R W 5 l c m d p Z V 9 U b 3 R h Y W w v Q X V 0 b 1 J l b W 9 2 Z W R D b 2 x 1 b W 5 z M S 5 7 Q j E s N 3 0 m c X V v d D s s J n F 1 b 3 Q 7 U 2 V j d G l v b j E v U m V m Z X J l b n R p Z V 9 G b 3 N z a W V s Z V 9 F b m V y Z 2 l l X 1 R v d G F h b C 9 B d X R v U m V t b 3 Z l Z E N v b H V t b n M x L n t C N C w 4 f S Z x d W 9 0 O y w m c X V v d D t T Z W N 0 a W 9 u M S 9 S Z W Z l c m V u d G l l X 0 Z v c 3 N p Z W x l X 0 V u Z X J n a W V f V G 9 0 Y W F s L 0 F 1 d G 9 S Z W 1 v d m V k Q 2 9 s d W 1 u c z E u e 0 M x L D l 9 J n F 1 b 3 Q 7 L C Z x d W 9 0 O 1 N l Y 3 R p b 2 4 x L 1 J l Z m V y Z W 5 0 a W V f R m 9 z c 2 l l b G V f R W 5 l c m d p Z V 9 U b 3 R h Y W w v Q X V 0 b 1 J l b W 9 2 Z W R D b 2 x 1 b W 5 z M S 5 7 Q z I s M T B 9 J n F 1 b 3 Q 7 L C Z x d W 9 0 O 1 N l Y 3 R p b 2 4 x L 1 J l Z m V y Z W 5 0 a W V f R m 9 z c 2 l l b G V f R W 5 l c m d p Z V 9 U b 3 R h Y W w v Q X V 0 b 1 J l b W 9 2 Z W R D b 2 x 1 b W 5 z M S 5 7 Q z M s M T F 9 J n F 1 b 3 Q 7 L C Z x d W 9 0 O 1 N l Y 3 R p b 2 4 x L 1 J l Z m V y Z W 5 0 a W V f R m 9 z c 2 l l b G V f R W 5 l c m d p Z V 9 U b 3 R h Y W w v Q X V 0 b 1 J l b W 9 2 Z W R D b 2 x 1 b W 5 z M S 5 7 Q z Q s M T J 9 J n F 1 b 3 Q 7 L C Z x d W 9 0 O 1 N l Y 3 R p b 2 4 x L 1 J l Z m V y Z W 5 0 a W V f R m 9 z c 2 l l b G V f R W 5 l c m d p Z V 9 U b 3 R h Y W w v Q X V 0 b 1 J l b W 9 2 Z W R D b 2 x 1 b W 5 z M S 5 7 R D E s M T N 9 J n F 1 b 3 Q 7 L C Z x d W 9 0 O 1 N l Y 3 R p b 2 4 x L 1 J l Z m V y Z W 5 0 a W V f R m 9 z c 2 l l b G V f R W 5 l c m d p Z V 9 U b 3 R h Y W w v Q X V 0 b 1 J l b W 9 2 Z W R D b 2 x 1 b W 5 z M S 5 7 R D I s M T R 9 J n F 1 b 3 Q 7 X S w m c X V v d D t D b 2 x 1 b W 5 D b 3 V u d C Z x d W 9 0 O z o x N S w m c X V v d D t L Z X l D b 2 x 1 b W 5 O Y W 1 l c y Z x d W 9 0 O z p b X S w m c X V v d D t D b 2 x 1 b W 5 J Z G V u d G l 0 a W V z J n F 1 b 3 Q 7 O l s m c X V v d D t T Z W N 0 a W 9 u M S 9 S Z W Z l c m V u d G l l X 0 Z v c 3 N p Z W x l X 0 V u Z X J n a W V f V G 9 0 Y W F s L 0 F 1 d G 9 S Z W 1 v d m V k Q 2 9 s d W 1 u c z E u e 0 J l c 3 R l a 3 N w b 3 N 0 L D B 9 J n F 1 b 3 Q 7 L C Z x d W 9 0 O 1 N l Y 3 R p b 2 4 x L 1 J l Z m V y Z W 5 0 a W V f R m 9 z c 2 l l b G V f R W 5 l c m d p Z V 9 U b 3 R h Y W w v Q X V 0 b 1 J l b W 9 2 Z W R D b 2 x 1 b W 5 z M S 5 7 U H J v Z H V j d C w x f S Z x d W 9 0 O y w m c X V v d D t T Z W N 0 a W 9 u M S 9 S Z W Z l c m V u d G l l X 0 Z v c 3 N p Z W x l X 0 V u Z X J n a W V f V G 9 0 Y W F s L 0 F 1 d G 9 S Z W 1 v d m V k Q 2 9 s d W 1 u c z E u e 0 E x L D J 9 J n F 1 b 3 Q 7 L C Z x d W 9 0 O 1 N l Y 3 R p b 2 4 x L 1 J l Z m V y Z W 5 0 a W V f R m 9 z c 2 l l b G V f R W 5 l c m d p Z V 9 U b 3 R h Y W w v Q X V 0 b 1 J l b W 9 2 Z W R D b 2 x 1 b W 5 z M S 5 7 Q T I s M 3 0 m c X V v d D s s J n F 1 b 3 Q 7 U 2 V j d G l v b j E v U m V m Z X J l b n R p Z V 9 G b 3 N z a W V s Z V 9 F b m V y Z 2 l l X 1 R v d G F h b C 9 B d X R v U m V t b 3 Z l Z E N v b H V t b n M x L n t B M y w 0 f S Z x d W 9 0 O y w m c X V v d D t T Z W N 0 a W 9 u M S 9 S Z W Z l c m V u d G l l X 0 Z v c 3 N p Z W x l X 0 V u Z X J n a W V f V G 9 0 Y W F s L 0 F 1 d G 9 S Z W 1 v d m V k Q 2 9 s d W 1 u c z E u e 0 E 0 L D V 9 J n F 1 b 3 Q 7 L C Z x d W 9 0 O 1 N l Y 3 R p b 2 4 x L 1 J l Z m V y Z W 5 0 a W V f R m 9 z c 2 l l b G V f R W 5 l c m d p Z V 9 U b 3 R h Y W w v Q X V 0 b 1 J l b W 9 2 Z W R D b 2 x 1 b W 5 z M S 5 7 Q T U s N n 0 m c X V v d D s s J n F 1 b 3 Q 7 U 2 V j d G l v b j E v U m V m Z X J l b n R p Z V 9 G b 3 N z a W V s Z V 9 F b m V y Z 2 l l X 1 R v d G F h b C 9 B d X R v U m V t b 3 Z l Z E N v b H V t b n M x L n t C M S w 3 f S Z x d W 9 0 O y w m c X V v d D t T Z W N 0 a W 9 u M S 9 S Z W Z l c m V u d G l l X 0 Z v c 3 N p Z W x l X 0 V u Z X J n a W V f V G 9 0 Y W F s L 0 F 1 d G 9 S Z W 1 v d m V k Q 2 9 s d W 1 u c z E u e 0 I 0 L D h 9 J n F 1 b 3 Q 7 L C Z x d W 9 0 O 1 N l Y 3 R p b 2 4 x L 1 J l Z m V y Z W 5 0 a W V f R m 9 z c 2 l l b G V f R W 5 l c m d p Z V 9 U b 3 R h Y W w v Q X V 0 b 1 J l b W 9 2 Z W R D b 2 x 1 b W 5 z M S 5 7 Q z E s O X 0 m c X V v d D s s J n F 1 b 3 Q 7 U 2 V j d G l v b j E v U m V m Z X J l b n R p Z V 9 G b 3 N z a W V s Z V 9 F b m V y Z 2 l l X 1 R v d G F h b C 9 B d X R v U m V t b 3 Z l Z E N v b H V t b n M x L n t D M i w x M H 0 m c X V v d D s s J n F 1 b 3 Q 7 U 2 V j d G l v b j E v U m V m Z X J l b n R p Z V 9 G b 3 N z a W V s Z V 9 F b m V y Z 2 l l X 1 R v d G F h b C 9 B d X R v U m V t b 3 Z l Z E N v b H V t b n M x L n t D M y w x M X 0 m c X V v d D s s J n F 1 b 3 Q 7 U 2 V j d G l v b j E v U m V m Z X J l b n R p Z V 9 G b 3 N z a W V s Z V 9 F b m V y Z 2 l l X 1 R v d G F h b C 9 B d X R v U m V t b 3 Z l Z E N v b H V t b n M x L n t D N C w x M n 0 m c X V v d D s s J n F 1 b 3 Q 7 U 2 V j d G l v b j E v U m V m Z X J l b n R p Z V 9 G b 3 N z a W V s Z V 9 F b m V y Z 2 l l X 1 R v d G F h b C 9 B d X R v U m V t b 3 Z l Z E N v b H V t b n M x L n t E M S w x M 3 0 m c X V v d D s s J n F 1 b 3 Q 7 U 2 V j d G l v b j E v U m V m Z X J l b n R p Z V 9 G b 3 N z a W V s Z V 9 F b m V y Z 2 l l X 1 R v d G F h b C 9 B d X R v U m V t b 3 Z l Z E N v b H V t b n M x L n t E M i w x N H 0 m c X V v d D t d L C Z x d W 9 0 O 1 J l b G F 0 a W 9 u c 2 h p c E l u Z m 8 m c X V v d D s 6 W 1 1 9 I i A v P j w v U 3 R h Y m x l R W 5 0 c m l l c z 4 8 L 0 l 0 Z W 0 + P E l 0 Z W 0 + P E l 0 Z W 1 M b 2 N h d G l v b j 4 8 S X R l b V R 5 c G U + R m 9 y b X V s Y T w v S X R l b V R 5 c G U + P E l 0 Z W 1 Q Y X R o P l N l Y 3 R p b 2 4 x L 1 J l Z m V y Z W 5 0 a W V f R m 9 z c 2 l l b G V f R W 5 l c m d p Z V 9 U b 3 R h Y W w v Q n J v b j w v S X R l b V B h d G g + P C 9 J d G V t T G 9 j Y X R p b 2 4 + P F N 0 Y W J s Z U V u d H J p Z X M g L z 4 8 L 0 l 0 Z W 0 + P E l 0 Z W 0 + P E l 0 Z W 1 M b 2 N h d G l v b j 4 8 S X R l b V R 5 c G U + R m 9 y b X V s Y T w v S X R l b V R 5 c G U + P E l 0 Z W 1 Q Y X R o P l N l Y 3 R p b 2 4 x L 1 J l Z m V y Z W 5 0 a W V f R m 9 z c 2 l l b G V f R W 5 l c m d p Z V 9 U b 3 R h Y W w v V H l w Z S U y M G d l d 2 l q e m l n Z D w v S X R l b V B h d G g + P C 9 J d G V t T G 9 j Y X R p b 2 4 + P F N 0 Y W J s Z U V u d H J p Z X M g L z 4 8 L 0 l 0 Z W 0 + P E l 0 Z W 0 + P E l 0 Z W 1 M b 2 N h d G l v b j 4 8 S X R l b V R 5 c G U + R m 9 y b X V s Y T w v S X R l b V R 5 c G U + P E l 0 Z W 1 Q Y X R o P l N l Y 3 R p b 2 4 x L 1 J l Z m V y Z W 5 0 a W V f V H J h b n N w b 3 J 0 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U c m F u c 3 B v c n Q g b m F h c i B i b 3 V 3 c G x h Y X R z I F t 0 a 2 1 d J n F 1 b 3 Q 7 L C Z x d W 9 0 O 1 R y Y W 5 z c G 9 y d C B u Y W F y I H Z l c n d l c m t l c i B b d G t t X S Z x d W 9 0 O y w m c X V v d D t F b W l z c 2 l l b G 9 v c y B U c m F u c 3 B v c n Q g b m F h c i B i b 3 V 3 c G x h Y X R z P y Z x d W 9 0 O y w m c X V v d D t F b W l z c 2 l l b G 9 v c y B U c m F u c 3 B v c n Q g b m F h c i B 2 Z X J 3 Z X J r Z X I / J n F 1 b 3 Q 7 L C Z x d W 9 0 O 0 V t a X N z a W V s b 2 9 z I F R y Y W 5 z c G 9 y d C Z x d W 9 0 O 1 0 i I C 8 + P E V u d H J 5 I F R 5 c G U 9 I k Z p b G x D b 2 x 1 b W 5 U e X B l c y I g V m F s d W U 9 I n N B Q U F G Q l F B Q U F 3 P T 0 i I C 8 + P E V u d H J 5 I F R 5 c G U 9 I k Z p b G x M Y X N 0 V X B k Y X R l Z C I g V m F s d W U 9 I m Q y M D I y L T A 3 L T I w V D E 1 O j A 5 O j I 5 L j I 1 N D U 2 O T R 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N y w m c X V v d D t r Z X l D b 2 x 1 b W 5 O Y W 1 l c y Z x d W 9 0 O z p b X S w m c X V v d D t x d W V y e V J l b G F 0 a W 9 u c 2 h p c H M m c X V v d D s 6 W 1 0 s J n F 1 b 3 Q 7 Y 2 9 s d W 1 u S W R l b n R p d G l l c y Z x d W 9 0 O z p b J n F 1 b 3 Q 7 U 2 V j d G l v b j E v U m V m Z X J l b n R p Z V 9 U c m F u c 3 B v c n R f V G 9 0 Y W F s L 0 F 1 d G 9 S Z W 1 v d m V k Q 2 9 s d W 1 u c z E u e 0 J l c 3 R l a 3 N w b 3 N 0 L D B 9 J n F 1 b 3 Q 7 L C Z x d W 9 0 O 1 N l Y 3 R p b 2 4 x L 1 J l Z m V y Z W 5 0 a W V f V H J h b n N w b 3 J 0 X 1 R v d G F h b C 9 B d X R v U m V t b 3 Z l Z E N v b H V t b n M x L n t Q c m 9 k d W N 0 L D F 9 J n F 1 b 3 Q 7 L C Z x d W 9 0 O 1 N l Y 3 R p b 2 4 x L 1 J l Z m V y Z W 5 0 a W V f V H J h b n N w b 3 J 0 X 1 R v d G F h b C 9 B d X R v U m V t b 3 Z l Z E N v b H V t b n M x L n t U c m F u c 3 B v c n Q g b m F h c i B i b 3 V 3 c G x h Y X R z I F t 0 a 2 1 d L D J 9 J n F 1 b 3 Q 7 L C Z x d W 9 0 O 1 N l Y 3 R p b 2 4 x L 1 J l Z m V y Z W 5 0 a W V f V H J h b n N w b 3 J 0 X 1 R v d G F h b C 9 B d X R v U m V t b 3 Z l Z E N v b H V t b n M x L n t U c m F u c 3 B v c n Q g b m F h c i B 2 Z X J 3 Z X J r Z X I g W 3 R r b V 0 s M 3 0 m c X V v d D s s J n F 1 b 3 Q 7 U 2 V j d G l v b j E v U m V m Z X J l b n R p Z V 9 U c m F u c 3 B v c n R f V G 9 0 Y W F s L 0 F 1 d G 9 S Z W 1 v d m V k Q 2 9 s d W 1 u c z E u e 0 V t a X N z a W V s b 2 9 z I F R y Y W 5 z c G 9 y d C B u Y W F y I G J v d X d w b G F h d H M / L D R 9 J n F 1 b 3 Q 7 L C Z x d W 9 0 O 1 N l Y 3 R p b 2 4 x L 1 J l Z m V y Z W 5 0 a W V f V H J h b n N w b 3 J 0 X 1 R v d G F h b C 9 B d X R v U m V t b 3 Z l Z E N v b H V t b n M x L n t F b W l z c 2 l l b G 9 v c y B U c m F u c 3 B v c n Q g b m F h c i B 2 Z X J 3 Z X J r Z X I / L D V 9 J n F 1 b 3 Q 7 L C Z x d W 9 0 O 1 N l Y 3 R p b 2 4 x L 1 J l Z m V y Z W 5 0 a W V f V H J h b n N w b 3 J 0 X 1 R v d G F h b C 9 B d X R v U m V t b 3 Z l Z E N v b H V t b n M x L n t F b W l z c 2 l l b G 9 v c y B U c m F u c 3 B v c n Q s N n 0 m c X V v d D t d L C Z x d W 9 0 O 0 N v b H V t b k N v d W 5 0 J n F 1 b 3 Q 7 O j c s J n F 1 b 3 Q 7 S 2 V 5 Q 2 9 s d W 1 u T m F t Z X M m c X V v d D s 6 W 1 0 s J n F 1 b 3 Q 7 Q 2 9 s d W 1 u S W R l b n R p d G l l c y Z x d W 9 0 O z p b J n F 1 b 3 Q 7 U 2 V j d G l v b j E v U m V m Z X J l b n R p Z V 9 U c m F u c 3 B v c n R f V G 9 0 Y W F s L 0 F 1 d G 9 S Z W 1 v d m V k Q 2 9 s d W 1 u c z E u e 0 J l c 3 R l a 3 N w b 3 N 0 L D B 9 J n F 1 b 3 Q 7 L C Z x d W 9 0 O 1 N l Y 3 R p b 2 4 x L 1 J l Z m V y Z W 5 0 a W V f V H J h b n N w b 3 J 0 X 1 R v d G F h b C 9 B d X R v U m V t b 3 Z l Z E N v b H V t b n M x L n t Q c m 9 k d W N 0 L D F 9 J n F 1 b 3 Q 7 L C Z x d W 9 0 O 1 N l Y 3 R p b 2 4 x L 1 J l Z m V y Z W 5 0 a W V f V H J h b n N w b 3 J 0 X 1 R v d G F h b C 9 B d X R v U m V t b 3 Z l Z E N v b H V t b n M x L n t U c m F u c 3 B v c n Q g b m F h c i B i b 3 V 3 c G x h Y X R z I F t 0 a 2 1 d L D J 9 J n F 1 b 3 Q 7 L C Z x d W 9 0 O 1 N l Y 3 R p b 2 4 x L 1 J l Z m V y Z W 5 0 a W V f V H J h b n N w b 3 J 0 X 1 R v d G F h b C 9 B d X R v U m V t b 3 Z l Z E N v b H V t b n M x L n t U c m F u c 3 B v c n Q g b m F h c i B 2 Z X J 3 Z X J r Z X I g W 3 R r b V 0 s M 3 0 m c X V v d D s s J n F 1 b 3 Q 7 U 2 V j d G l v b j E v U m V m Z X J l b n R p Z V 9 U c m F u c 3 B v c n R f V G 9 0 Y W F s L 0 F 1 d G 9 S Z W 1 v d m V k Q 2 9 s d W 1 u c z E u e 0 V t a X N z a W V s b 2 9 z I F R y Y W 5 z c G 9 y d C B u Y W F y I G J v d X d w b G F h d H M / L D R 9 J n F 1 b 3 Q 7 L C Z x d W 9 0 O 1 N l Y 3 R p b 2 4 x L 1 J l Z m V y Z W 5 0 a W V f V H J h b n N w b 3 J 0 X 1 R v d G F h b C 9 B d X R v U m V t b 3 Z l Z E N v b H V t b n M x L n t F b W l z c 2 l l b G 9 v c y B U c m F u c 3 B v c n Q g b m F h c i B 2 Z X J 3 Z X J r Z X I / L D V 9 J n F 1 b 3 Q 7 L C Z x d W 9 0 O 1 N l Y 3 R p b 2 4 x L 1 J l Z m V y Z W 5 0 a W V f V H J h b n N w b 3 J 0 X 1 R v d G F h b C 9 B d X R v U m V t b 3 Z l Z E N v b H V t b n M x L n t F b W l z c 2 l l b G 9 v c y B U c m F u c 3 B v c n Q s N n 0 m c X V v d D t d L C Z x d W 9 0 O 1 J l b G F 0 a W 9 u c 2 h p c E l u Z m 8 m c X V v d D s 6 W 1 1 9 I i A v P j w v U 3 R h Y m x l R W 5 0 c m l l c z 4 8 L 0 l 0 Z W 0 + P E l 0 Z W 0 + P E l 0 Z W 1 M b 2 N h d G l v b j 4 8 S X R l b V R 5 c G U + R m 9 y b X V s Y T w v S X R l b V R 5 c G U + P E l 0 Z W 1 Q Y X R o P l N l Y 3 R p b 2 4 x L 1 J l Z m V y Z W 5 0 a W V f V H J h b n N w b 3 J 0 X 1 R v d G F h b C 9 C c m 9 u P C 9 J d G V t U G F 0 a D 4 8 L 0 l 0 Z W 1 M b 2 N h d G l v b j 4 8 U 3 R h Y m x l R W 5 0 c m l l c y A v P j w v S X R l b T 4 8 S X R l b T 4 8 S X R l b U x v Y 2 F 0 a W 9 u P j x J d G V t V H l w Z T 5 G b 3 J t d W x h P C 9 J d G V t V H l w Z T 4 8 S X R l b V B h d G g + U 2 V j d G l v b j E v U m V m Z X J l b n R p Z V 9 U c m F u c 3 B v c n R f V G 9 0 Y W F s L 1 R 5 c G U l M j B n Z X d p a n p p Z 2 Q 8 L 0 l 0 Z W 1 Q Y X R o P j w v S X R l b U x v Y 2 F 0 a W 9 u P j x T d G F i b G V F b n R y a W V z I C 8 + P C 9 J d G V t P j x J d G V t P j x J d G V t T G 9 j Y X R p b 2 4 + P E l 0 Z W 1 U e X B l P k Z v c m 1 1 b G E 8 L 0 l 0 Z W 1 U e X B l P j x J d G V t U G F 0 a D 5 T Z W N 0 a W 9 u M S 9 S Z W Z l c m V u d G l l X 0 J v d X d w b G F h d H N 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R y Y W F p d X J l b i B C b 3 V 3 J n F 1 b 3 Q 7 L C Z x d W 9 0 O 0 R y Y W F p d X J l b i B T b G 9 v c C Z x d W 9 0 O y w m c X V v d D t F b W l z c 2 l l b G 9 v c y B C b 3 V 3 b W F 0 Z X J p Z W V s J n F 1 b 3 Q 7 L C Z x d W 9 0 O 0 V t a X N z a W V s b 2 9 z I F N s b 2 9 w b W F 0 Z X J p Z W V s J n F 1 b 3 Q 7 L C Z x d W 9 0 O 0 V t a X N z a W V s b 2 9 z I G J v d X d w b G F h d H M m c X V v d D t d I i A v P j x F b n R y e S B U e X B l P S J G a W x s Q 2 9 s d W 1 u V H l w Z X M i I F Z h b H V l P S J z Q U F B R k J R Q U F B d z 0 9 I i A v P j x F b n R y e S B U e X B l P S J G a W x s T G F z d F V w Z G F 0 Z W Q i I F Z h b H V l P S J k M j A y M i 0 w N y 0 y M F Q x N T o w O T o y O S 4 z M T U 2 N D I w 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c s J n F 1 b 3 Q 7 a 2 V 5 Q 2 9 s d W 1 u T m F t Z X M m c X V v d D s 6 W 1 0 s J n F 1 b 3 Q 7 c X V l c n l S Z W x h d G l v b n N o a X B z J n F 1 b 3 Q 7 O l t d L C Z x d W 9 0 O 2 N v b H V t b k l k Z W 5 0 a X R p Z X M m c X V v d D s 6 W y Z x d W 9 0 O 1 N l Y 3 R p b 2 4 x L 1 J l Z m V y Z W 5 0 a W V f Q m 9 1 d 3 B s Y W F 0 c 1 9 U b 3 R h Y W w v Q X V 0 b 1 J l b W 9 2 Z W R D b 2 x 1 b W 5 z M S 5 7 Q m V z d G V r c 3 B v c 3 Q s M H 0 m c X V v d D s s J n F 1 b 3 Q 7 U 2 V j d G l v b j E v U m V m Z X J l b n R p Z V 9 C b 3 V 3 c G x h Y X R z X 1 R v d G F h b C 9 B d X R v U m V t b 3 Z l Z E N v b H V t b n M x L n t Q c m 9 k d W N 0 L D F 9 J n F 1 b 3 Q 7 L C Z x d W 9 0 O 1 N l Y 3 R p b 2 4 x L 1 J l Z m V y Z W 5 0 a W V f Q m 9 1 d 3 B s Y W F 0 c 1 9 U b 3 R h Y W w v Q X V 0 b 1 J l b W 9 2 Z W R D b 2 x 1 b W 5 z M S 5 7 R H J h Y W l 1 c m V u I E J v d X c s M n 0 m c X V v d D s s J n F 1 b 3 Q 7 U 2 V j d G l v b j E v U m V m Z X J l b n R p Z V 9 C b 3 V 3 c G x h Y X R z X 1 R v d G F h b C 9 B d X R v U m V t b 3 Z l Z E N v b H V t b n M x L n t E c m F h a X V y Z W 4 g U 2 x v b 3 A s M 3 0 m c X V v d D s s J n F 1 b 3 Q 7 U 2 V j d G l v b j E v U m V m Z X J l b n R p Z V 9 C b 3 V 3 c G x h Y X R z X 1 R v d G F h b C 9 B d X R v U m V t b 3 Z l Z E N v b H V t b n M x L n t F b W l z c 2 l l b G 9 v c y B C b 3 V 3 b W F 0 Z X J p Z W V s L D R 9 J n F 1 b 3 Q 7 L C Z x d W 9 0 O 1 N l Y 3 R p b 2 4 x L 1 J l Z m V y Z W 5 0 a W V f Q m 9 1 d 3 B s Y W F 0 c 1 9 U b 3 R h Y W w v Q X V 0 b 1 J l b W 9 2 Z W R D b 2 x 1 b W 5 z M S 5 7 R W 1 p c 3 N p Z W x v b 3 M g U 2 x v b 3 B t Y X R l c m l l Z W w s N X 0 m c X V v d D s s J n F 1 b 3 Q 7 U 2 V j d G l v b j E v U m V m Z X J l b n R p Z V 9 C b 3 V 3 c G x h Y X R z X 1 R v d G F h b C 9 B d X R v U m V t b 3 Z l Z E N v b H V t b n M x L n t F b W l z c 2 l l b G 9 v c y B i b 3 V 3 c G x h Y X R z L D Z 9 J n F 1 b 3 Q 7 X S w m c X V v d D t D b 2 x 1 b W 5 D b 3 V u d C Z x d W 9 0 O z o 3 L C Z x d W 9 0 O 0 t l e U N v b H V t b k 5 h b W V z J n F 1 b 3 Q 7 O l t d L C Z x d W 9 0 O 0 N v b H V t b k l k Z W 5 0 a X R p Z X M m c X V v d D s 6 W y Z x d W 9 0 O 1 N l Y 3 R p b 2 4 x L 1 J l Z m V y Z W 5 0 a W V f Q m 9 1 d 3 B s Y W F 0 c 1 9 U b 3 R h Y W w v Q X V 0 b 1 J l b W 9 2 Z W R D b 2 x 1 b W 5 z M S 5 7 Q m V z d G V r c 3 B v c 3 Q s M H 0 m c X V v d D s s J n F 1 b 3 Q 7 U 2 V j d G l v b j E v U m V m Z X J l b n R p Z V 9 C b 3 V 3 c G x h Y X R z X 1 R v d G F h b C 9 B d X R v U m V t b 3 Z l Z E N v b H V t b n M x L n t Q c m 9 k d W N 0 L D F 9 J n F 1 b 3 Q 7 L C Z x d W 9 0 O 1 N l Y 3 R p b 2 4 x L 1 J l Z m V y Z W 5 0 a W V f Q m 9 1 d 3 B s Y W F 0 c 1 9 U b 3 R h Y W w v Q X V 0 b 1 J l b W 9 2 Z W R D b 2 x 1 b W 5 z M S 5 7 R H J h Y W l 1 c m V u I E J v d X c s M n 0 m c X V v d D s s J n F 1 b 3 Q 7 U 2 V j d G l v b j E v U m V m Z X J l b n R p Z V 9 C b 3 V 3 c G x h Y X R z X 1 R v d G F h b C 9 B d X R v U m V t b 3 Z l Z E N v b H V t b n M x L n t E c m F h a X V y Z W 4 g U 2 x v b 3 A s M 3 0 m c X V v d D s s J n F 1 b 3 Q 7 U 2 V j d G l v b j E v U m V m Z X J l b n R p Z V 9 C b 3 V 3 c G x h Y X R z X 1 R v d G F h b C 9 B d X R v U m V t b 3 Z l Z E N v b H V t b n M x L n t F b W l z c 2 l l b G 9 v c y B C b 3 V 3 b W F 0 Z X J p Z W V s L D R 9 J n F 1 b 3 Q 7 L C Z x d W 9 0 O 1 N l Y 3 R p b 2 4 x L 1 J l Z m V y Z W 5 0 a W V f Q m 9 1 d 3 B s Y W F 0 c 1 9 U b 3 R h Y W w v Q X V 0 b 1 J l b W 9 2 Z W R D b 2 x 1 b W 5 z M S 5 7 R W 1 p c 3 N p Z W x v b 3 M g U 2 x v b 3 B t Y X R l c m l l Z W w s N X 0 m c X V v d D s s J n F 1 b 3 Q 7 U 2 V j d G l v b j E v U m V m Z X J l b n R p Z V 9 C b 3 V 3 c G x h Y X R z X 1 R v d G F h b C 9 B d X R v U m V t b 3 Z l Z E N v b H V t b n M x L n t F b W l z c 2 l l b G 9 v c y B i b 3 V 3 c G x h Y X R z L D Z 9 J n F 1 b 3 Q 7 X S w m c X V v d D t S Z W x h d G l v b n N o a X B J b m Z v J n F 1 b 3 Q 7 O l t d f S I g L z 4 8 L 1 N 0 Y W J s Z U V u d H J p Z X M + P C 9 J d G V t P j x J d G V t P j x J d G V t T G 9 j Y X R p b 2 4 + P E l 0 Z W 1 U e X B l P k Z v c m 1 1 b G E 8 L 0 l 0 Z W 1 U e X B l P j x J d G V t U G F 0 a D 5 T Z W N 0 a W 9 u M S 9 S Z W Z l c m V u d G l l X 0 J v d X d w b G F h d H N f V G 9 0 Y W F s L 0 J y b 2 4 8 L 0 l 0 Z W 1 Q Y X R o P j w v S X R l b U x v Y 2 F 0 a W 9 u P j x T d G F i b G V F b n R y a W V z I C 8 + P C 9 J d G V t P j x J d G V t P j x J d G V t T G 9 j Y X R p b 2 4 + P E l 0 Z W 1 U e X B l P k Z v c m 1 1 b G E 8 L 0 l 0 Z W 1 U e X B l P j x J d G V t U G F 0 a D 5 T Z W N 0 a W 9 u M S 9 S Z W Z l c m V u d G l l X 0 J v d X d w b G F h d H N f V G 9 0 Y W F s L 1 R 5 c G U l M j B n Z X d p a n p p Z 2 Q 8 L 0 l 0 Z W 1 Q Y X R o P j w v S X R l b U x v Y 2 F 0 a W 9 u P j x T d G F i b G V F b n R y a W V z I C 8 + P C 9 J d G V t P j x J d G V t P j x J d G V t T G 9 j Y X R p b 2 4 + P E l 0 Z W 1 U e X B l P k Z v c m 1 1 b G E 8 L 0 l 0 Z W 1 U e X B l P j x J d G V t U G F 0 a D 5 T Z W N 0 a W 9 u M S 9 J b n Z v Z X J f U m V m Z X J l b n R p 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y L T A y L T A 5 V D E z O j U y O j A 3 L j Q w N j E 0 N D F a I i A v P j x F b n R y e S B U e X B l P S J G a W x s Q 2 9 s d W 1 u V H l w Z X M i I F Z h b H V l P S J z Q m d Z R E J n W U F B d 1 V G Q X d V R E F B Q U F B Q U F B Q U F B Q U F B P T 0 i I C 8 + P E V u d H J 5 I F R 5 c G U 9 I k Z p b G x D b 2 x 1 b W 5 O Y W 1 l c y I g V m F s d W U 9 I n N b J n F 1 b 3 Q 7 Q m V z d G V r c 3 B v c 3 Q m c X V v d D s s J n F 1 b 3 Q 7 Q m V z d G F h b m R l I F N p d H V h d G l l I G 9 m I E 5 p Z X V 3 I F N p d G F 1 d G l l P y Z x d W 9 0 O y w m c X V v d D t L b 3 N 0 Z W 5 y Y W 1 p b m c g W + K C r F 0 m c X V v d D s s J n F 1 b 3 Q 7 U H J v Z H V j d G d y b 2 V w J n F 1 b 3 Q 7 L C Z x d W 9 0 O 1 B y b 2 R 1 Y 3 Q m c X V v d D s s J n F 1 b 3 Q 7 U H J v Z H V j d H R 5 c G U m c X V v d D s s J n F 1 b 3 Q 7 T 3 B w Z X J 2 b G F r d G U g W 2 0 y X S Z x d W 9 0 O y w m c X V v d D t E a W t 0 Z S B b b V 0 m c X V v d D s s J n F 1 b 3 Q 7 U 2 9 v c n R l b G l q a y B n Z X d p Y 2 h 0 I F t 0 b 2 4 g L y B t M 1 0 m c X V v d D s s J n F 1 b 3 Q 7 S G 9 l d m V l b G h l a W Q g W 2 0 z X S Z x d W 9 0 O y w m c X V v d D t I b 2 V 2 Z W V s a G V p Z C B b d G 9 u X S Z x d W 9 0 O y w m c X V v d D t W Z X J 2 Y W 5 n a W 5 n Z W 4 m c X V v d D s s J n F 1 b 3 Q 7 Q T Q g L S B U c m F u c 3 B v c n R h Z n N 0 Y W 5 k I G 5 h Y X I g Y m 9 1 d 3 B s Y W F 0 c y B b a 2 1 d J n F 1 b 3 Q 7 L C Z x d W 9 0 O 0 E 0 I C 0 g V H J h b n N w b 3 J 0 b W l k Z G V s I G 5 h Y X I g Y m 9 1 d 3 B s Y W F 0 c y Z x d W 9 0 O y w m c X V v d D t B N S A t I E F z Z m F s d C B B Y W 5 s Z W d z Z X Q m c X V v d D s s J n F 1 b 3 Q 7 Q T U g L S B P d m V y a W c g T W F 0 Z X J p Z W V s I H R i d i B B Y W 5 s Z W c m c X V v d D s s J n F 1 b 3 Q 7 Q z E g L S B B c 2 Z h b H Q g V m V y d 2 l q Z G V y c 2 V 0 J n F 1 b 3 Q 7 L C Z x d W 9 0 O 0 M x I C 0 g T 3 Z l c m l n I E 1 h d G V y a W V l b C B 0 Y n Y g V m V y d 2 l q Z G V y Z W 4 m c X V v d D s s J n F 1 b 3 Q 7 Q z I g L S B U c m F u c 3 B v c n R h Z n N 0 Y W 5 k I G 5 h Y X I g d m V y d 2 V y a 2 V y I F t r b V 0 m c X V v d D s s J n F 1 b 3 Q 7 Q z I g L S B U c m F u c 3 B v c n R t a W R k Z W w g b m F h c i B 2 Z X J 3 Z X J r Z X I m c X V v d D s s J n F 1 b 3 Q 7 Q z M g L S B W Z X J 3 Z X J r a W 5 n c 3 N l d C Z x d W 9 0 O y w m c X V v d D t V a X R n Y W 5 n c 3 B 1 b n R l b 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J b n Z v Z X J f U m V m Z X J l b n R p Z S 9 B d X R v U m V t b 3 Z l Z E N v b H V t b n M x L n t C Z X N 0 Z W t z c G 9 z d C w w f S Z x d W 9 0 O y w m c X V v d D t T Z W N 0 a W 9 u M S 9 J b n Z v Z X J f U m V m Z X J l b n R p Z S 9 B d X R v U m V t b 3 Z l Z E N v b H V t b n M x L n t C Z X N 0 Y W F u Z G U g U 2 l 0 d W F 0 a W U g b 2 Y g T m l l d X c g U 2 l 0 Y X V 0 a W U / L D F 9 J n F 1 b 3 Q 7 L C Z x d W 9 0 O 1 N l Y 3 R p b 2 4 x L 0 l u d m 9 l c l 9 S Z W Z l c m V u d G l l L 0 F 1 d G 9 S Z W 1 v d m V k Q 2 9 s d W 1 u c z E u e 0 t v c 3 R l b n J h b W l u Z y B b 4 o K s X S w y f S Z x d W 9 0 O y w m c X V v d D t T Z W N 0 a W 9 u M S 9 J b n Z v Z X J f U m V m Z X J l b n R p Z S 9 B d X R v U m V t b 3 Z l Z E N v b H V t b n M x L n t Q c m 9 k d W N 0 Z 3 J v Z X A s M 3 0 m c X V v d D s s J n F 1 b 3 Q 7 U 2 V j d G l v b j E v S W 5 2 b 2 V y X 1 J l Z m V y Z W 5 0 a W U v Q X V 0 b 1 J l b W 9 2 Z W R D b 2 x 1 b W 5 z M S 5 7 U H J v Z H V j d C w 0 f S Z x d W 9 0 O y w m c X V v d D t T Z W N 0 a W 9 u M S 9 J b n Z v Z X J f U m V m Z X J l b n R p Z S 9 B d X R v U m V t b 3 Z l Z E N v b H V t b n M x L n t Q c m 9 k d W N 0 d H l w Z S w 1 f S Z x d W 9 0 O y w m c X V v d D t T Z W N 0 a W 9 u M S 9 J b n Z v Z X J f U m V m Z X J l b n R p Z S 9 B d X R v U m V t b 3 Z l Z E N v b H V t b n M x L n t P c H B l c n Z s Y W t 0 Z S B b b T J d L D Z 9 J n F 1 b 3 Q 7 L C Z x d W 9 0 O 1 N l Y 3 R p b 2 4 x L 0 l u d m 9 l c l 9 S Z W Z l c m V u d G l l L 0 F 1 d G 9 S Z W 1 v d m V k Q 2 9 s d W 1 u c z E u e 0 R p a 3 R l I F t t X S w 3 f S Z x d W 9 0 O y w m c X V v d D t T Z W N 0 a W 9 u M S 9 J b n Z v Z X J f U m V m Z X J l b n R p Z S 9 B d X R v U m V t b 3 Z l Z E N v b H V t b n M x L n t T b 2 9 y d G V s a W p r I G d l d 2 l j a H Q g W 3 R v b i A v I G 0 z X S w 4 f S Z x d W 9 0 O y w m c X V v d D t T Z W N 0 a W 9 u M S 9 J b n Z v Z X J f U m V m Z X J l b n R p Z S 9 B d X R v U m V t b 3 Z l Z E N v b H V t b n M x L n t I b 2 V 2 Z W V s a G V p Z C B b b T N d L D l 9 J n F 1 b 3 Q 7 L C Z x d W 9 0 O 1 N l Y 3 R p b 2 4 x L 0 l u d m 9 l c l 9 S Z W Z l c m V u d G l l L 0 F 1 d G 9 S Z W 1 v d m V k Q 2 9 s d W 1 u c z E u e 0 h v Z X Z l Z W x o Z W l k I F t 0 b 2 5 d L D E w f S Z x d W 9 0 O y w m c X V v d D t T Z W N 0 a W 9 u M S 9 J b n Z v Z X J f U m V m Z X J l b n R p Z S 9 B d X R v U m V t b 3 Z l Z E N v b H V t b n M x L n t W Z X J 2 Y W 5 n a W 5 n Z W 4 s M T F 9 J n F 1 b 3 Q 7 L C Z x d W 9 0 O 1 N l Y 3 R p b 2 4 x L 0 l u d m 9 l c l 9 S Z W Z l c m V u d G l l L 0 F 1 d G 9 S Z W 1 v d m V k Q 2 9 s d W 1 u c z E u e 0 E 0 I C 0 g V H J h b n N w b 3 J 0 Y W Z z d G F u Z C B u Y W F y I G J v d X d w b G F h d H M g W 2 t t X S w x M n 0 m c X V v d D s s J n F 1 b 3 Q 7 U 2 V j d G l v b j E v S W 5 2 b 2 V y X 1 J l Z m V y Z W 5 0 a W U v Q X V 0 b 1 J l b W 9 2 Z W R D b 2 x 1 b W 5 z M S 5 7 Q T Q g L S B U c m F u c 3 B v c n R t a W R k Z W w g b m F h c i B i b 3 V 3 c G x h Y X R z L D E z f S Z x d W 9 0 O y w m c X V v d D t T Z W N 0 a W 9 u M S 9 J b n Z v Z X J f U m V m Z X J l b n R p Z S 9 B d X R v U m V t b 3 Z l Z E N v b H V t b n M x L n t B N S A t I E F z Z m F s d C B B Y W 5 s Z W d z Z X Q s M T R 9 J n F 1 b 3 Q 7 L C Z x d W 9 0 O 1 N l Y 3 R p b 2 4 x L 0 l u d m 9 l c l 9 S Z W Z l c m V u d G l l L 0 F 1 d G 9 S Z W 1 v d m V k Q 2 9 s d W 1 u c z E u e 0 E 1 I C 0 g T 3 Z l c m l n I E 1 h d G V y a W V l b C B 0 Y n Y g Q W F u b G V n L D E 1 f S Z x d W 9 0 O y w m c X V v d D t T Z W N 0 a W 9 u M S 9 J b n Z v Z X J f U m V m Z X J l b n R p Z S 9 B d X R v U m V t b 3 Z l Z E N v b H V t b n M x L n t D M S A t I E F z Z m F s d C B W Z X J 3 a W p k Z X J z Z X Q s M T Z 9 J n F 1 b 3 Q 7 L C Z x d W 9 0 O 1 N l Y 3 R p b 2 4 x L 0 l u d m 9 l c l 9 S Z W Z l c m V u d G l l L 0 F 1 d G 9 S Z W 1 v d m V k Q 2 9 s d W 1 u c z E u e 0 M x I C 0 g T 3 Z l c m l n I E 1 h d G V y a W V l b C B 0 Y n Y g V m V y d 2 l q Z G V y Z W 4 s M T d 9 J n F 1 b 3 Q 7 L C Z x d W 9 0 O 1 N l Y 3 R p b 2 4 x L 0 l u d m 9 l c l 9 S Z W Z l c m V u d G l l L 0 F 1 d G 9 S Z W 1 v d m V k Q 2 9 s d W 1 u c z E u e 0 M y I C 0 g V H J h b n N w b 3 J 0 Y W Z z d G F u Z C B u Y W F y I H Z l c n d l c m t l c i B b a 2 1 d L D E 4 f S Z x d W 9 0 O y w m c X V v d D t T Z W N 0 a W 9 u M S 9 J b n Z v Z X J f U m V m Z X J l b n R p Z S 9 B d X R v U m V t b 3 Z l Z E N v b H V t b n M x L n t D M i A t I F R y Y W 5 z c G 9 y d G 1 p Z G R l b C B u Y W F y I H Z l c n d l c m t l c i w x O X 0 m c X V v d D s s J n F 1 b 3 Q 7 U 2 V j d G l v b j E v S W 5 2 b 2 V y X 1 J l Z m V y Z W 5 0 a W U v Q X V 0 b 1 J l b W 9 2 Z W R D b 2 x 1 b W 5 z M S 5 7 Q z M g L S B W Z X J 3 Z X J r a W 5 n c 3 N l d C w y M H 0 m c X V v d D s s J n F 1 b 3 Q 7 U 2 V j d G l v b j E v S W 5 2 b 2 V y X 1 J l Z m V y Z W 5 0 a W U v Q X V 0 b 1 J l b W 9 2 Z W R D b 2 x 1 b W 5 z M S 5 7 V W l 0 Z 2 F u Z 3 N w d W 5 0 Z W 4 s M j F 9 J n F 1 b 3 Q 7 X S w m c X V v d D t D b 2 x 1 b W 5 D b 3 V u d C Z x d W 9 0 O z o y M i w m c X V v d D t L Z X l D b 2 x 1 b W 5 O Y W 1 l c y Z x d W 9 0 O z p b X S w m c X V v d D t D b 2 x 1 b W 5 J Z G V u d G l 0 a W V z J n F 1 b 3 Q 7 O l s m c X V v d D t T Z W N 0 a W 9 u M S 9 J b n Z v Z X J f U m V m Z X J l b n R p Z S 9 B d X R v U m V t b 3 Z l Z E N v b H V t b n M x L n t C Z X N 0 Z W t z c G 9 z d C w w f S Z x d W 9 0 O y w m c X V v d D t T Z W N 0 a W 9 u M S 9 J b n Z v Z X J f U m V m Z X J l b n R p Z S 9 B d X R v U m V t b 3 Z l Z E N v b H V t b n M x L n t C Z X N 0 Y W F u Z G U g U 2 l 0 d W F 0 a W U g b 2 Y g T m l l d X c g U 2 l 0 Y X V 0 a W U / L D F 9 J n F 1 b 3 Q 7 L C Z x d W 9 0 O 1 N l Y 3 R p b 2 4 x L 0 l u d m 9 l c l 9 S Z W Z l c m V u d G l l L 0 F 1 d G 9 S Z W 1 v d m V k Q 2 9 s d W 1 u c z E u e 0 t v c 3 R l b n J h b W l u Z y B b 4 o K s X S w y f S Z x d W 9 0 O y w m c X V v d D t T Z W N 0 a W 9 u M S 9 J b n Z v Z X J f U m V m Z X J l b n R p Z S 9 B d X R v U m V t b 3 Z l Z E N v b H V t b n M x L n t Q c m 9 k d W N 0 Z 3 J v Z X A s M 3 0 m c X V v d D s s J n F 1 b 3 Q 7 U 2 V j d G l v b j E v S W 5 2 b 2 V y X 1 J l Z m V y Z W 5 0 a W U v Q X V 0 b 1 J l b W 9 2 Z W R D b 2 x 1 b W 5 z M S 5 7 U H J v Z H V j d C w 0 f S Z x d W 9 0 O y w m c X V v d D t T Z W N 0 a W 9 u M S 9 J b n Z v Z X J f U m V m Z X J l b n R p Z S 9 B d X R v U m V t b 3 Z l Z E N v b H V t b n M x L n t Q c m 9 k d W N 0 d H l w Z S w 1 f S Z x d W 9 0 O y w m c X V v d D t T Z W N 0 a W 9 u M S 9 J b n Z v Z X J f U m V m Z X J l b n R p Z S 9 B d X R v U m V t b 3 Z l Z E N v b H V t b n M x L n t P c H B l c n Z s Y W t 0 Z S B b b T J d L D Z 9 J n F 1 b 3 Q 7 L C Z x d W 9 0 O 1 N l Y 3 R p b 2 4 x L 0 l u d m 9 l c l 9 S Z W Z l c m V u d G l l L 0 F 1 d G 9 S Z W 1 v d m V k Q 2 9 s d W 1 u c z E u e 0 R p a 3 R l I F t t X S w 3 f S Z x d W 9 0 O y w m c X V v d D t T Z W N 0 a W 9 u M S 9 J b n Z v Z X J f U m V m Z X J l b n R p Z S 9 B d X R v U m V t b 3 Z l Z E N v b H V t b n M x L n t T b 2 9 y d G V s a W p r I G d l d 2 l j a H Q g W 3 R v b i A v I G 0 z X S w 4 f S Z x d W 9 0 O y w m c X V v d D t T Z W N 0 a W 9 u M S 9 J b n Z v Z X J f U m V m Z X J l b n R p Z S 9 B d X R v U m V t b 3 Z l Z E N v b H V t b n M x L n t I b 2 V 2 Z W V s a G V p Z C B b b T N d L D l 9 J n F 1 b 3 Q 7 L C Z x d W 9 0 O 1 N l Y 3 R p b 2 4 x L 0 l u d m 9 l c l 9 S Z W Z l c m V u d G l l L 0 F 1 d G 9 S Z W 1 v d m V k Q 2 9 s d W 1 u c z E u e 0 h v Z X Z l Z W x o Z W l k I F t 0 b 2 5 d L D E w f S Z x d W 9 0 O y w m c X V v d D t T Z W N 0 a W 9 u M S 9 J b n Z v Z X J f U m V m Z X J l b n R p Z S 9 B d X R v U m V t b 3 Z l Z E N v b H V t b n M x L n t W Z X J 2 Y W 5 n a W 5 n Z W 4 s M T F 9 J n F 1 b 3 Q 7 L C Z x d W 9 0 O 1 N l Y 3 R p b 2 4 x L 0 l u d m 9 l c l 9 S Z W Z l c m V u d G l l L 0 F 1 d G 9 S Z W 1 v d m V k Q 2 9 s d W 1 u c z E u e 0 E 0 I C 0 g V H J h b n N w b 3 J 0 Y W Z z d G F u Z C B u Y W F y I G J v d X d w b G F h d H M g W 2 t t X S w x M n 0 m c X V v d D s s J n F 1 b 3 Q 7 U 2 V j d G l v b j E v S W 5 2 b 2 V y X 1 J l Z m V y Z W 5 0 a W U v Q X V 0 b 1 J l b W 9 2 Z W R D b 2 x 1 b W 5 z M S 5 7 Q T Q g L S B U c m F u c 3 B v c n R t a W R k Z W w g b m F h c i B i b 3 V 3 c G x h Y X R z L D E z f S Z x d W 9 0 O y w m c X V v d D t T Z W N 0 a W 9 u M S 9 J b n Z v Z X J f U m V m Z X J l b n R p Z S 9 B d X R v U m V t b 3 Z l Z E N v b H V t b n M x L n t B N S A t I E F z Z m F s d C B B Y W 5 s Z W d z Z X Q s M T R 9 J n F 1 b 3 Q 7 L C Z x d W 9 0 O 1 N l Y 3 R p b 2 4 x L 0 l u d m 9 l c l 9 S Z W Z l c m V u d G l l L 0 F 1 d G 9 S Z W 1 v d m V k Q 2 9 s d W 1 u c z E u e 0 E 1 I C 0 g T 3 Z l c m l n I E 1 h d G V y a W V l b C B 0 Y n Y g Q W F u b G V n L D E 1 f S Z x d W 9 0 O y w m c X V v d D t T Z W N 0 a W 9 u M S 9 J b n Z v Z X J f U m V m Z X J l b n R p Z S 9 B d X R v U m V t b 3 Z l Z E N v b H V t b n M x L n t D M S A t I E F z Z m F s d C B W Z X J 3 a W p k Z X J z Z X Q s M T Z 9 J n F 1 b 3 Q 7 L C Z x d W 9 0 O 1 N l Y 3 R p b 2 4 x L 0 l u d m 9 l c l 9 S Z W Z l c m V u d G l l L 0 F 1 d G 9 S Z W 1 v d m V k Q 2 9 s d W 1 u c z E u e 0 M x I C 0 g T 3 Z l c m l n I E 1 h d G V y a W V l b C B 0 Y n Y g V m V y d 2 l q Z G V y Z W 4 s M T d 9 J n F 1 b 3 Q 7 L C Z x d W 9 0 O 1 N l Y 3 R p b 2 4 x L 0 l u d m 9 l c l 9 S Z W Z l c m V u d G l l L 0 F 1 d G 9 S Z W 1 v d m V k Q 2 9 s d W 1 u c z E u e 0 M y I C 0 g V H J h b n N w b 3 J 0 Y W Z z d G F u Z C B u Y W F y I H Z l c n d l c m t l c i B b a 2 1 d L D E 4 f S Z x d W 9 0 O y w m c X V v d D t T Z W N 0 a W 9 u M S 9 J b n Z v Z X J f U m V m Z X J l b n R p Z S 9 B d X R v U m V t b 3 Z l Z E N v b H V t b n M x L n t D M i A t I F R y Y W 5 z c G 9 y d G 1 p Z G R l b C B u Y W F y I H Z l c n d l c m t l c i w x O X 0 m c X V v d D s s J n F 1 b 3 Q 7 U 2 V j d G l v b j E v S W 5 2 b 2 V y X 1 J l Z m V y Z W 5 0 a W U v Q X V 0 b 1 J l b W 9 2 Z W R D b 2 x 1 b W 5 z M S 5 7 Q z M g L S B W Z X J 3 Z X J r a W 5 n c 3 N l d C w y M H 0 m c X V v d D s s J n F 1 b 3 Q 7 U 2 V j d G l v b j E v S W 5 2 b 2 V y X 1 J l Z m V y Z W 5 0 a W U v Q X V 0 b 1 J l b W 9 2 Z W R D b 2 x 1 b W 5 z M S 5 7 V W l 0 Z 2 F u Z 3 N w d W 5 0 Z W 4 s M j F 9 J n F 1 b 3 Q 7 X S w m c X V v d D t S Z W x h d G l v b n N o a X B J b m Z v J n F 1 b 3 Q 7 O l t d f S I g L z 4 8 R W 5 0 c n k g V H l w Z T 0 i U X V l c n l H c m 9 1 c E l E I i B W Y W x 1 Z T 0 i c 2 U 2 Z D M 4 M T k 4 L T Z j N 2 Y t N D l h Y i 1 h N D l k L W M w M D E z N W N h M W E 3 M i I g L z 4 8 L 1 N 0 Y W J s Z U V u d H J p Z X M + P C 9 J d G V t P j x J d G V t P j x J d G V t T G 9 j Y X R p b 2 4 + P E l 0 Z W 1 U e X B l P k Z v c m 1 1 b G E 8 L 0 l 0 Z W 1 U e X B l P j x J d G V t U G F 0 a D 5 T Z W N 0 a W 9 u M S 9 J b n Z v Z X J f U m V m Z X J l b n R p Z S 9 C c m 9 u P C 9 J d G V t U G F 0 a D 4 8 L 0 l 0 Z W 1 M b 2 N h d G l v b j 4 8 U 3 R h Y m x l R W 5 0 c m l l c y A v P j w v S X R l b T 4 8 S X R l b T 4 8 S X R l b U x v Y 2 F 0 a W 9 u P j x J d G V t V H l w Z T 5 G b 3 J t d W x h P C 9 J d G V t V H l w Z T 4 8 S X R l b V B h d G g + U 2 V j d G l v b j E v S W 5 2 b 2 V y X 1 J l Z m V y Z W 5 0 a W U v V H l w Z S U y M G d l d 2 l q e m l n Z D w v S X R l b V B h d G g + P C 9 J d G V t T G 9 j Y X R p b 2 4 + P F N 0 Y W J s Z U V u d H J p Z X M g L z 4 8 L 0 l 0 Z W 0 + P E l 0 Z W 0 + P E l 0 Z W 1 M b 2 N h d G l v b j 4 8 S X R l b V R 5 c G U + R m 9 y b X V s Y T w v S X R l b V R 5 c G U + P E l 0 Z W 1 Q Y X R o P l N l Y 3 R p b 2 4 x L 0 l u d m 9 l c l 9 J b n N j a H J p a m 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M i 0 w M i 0 w O V Q x N T o x N T o w M y 4 4 M D k 3 M D A 5 W i I g L z 4 8 R W 5 0 c n k g V H l w Z T 0 i R m l s b E N v b H V t b l R 5 c G V z I i B W Y W x 1 Z T 0 i c 0 F B W U R C Z 1 l B Q l F V R E J R T U d C Z 1 l H Q m d N R 0 J n Q T 0 i I C 8 + P E V u d H J 5 I F R 5 c G U 9 I k Z p b G x D b 2 x 1 b W 5 O Y W 1 l c y I g V m F s d W U 9 I n N b J n F 1 b 3 Q 7 Q m V z d G V r c 3 B v c 3 Q m c X V v d D s s J n F 1 b 3 Q 7 Q m V z d G F h b m R l I F N p d H V h d G l l I G 9 m I E 5 p Z X V 3 I F N p d G F 1 d G l l P y Z x d W 9 0 O y w m c X V v d D t J b n N j a H J p a m Z w c m l q c y B b 4 o K s X S Z x d W 9 0 O y w m c X V v d D t Q c m 9 k d W N 0 Z 3 J v Z X A m c X V v d D s s J n F 1 b 3 Q 7 U H J v Z H V j d C Z x d W 9 0 O y w m c X V v d D t Q b 2 R 1 Y 3 R 0 e X B l J n F 1 b 3 Q 7 L C Z x d W 9 0 O 1 N v b 3 J 0 Z W x p a m s g Z 2 V 3 a W N o d C B b d G 9 u I C 8 g b T N d J n F 1 b 3 Q 7 L C Z x d W 9 0 O 0 h v Z X Z l Z W x o Z W l k I F t 0 b 2 5 d J n F 1 b 3 Q 7 L C Z x d W 9 0 O 0 h v Z X Z l Z W x o Z W l k I F t t M 1 0 m c X V v d D s s J n F 1 b 3 Q 7 V m V y d m F u Z 2 l u Z 2 V u J n F 1 b 3 Q 7 L C Z x d W 9 0 O 0 E 0 I C 0 g V H J h b n N w b 3 J 0 Y W Z z d G F u Z C B u Y W F y I G J v d X d w b G F h d H M g W 2 t t X S Z x d W 9 0 O y w m c X V v d D t B N C A t I F R y Y W 5 z c G 9 y d G 1 p Z G R l b C B u Y W F y I G J v d X d w b G F h d H M m c X V v d D s s J n F 1 b 3 Q 7 Q T U g L S B B c 2 Z h b H Q g Q W F u b G V n c 2 V 0 J n F 1 b 3 Q 7 L C Z x d W 9 0 O 0 E 1 I C 0 g T 3 Z l c m l n I E 1 h d G V y a W V l b C B 0 Y n Y g Q W F u b G V n J n F 1 b 3 Q 7 L C Z x d W 9 0 O 0 M x I C 0 g Q X N m Y W x 0 I F Z l c n d p a m R l c n N l d C Z x d W 9 0 O y w m c X V v d D t D M S A t I E 9 2 Z X J p Z y B N Y X R l c m l l Z W w g d G J 2 I F Z l c n d p a m R l c m V u J n F 1 b 3 Q 7 L C Z x d W 9 0 O 0 M y I C 0 g V H J h b n N w b 3 J 0 Y W Z z d G F u Z C B u Y W F y I H Z l c n d l c m t l c i B b a 2 1 d J n F 1 b 3 Q 7 L C Z x d W 9 0 O 0 M y I C 0 g V H J h b n N w b 3 J 0 b W l k Z G V s I G 5 h Y X I g d m V y d 2 V y a 2 V y J n F 1 b 3 Q 7 L C Z x d W 9 0 O 0 M z I C 0 g V m V y d 2 V y a 2 l u Z 3 N z Z X Q m c X V v d D s s J n F 1 b 3 Q 7 V W l 0 Z 2 F u Z 3 N w d W 5 0 Z W 4 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S W 5 2 b 2 V y X 0 l u c 2 N o c m l q Z i 9 B d X R v U m V t b 3 Z l Z E N v b H V t b n M x L n t C Z X N 0 Z W t z c G 9 z d C w w f S Z x d W 9 0 O y w m c X V v d D t T Z W N 0 a W 9 u M S 9 J b n Z v Z X J f S W 5 z Y 2 h y a W p m L 0 F 1 d G 9 S Z W 1 v d m V k Q 2 9 s d W 1 u c z E u e 0 J l c 3 R h Y W 5 k Z S B T a X R 1 Y X R p Z S B v Z i B O a W V 1 d y B T a X R h d X R p Z T 8 s M X 0 m c X V v d D s s J n F 1 b 3 Q 7 U 2 V j d G l v b j E v S W 5 2 b 2 V y X 0 l u c 2 N o c m l q Z i 9 B d X R v U m V t b 3 Z l Z E N v b H V t b n M x L n t J b n N j a H J p a m Z w c m l q c y B b 4 o K s X S w y f S Z x d W 9 0 O y w m c X V v d D t T Z W N 0 a W 9 u M S 9 J b n Z v Z X J f S W 5 z Y 2 h y a W p m L 0 F 1 d G 9 S Z W 1 v d m V k Q 2 9 s d W 1 u c z E u e 1 B y b 2 R 1 Y 3 R n c m 9 l c C w z f S Z x d W 9 0 O y w m c X V v d D t T Z W N 0 a W 9 u M S 9 J b n Z v Z X J f S W 5 z Y 2 h y a W p m L 0 F 1 d G 9 S Z W 1 v d m V k Q 2 9 s d W 1 u c z E u e 1 B y b 2 R 1 Y 3 Q s N H 0 m c X V v d D s s J n F 1 b 3 Q 7 U 2 V j d G l v b j E v S W 5 2 b 2 V y X 0 l u c 2 N o c m l q Z i 9 B d X R v U m V t b 3 Z l Z E N v b H V t b n M x L n t Q b 2 R 1 Y 3 R 0 e X B l L D V 9 J n F 1 b 3 Q 7 L C Z x d W 9 0 O 1 N l Y 3 R p b 2 4 x L 0 l u d m 9 l c l 9 J b n N j a H J p a m Y v Q X V 0 b 1 J l b W 9 2 Z W R D b 2 x 1 b W 5 z M S 5 7 U 2 9 v c n R l b G l q a y B n Z X d p Y 2 h 0 I F t 0 b 2 4 g L y B t M 1 0 s N n 0 m c X V v d D s s J n F 1 b 3 Q 7 U 2 V j d G l v b j E v S W 5 2 b 2 V y X 0 l u c 2 N o c m l q Z i 9 B d X R v U m V t b 3 Z l Z E N v b H V t b n M x L n t I b 2 V 2 Z W V s a G V p Z C B b d G 9 u X S w 3 f S Z x d W 9 0 O y w m c X V v d D t T Z W N 0 a W 9 u M S 9 J b n Z v Z X J f S W 5 z Y 2 h y a W p m L 0 F 1 d G 9 S Z W 1 v d m V k Q 2 9 s d W 1 u c z E u e 0 h v Z X Z l Z W x o Z W l k I F t t M 1 0 s O H 0 m c X V v d D s s J n F 1 b 3 Q 7 U 2 V j d G l v b j E v S W 5 2 b 2 V y X 0 l u c 2 N o c m l q Z i 9 B d X R v U m V t b 3 Z l Z E N v b H V t b n M x L n t W Z X J 2 Y W 5 n a W 5 n Z W 4 s O X 0 m c X V v d D s s J n F 1 b 3 Q 7 U 2 V j d G l v b j E v S W 5 2 b 2 V y X 0 l u c 2 N o c m l q Z i 9 B d X R v U m V t b 3 Z l Z E N v b H V t b n M x L n t B N C A t I F R y Y W 5 z c G 9 y d G F m c 3 R h b m Q g b m F h c i B i b 3 V 3 c G x h Y X R z I F t r b V 0 s M T B 9 J n F 1 b 3 Q 7 L C Z x d W 9 0 O 1 N l Y 3 R p b 2 4 x L 0 l u d m 9 l c l 9 J b n N j a H J p a m Y v Q X V 0 b 1 J l b W 9 2 Z W R D b 2 x 1 b W 5 z M S 5 7 Q T Q g L S B U c m F u c 3 B v c n R t a W R k Z W w g b m F h c i B i b 3 V 3 c G x h Y X R z L D E x f S Z x d W 9 0 O y w m c X V v d D t T Z W N 0 a W 9 u M S 9 J b n Z v Z X J f S W 5 z Y 2 h y a W p m L 0 F 1 d G 9 S Z W 1 v d m V k Q 2 9 s d W 1 u c z E u e 0 E 1 I C 0 g Q X N m Y W x 0 I E F h b m x l Z 3 N l d C w x M n 0 m c X V v d D s s J n F 1 b 3 Q 7 U 2 V j d G l v b j E v S W 5 2 b 2 V y X 0 l u c 2 N o c m l q Z i 9 B d X R v U m V t b 3 Z l Z E N v b H V t b n M x L n t B N S A t I E 9 2 Z X J p Z y B N Y X R l c m l l Z W w g d G J 2 I E F h b m x l Z y w x M 3 0 m c X V v d D s s J n F 1 b 3 Q 7 U 2 V j d G l v b j E v S W 5 2 b 2 V y X 0 l u c 2 N o c m l q Z i 9 B d X R v U m V t b 3 Z l Z E N v b H V t b n M x L n t D M S A t I E F z Z m F s d C B W Z X J 3 a W p k Z X J z Z X Q s M T R 9 J n F 1 b 3 Q 7 L C Z x d W 9 0 O 1 N l Y 3 R p b 2 4 x L 0 l u d m 9 l c l 9 J b n N j a H J p a m Y v Q X V 0 b 1 J l b W 9 2 Z W R D b 2 x 1 b W 5 z M S 5 7 Q z E g L S B P d m V y a W c g T W F 0 Z X J p Z W V s I H R i d i B W Z X J 3 a W p k Z X J l b i w x N X 0 m c X V v d D s s J n F 1 b 3 Q 7 U 2 V j d G l v b j E v S W 5 2 b 2 V y X 0 l u c 2 N o c m l q Z i 9 B d X R v U m V t b 3 Z l Z E N v b H V t b n M x L n t D M i A t I F R y Y W 5 z c G 9 y d G F m c 3 R h b m Q g b m F h c i B 2 Z X J 3 Z X J r Z X I g W 2 t t X S w x N n 0 m c X V v d D s s J n F 1 b 3 Q 7 U 2 V j d G l v b j E v S W 5 2 b 2 V y X 0 l u c 2 N o c m l q Z i 9 B d X R v U m V t b 3 Z l Z E N v b H V t b n M x L n t D M i A t I F R y Y W 5 z c G 9 y d G 1 p Z G R l b C B u Y W F y I H Z l c n d l c m t l c i w x N 3 0 m c X V v d D s s J n F 1 b 3 Q 7 U 2 V j d G l v b j E v S W 5 2 b 2 V y X 0 l u c 2 N o c m l q Z i 9 B d X R v U m V t b 3 Z l Z E N v b H V t b n M x L n t D M y A t I F Z l c n d l c m t p b m d z c 2 V 0 L D E 4 f S Z x d W 9 0 O y w m c X V v d D t T Z W N 0 a W 9 u M S 9 J b n Z v Z X J f S W 5 z Y 2 h y a W p m L 0 F 1 d G 9 S Z W 1 v d m V k Q 2 9 s d W 1 u c z E u e 1 V p d G d h b m d z c H V u d G V u L D E 5 f S Z x d W 9 0 O 1 0 s J n F 1 b 3 Q 7 Q 2 9 s d W 1 u Q 2 9 1 b n Q m c X V v d D s 6 M j A s J n F 1 b 3 Q 7 S 2 V 5 Q 2 9 s d W 1 u T m F t Z X M m c X V v d D s 6 W 1 0 s J n F 1 b 3 Q 7 Q 2 9 s d W 1 u S W R l b n R p d G l l c y Z x d W 9 0 O z p b J n F 1 b 3 Q 7 U 2 V j d G l v b j E v S W 5 2 b 2 V y X 0 l u c 2 N o c m l q Z i 9 B d X R v U m V t b 3 Z l Z E N v b H V t b n M x L n t C Z X N 0 Z W t z c G 9 z d C w w f S Z x d W 9 0 O y w m c X V v d D t T Z W N 0 a W 9 u M S 9 J b n Z v Z X J f S W 5 z Y 2 h y a W p m L 0 F 1 d G 9 S Z W 1 v d m V k Q 2 9 s d W 1 u c z E u e 0 J l c 3 R h Y W 5 k Z S B T a X R 1 Y X R p Z S B v Z i B O a W V 1 d y B T a X R h d X R p Z T 8 s M X 0 m c X V v d D s s J n F 1 b 3 Q 7 U 2 V j d G l v b j E v S W 5 2 b 2 V y X 0 l u c 2 N o c m l q Z i 9 B d X R v U m V t b 3 Z l Z E N v b H V t b n M x L n t J b n N j a H J p a m Z w c m l q c y B b 4 o K s X S w y f S Z x d W 9 0 O y w m c X V v d D t T Z W N 0 a W 9 u M S 9 J b n Z v Z X J f S W 5 z Y 2 h y a W p m L 0 F 1 d G 9 S Z W 1 v d m V k Q 2 9 s d W 1 u c z E u e 1 B y b 2 R 1 Y 3 R n c m 9 l c C w z f S Z x d W 9 0 O y w m c X V v d D t T Z W N 0 a W 9 u M S 9 J b n Z v Z X J f S W 5 z Y 2 h y a W p m L 0 F 1 d G 9 S Z W 1 v d m V k Q 2 9 s d W 1 u c z E u e 1 B y b 2 R 1 Y 3 Q s N H 0 m c X V v d D s s J n F 1 b 3 Q 7 U 2 V j d G l v b j E v S W 5 2 b 2 V y X 0 l u c 2 N o c m l q Z i 9 B d X R v U m V t b 3 Z l Z E N v b H V t b n M x L n t Q b 2 R 1 Y 3 R 0 e X B l L D V 9 J n F 1 b 3 Q 7 L C Z x d W 9 0 O 1 N l Y 3 R p b 2 4 x L 0 l u d m 9 l c l 9 J b n N j a H J p a m Y v Q X V 0 b 1 J l b W 9 2 Z W R D b 2 x 1 b W 5 z M S 5 7 U 2 9 v c n R l b G l q a y B n Z X d p Y 2 h 0 I F t 0 b 2 4 g L y B t M 1 0 s N n 0 m c X V v d D s s J n F 1 b 3 Q 7 U 2 V j d G l v b j E v S W 5 2 b 2 V y X 0 l u c 2 N o c m l q Z i 9 B d X R v U m V t b 3 Z l Z E N v b H V t b n M x L n t I b 2 V 2 Z W V s a G V p Z C B b d G 9 u X S w 3 f S Z x d W 9 0 O y w m c X V v d D t T Z W N 0 a W 9 u M S 9 J b n Z v Z X J f S W 5 z Y 2 h y a W p m L 0 F 1 d G 9 S Z W 1 v d m V k Q 2 9 s d W 1 u c z E u e 0 h v Z X Z l Z W x o Z W l k I F t t M 1 0 s O H 0 m c X V v d D s s J n F 1 b 3 Q 7 U 2 V j d G l v b j E v S W 5 2 b 2 V y X 0 l u c 2 N o c m l q Z i 9 B d X R v U m V t b 3 Z l Z E N v b H V t b n M x L n t W Z X J 2 Y W 5 n a W 5 n Z W 4 s O X 0 m c X V v d D s s J n F 1 b 3 Q 7 U 2 V j d G l v b j E v S W 5 2 b 2 V y X 0 l u c 2 N o c m l q Z i 9 B d X R v U m V t b 3 Z l Z E N v b H V t b n M x L n t B N C A t I F R y Y W 5 z c G 9 y d G F m c 3 R h b m Q g b m F h c i B i b 3 V 3 c G x h Y X R z I F t r b V 0 s M T B 9 J n F 1 b 3 Q 7 L C Z x d W 9 0 O 1 N l Y 3 R p b 2 4 x L 0 l u d m 9 l c l 9 J b n N j a H J p a m Y v Q X V 0 b 1 J l b W 9 2 Z W R D b 2 x 1 b W 5 z M S 5 7 Q T Q g L S B U c m F u c 3 B v c n R t a W R k Z W w g b m F h c i B i b 3 V 3 c G x h Y X R z L D E x f S Z x d W 9 0 O y w m c X V v d D t T Z W N 0 a W 9 u M S 9 J b n Z v Z X J f S W 5 z Y 2 h y a W p m L 0 F 1 d G 9 S Z W 1 v d m V k Q 2 9 s d W 1 u c z E u e 0 E 1 I C 0 g Q X N m Y W x 0 I E F h b m x l Z 3 N l d C w x M n 0 m c X V v d D s s J n F 1 b 3 Q 7 U 2 V j d G l v b j E v S W 5 2 b 2 V y X 0 l u c 2 N o c m l q Z i 9 B d X R v U m V t b 3 Z l Z E N v b H V t b n M x L n t B N S A t I E 9 2 Z X J p Z y B N Y X R l c m l l Z W w g d G J 2 I E F h b m x l Z y w x M 3 0 m c X V v d D s s J n F 1 b 3 Q 7 U 2 V j d G l v b j E v S W 5 2 b 2 V y X 0 l u c 2 N o c m l q Z i 9 B d X R v U m V t b 3 Z l Z E N v b H V t b n M x L n t D M S A t I E F z Z m F s d C B W Z X J 3 a W p k Z X J z Z X Q s M T R 9 J n F 1 b 3 Q 7 L C Z x d W 9 0 O 1 N l Y 3 R p b 2 4 x L 0 l u d m 9 l c l 9 J b n N j a H J p a m Y v Q X V 0 b 1 J l b W 9 2 Z W R D b 2 x 1 b W 5 z M S 5 7 Q z E g L S B P d m V y a W c g T W F 0 Z X J p Z W V s I H R i d i B W Z X J 3 a W p k Z X J l b i w x N X 0 m c X V v d D s s J n F 1 b 3 Q 7 U 2 V j d G l v b j E v S W 5 2 b 2 V y X 0 l u c 2 N o c m l q Z i 9 B d X R v U m V t b 3 Z l Z E N v b H V t b n M x L n t D M i A t I F R y Y W 5 z c G 9 y d G F m c 3 R h b m Q g b m F h c i B 2 Z X J 3 Z X J r Z X I g W 2 t t X S w x N n 0 m c X V v d D s s J n F 1 b 3 Q 7 U 2 V j d G l v b j E v S W 5 2 b 2 V y X 0 l u c 2 N o c m l q Z i 9 B d X R v U m V t b 3 Z l Z E N v b H V t b n M x L n t D M i A t I F R y Y W 5 z c G 9 y d G 1 p Z G R l b C B u Y W F y I H Z l c n d l c m t l c i w x N 3 0 m c X V v d D s s J n F 1 b 3 Q 7 U 2 V j d G l v b j E v S W 5 2 b 2 V y X 0 l u c 2 N o c m l q Z i 9 B d X R v U m V t b 3 Z l Z E N v b H V t b n M x L n t D M y A t I F Z l c n d l c m t p b m d z c 2 V 0 L D E 4 f S Z x d W 9 0 O y w m c X V v d D t T Z W N 0 a W 9 u M S 9 J b n Z v Z X J f S W 5 z Y 2 h y a W p m L 0 F 1 d G 9 S Z W 1 v d m V k Q 2 9 s d W 1 u c z E u e 1 V p d G d h b m d z c H V u d G V u L D E 5 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2 b 2 V y X 0 l u c 2 N o c m l q Z i 9 C c m 9 u P C 9 J d G V t U G F 0 a D 4 8 L 0 l 0 Z W 1 M b 2 N h d G l v b j 4 8 U 3 R h Y m x l R W 5 0 c m l l c y A v P j w v S X R l b T 4 8 S X R l b T 4 8 S X R l b U x v Y 2 F 0 a W 9 u P j x J d G V t V H l w Z T 5 G b 3 J t d W x h P C 9 J d G V t V H l w Z T 4 8 S X R l b V B h d G g + U 2 V j d G l v b j E v S W 5 2 b 2 V y X 0 l u c 2 N o c m l q Z i 9 U e X B l J T I w Z 2 V 3 a W p 6 a W d k P C 9 J d G V t U G F 0 a D 4 8 L 0 l 0 Z W 1 M b 2 N h d G l v b j 4 8 U 3 R h Y m x l R W 5 0 c m l l c y A v P j w v S X R l b T 4 8 S X R l b T 4 8 S X R l b U x v Y 2 F 0 a W 9 u P j x J d G V t V H l w Z T 5 G b 3 J t d W x h P C 9 J d G V t V H l w Z T 4 8 S X R l b V B h d G g + U 2 V j d G l v b j E v S W 5 z Y 2 h y a W p m X 0 1 L S V 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T o y M i 4 1 N j E 2 M j g 4 W i I g L z 4 8 R W 5 0 c n k g V H l w Z T 0 i R m l s b E N v b H V t b l R 5 c G V z I i B W Y W x 1 Z T 0 i c 0 F B Q U Z C U V V G Q l F V R k J R V U Z C U V V G 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S W 5 z Y 2 h y a W p m X 0 1 L S V 9 U b 3 R h Y W w v Q X V 0 b 1 J l b W 9 2 Z W R D b 2 x 1 b W 5 z M S 5 7 Q m V z d G V r c 3 B v c 3 Q s M H 0 m c X V v d D s s J n F 1 b 3 Q 7 U 2 V j d G l v b j E v S W 5 z Y 2 h y a W p m X 0 1 L S V 9 U b 3 R h Y W w v Q X V 0 b 1 J l b W 9 2 Z W R D b 2 x 1 b W 5 z M S 5 7 U H J v Z H V j d C w x f S Z x d W 9 0 O y w m c X V v d D t T Z W N 0 a W 9 u M S 9 J b n N j a H J p a m Z f T U t J X 1 R v d G F h b C 9 B d X R v U m V t b 3 Z l Z E N v b H V t b n M x L n t B M S w y f S Z x d W 9 0 O y w m c X V v d D t T Z W N 0 a W 9 u M S 9 J b n N j a H J p a m Z f T U t J X 1 R v d G F h b C 9 B d X R v U m V t b 3 Z l Z E N v b H V t b n M x L n t B M i w z f S Z x d W 9 0 O y w m c X V v d D t T Z W N 0 a W 9 u M S 9 J b n N j a H J p a m Z f T U t J X 1 R v d G F h b C 9 B d X R v U m V t b 3 Z l Z E N v b H V t b n M x L n t B M y w 0 f S Z x d W 9 0 O y w m c X V v d D t T Z W N 0 a W 9 u M S 9 J b n N j a H J p a m Z f T U t J X 1 R v d G F h b C 9 B d X R v U m V t b 3 Z l Z E N v b H V t b n M x L n t B N C w 1 f S Z x d W 9 0 O y w m c X V v d D t T Z W N 0 a W 9 u M S 9 J b n N j a H J p a m Z f T U t J X 1 R v d G F h b C 9 B d X R v U m V t b 3 Z l Z E N v b H V t b n M x L n t B N S w 2 f S Z x d W 9 0 O y w m c X V v d D t T Z W N 0 a W 9 u M S 9 J b n N j a H J p a m Z f T U t J X 1 R v d G F h b C 9 B d X R v U m V t b 3 Z l Z E N v b H V t b n M x L n t C M S w 3 f S Z x d W 9 0 O y w m c X V v d D t T Z W N 0 a W 9 u M S 9 J b n N j a H J p a m Z f T U t J X 1 R v d G F h b C 9 B d X R v U m V t b 3 Z l Z E N v b H V t b n M x L n t C N C w 4 f S Z x d W 9 0 O y w m c X V v d D t T Z W N 0 a W 9 u M S 9 J b n N j a H J p a m Z f T U t J X 1 R v d G F h b C 9 B d X R v U m V t b 3 Z l Z E N v b H V t b n M x L n t D M S w 5 f S Z x d W 9 0 O y w m c X V v d D t T Z W N 0 a W 9 u M S 9 J b n N j a H J p a m Z f T U t J X 1 R v d G F h b C 9 B d X R v U m V t b 3 Z l Z E N v b H V t b n M x L n t D M i w x M H 0 m c X V v d D s s J n F 1 b 3 Q 7 U 2 V j d G l v b j E v S W 5 z Y 2 h y a W p m X 0 1 L S V 9 U b 3 R h Y W w v Q X V 0 b 1 J l b W 9 2 Z W R D b 2 x 1 b W 5 z M S 5 7 Q z M s M T F 9 J n F 1 b 3 Q 7 L C Z x d W 9 0 O 1 N l Y 3 R p b 2 4 x L 0 l u c 2 N o c m l q Z l 9 N S 0 l f V G 9 0 Y W F s L 0 F 1 d G 9 S Z W 1 v d m V k Q 2 9 s d W 1 u c z E u e 0 M 0 L D E y f S Z x d W 9 0 O y w m c X V v d D t T Z W N 0 a W 9 u M S 9 J b n N j a H J p a m Z f T U t J X 1 R v d G F h b C 9 B d X R v U m V t b 3 Z l Z E N v b H V t b n M x L n t E M S w x M 3 0 m c X V v d D s s J n F 1 b 3 Q 7 U 2 V j d G l v b j E v S W 5 z Y 2 h y a W p m X 0 1 L S V 9 U b 3 R h Y W w v Q X V 0 b 1 J l b W 9 2 Z W R D b 2 x 1 b W 5 z M S 5 7 R D I s M T R 9 J n F 1 b 3 Q 7 X S w m c X V v d D t D b 2 x 1 b W 5 D b 3 V u d C Z x d W 9 0 O z o x N S w m c X V v d D t L Z X l D b 2 x 1 b W 5 O Y W 1 l c y Z x d W 9 0 O z p b X S w m c X V v d D t D b 2 x 1 b W 5 J Z G V u d G l 0 a W V z J n F 1 b 3 Q 7 O l s m c X V v d D t T Z W N 0 a W 9 u M S 9 J b n N j a H J p a m Z f T U t J X 1 R v d G F h b C 9 B d X R v U m V t b 3 Z l Z E N v b H V t b n M x L n t C Z X N 0 Z W t z c G 9 z d C w w f S Z x d W 9 0 O y w m c X V v d D t T Z W N 0 a W 9 u M S 9 J b n N j a H J p a m Z f T U t J X 1 R v d G F h b C 9 B d X R v U m V t b 3 Z l Z E N v b H V t b n M x L n t Q c m 9 k d W N 0 L D F 9 J n F 1 b 3 Q 7 L C Z x d W 9 0 O 1 N l Y 3 R p b 2 4 x L 0 l u c 2 N o c m l q Z l 9 N S 0 l f V G 9 0 Y W F s L 0 F 1 d G 9 S Z W 1 v d m V k Q 2 9 s d W 1 u c z E u e 0 E x L D J 9 J n F 1 b 3 Q 7 L C Z x d W 9 0 O 1 N l Y 3 R p b 2 4 x L 0 l u c 2 N o c m l q Z l 9 N S 0 l f V G 9 0 Y W F s L 0 F 1 d G 9 S Z W 1 v d m V k Q 2 9 s d W 1 u c z E u e 0 E y L D N 9 J n F 1 b 3 Q 7 L C Z x d W 9 0 O 1 N l Y 3 R p b 2 4 x L 0 l u c 2 N o c m l q Z l 9 N S 0 l f V G 9 0 Y W F s L 0 F 1 d G 9 S Z W 1 v d m V k Q 2 9 s d W 1 u c z E u e 0 E z L D R 9 J n F 1 b 3 Q 7 L C Z x d W 9 0 O 1 N l Y 3 R p b 2 4 x L 0 l u c 2 N o c m l q Z l 9 N S 0 l f V G 9 0 Y W F s L 0 F 1 d G 9 S Z W 1 v d m V k Q 2 9 s d W 1 u c z E u e 0 E 0 L D V 9 J n F 1 b 3 Q 7 L C Z x d W 9 0 O 1 N l Y 3 R p b 2 4 x L 0 l u c 2 N o c m l q Z l 9 N S 0 l f V G 9 0 Y W F s L 0 F 1 d G 9 S Z W 1 v d m V k Q 2 9 s d W 1 u c z E u e 0 E 1 L D Z 9 J n F 1 b 3 Q 7 L C Z x d W 9 0 O 1 N l Y 3 R p b 2 4 x L 0 l u c 2 N o c m l q Z l 9 N S 0 l f V G 9 0 Y W F s L 0 F 1 d G 9 S Z W 1 v d m V k Q 2 9 s d W 1 u c z E u e 0 I x L D d 9 J n F 1 b 3 Q 7 L C Z x d W 9 0 O 1 N l Y 3 R p b 2 4 x L 0 l u c 2 N o c m l q Z l 9 N S 0 l f V G 9 0 Y W F s L 0 F 1 d G 9 S Z W 1 v d m V k Q 2 9 s d W 1 u c z E u e 0 I 0 L D h 9 J n F 1 b 3 Q 7 L C Z x d W 9 0 O 1 N l Y 3 R p b 2 4 x L 0 l u c 2 N o c m l q Z l 9 N S 0 l f V G 9 0 Y W F s L 0 F 1 d G 9 S Z W 1 v d m V k Q 2 9 s d W 1 u c z E u e 0 M x L D l 9 J n F 1 b 3 Q 7 L C Z x d W 9 0 O 1 N l Y 3 R p b 2 4 x L 0 l u c 2 N o c m l q Z l 9 N S 0 l f V G 9 0 Y W F s L 0 F 1 d G 9 S Z W 1 v d m V k Q 2 9 s d W 1 u c z E u e 0 M y L D E w f S Z x d W 9 0 O y w m c X V v d D t T Z W N 0 a W 9 u M S 9 J b n N j a H J p a m Z f T U t J X 1 R v d G F h b C 9 B d X R v U m V t b 3 Z l Z E N v b H V t b n M x L n t D M y w x M X 0 m c X V v d D s s J n F 1 b 3 Q 7 U 2 V j d G l v b j E v S W 5 z Y 2 h y a W p m X 0 1 L S V 9 U b 3 R h Y W w v Q X V 0 b 1 J l b W 9 2 Z W R D b 2 x 1 b W 5 z M S 5 7 Q z Q s M T J 9 J n F 1 b 3 Q 7 L C Z x d W 9 0 O 1 N l Y 3 R p b 2 4 x L 0 l u c 2 N o c m l q Z l 9 N S 0 l f V G 9 0 Y W F s L 0 F 1 d G 9 S Z W 1 v d m V k Q 2 9 s d W 1 u c z E u e 0 Q x L D E z f S Z x d W 9 0 O y w m c X V v d D t T Z W N 0 a W 9 u M S 9 J b n N j a H J p a m Z f T U t J X 1 R v d G F h b C 9 B d X R v U m V t b 3 Z l Z E N v b H V t b n M x L n t E M i w x N H 0 m c X V v d D t d L C Z x d W 9 0 O 1 J l b G F 0 a W 9 u c 2 h p c E l u Z m 8 m c X V v d D s 6 W 1 1 9 I i A v P j x F b n R y e S B U e X B l P S J R d W V y e U d y b 3 V w S U Q i I F Z h b H V l P S J z Y j E 0 Z D g z N m M t M z A 5 M C 0 0 Z W Z j L T k w N j E t N T k w Y z E 1 M T Q 1 M j c w I i A v P j w v U 3 R h Y m x l R W 5 0 c m l l c z 4 8 L 0 l 0 Z W 0 + P E l 0 Z W 0 + P E l 0 Z W 1 M b 2 N h d G l v b j 4 8 S X R l b V R 5 c G U + R m 9 y b X V s Y T w v S X R l b V R 5 c G U + P E l 0 Z W 1 Q Y X R o P l N l Y 3 R p b 2 4 x L 0 l u c 2 N o c m l q Z l 9 N S 0 l f V G 9 0 Y W F s L 0 J y b 2 4 8 L 0 l 0 Z W 1 Q Y X R o P j w v S X R l b U x v Y 2 F 0 a W 9 u P j x T d G F i b G V F b n R y a W V z I C 8 + P C 9 J d G V t P j x J d G V t P j x J d G V t T G 9 j Y X R p b 2 4 + P E l 0 Z W 1 U e X B l P k Z v c m 1 1 b G E 8 L 0 l 0 Z W 1 U e X B l P j x J d G V t U G F 0 a D 5 T Z W N 0 a W 9 u M S 9 J b n N j a H J p a m Z f T U t J X 1 R v d G F h b C 9 U e X B l J T I w Z 2 V 3 a W p 6 a W d k P C 9 J d G V t U G F 0 a D 4 8 L 0 l 0 Z W 1 M b 2 N h d G l v b j 4 8 U 3 R h Y m x l R W 5 0 c m l l c y A v P j w v S X R l b T 4 8 S X R l b T 4 8 S X R l b U x v Y 2 F 0 a W 9 u P j x J d G V t V H l w Z T 5 G b 3 J t d W x h P C 9 J d G V t V H l w Z T 4 8 S X R l b V B h d G g + U 2 V j d G l v b j E v S W 5 z Y 2 h y a W p m X 0 N P M l 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T o 0 N S 4 3 M j k 3 M j U 0 W i I g L z 4 8 R W 5 0 c n k g V H l w Z T 0 i R m l s b E N v b H V t b l R 5 c G V z I i B W Y W x 1 Z T 0 i c 0 F B Q U Z C U V V G Q l F N R k J R V U Z B d 1 V G 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S W 5 z Y 2 h y a W p m X 0 N P M l 9 U b 3 R h Y W w v Q X V 0 b 1 J l b W 9 2 Z W R D b 2 x 1 b W 5 z M S 5 7 Q m V z d G V r c 3 B v c 3 Q s M H 0 m c X V v d D s s J n F 1 b 3 Q 7 U 2 V j d G l v b j E v S W 5 z Y 2 h y a W p m X 0 N P M l 9 U b 3 R h Y W w v Q X V 0 b 1 J l b W 9 2 Z W R D b 2 x 1 b W 5 z M S 5 7 U H J v Z H V j d C w x f S Z x d W 9 0 O y w m c X V v d D t T Z W N 0 a W 9 u M S 9 J b n N j a H J p a m Z f Q 0 8 y X 1 R v d G F h b C 9 B d X R v U m V t b 3 Z l Z E N v b H V t b n M x L n t B M S w y f S Z x d W 9 0 O y w m c X V v d D t T Z W N 0 a W 9 u M S 9 J b n N j a H J p a m Z f Q 0 8 y X 1 R v d G F h b C 9 B d X R v U m V t b 3 Z l Z E N v b H V t b n M x L n t B M i w z f S Z x d W 9 0 O y w m c X V v d D t T Z W N 0 a W 9 u M S 9 J b n N j a H J p a m Z f Q 0 8 y X 1 R v d G F h b C 9 B d X R v U m V t b 3 Z l Z E N v b H V t b n M x L n t B M y w 0 f S Z x d W 9 0 O y w m c X V v d D t T Z W N 0 a W 9 u M S 9 J b n N j a H J p a m Z f Q 0 8 y X 1 R v d G F h b C 9 B d X R v U m V t b 3 Z l Z E N v b H V t b n M x L n t B N C w 1 f S Z x d W 9 0 O y w m c X V v d D t T Z W N 0 a W 9 u M S 9 J b n N j a H J p a m Z f Q 0 8 y X 1 R v d G F h b C 9 B d X R v U m V t b 3 Z l Z E N v b H V t b n M x L n t B N S w 2 f S Z x d W 9 0 O y w m c X V v d D t T Z W N 0 a W 9 u M S 9 J b n N j a H J p a m Z f Q 0 8 y X 1 R v d G F h b C 9 B d X R v U m V t b 3 Z l Z E N v b H V t b n M x L n t C M S w 3 f S Z x d W 9 0 O y w m c X V v d D t T Z W N 0 a W 9 u M S 9 J b n N j a H J p a m Z f Q 0 8 y X 1 R v d G F h b C 9 B d X R v U m V t b 3 Z l Z E N v b H V t b n M x L n t C N C w 4 f S Z x d W 9 0 O y w m c X V v d D t T Z W N 0 a W 9 u M S 9 J b n N j a H J p a m Z f Q 0 8 y X 1 R v d G F h b C 9 B d X R v U m V t b 3 Z l Z E N v b H V t b n M x L n t D M S w 5 f S Z x d W 9 0 O y w m c X V v d D t T Z W N 0 a W 9 u M S 9 J b n N j a H J p a m Z f Q 0 8 y X 1 R v d G F h b C 9 B d X R v U m V t b 3 Z l Z E N v b H V t b n M x L n t D M i w x M H 0 m c X V v d D s s J n F 1 b 3 Q 7 U 2 V j d G l v b j E v S W 5 z Y 2 h y a W p m X 0 N P M l 9 U b 3 R h Y W w v Q X V 0 b 1 J l b W 9 2 Z W R D b 2 x 1 b W 5 z M S 5 7 Q z M s M T F 9 J n F 1 b 3 Q 7 L C Z x d W 9 0 O 1 N l Y 3 R p b 2 4 x L 0 l u c 2 N o c m l q Z l 9 D T z J f V G 9 0 Y W F s L 0 F 1 d G 9 S Z W 1 v d m V k Q 2 9 s d W 1 u c z E u e 0 M 0 L D E y f S Z x d W 9 0 O y w m c X V v d D t T Z W N 0 a W 9 u M S 9 J b n N j a H J p a m Z f Q 0 8 y X 1 R v d G F h b C 9 B d X R v U m V t b 3 Z l Z E N v b H V t b n M x L n t E M S w x M 3 0 m c X V v d D s s J n F 1 b 3 Q 7 U 2 V j d G l v b j E v S W 5 z Y 2 h y a W p m X 0 N P M l 9 U b 3 R h Y W w v Q X V 0 b 1 J l b W 9 2 Z W R D b 2 x 1 b W 5 z M S 5 7 R D I s M T R 9 J n F 1 b 3 Q 7 X S w m c X V v d D t D b 2 x 1 b W 5 D b 3 V u d C Z x d W 9 0 O z o x N S w m c X V v d D t L Z X l D b 2 x 1 b W 5 O Y W 1 l c y Z x d W 9 0 O z p b X S w m c X V v d D t D b 2 x 1 b W 5 J Z G V u d G l 0 a W V z J n F 1 b 3 Q 7 O l s m c X V v d D t T Z W N 0 a W 9 u M S 9 J b n N j a H J p a m Z f Q 0 8 y X 1 R v d G F h b C 9 B d X R v U m V t b 3 Z l Z E N v b H V t b n M x L n t C Z X N 0 Z W t z c G 9 z d C w w f S Z x d W 9 0 O y w m c X V v d D t T Z W N 0 a W 9 u M S 9 J b n N j a H J p a m Z f Q 0 8 y X 1 R v d G F h b C 9 B d X R v U m V t b 3 Z l Z E N v b H V t b n M x L n t Q c m 9 k d W N 0 L D F 9 J n F 1 b 3 Q 7 L C Z x d W 9 0 O 1 N l Y 3 R p b 2 4 x L 0 l u c 2 N o c m l q Z l 9 D T z J f V G 9 0 Y W F s L 0 F 1 d G 9 S Z W 1 v d m V k Q 2 9 s d W 1 u c z E u e 0 E x L D J 9 J n F 1 b 3 Q 7 L C Z x d W 9 0 O 1 N l Y 3 R p b 2 4 x L 0 l u c 2 N o c m l q Z l 9 D T z J f V G 9 0 Y W F s L 0 F 1 d G 9 S Z W 1 v d m V k Q 2 9 s d W 1 u c z E u e 0 E y L D N 9 J n F 1 b 3 Q 7 L C Z x d W 9 0 O 1 N l Y 3 R p b 2 4 x L 0 l u c 2 N o c m l q Z l 9 D T z J f V G 9 0 Y W F s L 0 F 1 d G 9 S Z W 1 v d m V k Q 2 9 s d W 1 u c z E u e 0 E z L D R 9 J n F 1 b 3 Q 7 L C Z x d W 9 0 O 1 N l Y 3 R p b 2 4 x L 0 l u c 2 N o c m l q Z l 9 D T z J f V G 9 0 Y W F s L 0 F 1 d G 9 S Z W 1 v d m V k Q 2 9 s d W 1 u c z E u e 0 E 0 L D V 9 J n F 1 b 3 Q 7 L C Z x d W 9 0 O 1 N l Y 3 R p b 2 4 x L 0 l u c 2 N o c m l q Z l 9 D T z J f V G 9 0 Y W F s L 0 F 1 d G 9 S Z W 1 v d m V k Q 2 9 s d W 1 u c z E u e 0 E 1 L D Z 9 J n F 1 b 3 Q 7 L C Z x d W 9 0 O 1 N l Y 3 R p b 2 4 x L 0 l u c 2 N o c m l q Z l 9 D T z J f V G 9 0 Y W F s L 0 F 1 d G 9 S Z W 1 v d m V k Q 2 9 s d W 1 u c z E u e 0 I x L D d 9 J n F 1 b 3 Q 7 L C Z x d W 9 0 O 1 N l Y 3 R p b 2 4 x L 0 l u c 2 N o c m l q Z l 9 D T z J f V G 9 0 Y W F s L 0 F 1 d G 9 S Z W 1 v d m V k Q 2 9 s d W 1 u c z E u e 0 I 0 L D h 9 J n F 1 b 3 Q 7 L C Z x d W 9 0 O 1 N l Y 3 R p b 2 4 x L 0 l u c 2 N o c m l q Z l 9 D T z J f V G 9 0 Y W F s L 0 F 1 d G 9 S Z W 1 v d m V k Q 2 9 s d W 1 u c z E u e 0 M x L D l 9 J n F 1 b 3 Q 7 L C Z x d W 9 0 O 1 N l Y 3 R p b 2 4 x L 0 l u c 2 N o c m l q Z l 9 D T z J f V G 9 0 Y W F s L 0 F 1 d G 9 S Z W 1 v d m V k Q 2 9 s d W 1 u c z E u e 0 M y L D E w f S Z x d W 9 0 O y w m c X V v d D t T Z W N 0 a W 9 u M S 9 J b n N j a H J p a m Z f Q 0 8 y X 1 R v d G F h b C 9 B d X R v U m V t b 3 Z l Z E N v b H V t b n M x L n t D M y w x M X 0 m c X V v d D s s J n F 1 b 3 Q 7 U 2 V j d G l v b j E v S W 5 z Y 2 h y a W p m X 0 N P M l 9 U b 3 R h Y W w v Q X V 0 b 1 J l b W 9 2 Z W R D b 2 x 1 b W 5 z M S 5 7 Q z Q s M T J 9 J n F 1 b 3 Q 7 L C Z x d W 9 0 O 1 N l Y 3 R p b 2 4 x L 0 l u c 2 N o c m l q Z l 9 D T z J f V G 9 0 Y W F s L 0 F 1 d G 9 S Z W 1 v d m V k Q 2 9 s d W 1 u c z E u e 0 Q x L D E z f S Z x d W 9 0 O y w m c X V v d D t T Z W N 0 a W 9 u M S 9 J b n N j a H J p a m Z f Q 0 8 y X 1 R v d G F h b C 9 B d X R v U m V t b 3 Z l Z E N v b H V t b n M x L n t E M i w x N H 0 m c X V v d D t d L C Z x d W 9 0 O 1 J l b G F 0 a W 9 u c 2 h p c E l u Z m 8 m c X V v d D s 6 W 1 1 9 I i A v P j x F b n R y e S B U e X B l P S J R d W V y e U d y b 3 V w S U Q i I F Z h b H V l P S J z Y j E 0 Z D g z N m M t M z A 5 M C 0 0 Z W Z j L T k w N j E t N T k w Y z E 1 M T Q 1 M j c w I i A v P j w v U 3 R h Y m x l R W 5 0 c m l l c z 4 8 L 0 l 0 Z W 0 + P E l 0 Z W 0 + P E l 0 Z W 1 M b 2 N h d G l v b j 4 8 S X R l b V R 5 c G U + R m 9 y b X V s Y T w v S X R l b V R 5 c G U + P E l 0 Z W 1 Q Y X R o P l N l Y 3 R p b 2 4 x L 0 l u c 2 N o c m l q Z l 9 D T z J f V G 9 0 Y W F s L 0 J y b 2 4 8 L 0 l 0 Z W 1 Q Y X R o P j w v S X R l b U x v Y 2 F 0 a W 9 u P j x T d G F i b G V F b n R y a W V z I C 8 + P C 9 J d G V t P j x J d G V t P j x J d G V t T G 9 j Y X R p b 2 4 + P E l 0 Z W 1 U e X B l P k Z v c m 1 1 b G E 8 L 0 l 0 Z W 1 U e X B l P j x J d G V t U G F 0 a D 5 T Z W N 0 a W 9 u M S 9 J b n N j a H J p a m Z f Q 0 8 y X 1 R v d G F h b C 9 U e X B l J T I w Z 2 V 3 a W p 6 a W d k P C 9 J d G V t U G F 0 a D 4 8 L 0 l 0 Z W 1 M b 2 N h d G l v b j 4 8 U 3 R h Y m x l R W 5 0 c m l l c y A v P j w v S X R l b T 4 8 S X R l b T 4 8 S X R l b U x v Y 2 F 0 a W 9 u P j x J d G V t V H l w Z T 5 G b 3 J t d W x h P C 9 J d G V t V H l w Z T 4 8 S X R l b V B h d G g + U 2 V j d G l v b j E v S W 5 z Y 2 h y a W p m X 0 1 h d G V y a W F h b F 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j o w N i 4 y O T U z O D k x W i I g L z 4 8 R W 5 0 c n k g V H l w Z T 0 i R m l s b E N v b H V t b l R 5 c G V z I i B W Y W x 1 Z T 0 i c 0 F B Q U Z C U V V G Q l F V R i I g L z 4 8 R W 5 0 c n k g V H l w Z T 0 i R m l s b E N v b H V t b k 5 h b W V z I i B W Y W x 1 Z T 0 i c 1 s m c X V v d D t C Z X N 0 Z W t z c G 9 z d C Z x d W 9 0 O y w m c X V v d D t Q c m 9 k d W N 0 J n F 1 b 3 Q 7 L C Z x d W 9 0 O 0 h v Z X Z l Z W x o Z W l k I F t 0 b 2 5 d J n F 1 b 3 Q 7 L C Z x d W 9 0 O y U g U 2 V j d W 5 k Y W l y J n F 1 b 3 Q 7 L C Z x d W 9 0 O 1 B y a W 1 h a X I g b W F 0 Z X J p Y W F s d m V y Y n J 1 a W s m c X V v d D s s J n F 1 b 3 Q 7 U 2 V j d W 5 k Y W l y I E 1 h d G V y a W F h b H Z l c m J y d W l r J n F 1 b 3 Q 7 L C Z x d W 9 0 O 0 h v Z X Z l Z W x o Z W l k I F Z l c n Z h b m d p b m d l b i B b d G 9 u X S Z x d W 9 0 O y w m c X V v d D t Q c m l t Y W l y I G 1 h d G V y a W F h b H Z l c m J y d W l r I F Z l c n Z h b m d p b m d l b i Z x d W 9 0 O y w m c X V v d D t T Z W N 1 b m R h a X I g T W F 0 Z X J p Y W F s d m V y Y n J 1 a W s g V m V y d m F u Z 2 l u Z 2 V u 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S W 5 z Y 2 h y a W p m X 0 1 h d G V y a W F h b F 9 U b 3 R h Y W w v Q X V 0 b 1 J l b W 9 2 Z W R D b 2 x 1 b W 5 z M S 5 7 Q m V z d G V r c 3 B v c 3 Q s M H 0 m c X V v d D s s J n F 1 b 3 Q 7 U 2 V j d G l v b j E v S W 5 z Y 2 h y a W p m X 0 1 h d G V y a W F h b F 9 U b 3 R h Y W w v Q X V 0 b 1 J l b W 9 2 Z W R D b 2 x 1 b W 5 z M S 5 7 U H J v Z H V j d C w x f S Z x d W 9 0 O y w m c X V v d D t T Z W N 0 a W 9 u M S 9 J b n N j a H J p a m Z f T W F 0 Z X J p Y W F s X 1 R v d G F h b C 9 B d X R v U m V t b 3 Z l Z E N v b H V t b n M x L n t I b 2 V 2 Z W V s a G V p Z C B b d G 9 u X S w y f S Z x d W 9 0 O y w m c X V v d D t T Z W N 0 a W 9 u M S 9 J b n N j a H J p a m Z f T W F 0 Z X J p Y W F s X 1 R v d G F h b C 9 B d X R v U m V t b 3 Z l Z E N v b H V t b n M x L n s l I F N l Y 3 V u Z G F p c i w z f S Z x d W 9 0 O y w m c X V v d D t T Z W N 0 a W 9 u M S 9 J b n N j a H J p a m Z f T W F 0 Z X J p Y W F s X 1 R v d G F h b C 9 B d X R v U m V t b 3 Z l Z E N v b H V t b n M x L n t Q c m l t Y W l y I G 1 h d G V y a W F h b H Z l c m J y d W l r L D R 9 J n F 1 b 3 Q 7 L C Z x d W 9 0 O 1 N l Y 3 R p b 2 4 x L 0 l u c 2 N o c m l q Z l 9 N Y X R l c m l h Y W x f V G 9 0 Y W F s L 0 F 1 d G 9 S Z W 1 v d m V k Q 2 9 s d W 1 u c z E u e 1 N l Y 3 V u Z G F p c i B N Y X R l c m l h Y W x 2 Z X J i c n V p a y w 1 f S Z x d W 9 0 O y w m c X V v d D t T Z W N 0 a W 9 u M S 9 J b n N j a H J p a m Z f T W F 0 Z X J p Y W F s X 1 R v d G F h b C 9 B d X R v U m V t b 3 Z l Z E N v b H V t b n M x L n t I b 2 V 2 Z W V s a G V p Z C B W Z X J 2 Y W 5 n a W 5 n Z W 4 g W 3 R v b l 0 s N n 0 m c X V v d D s s J n F 1 b 3 Q 7 U 2 V j d G l v b j E v S W 5 z Y 2 h y a W p m X 0 1 h d G V y a W F h b F 9 U b 3 R h Y W w v Q X V 0 b 1 J l b W 9 2 Z W R D b 2 x 1 b W 5 z M S 5 7 U H J p b W F p c i B t Y X R l c m l h Y W x 2 Z X J i c n V p a y B W Z X J 2 Y W 5 n a W 5 n Z W 4 s N 3 0 m c X V v d D s s J n F 1 b 3 Q 7 U 2 V j d G l v b j E v S W 5 z Y 2 h y a W p m X 0 1 h d G V y a W F h b F 9 U b 3 R h Y W w v Q X V 0 b 1 J l b W 9 2 Z W R D b 2 x 1 b W 5 z M S 5 7 U 2 V j d W 5 k Y W l y I E 1 h d G V y a W F h b H Z l c m J y d W l r I F Z l c n Z h b m d p b m d l b i w 4 f S Z x d W 9 0 O 1 0 s J n F 1 b 3 Q 7 Q 2 9 s d W 1 u Q 2 9 1 b n Q m c X V v d D s 6 O S w m c X V v d D t L Z X l D b 2 x 1 b W 5 O Y W 1 l c y Z x d W 9 0 O z p b X S w m c X V v d D t D b 2 x 1 b W 5 J Z G V u d G l 0 a W V z J n F 1 b 3 Q 7 O l s m c X V v d D t T Z W N 0 a W 9 u M S 9 J b n N j a H J p a m Z f T W F 0 Z X J p Y W F s X 1 R v d G F h b C 9 B d X R v U m V t b 3 Z l Z E N v b H V t b n M x L n t C Z X N 0 Z W t z c G 9 z d C w w f S Z x d W 9 0 O y w m c X V v d D t T Z W N 0 a W 9 u M S 9 J b n N j a H J p a m Z f T W F 0 Z X J p Y W F s X 1 R v d G F h b C 9 B d X R v U m V t b 3 Z l Z E N v b H V t b n M x L n t Q c m 9 k d W N 0 L D F 9 J n F 1 b 3 Q 7 L C Z x d W 9 0 O 1 N l Y 3 R p b 2 4 x L 0 l u c 2 N o c m l q Z l 9 N Y X R l c m l h Y W x f V G 9 0 Y W F s L 0 F 1 d G 9 S Z W 1 v d m V k Q 2 9 s d W 1 u c z E u e 0 h v Z X Z l Z W x o Z W l k I F t 0 b 2 5 d L D J 9 J n F 1 b 3 Q 7 L C Z x d W 9 0 O 1 N l Y 3 R p b 2 4 x L 0 l u c 2 N o c m l q Z l 9 N Y X R l c m l h Y W x f V G 9 0 Y W F s L 0 F 1 d G 9 S Z W 1 v d m V k Q 2 9 s d W 1 u c z E u e y U g U 2 V j d W 5 k Y W l y L D N 9 J n F 1 b 3 Q 7 L C Z x d W 9 0 O 1 N l Y 3 R p b 2 4 x L 0 l u c 2 N o c m l q Z l 9 N Y X R l c m l h Y W x f V G 9 0 Y W F s L 0 F 1 d G 9 S Z W 1 v d m V k Q 2 9 s d W 1 u c z E u e 1 B y a W 1 h a X I g b W F 0 Z X J p Y W F s d m V y Y n J 1 a W s s N H 0 m c X V v d D s s J n F 1 b 3 Q 7 U 2 V j d G l v b j E v S W 5 z Y 2 h y a W p m X 0 1 h d G V y a W F h b F 9 U b 3 R h Y W w v Q X V 0 b 1 J l b W 9 2 Z W R D b 2 x 1 b W 5 z M S 5 7 U 2 V j d W 5 k Y W l y I E 1 h d G V y a W F h b H Z l c m J y d W l r L D V 9 J n F 1 b 3 Q 7 L C Z x d W 9 0 O 1 N l Y 3 R p b 2 4 x L 0 l u c 2 N o c m l q Z l 9 N Y X R l c m l h Y W x f V G 9 0 Y W F s L 0 F 1 d G 9 S Z W 1 v d m V k Q 2 9 s d W 1 u c z E u e 0 h v Z X Z l Z W x o Z W l k I F Z l c n Z h b m d p b m d l b i B b d G 9 u X S w 2 f S Z x d W 9 0 O y w m c X V v d D t T Z W N 0 a W 9 u M S 9 J b n N j a H J p a m Z f T W F 0 Z X J p Y W F s X 1 R v d G F h b C 9 B d X R v U m V t b 3 Z l Z E N v b H V t b n M x L n t Q c m l t Y W l y I G 1 h d G V y a W F h b H Z l c m J y d W l r I F Z l c n Z h b m d p b m d l b i w 3 f S Z x d W 9 0 O y w m c X V v d D t T Z W N 0 a W 9 u M S 9 J b n N j a H J p a m Z f T W F 0 Z X J p Y W F s X 1 R v d G F h b C 9 B d X R v U m V t b 3 Z l Z E N v b H V t b n M x L n t T Z W N 1 b m R h a X I g T W F 0 Z X J p Y W F s d m V y Y n J 1 a W s g V m V y d m F u Z 2 l u Z 2 V u L D h 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T W F 0 Z X J p Y W F s X 1 R v d G F h b C 9 C c m 9 u P C 9 J d G V t U G F 0 a D 4 8 L 0 l 0 Z W 1 M b 2 N h d G l v b j 4 8 U 3 R h Y m x l R W 5 0 c m l l c y A v P j w v S X R l b T 4 8 S X R l b T 4 8 S X R l b U x v Y 2 F 0 a W 9 u P j x J d G V t V H l w Z T 5 G b 3 J t d W x h P C 9 J d G V t V H l w Z T 4 8 S X R l b V B h d G g + U 2 V j d G l v b j E v S W 5 z Y 2 h y a W p m X 0 1 h d G V y a W F h b F 9 U b 3 R h Y W w v V H l w Z S U y M G d l d 2 l q e m l n Z D w v S X R l b V B h d G g + P C 9 J d G V t T G 9 j Y X R p b 2 4 + P F N 0 Y W J s Z U V u d H J p Z X M g L z 4 8 L 0 l 0 Z W 0 + P E l 0 Z W 0 + P E l 0 Z W 1 M b 2 N h d G l v b j 4 8 S X R l b V R 5 c G U + R m 9 y b X V s Y T w v S X R l b V R 5 c G U + P E l 0 Z W 1 Q Y X R o P l N l Y 3 R p b 2 4 x L 0 l u c 2 N o c m l q Z l 9 I Z X J u a W V 1 d 2 J h c m V f R W 5 l c m d p Z V 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j o y O S 4 x N T c y N T Q 3 W i I g L z 4 8 R W 5 0 c n k g V H l w Z T 0 i R m l s b E N v b H V t b l R 5 c G V z I i B W Y W x 1 Z T 0 i c 0 F B Q U Z C U V V G Q l F N R k J R V U Z B d 1 V G 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S W 5 z Y 2 h y a W p m X 0 h l c m 5 p Z X V 3 Y m F y Z V 9 F b m V y Z 2 l l X 1 R v d G F h b C 9 B d X R v U m V t b 3 Z l Z E N v b H V t b n M x L n t C Z X N 0 Z W t z c G 9 z d C w w f S Z x d W 9 0 O y w m c X V v d D t T Z W N 0 a W 9 u M S 9 J b n N j a H J p a m Z f S G V y b m l l d X d i Y X J l X 0 V u Z X J n a W V f V G 9 0 Y W F s L 0 F 1 d G 9 S Z W 1 v d m V k Q 2 9 s d W 1 u c z E u e 1 B y b 2 R 1 Y 3 Q s M X 0 m c X V v d D s s J n F 1 b 3 Q 7 U 2 V j d G l v b j E v S W 5 z Y 2 h y a W p m X 0 h l c m 5 p Z X V 3 Y m F y Z V 9 F b m V y Z 2 l l X 1 R v d G F h b C 9 B d X R v U m V t b 3 Z l Z E N v b H V t b n M x L n t B M S w y f S Z x d W 9 0 O y w m c X V v d D t T Z W N 0 a W 9 u M S 9 J b n N j a H J p a m Z f S G V y b m l l d X d i Y X J l X 0 V u Z X J n a W V f V G 9 0 Y W F s L 0 F 1 d G 9 S Z W 1 v d m V k Q 2 9 s d W 1 u c z E u e 0 E y L D N 9 J n F 1 b 3 Q 7 L C Z x d W 9 0 O 1 N l Y 3 R p b 2 4 x L 0 l u c 2 N o c m l q Z l 9 I Z X J u a W V 1 d 2 J h c m V f R W 5 l c m d p Z V 9 U b 3 R h Y W w v Q X V 0 b 1 J l b W 9 2 Z W R D b 2 x 1 b W 5 z M S 5 7 Q T M s N H 0 m c X V v d D s s J n F 1 b 3 Q 7 U 2 V j d G l v b j E v S W 5 z Y 2 h y a W p m X 0 h l c m 5 p Z X V 3 Y m F y Z V 9 F b m V y Z 2 l l X 1 R v d G F h b C 9 B d X R v U m V t b 3 Z l Z E N v b H V t b n M x L n t B N C w 1 f S Z x d W 9 0 O y w m c X V v d D t T Z W N 0 a W 9 u M S 9 J b n N j a H J p a m Z f S G V y b m l l d X d i Y X J l X 0 V u Z X J n a W V f V G 9 0 Y W F s L 0 F 1 d G 9 S Z W 1 v d m V k Q 2 9 s d W 1 u c z E u e 0 E 1 L D Z 9 J n F 1 b 3 Q 7 L C Z x d W 9 0 O 1 N l Y 3 R p b 2 4 x L 0 l u c 2 N o c m l q Z l 9 I Z X J u a W V 1 d 2 J h c m V f R W 5 l c m d p Z V 9 U b 3 R h Y W w v Q X V 0 b 1 J l b W 9 2 Z W R D b 2 x 1 b W 5 z M S 5 7 Q j E s N 3 0 m c X V v d D s s J n F 1 b 3 Q 7 U 2 V j d G l v b j E v S W 5 z Y 2 h y a W p m X 0 h l c m 5 p Z X V 3 Y m F y Z V 9 F b m V y Z 2 l l X 1 R v d G F h b C 9 B d X R v U m V t b 3 Z l Z E N v b H V t b n M x L n t C N C w 4 f S Z x d W 9 0 O y w m c X V v d D t T Z W N 0 a W 9 u M S 9 J b n N j a H J p a m Z f S G V y b m l l d X d i Y X J l X 0 V u Z X J n a W V f V G 9 0 Y W F s L 0 F 1 d G 9 S Z W 1 v d m V k Q 2 9 s d W 1 u c z E u e 0 M x L D l 9 J n F 1 b 3 Q 7 L C Z x d W 9 0 O 1 N l Y 3 R p b 2 4 x L 0 l u c 2 N o c m l q Z l 9 I Z X J u a W V 1 d 2 J h c m V f R W 5 l c m d p Z V 9 U b 3 R h Y W w v Q X V 0 b 1 J l b W 9 2 Z W R D b 2 x 1 b W 5 z M S 5 7 Q z I s M T B 9 J n F 1 b 3 Q 7 L C Z x d W 9 0 O 1 N l Y 3 R p b 2 4 x L 0 l u c 2 N o c m l q Z l 9 I Z X J u a W V 1 d 2 J h c m V f R W 5 l c m d p Z V 9 U b 3 R h Y W w v Q X V 0 b 1 J l b W 9 2 Z W R D b 2 x 1 b W 5 z M S 5 7 Q z M s M T F 9 J n F 1 b 3 Q 7 L C Z x d W 9 0 O 1 N l Y 3 R p b 2 4 x L 0 l u c 2 N o c m l q Z l 9 I Z X J u a W V 1 d 2 J h c m V f R W 5 l c m d p Z V 9 U b 3 R h Y W w v Q X V 0 b 1 J l b W 9 2 Z W R D b 2 x 1 b W 5 z M S 5 7 Q z Q s M T J 9 J n F 1 b 3 Q 7 L C Z x d W 9 0 O 1 N l Y 3 R p b 2 4 x L 0 l u c 2 N o c m l q Z l 9 I Z X J u a W V 1 d 2 J h c m V f R W 5 l c m d p Z V 9 U b 3 R h Y W w v Q X V 0 b 1 J l b W 9 2 Z W R D b 2 x 1 b W 5 z M S 5 7 R D E s M T N 9 J n F 1 b 3 Q 7 L C Z x d W 9 0 O 1 N l Y 3 R p b 2 4 x L 0 l u c 2 N o c m l q Z l 9 I Z X J u a W V 1 d 2 J h c m V f R W 5 l c m d p Z V 9 U b 3 R h Y W w v Q X V 0 b 1 J l b W 9 2 Z W R D b 2 x 1 b W 5 z M S 5 7 R D I s M T R 9 J n F 1 b 3 Q 7 X S w m c X V v d D t D b 2 x 1 b W 5 D b 3 V u d C Z x d W 9 0 O z o x N S w m c X V v d D t L Z X l D b 2 x 1 b W 5 O Y W 1 l c y Z x d W 9 0 O z p b X S w m c X V v d D t D b 2 x 1 b W 5 J Z G V u d G l 0 a W V z J n F 1 b 3 Q 7 O l s m c X V v d D t T Z W N 0 a W 9 u M S 9 J b n N j a H J p a m Z f S G V y b m l l d X d i Y X J l X 0 V u Z X J n a W V f V G 9 0 Y W F s L 0 F 1 d G 9 S Z W 1 v d m V k Q 2 9 s d W 1 u c z E u e 0 J l c 3 R l a 3 N w b 3 N 0 L D B 9 J n F 1 b 3 Q 7 L C Z x d W 9 0 O 1 N l Y 3 R p b 2 4 x L 0 l u c 2 N o c m l q Z l 9 I Z X J u a W V 1 d 2 J h c m V f R W 5 l c m d p Z V 9 U b 3 R h Y W w v Q X V 0 b 1 J l b W 9 2 Z W R D b 2 x 1 b W 5 z M S 5 7 U H J v Z H V j d C w x f S Z x d W 9 0 O y w m c X V v d D t T Z W N 0 a W 9 u M S 9 J b n N j a H J p a m Z f S G V y b m l l d X d i Y X J l X 0 V u Z X J n a W V f V G 9 0 Y W F s L 0 F 1 d G 9 S Z W 1 v d m V k Q 2 9 s d W 1 u c z E u e 0 E x L D J 9 J n F 1 b 3 Q 7 L C Z x d W 9 0 O 1 N l Y 3 R p b 2 4 x L 0 l u c 2 N o c m l q Z l 9 I Z X J u a W V 1 d 2 J h c m V f R W 5 l c m d p Z V 9 U b 3 R h Y W w v Q X V 0 b 1 J l b W 9 2 Z W R D b 2 x 1 b W 5 z M S 5 7 Q T I s M 3 0 m c X V v d D s s J n F 1 b 3 Q 7 U 2 V j d G l v b j E v S W 5 z Y 2 h y a W p m X 0 h l c m 5 p Z X V 3 Y m F y Z V 9 F b m V y Z 2 l l X 1 R v d G F h b C 9 B d X R v U m V t b 3 Z l Z E N v b H V t b n M x L n t B M y w 0 f S Z x d W 9 0 O y w m c X V v d D t T Z W N 0 a W 9 u M S 9 J b n N j a H J p a m Z f S G V y b m l l d X d i Y X J l X 0 V u Z X J n a W V f V G 9 0 Y W F s L 0 F 1 d G 9 S Z W 1 v d m V k Q 2 9 s d W 1 u c z E u e 0 E 0 L D V 9 J n F 1 b 3 Q 7 L C Z x d W 9 0 O 1 N l Y 3 R p b 2 4 x L 0 l u c 2 N o c m l q Z l 9 I Z X J u a W V 1 d 2 J h c m V f R W 5 l c m d p Z V 9 U b 3 R h Y W w v Q X V 0 b 1 J l b W 9 2 Z W R D b 2 x 1 b W 5 z M S 5 7 Q T U s N n 0 m c X V v d D s s J n F 1 b 3 Q 7 U 2 V j d G l v b j E v S W 5 z Y 2 h y a W p m X 0 h l c m 5 p Z X V 3 Y m F y Z V 9 F b m V y Z 2 l l X 1 R v d G F h b C 9 B d X R v U m V t b 3 Z l Z E N v b H V t b n M x L n t C M S w 3 f S Z x d W 9 0 O y w m c X V v d D t T Z W N 0 a W 9 u M S 9 J b n N j a H J p a m Z f S G V y b m l l d X d i Y X J l X 0 V u Z X J n a W V f V G 9 0 Y W F s L 0 F 1 d G 9 S Z W 1 v d m V k Q 2 9 s d W 1 u c z E u e 0 I 0 L D h 9 J n F 1 b 3 Q 7 L C Z x d W 9 0 O 1 N l Y 3 R p b 2 4 x L 0 l u c 2 N o c m l q Z l 9 I Z X J u a W V 1 d 2 J h c m V f R W 5 l c m d p Z V 9 U b 3 R h Y W w v Q X V 0 b 1 J l b W 9 2 Z W R D b 2 x 1 b W 5 z M S 5 7 Q z E s O X 0 m c X V v d D s s J n F 1 b 3 Q 7 U 2 V j d G l v b j E v S W 5 z Y 2 h y a W p m X 0 h l c m 5 p Z X V 3 Y m F y Z V 9 F b m V y Z 2 l l X 1 R v d G F h b C 9 B d X R v U m V t b 3 Z l Z E N v b H V t b n M x L n t D M i w x M H 0 m c X V v d D s s J n F 1 b 3 Q 7 U 2 V j d G l v b j E v S W 5 z Y 2 h y a W p m X 0 h l c m 5 p Z X V 3 Y m F y Z V 9 F b m V y Z 2 l l X 1 R v d G F h b C 9 B d X R v U m V t b 3 Z l Z E N v b H V t b n M x L n t D M y w x M X 0 m c X V v d D s s J n F 1 b 3 Q 7 U 2 V j d G l v b j E v S W 5 z Y 2 h y a W p m X 0 h l c m 5 p Z X V 3 Y m F y Z V 9 F b m V y Z 2 l l X 1 R v d G F h b C 9 B d X R v U m V t b 3 Z l Z E N v b H V t b n M x L n t D N C w x M n 0 m c X V v d D s s J n F 1 b 3 Q 7 U 2 V j d G l v b j E v S W 5 z Y 2 h y a W p m X 0 h l c m 5 p Z X V 3 Y m F y Z V 9 F b m V y Z 2 l l X 1 R v d G F h b C 9 B d X R v U m V t b 3 Z l Z E N v b H V t b n M x L n t E M S w x M 3 0 m c X V v d D s s J n F 1 b 3 Q 7 U 2 V j d G l v b j E v S W 5 z Y 2 h y a W p m X 0 h l c m 5 p Z X V 3 Y m F y Z V 9 F b m V y Z 2 l l X 1 R v d G F h b C 9 B d X R v U m V t b 3 Z l Z E N v b H V t b n M x L n t E M i w x N H 0 m c X V v d D t d L C Z x d W 9 0 O 1 J l b G F 0 a W 9 u c 2 h p c E l u Z m 8 m c X V v d D s 6 W 1 1 9 I i A v P j x F b n R y e S B U e X B l P S J R d W V y e U d y b 3 V w S U Q i I F Z h b H V l P S J z Y j E 0 Z D g z N m M t M z A 5 M C 0 0 Z W Z j L T k w N j E t N T k w Y z E 1 M T Q 1 M j c w I i A v P j w v U 3 R h Y m x l R W 5 0 c m l l c z 4 8 L 0 l 0 Z W 0 + P E l 0 Z W 0 + P E l 0 Z W 1 M b 2 N h d G l v b j 4 8 S X R l b V R 5 c G U + R m 9 y b X V s Y T w v S X R l b V R 5 c G U + P E l 0 Z W 1 Q Y X R o P l N l Y 3 R p b 2 4 x L 0 l u c 2 N o c m l q Z l 9 I Z X J u a W V 1 d 2 J h c m V f R W 5 l c m d p Z V 9 U b 3 R h Y W w v Q n J v b j w v S X R l b V B h d G g + P C 9 J d G V t T G 9 j Y X R p b 2 4 + P F N 0 Y W J s Z U V u d H J p Z X M g L z 4 8 L 0 l 0 Z W 0 + P E l 0 Z W 0 + P E l 0 Z W 1 M b 2 N h d G l v b j 4 8 S X R l b V R 5 c G U + R m 9 y b X V s Y T w v S X R l b V R 5 c G U + P E l 0 Z W 1 Q Y X R o P l N l Y 3 R p b 2 4 x L 0 l u c 2 N o c m l q Z l 9 I Z X J u a W V 1 d 2 J h c m V f R W 5 l c m d p Z V 9 U b 3 R h Y W w v V H l w Z S U y M G d l d 2 l q e m l n Z D w v S X R l b V B h d G g + P C 9 J d G V t T G 9 j Y X R p b 2 4 + P F N 0 Y W J s Z U V u d H J p Z X M g L z 4 8 L 0 l 0 Z W 0 + P E l 0 Z W 0 + P E l 0 Z W 1 M b 2 N h d G l v b j 4 8 S X R l b V R 5 c G U + R m 9 y b X V s Y T w v S X R l b V R 5 c G U + P E l 0 Z W 1 Q Y X R o P l N l Y 3 R p b 2 4 x L 0 l u c 2 N o c m l q Z l 9 G b 3 N z a W V s Z V 9 F b m V y Z 2 l l 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3 O j A 1 L j Q 0 N z I 5 O T d a I i A v P j x F b n R y e S B U e X B l P S J G a W x s Q 2 9 s d W 1 u V H l w Z X M i I F Z h b H V l P S J z Q U F B R k J R V U Z C U U 1 G Q l F V R k F 3 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R m 9 z c 2 l l b G V f R W 5 l c m d p Z V 9 U b 3 R h Y W w v Q X V 0 b 1 J l b W 9 2 Z W R D b 2 x 1 b W 5 z M S 5 7 Q m V z d G V r c 3 B v c 3 Q s M H 0 m c X V v d D s s J n F 1 b 3 Q 7 U 2 V j d G l v b j E v S W 5 z Y 2 h y a W p m X 0 Z v c 3 N p Z W x l X 0 V u Z X J n a W V f V G 9 0 Y W F s L 0 F 1 d G 9 S Z W 1 v d m V k Q 2 9 s d W 1 u c z E u e 1 B y b 2 R 1 Y 3 Q s M X 0 m c X V v d D s s J n F 1 b 3 Q 7 U 2 V j d G l v b j E v S W 5 z Y 2 h y a W p m X 0 Z v c 3 N p Z W x l X 0 V u Z X J n a W V f V G 9 0 Y W F s L 0 F 1 d G 9 S Z W 1 v d m V k Q 2 9 s d W 1 u c z E u e 0 E x L D J 9 J n F 1 b 3 Q 7 L C Z x d W 9 0 O 1 N l Y 3 R p b 2 4 x L 0 l u c 2 N o c m l q Z l 9 G b 3 N z a W V s Z V 9 F b m V y Z 2 l l X 1 R v d G F h b C 9 B d X R v U m V t b 3 Z l Z E N v b H V t b n M x L n t B M i w z f S Z x d W 9 0 O y w m c X V v d D t T Z W N 0 a W 9 u M S 9 J b n N j a H J p a m Z f R m 9 z c 2 l l b G V f R W 5 l c m d p Z V 9 U b 3 R h Y W w v Q X V 0 b 1 J l b W 9 2 Z W R D b 2 x 1 b W 5 z M S 5 7 Q T M s N H 0 m c X V v d D s s J n F 1 b 3 Q 7 U 2 V j d G l v b j E v S W 5 z Y 2 h y a W p m X 0 Z v c 3 N p Z W x l X 0 V u Z X J n a W V f V G 9 0 Y W F s L 0 F 1 d G 9 S Z W 1 v d m V k Q 2 9 s d W 1 u c z E u e 0 E 0 L D V 9 J n F 1 b 3 Q 7 L C Z x d W 9 0 O 1 N l Y 3 R p b 2 4 x L 0 l u c 2 N o c m l q Z l 9 G b 3 N z a W V s Z V 9 F b m V y Z 2 l l X 1 R v d G F h b C 9 B d X R v U m V t b 3 Z l Z E N v b H V t b n M x L n t B N S w 2 f S Z x d W 9 0 O y w m c X V v d D t T Z W N 0 a W 9 u M S 9 J b n N j a H J p a m Z f R m 9 z c 2 l l b G V f R W 5 l c m d p Z V 9 U b 3 R h Y W w v Q X V 0 b 1 J l b W 9 2 Z W R D b 2 x 1 b W 5 z M S 5 7 Q j E s N 3 0 m c X V v d D s s J n F 1 b 3 Q 7 U 2 V j d G l v b j E v S W 5 z Y 2 h y a W p m X 0 Z v c 3 N p Z W x l X 0 V u Z X J n a W V f V G 9 0 Y W F s L 0 F 1 d G 9 S Z W 1 v d m V k Q 2 9 s d W 1 u c z E u e 0 I 0 L D h 9 J n F 1 b 3 Q 7 L C Z x d W 9 0 O 1 N l Y 3 R p b 2 4 x L 0 l u c 2 N o c m l q Z l 9 G b 3 N z a W V s Z V 9 F b m V y Z 2 l l X 1 R v d G F h b C 9 B d X R v U m V t b 3 Z l Z E N v b H V t b n M x L n t D M S w 5 f S Z x d W 9 0 O y w m c X V v d D t T Z W N 0 a W 9 u M S 9 J b n N j a H J p a m Z f R m 9 z c 2 l l b G V f R W 5 l c m d p Z V 9 U b 3 R h Y W w v Q X V 0 b 1 J l b W 9 2 Z W R D b 2 x 1 b W 5 z M S 5 7 Q z I s M T B 9 J n F 1 b 3 Q 7 L C Z x d W 9 0 O 1 N l Y 3 R p b 2 4 x L 0 l u c 2 N o c m l q Z l 9 G b 3 N z a W V s Z V 9 F b m V y Z 2 l l X 1 R v d G F h b C 9 B d X R v U m V t b 3 Z l Z E N v b H V t b n M x L n t D M y w x M X 0 m c X V v d D s s J n F 1 b 3 Q 7 U 2 V j d G l v b j E v S W 5 z Y 2 h y a W p m X 0 Z v c 3 N p Z W x l X 0 V u Z X J n a W V f V G 9 0 Y W F s L 0 F 1 d G 9 S Z W 1 v d m V k Q 2 9 s d W 1 u c z E u e 0 M 0 L D E y f S Z x d W 9 0 O y w m c X V v d D t T Z W N 0 a W 9 u M S 9 J b n N j a H J p a m Z f R m 9 z c 2 l l b G V f R W 5 l c m d p Z V 9 U b 3 R h Y W w v Q X V 0 b 1 J l b W 9 2 Z W R D b 2 x 1 b W 5 z M S 5 7 R D E s M T N 9 J n F 1 b 3 Q 7 L C Z x d W 9 0 O 1 N l Y 3 R p b 2 4 x L 0 l u c 2 N o c m l q Z l 9 G b 3 N z a W V s Z V 9 F b m V y Z 2 l l X 1 R v d G F h b C 9 B d X R v U m V t b 3 Z l Z E N v b H V t b n M x L n t E M i w x N H 0 m c X V v d D t d L C Z x d W 9 0 O 0 N v b H V t b k N v d W 5 0 J n F 1 b 3 Q 7 O j E 1 L C Z x d W 9 0 O 0 t l e U N v b H V t b k 5 h b W V z J n F 1 b 3 Q 7 O l t d L C Z x d W 9 0 O 0 N v b H V t b k l k Z W 5 0 a X R p Z X M m c X V v d D s 6 W y Z x d W 9 0 O 1 N l Y 3 R p b 2 4 x L 0 l u c 2 N o c m l q Z l 9 G b 3 N z a W V s Z V 9 F b m V y Z 2 l l X 1 R v d G F h b C 9 B d X R v U m V t b 3 Z l Z E N v b H V t b n M x L n t C Z X N 0 Z W t z c G 9 z d C w w f S Z x d W 9 0 O y w m c X V v d D t T Z W N 0 a W 9 u M S 9 J b n N j a H J p a m Z f R m 9 z c 2 l l b G V f R W 5 l c m d p Z V 9 U b 3 R h Y W w v Q X V 0 b 1 J l b W 9 2 Z W R D b 2 x 1 b W 5 z M S 5 7 U H J v Z H V j d C w x f S Z x d W 9 0 O y w m c X V v d D t T Z W N 0 a W 9 u M S 9 J b n N j a H J p a m Z f R m 9 z c 2 l l b G V f R W 5 l c m d p Z V 9 U b 3 R h Y W w v Q X V 0 b 1 J l b W 9 2 Z W R D b 2 x 1 b W 5 z M S 5 7 Q T E s M n 0 m c X V v d D s s J n F 1 b 3 Q 7 U 2 V j d G l v b j E v S W 5 z Y 2 h y a W p m X 0 Z v c 3 N p Z W x l X 0 V u Z X J n a W V f V G 9 0 Y W F s L 0 F 1 d G 9 S Z W 1 v d m V k Q 2 9 s d W 1 u c z E u e 0 E y L D N 9 J n F 1 b 3 Q 7 L C Z x d W 9 0 O 1 N l Y 3 R p b 2 4 x L 0 l u c 2 N o c m l q Z l 9 G b 3 N z a W V s Z V 9 F b m V y Z 2 l l X 1 R v d G F h b C 9 B d X R v U m V t b 3 Z l Z E N v b H V t b n M x L n t B M y w 0 f S Z x d W 9 0 O y w m c X V v d D t T Z W N 0 a W 9 u M S 9 J b n N j a H J p a m Z f R m 9 z c 2 l l b G V f R W 5 l c m d p Z V 9 U b 3 R h Y W w v Q X V 0 b 1 J l b W 9 2 Z W R D b 2 x 1 b W 5 z M S 5 7 Q T Q s N X 0 m c X V v d D s s J n F 1 b 3 Q 7 U 2 V j d G l v b j E v S W 5 z Y 2 h y a W p m X 0 Z v c 3 N p Z W x l X 0 V u Z X J n a W V f V G 9 0 Y W F s L 0 F 1 d G 9 S Z W 1 v d m V k Q 2 9 s d W 1 u c z E u e 0 E 1 L D Z 9 J n F 1 b 3 Q 7 L C Z x d W 9 0 O 1 N l Y 3 R p b 2 4 x L 0 l u c 2 N o c m l q Z l 9 G b 3 N z a W V s Z V 9 F b m V y Z 2 l l X 1 R v d G F h b C 9 B d X R v U m V t b 3 Z l Z E N v b H V t b n M x L n t C M S w 3 f S Z x d W 9 0 O y w m c X V v d D t T Z W N 0 a W 9 u M S 9 J b n N j a H J p a m Z f R m 9 z c 2 l l b G V f R W 5 l c m d p Z V 9 U b 3 R h Y W w v Q X V 0 b 1 J l b W 9 2 Z W R D b 2 x 1 b W 5 z M S 5 7 Q j Q s O H 0 m c X V v d D s s J n F 1 b 3 Q 7 U 2 V j d G l v b j E v S W 5 z Y 2 h y a W p m X 0 Z v c 3 N p Z W x l X 0 V u Z X J n a W V f V G 9 0 Y W F s L 0 F 1 d G 9 S Z W 1 v d m V k Q 2 9 s d W 1 u c z E u e 0 M x L D l 9 J n F 1 b 3 Q 7 L C Z x d W 9 0 O 1 N l Y 3 R p b 2 4 x L 0 l u c 2 N o c m l q Z l 9 G b 3 N z a W V s Z V 9 F b m V y Z 2 l l X 1 R v d G F h b C 9 B d X R v U m V t b 3 Z l Z E N v b H V t b n M x L n t D M i w x M H 0 m c X V v d D s s J n F 1 b 3 Q 7 U 2 V j d G l v b j E v S W 5 z Y 2 h y a W p m X 0 Z v c 3 N p Z W x l X 0 V u Z X J n a W V f V G 9 0 Y W F s L 0 F 1 d G 9 S Z W 1 v d m V k Q 2 9 s d W 1 u c z E u e 0 M z L D E x f S Z x d W 9 0 O y w m c X V v d D t T Z W N 0 a W 9 u M S 9 J b n N j a H J p a m Z f R m 9 z c 2 l l b G V f R W 5 l c m d p Z V 9 U b 3 R h Y W w v Q X V 0 b 1 J l b W 9 2 Z W R D b 2 x 1 b W 5 z M S 5 7 Q z Q s M T J 9 J n F 1 b 3 Q 7 L C Z x d W 9 0 O 1 N l Y 3 R p b 2 4 x L 0 l u c 2 N o c m l q Z l 9 G b 3 N z a W V s Z V 9 F b m V y Z 2 l l X 1 R v d G F h b C 9 B d X R v U m V t b 3 Z l Z E N v b H V t b n M x L n t E M S w x M 3 0 m c X V v d D s s J n F 1 b 3 Q 7 U 2 V j d G l v b j E v S W 5 z Y 2 h y a W p m X 0 Z v c 3 N p Z W x l X 0 V u Z X J n a W V 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Z v c 3 N p Z W x l X 0 V u Z X J n a W V f V G 9 0 Y W F s L 0 J y b 2 4 8 L 0 l 0 Z W 1 Q Y X R o P j w v S X R l b U x v Y 2 F 0 a W 9 u P j x T d G F i b G V F b n R y a W V z I C 8 + P C 9 J d G V t P j x J d G V t P j x J d G V t T G 9 j Y X R p b 2 4 + P E l 0 Z W 1 U e X B l P k Z v c m 1 1 b G E 8 L 0 l 0 Z W 1 U e X B l P j x J d G V t U G F 0 a D 5 T Z W N 0 a W 9 u M S 9 J b n N j a H J p a m Z f R m 9 z c 2 l l b G V f R W 5 l c m d p Z V 9 U b 3 R h Y W w v V H l w Z S U y M G d l d 2 l q e m l n Z D w v S X R l b V B h d G g + P C 9 J d G V t T G 9 j Y X R p b 2 4 + P F N 0 Y W J s Z U V u d H J p Z X M g L z 4 8 L 0 l 0 Z W 0 + P E l 0 Z W 0 + P E l 0 Z W 1 M b 2 N h d G l v b j 4 8 S X R l b V R 5 c G U + R m 9 y b X V s Y T w v S X R l b V R 5 c G U + P E l 0 Z W 1 Q Y X R o P l N l Y 3 R p b 2 4 x L 0 l u c 2 N o c m l q Z l 9 U c m F u c 3 B v c n R 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T I i I C 8 + P E V u d H J 5 I F R 5 c G U 9 I k Z p b G x F c n J v c k N v Z G U i I F Z h b H V l P S J z V W 5 r b m 9 3 b i I g L z 4 8 R W 5 0 c n k g V H l w Z T 0 i R m l s b E V y c m 9 y Q 2 9 1 b n Q i I F Z h b H V l P S J s M C I g L z 4 8 R W 5 0 c n k g V H l w Z T 0 i R m l s b E x h c 3 R V c G R h d G V k I i B W Y W x 1 Z T 0 i Z D I w M j I t M D I t M D l U M T U 6 M T c 6 M z I u O D g 5 M j Y x M 1 o i I C 8 + P E V u d H J 5 I F R 5 c G U 9 I k Z p b G x D b 2 x 1 b W 5 U e X B l c y I g V m F s d W U 9 I n N B Q U F G Q l F B Q U F 3 V U Z B d z 0 9 I i A v P j x F b n R y e S B U e X B l P S J G a W x s Q 2 9 s d W 1 u T m F t Z X M i I F Z h b H V l P S J z W y Z x d W 9 0 O 0 J l c 3 R l a 3 N w b 3 N 0 J n F 1 b 3 Q 7 L C Z x d W 9 0 O 1 B y b 2 R 1 Y 3 Q m c X V v d D s s J n F 1 b 3 Q 7 V H J h b n N w b 3 J 0 I G 5 h Y X I g Y m 9 1 d 3 B s Y W F 0 c y B b d G t t X S Z x d W 9 0 O y w m c X V v d D t U c m F u c 3 B v c n Q g b m F h c i B 2 Z X J 3 Z X J r Z X I g W 3 R r b V 0 m c X V v d D s s J n F 1 b 3 Q 7 R W 1 p c 3 N p Z W x v b 3 M g V H J h b n N w b 3 J 0 I G 5 h Y X I g Y m 9 1 d 3 B s Y W F 0 c z 8 m c X V v d D s s J n F 1 b 3 Q 7 R W 1 p c 3 N p Z W x v b 3 M g V H J h b n N w b 3 J 0 I G 5 h Y X I g d m V y d 2 V y a 2 V y P y Z x d W 9 0 O y w m c X V v d D t F b W l z c 2 l l b G 9 v c y B U c m F u c 3 B v c n Q m c X V v d D s s J n F 1 b 3 Q 7 V H J h b n N w b 3 J 0 I G 5 h Y X I g Y m 9 1 d 3 B s Y W F 0 c y B W Z X J 2 Y W 5 n a W 5 n Z W 4 g W 3 R r b V 0 m c X V v d D s s J n F 1 b 3 Q 7 V H J h b n N w b 3 J 0 I G 5 h Y X I g d m V y d 2 V y a 2 V y I F Z l c n Z h b m d p b m d l b i B b d G t t X S Z x d W 9 0 O y w m c X V v d D t F b W l z c 2 l l b G 9 v c y B U c m F u c 3 B v c n Q g V m V y d m F u Z 2 l u Z 2 V u 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l u c 2 N o c m l q Z l 9 U c m F u c 3 B v c n R f V G 9 0 Y W F s L 0 F 1 d G 9 S Z W 1 v d m V k Q 2 9 s d W 1 u c z E u e 0 J l c 3 R l a 3 N w b 3 N 0 L D B 9 J n F 1 b 3 Q 7 L C Z x d W 9 0 O 1 N l Y 3 R p b 2 4 x L 0 l u c 2 N o c m l q Z l 9 U c m F u c 3 B v c n R f V G 9 0 Y W F s L 0 F 1 d G 9 S Z W 1 v d m V k Q 2 9 s d W 1 u c z E u e 1 B y b 2 R 1 Y 3 Q s M X 0 m c X V v d D s s J n F 1 b 3 Q 7 U 2 V j d G l v b j E v S W 5 z Y 2 h y a W p m X 1 R y Y W 5 z c G 9 y d F 9 U b 3 R h Y W w v Q X V 0 b 1 J l b W 9 2 Z W R D b 2 x 1 b W 5 z M S 5 7 V H J h b n N w b 3 J 0 I G 5 h Y X I g Y m 9 1 d 3 B s Y W F 0 c y B b d G t t X S w y f S Z x d W 9 0 O y w m c X V v d D t T Z W N 0 a W 9 u M S 9 J b n N j a H J p a m Z f V H J h b n N w b 3 J 0 X 1 R v d G F h b C 9 B d X R v U m V t b 3 Z l Z E N v b H V t b n M x L n t U c m F u c 3 B v c n Q g b m F h c i B 2 Z X J 3 Z X J r Z X I g W 3 R r b V 0 s M 3 0 m c X V v d D s s J n F 1 b 3 Q 7 U 2 V j d G l v b j E v S W 5 z Y 2 h y a W p m X 1 R y Y W 5 z c G 9 y d F 9 U b 3 R h Y W w v Q X V 0 b 1 J l b W 9 2 Z W R D b 2 x 1 b W 5 z M S 5 7 R W 1 p c 3 N p Z W x v b 3 M g V H J h b n N w b 3 J 0 I G 5 h Y X I g Y m 9 1 d 3 B s Y W F 0 c z 8 s N H 0 m c X V v d D s s J n F 1 b 3 Q 7 U 2 V j d G l v b j E v S W 5 z Y 2 h y a W p m X 1 R y Y W 5 z c G 9 y d F 9 U b 3 R h Y W w v Q X V 0 b 1 J l b W 9 2 Z W R D b 2 x 1 b W 5 z M S 5 7 R W 1 p c 3 N p Z W x v b 3 M g V H J h b n N w b 3 J 0 I G 5 h Y X I g d m V y d 2 V y a 2 V y P y w 1 f S Z x d W 9 0 O y w m c X V v d D t T Z W N 0 a W 9 u M S 9 J b n N j a H J p a m Z f V H J h b n N w b 3 J 0 X 1 R v d G F h b C 9 B d X R v U m V t b 3 Z l Z E N v b H V t b n M x L n t F b W l z c 2 l l b G 9 v c y B U c m F u c 3 B v c n Q s N n 0 m c X V v d D s s J n F 1 b 3 Q 7 U 2 V j d G l v b j E v S W 5 z Y 2 h y a W p m X 1 R y Y W 5 z c G 9 y d F 9 U b 3 R h Y W w v Q X V 0 b 1 J l b W 9 2 Z W R D b 2 x 1 b W 5 z M S 5 7 V H J h b n N w b 3 J 0 I G 5 h Y X I g Y m 9 1 d 3 B s Y W F 0 c y B W Z X J 2 Y W 5 n a W 5 n Z W 4 g W 3 R r b V 0 s N 3 0 m c X V v d D s s J n F 1 b 3 Q 7 U 2 V j d G l v b j E v S W 5 z Y 2 h y a W p m X 1 R y Y W 5 z c G 9 y d F 9 U b 3 R h Y W w v Q X V 0 b 1 J l b W 9 2 Z W R D b 2 x 1 b W 5 z M S 5 7 V H J h b n N w b 3 J 0 I G 5 h Y X I g d m V y d 2 V y a 2 V y I F Z l c n Z h b m d p b m d l b i B b d G t t X S w 4 f S Z x d W 9 0 O y w m c X V v d D t T Z W N 0 a W 9 u M S 9 J b n N j a H J p a m Z f V H J h b n N w b 3 J 0 X 1 R v d G F h b C 9 B d X R v U m V t b 3 Z l Z E N v b H V t b n M x L n t F b W l z c 2 l l b G 9 v c y B U c m F u c 3 B v c n Q g V m V y d m F u Z 2 l u Z 2 V u L D l 9 J n F 1 b 3 Q 7 X S w m c X V v d D t D b 2 x 1 b W 5 D b 3 V u d C Z x d W 9 0 O z o x M C w m c X V v d D t L Z X l D b 2 x 1 b W 5 O Y W 1 l c y Z x d W 9 0 O z p b X S w m c X V v d D t D b 2 x 1 b W 5 J Z G V u d G l 0 a W V z J n F 1 b 3 Q 7 O l s m c X V v d D t T Z W N 0 a W 9 u M S 9 J b n N j a H J p a m Z f V H J h b n N w b 3 J 0 X 1 R v d G F h b C 9 B d X R v U m V t b 3 Z l Z E N v b H V t b n M x L n t C Z X N 0 Z W t z c G 9 z d C w w f S Z x d W 9 0 O y w m c X V v d D t T Z W N 0 a W 9 u M S 9 J b n N j a H J p a m Z f V H J h b n N w b 3 J 0 X 1 R v d G F h b C 9 B d X R v U m V t b 3 Z l Z E N v b H V t b n M x L n t Q c m 9 k d W N 0 L D F 9 J n F 1 b 3 Q 7 L C Z x d W 9 0 O 1 N l Y 3 R p b 2 4 x L 0 l u c 2 N o c m l q Z l 9 U c m F u c 3 B v c n R f V G 9 0 Y W F s L 0 F 1 d G 9 S Z W 1 v d m V k Q 2 9 s d W 1 u c z E u e 1 R y Y W 5 z c G 9 y d C B u Y W F y I G J v d X d w b G F h d H M g W 3 R r b V 0 s M n 0 m c X V v d D s s J n F 1 b 3 Q 7 U 2 V j d G l v b j E v S W 5 z Y 2 h y a W p m X 1 R y Y W 5 z c G 9 y d F 9 U b 3 R h Y W w v Q X V 0 b 1 J l b W 9 2 Z W R D b 2 x 1 b W 5 z M S 5 7 V H J h b n N w b 3 J 0 I G 5 h Y X I g d m V y d 2 V y a 2 V y I F t 0 a 2 1 d L D N 9 J n F 1 b 3 Q 7 L C Z x d W 9 0 O 1 N l Y 3 R p b 2 4 x L 0 l u c 2 N o c m l q Z l 9 U c m F u c 3 B v c n R f V G 9 0 Y W F s L 0 F 1 d G 9 S Z W 1 v d m V k Q 2 9 s d W 1 u c z E u e 0 V t a X N z a W V s b 2 9 z I F R y Y W 5 z c G 9 y d C B u Y W F y I G J v d X d w b G F h d H M / L D R 9 J n F 1 b 3 Q 7 L C Z x d W 9 0 O 1 N l Y 3 R p b 2 4 x L 0 l u c 2 N o c m l q Z l 9 U c m F u c 3 B v c n R f V G 9 0 Y W F s L 0 F 1 d G 9 S Z W 1 v d m V k Q 2 9 s d W 1 u c z E u e 0 V t a X N z a W V s b 2 9 z I F R y Y W 5 z c G 9 y d C B u Y W F y I H Z l c n d l c m t l c j 8 s N X 0 m c X V v d D s s J n F 1 b 3 Q 7 U 2 V j d G l v b j E v S W 5 z Y 2 h y a W p m X 1 R y Y W 5 z c G 9 y d F 9 U b 3 R h Y W w v Q X V 0 b 1 J l b W 9 2 Z W R D b 2 x 1 b W 5 z M S 5 7 R W 1 p c 3 N p Z W x v b 3 M g V H J h b n N w b 3 J 0 L D Z 9 J n F 1 b 3 Q 7 L C Z x d W 9 0 O 1 N l Y 3 R p b 2 4 x L 0 l u c 2 N o c m l q Z l 9 U c m F u c 3 B v c n R f V G 9 0 Y W F s L 0 F 1 d G 9 S Z W 1 v d m V k Q 2 9 s d W 1 u c z E u e 1 R y Y W 5 z c G 9 y d C B u Y W F y I G J v d X d w b G F h d H M g V m V y d m F u Z 2 l u Z 2 V u I F t 0 a 2 1 d L D d 9 J n F 1 b 3 Q 7 L C Z x d W 9 0 O 1 N l Y 3 R p b 2 4 x L 0 l u c 2 N o c m l q Z l 9 U c m F u c 3 B v c n R f V G 9 0 Y W F s L 0 F 1 d G 9 S Z W 1 v d m V k Q 2 9 s d W 1 u c z E u e 1 R y Y W 5 z c G 9 y d C B u Y W F y I H Z l c n d l c m t l c i B W Z X J 2 Y W 5 n a W 5 n Z W 4 g W 3 R r b V 0 s O H 0 m c X V v d D s s J n F 1 b 3 Q 7 U 2 V j d G l v b j E v S W 5 z Y 2 h y a W p m X 1 R y Y W 5 z c G 9 y d F 9 U b 3 R h Y W w v Q X V 0 b 1 J l b W 9 2 Z W R D b 2 x 1 b W 5 z M S 5 7 R W 1 p c 3 N p Z W x v b 3 M g V H J h b n N w b 3 J 0 I F Z l c n Z h b m d p b m d l b i w 5 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1 R y Y W 5 z c G 9 y d F 9 U b 3 R h Y W w v Q n J v b j w v S X R l b V B h d G g + P C 9 J d G V t T G 9 j Y X R p b 2 4 + P F N 0 Y W J s Z U V u d H J p Z X M g L z 4 8 L 0 l 0 Z W 0 + P E l 0 Z W 0 + P E l 0 Z W 1 M b 2 N h d G l v b j 4 8 S X R l b V R 5 c G U + R m 9 y b X V s Y T w v S X R l b V R 5 c G U + P E l 0 Z W 1 Q Y X R o P l N l Y 3 R p b 2 4 x L 0 l u c 2 N o c m l q Z l 9 U c m F u c 3 B v c n R f V G 9 0 Y W F s L 1 R 5 c G U l M j B n Z X d p a n p p Z 2 Q 8 L 0 l 0 Z W 1 Q Y X R o P j w v S X R l b U x v Y 2 F 0 a W 9 u P j x T d G F i b G V F b n R y a W V z I C 8 + P C 9 J d G V t P j x J d G V t P j x J d G V t T G 9 j Y X R p b 2 4 + P E l 0 Z W 1 U e X B l P k Z v c m 1 1 b G E 8 L 0 l 0 Z W 1 U e X B l P j x J d G V t U G F 0 a D 5 T Z W N 0 a W 9 u M S 9 J b n N j a H J p a m Z f Q m 9 1 d 3 B s Y W F 0 c 1 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O D o x M S 4 0 N z A 4 N j c 2 W i I g L z 4 8 R W 5 0 c n k g V H l w Z T 0 i R m l s b E N v b H V t b l R 5 c G V z I i B W Y W x 1 Z T 0 i c 0 F B Q U Z C U V V G Q U F Z Q U J n V U Z B d 1 V E Q l E 9 P S I g L z 4 8 R W 5 0 c n k g V H l w Z T 0 i R m l s b E N v b H V t b k 5 h b W V z I i B W Y W x 1 Z T 0 i c 1 s m c X V v d D t C Z X N 0 Z W t z c G 9 z d C Z x d W 9 0 O y w m c X V v d D t Q c m 9 k d W N 0 J n F 1 b 3 Q 7 L C Z x d W 9 0 O 0 R y Y W F p d X J l b i B C b 3 V 3 I E F z Z m F s d C Z x d W 9 0 O y w m c X V v d D t E c m F h a X V y Z W 4 g Q m 9 1 d y B P d m V y a W c m c X V v d D s s J n F 1 b 3 Q 7 R H J h Y W l 1 c m V u I F Z l c n d p a m R l c i B B c 2 Z h b H Q m c X V v d D s s J n F 1 b 3 Q 7 R H J h Y W l 1 c m V u I F Z l c n d p a m R l c i B P d m V y a W c m c X V v d D s s J n F 1 b 3 Q 7 R W 1 p c 3 N p Z W x v b 3 M g Q X N m Y W x 0 I E F h b m x l Z 3 N l d C Z x d W 9 0 O y w m c X V v d D t F b W l z c 2 l l b G 9 v c y B C b 3 V 3 b W F 0 Z X J p Z W V s J n F 1 b 3 Q 7 L C Z x d W 9 0 O 0 V t a X N z a W V s b 2 9 z I E F z Z m F s d C B W Z X J 3 a W p k Z X J z Z X Q m c X V v d D s s J n F 1 b 3 Q 7 R W 1 p c 3 N p Z W x v b 3 M g U 2 x v b 3 B t Y X R l c m l l Z W w m c X V v d D s s J n F 1 b 3 Q 7 R W 1 p c 3 N p Z W x v b 3 M g Y m 9 1 d 3 B s Y W F 0 c y Z x d W 9 0 O y w m c X V v d D t E c m F h a X V y Z W 4 g Q m 9 1 d y B B c 2 Z h b H Q g V m V y d m F u Z 2 l u Z 2 V u J n F 1 b 3 Q 7 L C Z x d W 9 0 O 0 R y Y W F p d X J l b i B C b 3 V 3 I E 9 2 Z X J p Z y B W Z X J 2 Y W 5 n a W 5 n Z W 4 m c X V v d D s s J n F 1 b 3 Q 7 R H J h Y W l 1 c m V u I F Z l c n d p a m R l c i B B c 2 Z h b H Q g V m V y d m F u Z 2 l u Z 2 V u J n F 1 b 3 Q 7 L C Z x d W 9 0 O 0 R y Y W F p d X J l b i B W Z X J 3 a W p k Z X I g T 3 Z l c m l n I F Z l c n Z h b m d p b m d l b i Z x d W 9 0 O y w m c X V v d D t F b W l z c 2 l l b G 9 v c y B i b 3 V 3 c G x h Y X R z I F Z l c n Z h b m d p b m d l b i 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J b n N j a H J p a m Z f Q m 9 1 d 3 B s Y W F 0 c 1 9 U b 3 R h Y W w v Q X V 0 b 1 J l b W 9 2 Z W R D b 2 x 1 b W 5 z M S 5 7 Q m V z d G V r c 3 B v c 3 Q s M H 0 m c X V v d D s s J n F 1 b 3 Q 7 U 2 V j d G l v b j E v S W 5 z Y 2 h y a W p m X 0 J v d X d w b G F h d H N f V G 9 0 Y W F s L 0 F 1 d G 9 S Z W 1 v d m V k Q 2 9 s d W 1 u c z E u e 1 B y b 2 R 1 Y 3 Q s M X 0 m c X V v d D s s J n F 1 b 3 Q 7 U 2 V j d G l v b j E v S W 5 z Y 2 h y a W p m X 0 J v d X d w b G F h d H N f V G 9 0 Y W F s L 0 F 1 d G 9 S Z W 1 v d m V k Q 2 9 s d W 1 u c z E u e 0 R y Y W F p d X J l b i B C b 3 V 3 I E F z Z m F s d C w y f S Z x d W 9 0 O y w m c X V v d D t T Z W N 0 a W 9 u M S 9 J b n N j a H J p a m Z f Q m 9 1 d 3 B s Y W F 0 c 1 9 U b 3 R h Y W w v Q X V 0 b 1 J l b W 9 2 Z W R D b 2 x 1 b W 5 z M S 5 7 R H J h Y W l 1 c m V u I E J v d X c g T 3 Z l c m l n L D N 9 J n F 1 b 3 Q 7 L C Z x d W 9 0 O 1 N l Y 3 R p b 2 4 x L 0 l u c 2 N o c m l q Z l 9 C b 3 V 3 c G x h Y X R z X 1 R v d G F h b C 9 B d X R v U m V t b 3 Z l Z E N v b H V t b n M x L n t E c m F h a X V y Z W 4 g V m V y d 2 l q Z G V y I E F z Z m F s d C w 0 f S Z x d W 9 0 O y w m c X V v d D t T Z W N 0 a W 9 u M S 9 J b n N j a H J p a m Z f Q m 9 1 d 3 B s Y W F 0 c 1 9 U b 3 R h Y W w v Q X V 0 b 1 J l b W 9 2 Z W R D b 2 x 1 b W 5 z M S 5 7 R H J h Y W l 1 c m V u I F Z l c n d p a m R l c i B P d m V y a W c s N X 0 m c X V v d D s s J n F 1 b 3 Q 7 U 2 V j d G l v b j E v S W 5 z Y 2 h y a W p m X 0 J v d X d w b G F h d H N f V G 9 0 Y W F s L 0 F 1 d G 9 S Z W 1 v d m V k Q 2 9 s d W 1 u c z E u e 0 V t a X N z a W V s b 2 9 z I E F z Z m F s d C B B Y W 5 s Z W d z Z X Q s N n 0 m c X V v d D s s J n F 1 b 3 Q 7 U 2 V j d G l v b j E v S W 5 z Y 2 h y a W p m X 0 J v d X d w b G F h d H N f V G 9 0 Y W F s L 0 F 1 d G 9 S Z W 1 v d m V k Q 2 9 s d W 1 u c z E u e 0 V t a X N z a W V s b 2 9 z I E J v d X d t Y X R l c m l l Z W w s N 3 0 m c X V v d D s s J n F 1 b 3 Q 7 U 2 V j d G l v b j E v S W 5 z Y 2 h y a W p m X 0 J v d X d w b G F h d H N f V G 9 0 Y W F s L 0 F 1 d G 9 S Z W 1 v d m V k Q 2 9 s d W 1 u c z E u e 0 V t a X N z a W V s b 2 9 z I E F z Z m F s d C B W Z X J 3 a W p k Z X J z Z X Q s O H 0 m c X V v d D s s J n F 1 b 3 Q 7 U 2 V j d G l v b j E v S W 5 z Y 2 h y a W p m X 0 J v d X d w b G F h d H N f V G 9 0 Y W F s L 0 F 1 d G 9 S Z W 1 v d m V k Q 2 9 s d W 1 u c z E u e 0 V t a X N z a W V s b 2 9 z I F N s b 2 9 w b W F 0 Z X J p Z W V s L D l 9 J n F 1 b 3 Q 7 L C Z x d W 9 0 O 1 N l Y 3 R p b 2 4 x L 0 l u c 2 N o c m l q Z l 9 C b 3 V 3 c G x h Y X R z X 1 R v d G F h b C 9 B d X R v U m V t b 3 Z l Z E N v b H V t b n M x L n t F b W l z c 2 l l b G 9 v c y B i b 3 V 3 c G x h Y X R z L D E w f S Z x d W 9 0 O y w m c X V v d D t T Z W N 0 a W 9 u M S 9 J b n N j a H J p a m Z f Q m 9 1 d 3 B s Y W F 0 c 1 9 U b 3 R h Y W w v Q X V 0 b 1 J l b W 9 2 Z W R D b 2 x 1 b W 5 z M S 5 7 R H J h Y W l 1 c m V u I E J v d X c g Q X N m Y W x 0 I F Z l c n Z h b m d p b m d l b i w x M X 0 m c X V v d D s s J n F 1 b 3 Q 7 U 2 V j d G l v b j E v S W 5 z Y 2 h y a W p m X 0 J v d X d w b G F h d H N f V G 9 0 Y W F s L 0 F 1 d G 9 S Z W 1 v d m V k Q 2 9 s d W 1 u c z E u e 0 R y Y W F p d X J l b i B C b 3 V 3 I E 9 2 Z X J p Z y B W Z X J 2 Y W 5 n a W 5 n Z W 4 s M T J 9 J n F 1 b 3 Q 7 L C Z x d W 9 0 O 1 N l Y 3 R p b 2 4 x L 0 l u c 2 N o c m l q Z l 9 C b 3 V 3 c G x h Y X R z X 1 R v d G F h b C 9 B d X R v U m V t b 3 Z l Z E N v b H V t b n M x L n t E c m F h a X V y Z W 4 g V m V y d 2 l q Z G V y I E F z Z m F s d C B W Z X J 2 Y W 5 n a W 5 n Z W 4 s M T N 9 J n F 1 b 3 Q 7 L C Z x d W 9 0 O 1 N l Y 3 R p b 2 4 x L 0 l u c 2 N o c m l q Z l 9 C b 3 V 3 c G x h Y X R z X 1 R v d G F h b C 9 B d X R v U m V t b 3 Z l Z E N v b H V t b n M x L n t E c m F h a X V y Z W 4 g V m V y d 2 l q Z G V y I E 9 2 Z X J p Z y B W Z X J 2 Y W 5 n a W 5 n Z W 4 s M T R 9 J n F 1 b 3 Q 7 L C Z x d W 9 0 O 1 N l Y 3 R p b 2 4 x L 0 l u c 2 N o c m l q Z l 9 C b 3 V 3 c G x h Y X R z X 1 R v d G F h b C 9 B d X R v U m V t b 3 Z l Z E N v b H V t b n M x L n t F b W l z c 2 l l b G 9 v c y B i b 3 V 3 c G x h Y X R z I F Z l c n Z h b m d p b m d l b i w x N X 0 m c X V v d D t d L C Z x d W 9 0 O 0 N v b H V t b k N v d W 5 0 J n F 1 b 3 Q 7 O j E 2 L C Z x d W 9 0 O 0 t l e U N v b H V t b k 5 h b W V z J n F 1 b 3 Q 7 O l t d L C Z x d W 9 0 O 0 N v b H V t b k l k Z W 5 0 a X R p Z X M m c X V v d D s 6 W y Z x d W 9 0 O 1 N l Y 3 R p b 2 4 x L 0 l u c 2 N o c m l q Z l 9 C b 3 V 3 c G x h Y X R z X 1 R v d G F h b C 9 B d X R v U m V t b 3 Z l Z E N v b H V t b n M x L n t C Z X N 0 Z W t z c G 9 z d C w w f S Z x d W 9 0 O y w m c X V v d D t T Z W N 0 a W 9 u M S 9 J b n N j a H J p a m Z f Q m 9 1 d 3 B s Y W F 0 c 1 9 U b 3 R h Y W w v Q X V 0 b 1 J l b W 9 2 Z W R D b 2 x 1 b W 5 z M S 5 7 U H J v Z H V j d C w x f S Z x d W 9 0 O y w m c X V v d D t T Z W N 0 a W 9 u M S 9 J b n N j a H J p a m Z f Q m 9 1 d 3 B s Y W F 0 c 1 9 U b 3 R h Y W w v Q X V 0 b 1 J l b W 9 2 Z W R D b 2 x 1 b W 5 z M S 5 7 R H J h Y W l 1 c m V u I E J v d X c g Q X N m Y W x 0 L D J 9 J n F 1 b 3 Q 7 L C Z x d W 9 0 O 1 N l Y 3 R p b 2 4 x L 0 l u c 2 N o c m l q Z l 9 C b 3 V 3 c G x h Y X R z X 1 R v d G F h b C 9 B d X R v U m V t b 3 Z l Z E N v b H V t b n M x L n t E c m F h a X V y Z W 4 g Q m 9 1 d y B P d m V y a W c s M 3 0 m c X V v d D s s J n F 1 b 3 Q 7 U 2 V j d G l v b j E v S W 5 z Y 2 h y a W p m X 0 J v d X d w b G F h d H N f V G 9 0 Y W F s L 0 F 1 d G 9 S Z W 1 v d m V k Q 2 9 s d W 1 u c z E u e 0 R y Y W F p d X J l b i B W Z X J 3 a W p k Z X I g Q X N m Y W x 0 L D R 9 J n F 1 b 3 Q 7 L C Z x d W 9 0 O 1 N l Y 3 R p b 2 4 x L 0 l u c 2 N o c m l q Z l 9 C b 3 V 3 c G x h Y X R z X 1 R v d G F h b C 9 B d X R v U m V t b 3 Z l Z E N v b H V t b n M x L n t E c m F h a X V y Z W 4 g V m V y d 2 l q Z G V y I E 9 2 Z X J p Z y w 1 f S Z x d W 9 0 O y w m c X V v d D t T Z W N 0 a W 9 u M S 9 J b n N j a H J p a m Z f Q m 9 1 d 3 B s Y W F 0 c 1 9 U b 3 R h Y W w v Q X V 0 b 1 J l b W 9 2 Z W R D b 2 x 1 b W 5 z M S 5 7 R W 1 p c 3 N p Z W x v b 3 M g Q X N m Y W x 0 I E F h b m x l Z 3 N l d C w 2 f S Z x d W 9 0 O y w m c X V v d D t T Z W N 0 a W 9 u M S 9 J b n N j a H J p a m Z f Q m 9 1 d 3 B s Y W F 0 c 1 9 U b 3 R h Y W w v Q X V 0 b 1 J l b W 9 2 Z W R D b 2 x 1 b W 5 z M S 5 7 R W 1 p c 3 N p Z W x v b 3 M g Q m 9 1 d 2 1 h d G V y a W V l b C w 3 f S Z x d W 9 0 O y w m c X V v d D t T Z W N 0 a W 9 u M S 9 J b n N j a H J p a m Z f Q m 9 1 d 3 B s Y W F 0 c 1 9 U b 3 R h Y W w v Q X V 0 b 1 J l b W 9 2 Z W R D b 2 x 1 b W 5 z M S 5 7 R W 1 p c 3 N p Z W x v b 3 M g Q X N m Y W x 0 I F Z l c n d p a m R l c n N l d C w 4 f S Z x d W 9 0 O y w m c X V v d D t T Z W N 0 a W 9 u M S 9 J b n N j a H J p a m Z f Q m 9 1 d 3 B s Y W F 0 c 1 9 U b 3 R h Y W w v Q X V 0 b 1 J l b W 9 2 Z W R D b 2 x 1 b W 5 z M S 5 7 R W 1 p c 3 N p Z W x v b 3 M g U 2 x v b 3 B t Y X R l c m l l Z W w s O X 0 m c X V v d D s s J n F 1 b 3 Q 7 U 2 V j d G l v b j E v S W 5 z Y 2 h y a W p m X 0 J v d X d w b G F h d H N f V G 9 0 Y W F s L 0 F 1 d G 9 S Z W 1 v d m V k Q 2 9 s d W 1 u c z E u e 0 V t a X N z a W V s b 2 9 z I G J v d X d w b G F h d H M s M T B 9 J n F 1 b 3 Q 7 L C Z x d W 9 0 O 1 N l Y 3 R p b 2 4 x L 0 l u c 2 N o c m l q Z l 9 C b 3 V 3 c G x h Y X R z X 1 R v d G F h b C 9 B d X R v U m V t b 3 Z l Z E N v b H V t b n M x L n t E c m F h a X V y Z W 4 g Q m 9 1 d y B B c 2 Z h b H Q g V m V y d m F u Z 2 l u Z 2 V u L D E x f S Z x d W 9 0 O y w m c X V v d D t T Z W N 0 a W 9 u M S 9 J b n N j a H J p a m Z f Q m 9 1 d 3 B s Y W F 0 c 1 9 U b 3 R h Y W w v Q X V 0 b 1 J l b W 9 2 Z W R D b 2 x 1 b W 5 z M S 5 7 R H J h Y W l 1 c m V u I E J v d X c g T 3 Z l c m l n I F Z l c n Z h b m d p b m d l b i w x M n 0 m c X V v d D s s J n F 1 b 3 Q 7 U 2 V j d G l v b j E v S W 5 z Y 2 h y a W p m X 0 J v d X d w b G F h d H N f V G 9 0 Y W F s L 0 F 1 d G 9 S Z W 1 v d m V k Q 2 9 s d W 1 u c z E u e 0 R y Y W F p d X J l b i B W Z X J 3 a W p k Z X I g Q X N m Y W x 0 I F Z l c n Z h b m d p b m d l b i w x M 3 0 m c X V v d D s s J n F 1 b 3 Q 7 U 2 V j d G l v b j E v S W 5 z Y 2 h y a W p m X 0 J v d X d w b G F h d H N f V G 9 0 Y W F s L 0 F 1 d G 9 S Z W 1 v d m V k Q 2 9 s d W 1 u c z E u e 0 R y Y W F p d X J l b i B W Z X J 3 a W p k Z X I g T 3 Z l c m l n I F Z l c n Z h b m d p b m d l b i w x N H 0 m c X V v d D s s J n F 1 b 3 Q 7 U 2 V j d G l v b j E v S W 5 z Y 2 h y a W p m X 0 J v d X d w b G F h d H N f V G 9 0 Y W F s L 0 F 1 d G 9 S Z W 1 v d m V k Q 2 9 s d W 1 u c z E u e 0 V t a X N z a W V s b 2 9 z I G J v d X d w b G F h d H M g V m V y d m F u Z 2 l u Z 2 V u L D E 1 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J v d X d w b G F h d H N f V G 9 0 Y W F s L 0 J y b 2 4 8 L 0 l 0 Z W 1 Q Y X R o P j w v S X R l b U x v Y 2 F 0 a W 9 u P j x T d G F i b G V F b n R y a W V z I C 8 + P C 9 J d G V t P j x J d G V t P j x J d G V t T G 9 j Y X R p b 2 4 + P E l 0 Z W 1 U e X B l P k Z v c m 1 1 b G E 8 L 0 l 0 Z W 1 U e X B l P j x J d G V t U G F 0 a D 5 T Z W N 0 a W 9 u M S 9 J b n N j a H J p a m Z f Q m 9 1 d 3 B s Y W F 0 c 1 9 U b 3 R h Y W w v V H l w Z S U y M G d l d 2 l q e m l n Z D w v S X R l b V B h d G g + P C 9 J d G V t T G 9 j Y X R p b 2 4 + P F N 0 Y W J s Z U V u d H J p Z X M g L z 4 8 L 0 l 0 Z W 0 + P E l 0 Z W 0 + P E l 0 Z W 1 M b 2 N h d G l v b j 4 8 S X R l b V R 5 c G U + R m 9 y b X V s Y T w v S X R l b V R 5 c G U + P E l 0 Z W 1 Q Y X R o P l N l Y 3 R p b 2 4 x L 1 J l Z m V y Z W 5 0 a W V f R X h w b 3 J 0 P C 9 J d G V t U G F 0 a D 4 8 L 0 l 0 Z W 1 M b 2 N h d G l v b j 4 8 U 3 R h Y m x l R W 5 0 c m l l c z 4 8 R W 5 0 c n k g V H l w Z T 0 i S X N Q c m l 2 Y X R l I i B W Y W x 1 Z T 0 i b D A i I C 8 + P E V u d H J 5 I F R 5 c G U 9 I l F 1 Z X J 5 R 3 J v d X B J R C I g V m F s d W U 9 I n N l N m Q z O D E 5 O C 0 2 Y z d m L T Q 5 Y W I t Y T Q 5 Z C 1 j M D A x M z V j Y T F h N z I i I C 8 + P E V u d H J 5 I F R 5 c G U 9 I k Z p b G x F b m F i b G V k I i B W Y W x 1 Z T 0 i b D E i I C 8 + P E V u d H J 5 I F R 5 c G U 9 I k 5 h d m l n Y X R p b 2 5 T d G V w T m F t Z S I g V m F s d W U 9 I n N O Y X Z p Z 2 F 0 a W U i I C 8 + P E V u d H J 5 I F R 5 c G U 9 I k 5 h b W V V c G R h d G V k Q W Z 0 Z X J G a W x s I i B W Y W x 1 Z T 0 i b D A i I C 8 + P E V u d H J 5 I F R 5 c G U 9 I l J l c 3 V s d F R 5 c G U i I F Z h b H V l P S J z V G F i b G U i I C 8 + P E V u d H J 5 I F R 5 c G U 9 I k J 1 Z m Z l c k 5 l e H R S Z W Z y Z X N o I i B W Y W x 1 Z T 0 i b D E i I C 8 + P E V u d H J 5 I F R 5 c G U 9 I k Z p b G x U Y X J n Z X Q i I F Z h b H V l P S J z U m V m Z X J l b n R p Z V 9 F e H B v c n Q i I C 8 + P E V u d H J 5 I F R 5 c G U 9 I k Z p b G x l Z E N v b X B s Z X R l U m V z d W x 0 V G 9 X b 3 J r c 2 h l Z X Q i I F Z h b H V l P S J s M S I g L z 4 8 R W 5 0 c n k g V H l w Z T 0 i U X V l c n l J R C I g V m F s d W U 9 I n M 0 N T A w Y z k 4 N i 0 y O T B k L T Q 5 Y W Q t O T Z k Y i 0 w Y 2 N h N 2 Y w M j Q x O T I i I C 8 + P E V u d H J 5 I F R 5 c G U 9 I k Z p b G x U b 0 R h d G F N b 2 R l b E V u Y W J s Z W Q i I F Z h b H V l P S J s M C I g L z 4 8 R W 5 0 c n k g V H l w Z T 0 i R m l s b E 9 i a m V j d F R 5 c G U i I F Z h b H V l P S J z V G F i b G U i I C 8 + P E V u d H J 5 I F R 5 c G U 9 I k Z p b G x M Y X N 0 V X B k Y X R l Z C I g V m F s d W U 9 I m Q y M D I y L T A 5 L T E y V D E x O j M 1 O j Q w L j k 5 M D E x M j h a I i A v P j x F b n R y e S B U e X B l P S J G a W x s Q 2 9 s d W 1 u V H l w Z X M i I F Z h b H V l P S J z Q U F B R 0 F 3 a 0 F C Z 1 l E Q m d Z Q U F 3 V U Z B d 1 V E Q U F B Q U F B Q U F B Q U F B Q U F V R k J R V U Z C U U 1 G Q l F V R k J R V U F C U V V G Q l F V R E F 3 V U Z C U U 1 G Q l F B R k J B V U Z B Q U F B Q U F B Q U J R V U Z C U V V E Q X d V R k J R T U Z C U U F G Q l F V R k J R T U R C U V V G Q X d V R k F B V U Z B Q U F E Q U F B Q U F B Q U F C U V V B Q U F N Q U F B Q U F B Q U F B Q U F B Q S I g L z 4 8 R W 5 0 c n k g V H l w Z T 0 i R m l s b E N v b H V t b k 5 h b W V z I i B W Y W x 1 Z T 0 i c 1 s m c X V v d D t D b G l l b n Q m c X V v d D s s J n F 1 b 3 Q 7 Q 2 9 u d H J h Y 3 R v c i Z x d W 9 0 O y w m c X V v d D t Q c m 9 q Z W N 0 X 0 l E J n F 1 b 3 Q 7 L C Z x d W 9 0 O 1 B y b 2 p l Y 3 R f b G l m Z X N w Y W 4 m c X V v d D s s J n F 1 b 3 Q 7 U H J v a m V j d F 9 k Y X R l J n F 1 b 3 Q 7 L C Z x d W 9 0 O 1 Z l c n N p b 2 4 m c X V v d D s s J n F 1 b 3 Q 7 U k F X X 0 l E J n F 1 b 3 Q 7 L C Z x d W 9 0 O 1 d v c m t z Y 2 9 w Z S Z x d W 9 0 O y w m c X V v d D t Q c m l j Z S Z x d W 9 0 O y w m c X V v d D t Q c m 9 k d W N 0 Z 3 J v d X A m c X V v d D s s J n F 1 b 3 Q 7 U H J v Z H V j d C Z x d W 9 0 O y w m c X V v d D t Q c m 9 k d W N 0 d H l w Z S Z x d W 9 0 O y w m c X V v d D t T d X J m Y W N l W 2 0 y X S Z x d W 9 0 O y w m c X V v d D t U a G l j a 2 5 l c 3 N b b V 0 m c X V v d D s s J n F 1 b 3 Q 7 U 3 B l Y 2 l m a W N f d 2 V p Z 2 h 0 W 3 R v b i 9 t M 1 0 m c X V v d D s s J n F 1 b 3 Q 7 Q W 1 v d W 5 0 W 2 0 z X S Z x d W 9 0 O y w m c X V v d D t B b W 9 1 b n R b d G 9 u X S Z x d W 9 0 O y w m c X V v d D t S Z X B s Y W N l b W V u d H M m c X V v d D s s J n F 1 b 3 Q 7 Q T R f d H J h b n N w b 3 J 0 X 2 R p c 3 R h b m N l X 3 R v X 2 N v b n N 0 c n V j d G l v b l 9 z a X R l W 2 t t X S Z x d W 9 0 O y w m c X V v d D t B N F 9 0 c m F u c 3 B v c n R t b 2 R l X 3 R v X 2 N v b n N 0 c n V j d G l v b l 9 z a X R l J n F 1 b 3 Q 7 L C Z x d W 9 0 O 0 E 1 X 2 F z c G h h b H R f Y 2 9 u c 3 R y d W N 0 a W 9 u X 3 N l d C Z x d W 9 0 O y w m c X V v d D t B N V 9 v d G h l c l 9 j b 2 5 z d H J 1 Y 3 R p b 2 5 f Z X F 1 a X B t Z W 5 0 J n F 1 b 3 Q 7 L C Z x d W 9 0 O 0 M x X 2 F z c G h h b H R f c m V t b 3 Z h b F 9 z Z X Q m c X V v d D s s J n F 1 b 3 Q 7 Q z F f b 3 R o Z X J f c m V t b 3 Z h b F 9 l c X V p c G 1 l b n Q m c X V v d D s s J n F 1 b 3 Q 7 Q z J f d H J h b n N w b 3 J 0 Z G l z d G F u Y 2 V f d G 9 f c H J v Y 2 V z c 2 9 y W 2 t t X S Z x d W 9 0 O y w m c X V v d D t D M l 9 0 c m F u c 3 B v c n R t b 2 R l X 3 R v X 3 B y b 2 N l c 3 N v c i Z x d W 9 0 O y w m c X V v d D t D M 1 9 w c m 9 j Z X N z a W 5 n c 2 V 0 J n F 1 b 3 Q 7 L C Z x d W 9 0 O 0 F z c 3 V t c H R p b 2 5 z J n F 1 b 3 Q 7 L C Z x d W 9 0 O 0 V D S V 9 0 b 3 R h b C 5 B M S Z x d W 9 0 O y w m c X V v d D t F Q 0 l f d G 9 0 Y W w u Q T I m c X V v d D s s J n F 1 b 3 Q 7 R U N J X 3 R v d G F s L k E z J n F 1 b 3 Q 7 L C Z x d W 9 0 O 0 V D S V 9 0 b 3 R h b C 5 B N C Z x d W 9 0 O y w m c X V v d D t F Q 0 l f d G 9 0 Y W w u Q T U m c X V v d D s s J n F 1 b 3 Q 7 R U N J X 3 R v d G F s L k I x J n F 1 b 3 Q 7 L C Z x d W 9 0 O 0 V D S V 9 0 b 3 R h b C 5 C N C Z x d W 9 0 O y w m c X V v d D t F Q 0 l f d G 9 0 Y W w u Q z E m c X V v d D s s J n F 1 b 3 Q 7 R U N J X 3 R v d G F s L k M y J n F 1 b 3 Q 7 L C Z x d W 9 0 O 0 V D S V 9 0 b 3 R h b C 5 D M y Z x d W 9 0 O y w m c X V v d D t F Q 0 l f d G 9 0 Y W w u Q z Q m c X V v d D s s J n F 1 b 3 Q 7 R U N J X 3 R v d G F s L k Q x J n F 1 b 3 Q 7 L C Z x d W 9 0 O 0 V D S V 9 0 b 3 R h b C 5 E M i Z x d W 9 0 O y w m c X V v d D t F Q 0 l f d G 9 0 Y W w u d G 9 0 Y W w m c X V v d D s s J n F 1 b 3 Q 7 Q 0 8 y X 3 R v d G F s L k E x J n F 1 b 3 Q 7 L C Z x d W 9 0 O 0 N P M l 9 0 b 3 R h b C 5 B M i Z x d W 9 0 O y w m c X V v d D t D T z J f d G 9 0 Y W w u Q T M m c X V v d D s s J n F 1 b 3 Q 7 Q 0 8 y X 3 R v d G F s L k E 0 J n F 1 b 3 Q 7 L C Z x d W 9 0 O 0 N P M l 9 0 b 3 R h b C 5 B N S Z x d W 9 0 O y w m c X V v d D t D T z J f d G 9 0 Y W w u Q j E m c X V v d D s s J n F 1 b 3 Q 7 Q 0 8 y X 3 R v d G F s L k I 0 J n F 1 b 3 Q 7 L C Z x d W 9 0 O 0 N P M l 9 0 b 3 R h b C 5 D M S Z x d W 9 0 O y w m c X V v d D t D T z J f d G 9 0 Y W w u Q z I m c X V v d D s s J n F 1 b 3 Q 7 Q 0 8 y X 3 R v d G F s L k M z J n F 1 b 3 Q 7 L C Z x d W 9 0 O 0 N P M l 9 0 b 3 R h b C 5 D N C Z x d W 9 0 O y w m c X V v d D t D T z J f d G 9 0 Y W w u R D E m c X V v d D s s J n F 1 b 3 Q 7 Q 0 8 y X 3 R v d G F s L k Q y J n F 1 b 3 Q 7 L C Z x d W 9 0 O 0 N P M l 9 0 b 3 R h b C 5 0 b 3 R h b C Z x d W 9 0 O y w m c X V v d D t N Y X R l c m l h b F 9 0 b 3 R h b C 5 h b W 9 1 b n R b d G 9 u X S Z x d W 9 0 O y w m c X V v d D t N Y X R l c m l h b F 9 0 b 3 R h b C 4 l c 2 V j d W 5 k Y X J 5 J n F 1 b 3 Q 7 L C Z x d W 9 0 O 0 1 h d G V y a W F s X 3 R v d G F s L n B y a W 1 h c n l b d G 9 u X S Z x d W 9 0 O y w m c X V v d D t N Y X R l c m l h b F 9 0 b 3 R h b C 5 z Z W N 1 b m R h c n l b d G 9 u X S Z x d W 9 0 O y w m c X V v d D t N Y X R l c m l h b F 9 0 b 3 R h b C 5 h b W 9 1 b n R f c m V w b G F j Z W 1 l b n R z W 3 R v b l 0 m c X V v d D s s J n F 1 b 3 Q 7 T W F 0 Z X J p Y W x f d G 9 0 Y W w u c H J p b W F y e V 9 y Z X B s Y W N l b W V u d H N b d G 9 u X S Z x d W 9 0 O y w m c X V v d D t N Y X R l c m l h b F 9 0 b 3 R h b C 5 z Z W N 1 b m R h c n l f c m V w b G F j Z W 1 l b n R z W 3 R v b l 0 m c X V v d D s s J n F 1 b 3 Q 7 T W F 0 Z X J p Y W x f d G 9 0 Y W w u d G 9 0 Y W x f c H J p b W F y e V t 0 b 2 5 d J n F 1 b 3 Q 7 L C Z x d W 9 0 O 0 1 h d G V y a W F s X 3 R v d G F s L n R v d G F s X 3 N l Y 3 V u Z G F y e V t 0 b 2 5 d J n F 1 b 3 Q 7 L C Z x d W 9 0 O 0 1 h d G V y a W F s X 3 R v d G F s L n R v d G F s W 3 R v b l 0 m c X V v d D s s J n F 1 b 3 Q 7 U m V u Z X d h Y m x l X 2 V u Z X J n e V 9 0 b 3 R h b C 5 B M S Z x d W 9 0 O y w m c X V v d D t S Z W 5 l d 2 F i b G V f Z W 5 l c m d 5 X 3 R v d G F s L k E y J n F 1 b 3 Q 7 L C Z x d W 9 0 O 1 J l b m V 3 Y W J s Z V 9 l b m V y Z 3 l f d G 9 0 Y W w u Q T M m c X V v d D s s J n F 1 b 3 Q 7 U m V u Z X d h Y m x l X 2 V u Z X J n e V 9 0 b 3 R h b C 5 B N C Z x d W 9 0 O y w m c X V v d D t S Z W 5 l d 2 F i b G V f Z W 5 l c m d 5 X 3 R v d G F s L k E 1 J n F 1 b 3 Q 7 L C Z x d W 9 0 O 1 J l b m V 3 Y W J s Z V 9 l b m V y Z 3 l f d G 9 0 Y W w u Q j E m c X V v d D s s J n F 1 b 3 Q 7 U m V u Z X d h Y m x l X 2 V u Z X J n e V 9 0 b 3 R h b C 5 C N C Z x d W 9 0 O y w m c X V v d D t S Z W 5 l d 2 F i b G V f Z W 5 l c m d 5 X 3 R v d G F s L k M x J n F 1 b 3 Q 7 L C Z x d W 9 0 O 1 J l b m V 3 Y W J s Z V 9 l b m V y Z 3 l f d G 9 0 Y W w u Q z I m c X V v d D s s J n F 1 b 3 Q 7 U m V u Z X d h Y m x l X 2 V u Z X J n e V 9 0 b 3 R h b C 5 D M y Z x d W 9 0 O y w m c X V v d D t S Z W 5 l d 2 F i b G V f Z W 5 l c m d 5 X 3 R v d G F s L k M 0 J n F 1 b 3 Q 7 L C Z x d W 9 0 O 1 J l b m V 3 Y W J s Z V 9 l b m V y Z 3 l f d G 9 0 Y W w u R D E m c X V v d D s s J n F 1 b 3 Q 7 U m V u Z X d h Y m x l X 2 V u Z X J n e V 9 0 b 3 R h b C 5 E M i Z x d W 9 0 O y w m c X V v d D t S Z W 5 l d 2 F i b G V f Z W 5 l c m d 5 X 3 R v d G F s L n R v d G F s J n F 1 b 3 Q 7 L C Z x d W 9 0 O 0 Z v c 3 N p b F 9 l b m V y Z 3 l f d G 9 0 Y W w u Q T E m c X V v d D s s J n F 1 b 3 Q 7 R m 9 z c 2 l s X 2 V u Z X J n e V 9 0 b 3 R h b C 5 B M i Z x d W 9 0 O y w m c X V v d D t G b 3 N z a W x f Z W 5 l c m d 5 X 3 R v d G F s L k E z J n F 1 b 3 Q 7 L C Z x d W 9 0 O 0 Z v c 3 N p b F 9 l b m V y Z 3 l f d G 9 0 Y W w u Q T Q m c X V v d D s s J n F 1 b 3 Q 7 R m 9 z c 2 l s X 2 V u Z X J n e V 9 0 b 3 R h b C 5 B N S Z x d W 9 0 O y w m c X V v d D t G b 3 N z a W x f Z W 5 l c m d 5 X 3 R v d G F s L k I x J n F 1 b 3 Q 7 L C Z x d W 9 0 O 0 Z v c 3 N p b F 9 l b m V y Z 3 l f d G 9 0 Y W w u Q j Q m c X V v d D s s J n F 1 b 3 Q 7 R m 9 z c 2 l s X 2 V u Z X J n e V 9 0 b 3 R h b C 5 D M S Z x d W 9 0 O y w m c X V v d D t G b 3 N z a W x f Z W 5 l c m d 5 X 3 R v d G F s L k M y J n F 1 b 3 Q 7 L C Z x d W 9 0 O 0 Z v c 3 N p b F 9 l b m V y Z 3 l f d G 9 0 Y W w u Q z M m c X V v d D s s J n F 1 b 3 Q 7 R m 9 z c 2 l s X 2 V u Z X J n e V 9 0 b 3 R h b C 5 D N C Z x d W 9 0 O y w m c X V v d D t G b 3 N z a W x f Z W 5 l c m d 5 X 3 R v d G F s L k Q x J n F 1 b 3 Q 7 L C Z x d W 9 0 O 0 Z v c 3 N p b F 9 l b m V y Z 3 l f d G 9 0 Y W w u R D I m c X V v d D s s J n F 1 b 3 Q 7 R m 9 z c 2 l s X 2 V u Z X J n e V 9 0 b 3 R h b C 5 0 b 3 R h b C Z x d W 9 0 O y w m c X V v d D t U c m F u c 3 B v c n R f d G 9 0 Y W w u d H J h b n N w b 3 J 0 X 3 R v X 2 N v b n N 0 c n V j d G l v b l 9 z a X R l W 3 R r b V 0 m c X V v d D s s J n F 1 b 3 Q 7 V H J h b n N w b 3 J 0 X 3 R v d G F s L n R y Y W 5 z c G 9 y d F 9 0 b 1 9 w c m 9 j Z X N z b 3 J b d G t t X S Z x d W 9 0 O y w m c X V v d D t U c m F u c 3 B v c n R f d G 9 0 Y W w u Z W 1 p c 3 N p b 2 5 f Z n J l Z V 9 0 c m F u c 3 B v c n R f d G 9 f Y 2 9 u c 3 R y d W N 0 a W 9 u X 3 N p d G U m c X V v d D s s J n F 1 b 3 Q 7 V H J h b n N w b 3 J 0 X 3 R v d G F s L m V t a X N z a W 9 u X 2 Z y Z W V f d H J h b n N w b 3 J 0 X 3 R v X 3 B y b 2 N l c 3 N v c i Z x d W 9 0 O y w m c X V v d D t U c m F u c 3 B v c n R f d G 9 0 Y W w u Z W 1 p c 3 N p b 2 5 f Z n J l Z V 9 0 c m F u c 3 B v c n Q m c X V v d D s s J n F 1 b 3 Q 7 V H J h b n N w b 3 J 0 X 3 R v d G F s L n R y Y W 5 z c G 9 y d F 9 0 b 1 9 j b 2 5 z d H J 1 Y 3 R p b 2 5 f c 2 l 0 Z V 9 y Z X B s Y W N l b W V u d H N b d G t t X S Z x d W 9 0 O y w m c X V v d D t U c m F u c 3 B v c n R f d G 9 0 Y W w u d H J h b n N w b 3 J 0 X 3 R v X 3 B y b 2 N l c 3 N v c l 9 y Z X B s Y W N l b W V u d H N b d G t t X S Z x d W 9 0 O y w m c X V v d D t U c m F u c 3 B v c n R f d G 9 0 Y W w u Z W 1 p c 3 N p b 2 5 f Z n J l Z V 9 0 c m F u c 3 B v c n R f c m V w b G F j Z W 1 l b n R z W 3 R r b V 0 m c X V v d D s s J n F 1 b 3 Q 7 V H J h b n N w b 3 J 0 X 3 R v d G F s L n R v d G F s X 2 V t a X N z a W 9 u X 2 Z y Z W V f d H J h b n N w b 3 J 0 J n F 1 b 3 Q 7 L C Z x d W 9 0 O 1 R y Y W 5 z c G 9 y d F 9 0 b 3 R h b C 5 0 b 3 R h b F 9 u b 2 5 f Z W 1 p c 3 N p b 2 5 f Z n J l Z V 9 0 c m F u c 3 B v c n Q m c X V v d D s s J n F 1 b 3 Q 7 V H J h b n N w b 3 J 0 X 3 R v d G F s L n R v d G F s X 3 R y Y W 5 z c G 9 y d C Z x d W 9 0 O y w m c X V v d D t D b 2 5 z d H J 1 Y 3 R p b 2 5 f c 2 l 0 Z V 9 0 b 3 R h b C 5 v c G V y Y X R p b 2 5 f a G 9 1 c l 9 j b 2 5 z d H J 1 Y 3 R p b 2 4 m c X V v d D s s J n F 1 b 3 Q 7 Q 2 9 u c 3 R y d W N 0 a W 9 u X 3 N p d G V f d G 9 0 Y W w u b 3 B l c m F 0 a W 9 u X 2 h v d X J f c m V t b 3 Z h b C Z x d W 9 0 O y w m c X V v d D t D b 2 5 z d H J 1 Y 3 R p b 2 5 f c 2 l 0 Z V 9 0 b 3 R h b C 5 l b W l z c 2 l v b l 9 m c m V l X 2 N v b n N 0 c n V j d G l v b i Z x d W 9 0 O y w m c X V v d D t D b 2 5 z d H J 1 Y 3 R p b 2 5 f c 2 l 0 Z V 9 0 b 3 R h b C 5 l b W l z c 2 l v b l 9 m c m V l X 3 J l b W 9 2 Y W w m c X V v d D s s J n F 1 b 3 Q 7 Q 2 9 u c 3 R y d W N 0 a W 9 u X 3 N p d G V f d G 9 0 Y W w u Z W 1 p c 3 N p b 2 5 f Z n J l Z V 9 j b 2 5 z d H J 1 Y 3 R p b 2 5 f c 2 l 0 Z S Z x d W 9 0 O y w m c X V v d D t D b 2 5 z d H J 1 Y 3 R p b 2 5 f c 2 l 0 Z V 9 0 b 3 R h b C 5 l b W l z c 2 l v b l 9 m c m V l X 2 N v b n N 0 c n V j d G l v b l 9 z a X R l X 3 J l c G x h Y 2 V t Z W 5 0 J n F 1 b 3 Q 7 L C Z x d W 9 0 O 0 N v b n N 0 c n V j d G l v b l 9 z a X R l X 3 R v d G F s L n R v d G F s X 2 V t a X N z a W 9 u X 2 Z y Z W V f Y 2 9 u c 3 R y d W N 0 a W 9 u X 3 N p d G U m c X V v d D s s J n F 1 b 3 Q 7 Q 2 9 u c 3 R y d W N 0 a W 9 u X 3 N p d G V f d G 9 0 Y W w u d G 9 0 Y W x f b m 9 u X 2 V t a X N z a W 9 u X 2 Z y Z W V f Y 2 9 u c 3 R y d W N 0 a W 9 u X 3 N p d G U m c X V v d D s s J n F 1 b 3 Q 7 Q 2 9 u c 3 R y d W N 0 a W 9 u X 3 N p d G V f d G 9 0 Y W w u d G 9 0 Y W x f Y 2 9 u c 3 R y d W N 0 a W 9 u X 3 N p d G U m c X V v d D s s J n F 1 b 3 Q 7 T U t J X 3 R v d G F s X 3 R v b l 9 B M V 9 B M y Z x d W 9 0 O y w m c X V v d D t N S 0 l f d G 9 0 Y W x f b T N f Q T F f Q T M m c X V v d D s s J n F 1 b 3 Q 7 Q 0 8 y X 3 R v d G F s X 3 R v b l 9 B M V 9 B M y Z x d W 9 0 O y w m c X V v d D t D T z J f d G 9 0 Y W x f b T N f Q T F f Q T M m c X V v d D s s J n F 1 b 3 Q 7 T U t J X 3 R v d G F s X 0 E x X 0 E z J n F 1 b 3 Q 7 L C Z x d W 9 0 O 0 N P M l 9 0 b 3 R h b F 9 B M V 9 B M y Z x d W 9 0 O 1 0 i I C 8 + P E V u d H J 5 I F R 5 c G U 9 I k Z p b G x T d G F 0 d X M i I F Z h b H V l P S J z Q 2 9 t c G x l d G U i I C 8 + P E V u d H J 5 I F R 5 c G U 9 I k Z p b G x F c n J v c k N v d W 5 0 I i B W Y W x 1 Z T 0 i b D A i I C 8 + P E V u d H J 5 I F R 5 c G U 9 I k Z p b G x F c n J v c k N v Z G U i I F Z h b H V l P S J z V W 5 r b m 9 3 b i I g L z 4 8 R W 5 0 c n k g V H l w Z T 0 i R m l s b E N v d W 5 0 I i B W Y W x 1 Z T 0 i b D g i I C 8 + P E V u d H J 5 I F R 5 c G U 9 I l J l b G F 0 a W 9 u c 2 h p c E l u Z m 9 D b 2 5 0 Y W l u Z X I i I F Z h b H V l P S J z e y Z x d W 9 0 O 2 N v b H V t b k N v d W 5 0 J n F 1 b 3 Q 7 O j E y M C w m c X V v d D t r Z X l D b 2 x 1 b W 5 O Y W 1 l c y Z x d W 9 0 O z p b X S w m c X V v d D t x d W V y e V J l b G F 0 a W 9 u c 2 h p c H M m c X V v d D s 6 W 1 0 s J n F 1 b 3 Q 7 Y 2 9 s d W 1 u S W R l b n R p d G l l c y Z x d W 9 0 O z p b J n F 1 b 3 Q 7 U 2 V j d G l v b j E v U m V m Z X J l b n R p Z V 9 F e H B v c n Q v Q X V 0 b 1 J l b W 9 2 Z W R D b 2 x 1 b W 5 z M S 5 7 Q 2 x p Z W 5 0 L D B 9 J n F 1 b 3 Q 7 L C Z x d W 9 0 O 1 N l Y 3 R p b 2 4 x L 1 J l Z m V y Z W 5 0 a W V f R X h w b 3 J 0 L 0 F 1 d G 9 S Z W 1 v d m V k Q 2 9 s d W 1 u c z E u e 0 N v b n R y Y W N 0 b 3 I s M X 0 m c X V v d D s s J n F 1 b 3 Q 7 U 2 V j d G l v b j E v U m V m Z X J l b n R p Z V 9 F e H B v c n Q v Q X V 0 b 1 J l b W 9 2 Z W R D b 2 x 1 b W 5 z M S 5 7 U H J v a m V j d F 9 J R C w y f S Z x d W 9 0 O y w m c X V v d D t T Z W N 0 a W 9 u M S 9 S Z W Z l c m V u d G l l X 0 V 4 c G 9 y d C 9 B d X R v U m V t b 3 Z l Z E N v b H V t b n M x L n t Q c m 9 q Z W N 0 X 2 x p Z m V z c G F u L D N 9 J n F 1 b 3 Q 7 L C Z x d W 9 0 O 1 N l Y 3 R p b 2 4 x L 1 J l Z m V y Z W 5 0 a W V f R X h w b 3 J 0 L 0 F 1 d G 9 S Z W 1 v d m V k Q 2 9 s d W 1 u c z E u e 1 B y b 2 p l Y 3 R f Z G F 0 Z S w 0 f S Z x d W 9 0 O y w m c X V v d D t T Z W N 0 a W 9 u M S 9 S Z W Z l c m V u d G l l X 0 V 4 c G 9 y d C 9 B d X R v U m V t b 3 Z l Z E N v b H V t b n M x L n t W Z X J z a W 9 u L D V 9 J n F 1 b 3 Q 7 L C Z x d W 9 0 O 1 N l Y 3 R p b 2 4 x L 1 J l Z m V y Z W 5 0 a W V f R X h w b 3 J 0 L 0 F 1 d G 9 S Z W 1 v d m V k Q 2 9 s d W 1 u c z E u e 1 J B V 1 9 J R C w 2 f S Z x d W 9 0 O y w m c X V v d D t T Z W N 0 a W 9 u M S 9 S Z W Z l c m V u d G l l X 0 V 4 c G 9 y d C 9 B d X R v U m V t b 3 Z l Z E N v b H V t b n M x L n t X b 3 J r c 2 N v c G U s N 3 0 m c X V v d D s s J n F 1 b 3 Q 7 U 2 V j d G l v b j E v U m V m Z X J l b n R p Z V 9 F e H B v c n Q v Q X V 0 b 1 J l b W 9 2 Z W R D b 2 x 1 b W 5 z M S 5 7 U H J p Y 2 U s O H 0 m c X V v d D s s J n F 1 b 3 Q 7 U 2 V j d G l v b j E v U m V m Z X J l b n R p Z V 9 F e H B v c n Q v Q X V 0 b 1 J l b W 9 2 Z W R D b 2 x 1 b W 5 z M S 5 7 U H J v Z H V j d G d y b 3 V w L D l 9 J n F 1 b 3 Q 7 L C Z x d W 9 0 O 1 N l Y 3 R p b 2 4 x L 1 J l Z m V y Z W 5 0 a W V f R X h w b 3 J 0 L 0 F 1 d G 9 S Z W 1 v d m V k Q 2 9 s d W 1 u c z E u e 1 B y b 2 R 1 Y 3 Q s M T B 9 J n F 1 b 3 Q 7 L C Z x d W 9 0 O 1 N l Y 3 R p b 2 4 x L 1 J l Z m V y Z W 5 0 a W V f R X h w b 3 J 0 L 0 F 1 d G 9 S Z W 1 v d m V k Q 2 9 s d W 1 u c z E u e 1 B y b 2 R 1 Y 3 R 0 e X B l L D E x f S Z x d W 9 0 O y w m c X V v d D t T Z W N 0 a W 9 u M S 9 S Z W Z l c m V u d G l l X 0 V 4 c G 9 y d C 9 B d X R v U m V t b 3 Z l Z E N v b H V t b n M x L n t T d X J m Y W N l W 2 0 y X S w x M n 0 m c X V v d D s s J n F 1 b 3 Q 7 U 2 V j d G l v b j E v U m V m Z X J l b n R p Z V 9 F e H B v c n Q v Q X V 0 b 1 J l b W 9 2 Z W R D b 2 x 1 b W 5 z M S 5 7 V G h p Y 2 t u Z X N z W 2 1 d L D E z f S Z x d W 9 0 O y w m c X V v d D t T Z W N 0 a W 9 u M S 9 S Z W Z l c m V u d G l l X 0 V 4 c G 9 y d C 9 B d X R v U m V t b 3 Z l Z E N v b H V t b n M x L n t T c G V j a W Z p Y 1 9 3 Z W l n a H R b d G 9 u L 2 0 z X S w x N H 0 m c X V v d D s s J n F 1 b 3 Q 7 U 2 V j d G l v b j E v U m V m Z X J l b n R p Z V 9 F e H B v c n Q v Q X V 0 b 1 J l b W 9 2 Z W R D b 2 x 1 b W 5 z M S 5 7 Q W 1 v d W 5 0 W 2 0 z X S w x N X 0 m c X V v d D s s J n F 1 b 3 Q 7 U 2 V j d G l v b j E v U m V m Z X J l b n R p Z V 9 F e H B v c n Q v Q X V 0 b 1 J l b W 9 2 Z W R D b 2 x 1 b W 5 z M S 5 7 Q W 1 v d W 5 0 W 3 R v b l 0 s M T Z 9 J n F 1 b 3 Q 7 L C Z x d W 9 0 O 1 N l Y 3 R p b 2 4 x L 1 J l Z m V y Z W 5 0 a W V f R X h w b 3 J 0 L 0 F 1 d G 9 S Z W 1 v d m V k Q 2 9 s d W 1 u c z E u e 1 J l c G x h Y 2 V t Z W 5 0 c y w x N 3 0 m c X V v d D s s J n F 1 b 3 Q 7 U 2 V j d G l v b j E v U m V m Z X J l b n R p Z V 9 F e H B v c n Q v Q X V 0 b 1 J l b W 9 2 Z W R D b 2 x 1 b W 5 z M S 5 7 Q T R f d H J h b n N w b 3 J 0 X 2 R p c 3 R h b m N l X 3 R v X 2 N v b n N 0 c n V j d G l v b l 9 z a X R l W 2 t t X S w x O H 0 m c X V v d D s s J n F 1 b 3 Q 7 U 2 V j d G l v b j E v U m V m Z X J l b n R p Z V 9 F e H B v c n Q v Q X V 0 b 1 J l b W 9 2 Z W R D b 2 x 1 b W 5 z M S 5 7 Q T R f d H J h b n N w b 3 J 0 b W 9 k Z V 9 0 b 1 9 j b 2 5 z d H J 1 Y 3 R p b 2 5 f c 2 l 0 Z S w x O X 0 m c X V v d D s s J n F 1 b 3 Q 7 U 2 V j d G l v b j E v U m V m Z X J l b n R p Z V 9 F e H B v c n Q v Q X V 0 b 1 J l b W 9 2 Z W R D b 2 x 1 b W 5 z M S 5 7 Q T V f Y X N w a G F s d F 9 j b 2 5 z d H J 1 Y 3 R p b 2 5 f c 2 V 0 L D I w f S Z x d W 9 0 O y w m c X V v d D t T Z W N 0 a W 9 u M S 9 S Z W Z l c m V u d G l l X 0 V 4 c G 9 y d C 9 B d X R v U m V t b 3 Z l Z E N v b H V t b n M x L n t B N V 9 v d G h l c l 9 j b 2 5 z d H J 1 Y 3 R p b 2 5 f Z X F 1 a X B t Z W 5 0 L D I x f S Z x d W 9 0 O y w m c X V v d D t T Z W N 0 a W 9 u M S 9 S Z W Z l c m V u d G l l X 0 V 4 c G 9 y d C 9 B d X R v U m V t b 3 Z l Z E N v b H V t b n M x L n t D M V 9 h c 3 B o Y W x 0 X 3 J l b W 9 2 Y W x f c 2 V 0 L D I y f S Z x d W 9 0 O y w m c X V v d D t T Z W N 0 a W 9 u M S 9 S Z W Z l c m V u d G l l X 0 V 4 c G 9 y d C 9 B d X R v U m V t b 3 Z l Z E N v b H V t b n M x L n t D M V 9 v d G h l c l 9 y Z W 1 v d m F s X 2 V x d W l w b W V u d C w y M 3 0 m c X V v d D s s J n F 1 b 3 Q 7 U 2 V j d G l v b j E v U m V m Z X J l b n R p Z V 9 F e H B v c n Q v Q X V 0 b 1 J l b W 9 2 Z W R D b 2 x 1 b W 5 z M S 5 7 Q z J f d H J h b n N w b 3 J 0 Z G l z d G F u Y 2 V f d G 9 f c H J v Y 2 V z c 2 9 y W 2 t t X S w y N H 0 m c X V v d D s s J n F 1 b 3 Q 7 U 2 V j d G l v b j E v U m V m Z X J l b n R p Z V 9 F e H B v c n Q v Q X V 0 b 1 J l b W 9 2 Z W R D b 2 x 1 b W 5 z M S 5 7 Q z J f d H J h b n N w b 3 J 0 b W 9 k Z V 9 0 b 1 9 w c m 9 j Z X N z b 3 I s M j V 9 J n F 1 b 3 Q 7 L C Z x d W 9 0 O 1 N l Y 3 R p b 2 4 x L 1 J l Z m V y Z W 5 0 a W V f R X h w b 3 J 0 L 0 F 1 d G 9 S Z W 1 v d m V k Q 2 9 s d W 1 u c z E u e 0 M z X 3 B y b 2 N l c 3 N p b m d z Z X Q s M j Z 9 J n F 1 b 3 Q 7 L C Z x d W 9 0 O 1 N l Y 3 R p b 2 4 x L 1 J l Z m V y Z W 5 0 a W V f R X h w b 3 J 0 L 0 F 1 d G 9 S Z W 1 v d m V k Q 2 9 s d W 1 u c z E u e 0 F z c 3 V t c H R p b 2 5 z L D I 3 f S Z x d W 9 0 O y w m c X V v d D t T Z W N 0 a W 9 u M S 9 S Z W Z l c m V u d G l l X 0 V 4 c G 9 y d C 9 B d X R v U m V t b 3 Z l Z E N v b H V t b n M x L n t F Q 0 l f d G 9 0 Y W w u Q T E s M j h 9 J n F 1 b 3 Q 7 L C Z x d W 9 0 O 1 N l Y 3 R p b 2 4 x L 1 J l Z m V y Z W 5 0 a W V f R X h w b 3 J 0 L 0 F 1 d G 9 S Z W 1 v d m V k Q 2 9 s d W 1 u c z E u e 0 V D S V 9 0 b 3 R h b C 5 B M i w y O X 0 m c X V v d D s s J n F 1 b 3 Q 7 U 2 V j d G l v b j E v U m V m Z X J l b n R p Z V 9 F e H B v c n Q v Q X V 0 b 1 J l b W 9 2 Z W R D b 2 x 1 b W 5 z M S 5 7 R U N J X 3 R v d G F s L k E z L D M w f S Z x d W 9 0 O y w m c X V v d D t T Z W N 0 a W 9 u M S 9 S Z W Z l c m V u d G l l X 0 V 4 c G 9 y d C 9 B d X R v U m V t b 3 Z l Z E N v b H V t b n M x L n t F Q 0 l f d G 9 0 Y W w u Q T Q s M z F 9 J n F 1 b 3 Q 7 L C Z x d W 9 0 O 1 N l Y 3 R p b 2 4 x L 1 J l Z m V y Z W 5 0 a W V f R X h w b 3 J 0 L 0 F 1 d G 9 S Z W 1 v d m V k Q 2 9 s d W 1 u c z E u e 0 V D S V 9 0 b 3 R h b C 5 B N S w z M n 0 m c X V v d D s s J n F 1 b 3 Q 7 U 2 V j d G l v b j E v U m V m Z X J l b n R p Z V 9 F e H B v c n Q v Q X V 0 b 1 J l b W 9 2 Z W R D b 2 x 1 b W 5 z M S 5 7 R U N J X 3 R v d G F s L k I x L D M z f S Z x d W 9 0 O y w m c X V v d D t T Z W N 0 a W 9 u M S 9 S Z W Z l c m V u d G l l X 0 V 4 c G 9 y d C 9 B d X R v U m V t b 3 Z l Z E N v b H V t b n M x L n t F Q 0 l f d G 9 0 Y W w u Q j Q s M z R 9 J n F 1 b 3 Q 7 L C Z x d W 9 0 O 1 N l Y 3 R p b 2 4 x L 1 J l Z m V y Z W 5 0 a W V f R X h w b 3 J 0 L 0 F 1 d G 9 S Z W 1 v d m V k Q 2 9 s d W 1 u c z E u e 0 V D S V 9 0 b 3 R h b C 5 D M S w z N X 0 m c X V v d D s s J n F 1 b 3 Q 7 U 2 V j d G l v b j E v U m V m Z X J l b n R p Z V 9 F e H B v c n Q v Q X V 0 b 1 J l b W 9 2 Z W R D b 2 x 1 b W 5 z M S 5 7 R U N J X 3 R v d G F s L k M y L D M 2 f S Z x d W 9 0 O y w m c X V v d D t T Z W N 0 a W 9 u M S 9 S Z W Z l c m V u d G l l X 0 V 4 c G 9 y d C 9 B d X R v U m V t b 3 Z l Z E N v b H V t b n M x L n t F Q 0 l f d G 9 0 Y W w u Q z M s M z d 9 J n F 1 b 3 Q 7 L C Z x d W 9 0 O 1 N l Y 3 R p b 2 4 x L 1 J l Z m V y Z W 5 0 a W V f R X h w b 3 J 0 L 0 F 1 d G 9 S Z W 1 v d m V k Q 2 9 s d W 1 u c z E u e 0 V D S V 9 0 b 3 R h b C 5 D N C w z O H 0 m c X V v d D s s J n F 1 b 3 Q 7 U 2 V j d G l v b j E v U m V m Z X J l b n R p Z V 9 F e H B v c n Q v Q X V 0 b 1 J l b W 9 2 Z W R D b 2 x 1 b W 5 z M S 5 7 R U N J X 3 R v d G F s L k Q x L D M 5 f S Z x d W 9 0 O y w m c X V v d D t T Z W N 0 a W 9 u M S 9 S Z W Z l c m V u d G l l X 0 V 4 c G 9 y d C 9 B d X R v U m V t b 3 Z l Z E N v b H V t b n M x L n t F Q 0 l f d G 9 0 Y W w u R D I s N D B 9 J n F 1 b 3 Q 7 L C Z x d W 9 0 O 1 N l Y 3 R p b 2 4 x L 1 J l Z m V y Z W 5 0 a W V f R X h w b 3 J 0 L 0 F 1 d G 9 S Z W 1 v d m V k Q 2 9 s d W 1 u c z E u e 0 V D S V 9 0 b 3 R h b C 5 0 b 3 R h b C w 0 M X 0 m c X V v d D s s J n F 1 b 3 Q 7 U 2 V j d G l v b j E v U m V m Z X J l b n R p Z V 9 F e H B v c n Q v Q X V 0 b 1 J l b W 9 2 Z W R D b 2 x 1 b W 5 z M S 5 7 Q 0 8 y X 3 R v d G F s L k E x L D Q y f S Z x d W 9 0 O y w m c X V v d D t T Z W N 0 a W 9 u M S 9 S Z W Z l c m V u d G l l X 0 V 4 c G 9 y d C 9 B d X R v U m V t b 3 Z l Z E N v b H V t b n M x L n t D T z J f d G 9 0 Y W w u Q T I s N D N 9 J n F 1 b 3 Q 7 L C Z x d W 9 0 O 1 N l Y 3 R p b 2 4 x L 1 J l Z m V y Z W 5 0 a W V f R X h w b 3 J 0 L 0 F 1 d G 9 S Z W 1 v d m V k Q 2 9 s d W 1 u c z E u e 0 N P M l 9 0 b 3 R h b C 5 B M y w 0 N H 0 m c X V v d D s s J n F 1 b 3 Q 7 U 2 V j d G l v b j E v U m V m Z X J l b n R p Z V 9 F e H B v c n Q v Q X V 0 b 1 J l b W 9 2 Z W R D b 2 x 1 b W 5 z M S 5 7 Q 0 8 y X 3 R v d G F s L k E 0 L D Q 1 f S Z x d W 9 0 O y w m c X V v d D t T Z W N 0 a W 9 u M S 9 S Z W Z l c m V u d G l l X 0 V 4 c G 9 y d C 9 B d X R v U m V t b 3 Z l Z E N v b H V t b n M x L n t D T z J f d G 9 0 Y W w u Q T U s N D Z 9 J n F 1 b 3 Q 7 L C Z x d W 9 0 O 1 N l Y 3 R p b 2 4 x L 1 J l Z m V y Z W 5 0 a W V f R X h w b 3 J 0 L 0 F 1 d G 9 S Z W 1 v d m V k Q 2 9 s d W 1 u c z E u e 0 N P M l 9 0 b 3 R h b C 5 C M S w 0 N 3 0 m c X V v d D s s J n F 1 b 3 Q 7 U 2 V j d G l v b j E v U m V m Z X J l b n R p Z V 9 F e H B v c n Q v Q X V 0 b 1 J l b W 9 2 Z W R D b 2 x 1 b W 5 z M S 5 7 Q 0 8 y X 3 R v d G F s L k I 0 L D Q 4 f S Z x d W 9 0 O y w m c X V v d D t T Z W N 0 a W 9 u M S 9 S Z W Z l c m V u d G l l X 0 V 4 c G 9 y d C 9 B d X R v U m V t b 3 Z l Z E N v b H V t b n M x L n t D T z J f d G 9 0 Y W w u Q z E s N D l 9 J n F 1 b 3 Q 7 L C Z x d W 9 0 O 1 N l Y 3 R p b 2 4 x L 1 J l Z m V y Z W 5 0 a W V f R X h w b 3 J 0 L 0 F 1 d G 9 S Z W 1 v d m V k Q 2 9 s d W 1 u c z E u e 0 N P M l 9 0 b 3 R h b C 5 D M i w 1 M H 0 m c X V v d D s s J n F 1 b 3 Q 7 U 2 V j d G l v b j E v U m V m Z X J l b n R p Z V 9 F e H B v c n Q v Q X V 0 b 1 J l b W 9 2 Z W R D b 2 x 1 b W 5 z M S 5 7 Q 0 8 y X 3 R v d G F s L k M z L D U x f S Z x d W 9 0 O y w m c X V v d D t T Z W N 0 a W 9 u M S 9 S Z W Z l c m V u d G l l X 0 V 4 c G 9 y d C 9 B d X R v U m V t b 3 Z l Z E N v b H V t b n M x L n t D T z J f d G 9 0 Y W w u Q z Q s N T J 9 J n F 1 b 3 Q 7 L C Z x d W 9 0 O 1 N l Y 3 R p b 2 4 x L 1 J l Z m V y Z W 5 0 a W V f R X h w b 3 J 0 L 0 F 1 d G 9 S Z W 1 v d m V k Q 2 9 s d W 1 u c z E u e 0 N P M l 9 0 b 3 R h b C 5 E M S w 1 M 3 0 m c X V v d D s s J n F 1 b 3 Q 7 U 2 V j d G l v b j E v U m V m Z X J l b n R p Z V 9 F e H B v c n Q v Q X V 0 b 1 J l b W 9 2 Z W R D b 2 x 1 b W 5 z M S 5 7 Q 0 8 y X 3 R v d G F s L k Q y L D U 0 f S Z x d W 9 0 O y w m c X V v d D t T Z W N 0 a W 9 u M S 9 S Z W Z l c m V u d G l l X 0 V 4 c G 9 y d C 9 B d X R v U m V t b 3 Z l Z E N v b H V t b n M x L n t D T z J f d G 9 0 Y W w u d G 9 0 Y W w s N T V 9 J n F 1 b 3 Q 7 L C Z x d W 9 0 O 1 N l Y 3 R p b 2 4 x L 1 J l Z m V y Z W 5 0 a W V f R X h w b 3 J 0 L 0 F 1 d G 9 S Z W 1 v d m V k Q 2 9 s d W 1 u c z E u e 0 1 h d G V y a W F s X 3 R v d G F s L m F t b 3 V u d F t 0 b 2 5 d L D U 2 f S Z x d W 9 0 O y w m c X V v d D t T Z W N 0 a W 9 u M S 9 S Z W Z l c m V u d G l l X 0 V 4 c G 9 y d C 9 B d X R v U m V t b 3 Z l Z E N v b H V t b n M x L n t N Y X R l c m l h b F 9 0 b 3 R h b C 4 l c 2 V j d W 5 k Y X J 5 L D U 3 f S Z x d W 9 0 O y w m c X V v d D t T Z W N 0 a W 9 u M S 9 S Z W Z l c m V u d G l l X 0 V 4 c G 9 y d C 9 B d X R v U m V t b 3 Z l Z E N v b H V t b n M x L n t N Y X R l c m l h b F 9 0 b 3 R h b C 5 w c m l t Y X J 5 W 3 R v b l 0 s N T h 9 J n F 1 b 3 Q 7 L C Z x d W 9 0 O 1 N l Y 3 R p b 2 4 x L 1 J l Z m V y Z W 5 0 a W V f R X h w b 3 J 0 L 0 F 1 d G 9 S Z W 1 v d m V k Q 2 9 s d W 1 u c z E u e 0 1 h d G V y a W F s X 3 R v d G F s L n N l Y 3 V u Z G F y e V t 0 b 2 5 d L D U 5 f S Z x d W 9 0 O y w m c X V v d D t T Z W N 0 a W 9 u M S 9 S Z W Z l c m V u d G l l X 0 V 4 c G 9 y d C 9 B d X R v U m V t b 3 Z l Z E N v b H V t b n M x L n t N Y X R l c m l h b F 9 0 b 3 R h b C 5 h b W 9 1 b n R f c m V w b G F j Z W 1 l b n R z W 3 R v b l 0 s N j B 9 J n F 1 b 3 Q 7 L C Z x d W 9 0 O 1 N l Y 3 R p b 2 4 x L 1 J l Z m V y Z W 5 0 a W V f R X h w b 3 J 0 L 0 F 1 d G 9 S Z W 1 v d m V k Q 2 9 s d W 1 u c z E u e 0 1 h d G V y a W F s X 3 R v d G F s L n B y a W 1 h c n l f c m V w b G F j Z W 1 l b n R z W 3 R v b l 0 s N j F 9 J n F 1 b 3 Q 7 L C Z x d W 9 0 O 1 N l Y 3 R p b 2 4 x L 1 J l Z m V y Z W 5 0 a W V f R X h w b 3 J 0 L 0 F 1 d G 9 S Z W 1 v d m V k Q 2 9 s d W 1 u c z E u e 0 1 h d G V y a W F s X 3 R v d G F s L n N l Y 3 V u Z G F y e V 9 y Z X B s Y W N l b W V u d H N b d G 9 u X S w 2 M n 0 m c X V v d D s s J n F 1 b 3 Q 7 U 2 V j d G l v b j E v U m V m Z X J l b n R p Z V 9 F e H B v c n Q v Q X V 0 b 1 J l b W 9 2 Z W R D b 2 x 1 b W 5 z M S 5 7 T W F 0 Z X J p Y W x f d G 9 0 Y W w u d G 9 0 Y W x f c H J p b W F y e V t 0 b 2 5 d L D Y z f S Z x d W 9 0 O y w m c X V v d D t T Z W N 0 a W 9 u M S 9 S Z W Z l c m V u d G l l X 0 V 4 c G 9 y d C 9 B d X R v U m V t b 3 Z l Z E N v b H V t b n M x L n t N Y X R l c m l h b F 9 0 b 3 R h b C 5 0 b 3 R h b F 9 z Z W N 1 b m R h c n l b d G 9 u X S w 2 N H 0 m c X V v d D s s J n F 1 b 3 Q 7 U 2 V j d G l v b j E v U m V m Z X J l b n R p Z V 9 F e H B v c n Q v Q X V 0 b 1 J l b W 9 2 Z W R D b 2 x 1 b W 5 z M S 5 7 T W F 0 Z X J p Y W x f d G 9 0 Y W w u d G 9 0 Y W x b d G 9 u X S w 2 N X 0 m c X V v d D s s J n F 1 b 3 Q 7 U 2 V j d G l v b j E v U m V m Z X J l b n R p Z V 9 F e H B v c n Q v Q X V 0 b 1 J l b W 9 2 Z W R D b 2 x 1 b W 5 z M S 5 7 U m V u Z X d h Y m x l X 2 V u Z X J n e V 9 0 b 3 R h b C 5 B M S w 2 N n 0 m c X V v d D s s J n F 1 b 3 Q 7 U 2 V j d G l v b j E v U m V m Z X J l b n R p Z V 9 F e H B v c n Q v Q X V 0 b 1 J l b W 9 2 Z W R D b 2 x 1 b W 5 z M S 5 7 U m V u Z X d h Y m x l X 2 V u Z X J n e V 9 0 b 3 R h b C 5 B M i w 2 N 3 0 m c X V v d D s s J n F 1 b 3 Q 7 U 2 V j d G l v b j E v U m V m Z X J l b n R p Z V 9 F e H B v c n Q v Q X V 0 b 1 J l b W 9 2 Z W R D b 2 x 1 b W 5 z M S 5 7 U m V u Z X d h Y m x l X 2 V u Z X J n e V 9 0 b 3 R h b C 5 B M y w 2 O H 0 m c X V v d D s s J n F 1 b 3 Q 7 U 2 V j d G l v b j E v U m V m Z X J l b n R p Z V 9 F e H B v c n Q v Q X V 0 b 1 J l b W 9 2 Z W R D b 2 x 1 b W 5 z M S 5 7 U m V u Z X d h Y m x l X 2 V u Z X J n e V 9 0 b 3 R h b C 5 B N C w 2 O X 0 m c X V v d D s s J n F 1 b 3 Q 7 U 2 V j d G l v b j E v U m V m Z X J l b n R p Z V 9 F e H B v c n Q v Q X V 0 b 1 J l b W 9 2 Z W R D b 2 x 1 b W 5 z M S 5 7 U m V u Z X d h Y m x l X 2 V u Z X J n e V 9 0 b 3 R h b C 5 B N S w 3 M H 0 m c X V v d D s s J n F 1 b 3 Q 7 U 2 V j d G l v b j E v U m V m Z X J l b n R p Z V 9 F e H B v c n Q v Q X V 0 b 1 J l b W 9 2 Z W R D b 2 x 1 b W 5 z M S 5 7 U m V u Z X d h Y m x l X 2 V u Z X J n e V 9 0 b 3 R h b C 5 C M S w 3 M X 0 m c X V v d D s s J n F 1 b 3 Q 7 U 2 V j d G l v b j E v U m V m Z X J l b n R p Z V 9 F e H B v c n Q v Q X V 0 b 1 J l b W 9 2 Z W R D b 2 x 1 b W 5 z M S 5 7 U m V u Z X d h Y m x l X 2 V u Z X J n e V 9 0 b 3 R h b C 5 C N C w 3 M n 0 m c X V v d D s s J n F 1 b 3 Q 7 U 2 V j d G l v b j E v U m V m Z X J l b n R p Z V 9 F e H B v c n Q v Q X V 0 b 1 J l b W 9 2 Z W R D b 2 x 1 b W 5 z M S 5 7 U m V u Z X d h Y m x l X 2 V u Z X J n e V 9 0 b 3 R h b C 5 D M S w 3 M 3 0 m c X V v d D s s J n F 1 b 3 Q 7 U 2 V j d G l v b j E v U m V m Z X J l b n R p Z V 9 F e H B v c n Q v Q X V 0 b 1 J l b W 9 2 Z W R D b 2 x 1 b W 5 z M S 5 7 U m V u Z X d h Y m x l X 2 V u Z X J n e V 9 0 b 3 R h b C 5 D M i w 3 N H 0 m c X V v d D s s J n F 1 b 3 Q 7 U 2 V j d G l v b j E v U m V m Z X J l b n R p Z V 9 F e H B v c n Q v Q X V 0 b 1 J l b W 9 2 Z W R D b 2 x 1 b W 5 z M S 5 7 U m V u Z X d h Y m x l X 2 V u Z X J n e V 9 0 b 3 R h b C 5 D M y w 3 N X 0 m c X V v d D s s J n F 1 b 3 Q 7 U 2 V j d G l v b j E v U m V m Z X J l b n R p Z V 9 F e H B v c n Q v Q X V 0 b 1 J l b W 9 2 Z W R D b 2 x 1 b W 5 z M S 5 7 U m V u Z X d h Y m x l X 2 V u Z X J n e V 9 0 b 3 R h b C 5 D N C w 3 N n 0 m c X V v d D s s J n F 1 b 3 Q 7 U 2 V j d G l v b j E v U m V m Z X J l b n R p Z V 9 F e H B v c n Q v Q X V 0 b 1 J l b W 9 2 Z W R D b 2 x 1 b W 5 z M S 5 7 U m V u Z X d h Y m x l X 2 V u Z X J n e V 9 0 b 3 R h b C 5 E M S w 3 N 3 0 m c X V v d D s s J n F 1 b 3 Q 7 U 2 V j d G l v b j E v U m V m Z X J l b n R p Z V 9 F e H B v c n Q v Q X V 0 b 1 J l b W 9 2 Z W R D b 2 x 1 b W 5 z M S 5 7 U m V u Z X d h Y m x l X 2 V u Z X J n e V 9 0 b 3 R h b C 5 E M i w 3 O H 0 m c X V v d D s s J n F 1 b 3 Q 7 U 2 V j d G l v b j E v U m V m Z X J l b n R p Z V 9 F e H B v c n Q v Q X V 0 b 1 J l b W 9 2 Z W R D b 2 x 1 b W 5 z M S 5 7 U m V u Z X d h Y m x l X 2 V u Z X J n e V 9 0 b 3 R h b C 5 0 b 3 R h b C w 3 O X 0 m c X V v d D s s J n F 1 b 3 Q 7 U 2 V j d G l v b j E v U m V m Z X J l b n R p Z V 9 F e H B v c n Q v Q X V 0 b 1 J l b W 9 2 Z W R D b 2 x 1 b W 5 z M S 5 7 R m 9 z c 2 l s X 2 V u Z X J n e V 9 0 b 3 R h b C 5 B M S w 4 M H 0 m c X V v d D s s J n F 1 b 3 Q 7 U 2 V j d G l v b j E v U m V m Z X J l b n R p Z V 9 F e H B v c n Q v Q X V 0 b 1 J l b W 9 2 Z W R D b 2 x 1 b W 5 z M S 5 7 R m 9 z c 2 l s X 2 V u Z X J n e V 9 0 b 3 R h b C 5 B M i w 4 M X 0 m c X V v d D s s J n F 1 b 3 Q 7 U 2 V j d G l v b j E v U m V m Z X J l b n R p Z V 9 F e H B v c n Q v Q X V 0 b 1 J l b W 9 2 Z W R D b 2 x 1 b W 5 z M S 5 7 R m 9 z c 2 l s X 2 V u Z X J n e V 9 0 b 3 R h b C 5 B M y w 4 M n 0 m c X V v d D s s J n F 1 b 3 Q 7 U 2 V j d G l v b j E v U m V m Z X J l b n R p Z V 9 F e H B v c n Q v Q X V 0 b 1 J l b W 9 2 Z W R D b 2 x 1 b W 5 z M S 5 7 R m 9 z c 2 l s X 2 V u Z X J n e V 9 0 b 3 R h b C 5 B N C w 4 M 3 0 m c X V v d D s s J n F 1 b 3 Q 7 U 2 V j d G l v b j E v U m V m Z X J l b n R p Z V 9 F e H B v c n Q v Q X V 0 b 1 J l b W 9 2 Z W R D b 2 x 1 b W 5 z M S 5 7 R m 9 z c 2 l s X 2 V u Z X J n e V 9 0 b 3 R h b C 5 B N S w 4 N H 0 m c X V v d D s s J n F 1 b 3 Q 7 U 2 V j d G l v b j E v U m V m Z X J l b n R p Z V 9 F e H B v c n Q v Q X V 0 b 1 J l b W 9 2 Z W R D b 2 x 1 b W 5 z M S 5 7 R m 9 z c 2 l s X 2 V u Z X J n e V 9 0 b 3 R h b C 5 C M S w 4 N X 0 m c X V v d D s s J n F 1 b 3 Q 7 U 2 V j d G l v b j E v U m V m Z X J l b n R p Z V 9 F e H B v c n Q v Q X V 0 b 1 J l b W 9 2 Z W R D b 2 x 1 b W 5 z M S 5 7 R m 9 z c 2 l s X 2 V u Z X J n e V 9 0 b 3 R h b C 5 C N C w 4 N n 0 m c X V v d D s s J n F 1 b 3 Q 7 U 2 V j d G l v b j E v U m V m Z X J l b n R p Z V 9 F e H B v c n Q v Q X V 0 b 1 J l b W 9 2 Z W R D b 2 x 1 b W 5 z M S 5 7 R m 9 z c 2 l s X 2 V u Z X J n e V 9 0 b 3 R h b C 5 D M S w 4 N 3 0 m c X V v d D s s J n F 1 b 3 Q 7 U 2 V j d G l v b j E v U m V m Z X J l b n R p Z V 9 F e H B v c n Q v Q X V 0 b 1 J l b W 9 2 Z W R D b 2 x 1 b W 5 z M S 5 7 R m 9 z c 2 l s X 2 V u Z X J n e V 9 0 b 3 R h b C 5 D M i w 4 O H 0 m c X V v d D s s J n F 1 b 3 Q 7 U 2 V j d G l v b j E v U m V m Z X J l b n R p Z V 9 F e H B v c n Q v Q X V 0 b 1 J l b W 9 2 Z W R D b 2 x 1 b W 5 z M S 5 7 R m 9 z c 2 l s X 2 V u Z X J n e V 9 0 b 3 R h b C 5 D M y w 4 O X 0 m c X V v d D s s J n F 1 b 3 Q 7 U 2 V j d G l v b j E v U m V m Z X J l b n R p Z V 9 F e H B v c n Q v Q X V 0 b 1 J l b W 9 2 Z W R D b 2 x 1 b W 5 z M S 5 7 R m 9 z c 2 l s X 2 V u Z X J n e V 9 0 b 3 R h b C 5 D N C w 5 M H 0 m c X V v d D s s J n F 1 b 3 Q 7 U 2 V j d G l v b j E v U m V m Z X J l b n R p Z V 9 F e H B v c n Q v Q X V 0 b 1 J l b W 9 2 Z W R D b 2 x 1 b W 5 z M S 5 7 R m 9 z c 2 l s X 2 V u Z X J n e V 9 0 b 3 R h b C 5 E M S w 5 M X 0 m c X V v d D s s J n F 1 b 3 Q 7 U 2 V j d G l v b j E v U m V m Z X J l b n R p Z V 9 F e H B v c n Q v Q X V 0 b 1 J l b W 9 2 Z W R D b 2 x 1 b W 5 z M S 5 7 R m 9 z c 2 l s X 2 V u Z X J n e V 9 0 b 3 R h b C 5 E M i w 5 M n 0 m c X V v d D s s J n F 1 b 3 Q 7 U 2 V j d G l v b j E v U m V m Z X J l b n R p Z V 9 F e H B v c n Q v Q X V 0 b 1 J l b W 9 2 Z W R D b 2 x 1 b W 5 z M S 5 7 R m 9 z c 2 l s X 2 V u Z X J n e V 9 0 b 3 R h b C 5 0 b 3 R h b C w 5 M 3 0 m c X V v d D s s J n F 1 b 3 Q 7 U 2 V j d G l v b j E v U m V m Z X J l b n R p Z V 9 F e H B v c n Q v Q X V 0 b 1 J l b W 9 2 Z W R D b 2 x 1 b W 5 z M S 5 7 V H J h b n N w b 3 J 0 X 3 R v d G F s L n R y Y W 5 z c G 9 y d F 9 0 b 1 9 j b 2 5 z d H J 1 Y 3 R p b 2 5 f c 2 l 0 Z V t 0 a 2 1 d L D k 0 f S Z x d W 9 0 O y w m c X V v d D t T Z W N 0 a W 9 u M S 9 S Z W Z l c m V u d G l l X 0 V 4 c G 9 y d C 9 B d X R v U m V t b 3 Z l Z E N v b H V t b n M x L n t U c m F u c 3 B v c n R f d G 9 0 Y W w u d H J h b n N w b 3 J 0 X 3 R v X 3 B y b 2 N l c 3 N v c l t 0 a 2 1 d L D k 1 f S Z x d W 9 0 O y w m c X V v d D t T Z W N 0 a W 9 u M S 9 S Z W Z l c m V u d G l l X 0 V 4 c G 9 y d C 9 B d X R v U m V t b 3 Z l Z E N v b H V t b n M x L n t U c m F u c 3 B v c n R f d G 9 0 Y W w u Z W 1 p c 3 N p b 2 5 f Z n J l Z V 9 0 c m F u c 3 B v c n R f d G 9 f Y 2 9 u c 3 R y d W N 0 a W 9 u X 3 N p d G U s O T Z 9 J n F 1 b 3 Q 7 L C Z x d W 9 0 O 1 N l Y 3 R p b 2 4 x L 1 J l Z m V y Z W 5 0 a W V f R X h w b 3 J 0 L 0 F 1 d G 9 S Z W 1 v d m V k Q 2 9 s d W 1 u c z E u e 1 R y Y W 5 z c G 9 y d F 9 0 b 3 R h b C 5 l b W l z c 2 l v b l 9 m c m V l X 3 R y Y W 5 z c G 9 y d F 9 0 b 1 9 w c m 9 j Z X N z b 3 I s O T d 9 J n F 1 b 3 Q 7 L C Z x d W 9 0 O 1 N l Y 3 R p b 2 4 x L 1 J l Z m V y Z W 5 0 a W V f R X h w b 3 J 0 L 0 F 1 d G 9 S Z W 1 v d m V k Q 2 9 s d W 1 u c z E u e 1 R y Y W 5 z c G 9 y d F 9 0 b 3 R h b C 5 l b W l z c 2 l v b l 9 m c m V l X 3 R y Y W 5 z c G 9 y d C w 5 O H 0 m c X V v d D s s J n F 1 b 3 Q 7 U 2 V j d G l v b j E v U m V m Z X J l b n R p Z V 9 F e H B v c n Q v Q X V 0 b 1 J l b W 9 2 Z W R D b 2 x 1 b W 5 z M S 5 7 V H J h b n N w b 3 J 0 X 3 R v d G F s L n R y Y W 5 z c G 9 y d F 9 0 b 1 9 j b 2 5 z d H J 1 Y 3 R p b 2 5 f c 2 l 0 Z V 9 y Z X B s Y W N l b W V u d H N b d G t t X S w 5 O X 0 m c X V v d D s s J n F 1 b 3 Q 7 U 2 V j d G l v b j E v U m V m Z X J l b n R p Z V 9 F e H B v c n Q v Q X V 0 b 1 J l b W 9 2 Z W R D b 2 x 1 b W 5 z M S 5 7 V H J h b n N w b 3 J 0 X 3 R v d G F s L n R y Y W 5 z c G 9 y d F 9 0 b 1 9 w c m 9 j Z X N z b 3 J f c m V w b G F j Z W 1 l b n R z W 3 R r b V 0 s M T A w f S Z x d W 9 0 O y w m c X V v d D t T Z W N 0 a W 9 u M S 9 S Z W Z l c m V u d G l l X 0 V 4 c G 9 y d C 9 B d X R v U m V t b 3 Z l Z E N v b H V t b n M x L n t U c m F u c 3 B v c n R f d G 9 0 Y W w u Z W 1 p c 3 N p b 2 5 f Z n J l Z V 9 0 c m F u c 3 B v c n R f c m V w b G F j Z W 1 l b n R z W 3 R r b V 0 s M T A x f S Z x d W 9 0 O y w m c X V v d D t T Z W N 0 a W 9 u M S 9 S Z W Z l c m V u d G l l X 0 V 4 c G 9 y d C 9 B d X R v U m V t b 3 Z l Z E N v b H V t b n M x L n t U c m F u c 3 B v c n R f d G 9 0 Y W w u d G 9 0 Y W x f Z W 1 p c 3 N p b 2 5 f Z n J l Z V 9 0 c m F u c 3 B v c n Q s M T A y f S Z x d W 9 0 O y w m c X V v d D t T Z W N 0 a W 9 u M S 9 S Z W Z l c m V u d G l l X 0 V 4 c G 9 y d C 9 B d X R v U m V t b 3 Z l Z E N v b H V t b n M x L n t U c m F u c 3 B v c n R f d G 9 0 Y W w u d G 9 0 Y W x f b m 9 u X 2 V t a X N z a W 9 u X 2 Z y Z W V f d H J h b n N w b 3 J 0 L D E w M 3 0 m c X V v d D s s J n F 1 b 3 Q 7 U 2 V j d G l v b j E v U m V m Z X J l b n R p Z V 9 F e H B v c n Q v Q X V 0 b 1 J l b W 9 2 Z W R D b 2 x 1 b W 5 z M S 5 7 V H J h b n N w b 3 J 0 X 3 R v d G F s L n R v d G F s X 3 R y Y W 5 z c G 9 y d C w x M D R 9 J n F 1 b 3 Q 7 L C Z x d W 9 0 O 1 N l Y 3 R p b 2 4 x L 1 J l Z m V y Z W 5 0 a W V f R X h w b 3 J 0 L 0 F 1 d G 9 S Z W 1 v d m V k Q 2 9 s d W 1 u c z E u e 0 N v b n N 0 c n V j d G l v b l 9 z a X R l X 3 R v d G F s L m 9 w Z X J h d G l v b l 9 o b 3 V y X 2 N v b n N 0 c n V j d G l v b i w x M D V 9 J n F 1 b 3 Q 7 L C Z x d W 9 0 O 1 N l Y 3 R p b 2 4 x L 1 J l Z m V y Z W 5 0 a W V f R X h w b 3 J 0 L 0 F 1 d G 9 S Z W 1 v d m V k Q 2 9 s d W 1 u c z E u e 0 N v b n N 0 c n V j d G l v b l 9 z a X R l X 3 R v d G F s L m 9 w Z X J h d G l v b l 9 o b 3 V y X 3 J l b W 9 2 Y W w s M T A 2 f S Z x d W 9 0 O y w m c X V v d D t T Z W N 0 a W 9 u M S 9 S Z W Z l c m V u d G l l X 0 V 4 c G 9 y d C 9 B d X R v U m V t b 3 Z l Z E N v b H V t b n M x L n t D b 2 5 z d H J 1 Y 3 R p b 2 5 f c 2 l 0 Z V 9 0 b 3 R h b C 5 l b W l z c 2 l v b l 9 m c m V l X 2 N v b n N 0 c n V j d G l v b i w x M D d 9 J n F 1 b 3 Q 7 L C Z x d W 9 0 O 1 N l Y 3 R p b 2 4 x L 1 J l Z m V y Z W 5 0 a W V f R X h w b 3 J 0 L 0 F 1 d G 9 S Z W 1 v d m V k Q 2 9 s d W 1 u c z E u e 0 N v b n N 0 c n V j d G l v b l 9 z a X R l X 3 R v d G F s L m V t a X N z a W 9 u X 2 Z y Z W V f c m V t b 3 Z h b C w x M D h 9 J n F 1 b 3 Q 7 L C Z x d W 9 0 O 1 N l Y 3 R p b 2 4 x L 1 J l Z m V y Z W 5 0 a W V f R X h w b 3 J 0 L 0 F 1 d G 9 S Z W 1 v d m V k Q 2 9 s d W 1 u c z E u e 0 N v b n N 0 c n V j d G l v b l 9 z a X R l X 3 R v d G F s L m V t a X N z a W 9 u X 2 Z y Z W V f Y 2 9 u c 3 R y d W N 0 a W 9 u X 3 N p d G U s M T A 5 f S Z x d W 9 0 O y w m c X V v d D t T Z W N 0 a W 9 u M S 9 S Z W Z l c m V u d G l l X 0 V 4 c G 9 y d C 9 B d X R v U m V t b 3 Z l Z E N v b H V t b n M x L n t D b 2 5 z d H J 1 Y 3 R p b 2 5 f c 2 l 0 Z V 9 0 b 3 R h b C 5 l b W l z c 2 l v b l 9 m c m V l X 2 N v b n N 0 c n V j d G l v b l 9 z a X R l X 3 J l c G x h Y 2 V t Z W 5 0 L D E x M H 0 m c X V v d D s s J n F 1 b 3 Q 7 U 2 V j d G l v b j E v U m V m Z X J l b n R p Z V 9 F e H B v c n Q v Q X V 0 b 1 J l b W 9 2 Z W R D b 2 x 1 b W 5 z M S 5 7 Q 2 9 u c 3 R y d W N 0 a W 9 u X 3 N p d G V f d G 9 0 Y W w u d G 9 0 Y W x f Z W 1 p c 3 N p b 2 5 f Z n J l Z V 9 j b 2 5 z d H J 1 Y 3 R p b 2 5 f c 2 l 0 Z S w x M T F 9 J n F 1 b 3 Q 7 L C Z x d W 9 0 O 1 N l Y 3 R p b 2 4 x L 1 J l Z m V y Z W 5 0 a W V f R X h w b 3 J 0 L 0 F 1 d G 9 S Z W 1 v d m V k Q 2 9 s d W 1 u c z E u e 0 N v b n N 0 c n V j d G l v b l 9 z a X R l X 3 R v d G F s L n R v d G F s X 2 5 v b l 9 l b W l z c 2 l v b l 9 m c m V l X 2 N v b n N 0 c n V j d G l v b l 9 z a X R l L D E x M n 0 m c X V v d D s s J n F 1 b 3 Q 7 U 2 V j d G l v b j E v U m V m Z X J l b n R p Z V 9 F e H B v c n Q v Q X V 0 b 1 J l b W 9 2 Z W R D b 2 x 1 b W 5 z M S 5 7 Q 2 9 u c 3 R y d W N 0 a W 9 u X 3 N p d G V f d G 9 0 Y W w u d G 9 0 Y W x f Y 2 9 u c 3 R y d W N 0 a W 9 u X 3 N p d G U s M T E z f S Z x d W 9 0 O y w m c X V v d D t T Z W N 0 a W 9 u M S 9 S Z W Z l c m V u d G l l X 0 V 4 c G 9 y d C 9 B d X R v U m V t b 3 Z l Z E N v b H V t b n M x L n t N S 0 l f d G 9 0 Y W x f d G 9 u X 0 E x X 0 E z L D E x N H 0 m c X V v d D s s J n F 1 b 3 Q 7 U 2 V j d G l v b j E v U m V m Z X J l b n R p Z V 9 F e H B v c n Q v Q X V 0 b 1 J l b W 9 2 Z W R D b 2 x 1 b W 5 z M S 5 7 T U t J X 3 R v d G F s X 2 0 z X 0 E x X 0 E z L D E x N X 0 m c X V v d D s s J n F 1 b 3 Q 7 U 2 V j d G l v b j E v U m V m Z X J l b n R p Z V 9 F e H B v c n Q v Q X V 0 b 1 J l b W 9 2 Z W R D b 2 x 1 b W 5 z M S 5 7 Q 0 8 y X 3 R v d G F s X 3 R v b l 9 B M V 9 B M y w x M T Z 9 J n F 1 b 3 Q 7 L C Z x d W 9 0 O 1 N l Y 3 R p b 2 4 x L 1 J l Z m V y Z W 5 0 a W V f R X h w b 3 J 0 L 0 F 1 d G 9 S Z W 1 v d m V k Q 2 9 s d W 1 u c z E u e 0 N P M l 9 0 b 3 R h b F 9 t M 1 9 B M V 9 B M y w x M T d 9 J n F 1 b 3 Q 7 L C Z x d W 9 0 O 1 N l Y 3 R p b 2 4 x L 1 J l Z m V y Z W 5 0 a W V f R X h w b 3 J 0 L 0 F 1 d G 9 S Z W 1 v d m V k Q 2 9 s d W 1 u c z E u e 0 1 L S V 9 0 b 3 R h b F 9 B M V 9 B M y w x M T h 9 J n F 1 b 3 Q 7 L C Z x d W 9 0 O 1 N l Y 3 R p b 2 4 x L 1 J l Z m V y Z W 5 0 a W V f R X h w b 3 J 0 L 0 F 1 d G 9 S Z W 1 v d m V k Q 2 9 s d W 1 u c z E u e 0 N P M l 9 0 b 3 R h b F 9 B M V 9 B M y w x M T l 9 J n F 1 b 3 Q 7 X S w m c X V v d D t D b 2 x 1 b W 5 D b 3 V u d C Z x d W 9 0 O z o x M j A s J n F 1 b 3 Q 7 S 2 V 5 Q 2 9 s d W 1 u T m F t Z X M m c X V v d D s 6 W 1 0 s J n F 1 b 3 Q 7 Q 2 9 s d W 1 u S W R l b n R p d G l l c y Z x d W 9 0 O z p b J n F 1 b 3 Q 7 U 2 V j d G l v b j E v U m V m Z X J l b n R p Z V 9 F e H B v c n Q v Q X V 0 b 1 J l b W 9 2 Z W R D b 2 x 1 b W 5 z M S 5 7 Q 2 x p Z W 5 0 L D B 9 J n F 1 b 3 Q 7 L C Z x d W 9 0 O 1 N l Y 3 R p b 2 4 x L 1 J l Z m V y Z W 5 0 a W V f R X h w b 3 J 0 L 0 F 1 d G 9 S Z W 1 v d m V k Q 2 9 s d W 1 u c z E u e 0 N v b n R y Y W N 0 b 3 I s M X 0 m c X V v d D s s J n F 1 b 3 Q 7 U 2 V j d G l v b j E v U m V m Z X J l b n R p Z V 9 F e H B v c n Q v Q X V 0 b 1 J l b W 9 2 Z W R D b 2 x 1 b W 5 z M S 5 7 U H J v a m V j d F 9 J R C w y f S Z x d W 9 0 O y w m c X V v d D t T Z W N 0 a W 9 u M S 9 S Z W Z l c m V u d G l l X 0 V 4 c G 9 y d C 9 B d X R v U m V t b 3 Z l Z E N v b H V t b n M x L n t Q c m 9 q Z W N 0 X 2 x p Z m V z c G F u L D N 9 J n F 1 b 3 Q 7 L C Z x d W 9 0 O 1 N l Y 3 R p b 2 4 x L 1 J l Z m V y Z W 5 0 a W V f R X h w b 3 J 0 L 0 F 1 d G 9 S Z W 1 v d m V k Q 2 9 s d W 1 u c z E u e 1 B y b 2 p l Y 3 R f Z G F 0 Z S w 0 f S Z x d W 9 0 O y w m c X V v d D t T Z W N 0 a W 9 u M S 9 S Z W Z l c m V u d G l l X 0 V 4 c G 9 y d C 9 B d X R v U m V t b 3 Z l Z E N v b H V t b n M x L n t W Z X J z a W 9 u L D V 9 J n F 1 b 3 Q 7 L C Z x d W 9 0 O 1 N l Y 3 R p b 2 4 x L 1 J l Z m V y Z W 5 0 a W V f R X h w b 3 J 0 L 0 F 1 d G 9 S Z W 1 v d m V k Q 2 9 s d W 1 u c z E u e 1 J B V 1 9 J R C w 2 f S Z x d W 9 0 O y w m c X V v d D t T Z W N 0 a W 9 u M S 9 S Z W Z l c m V u d G l l X 0 V 4 c G 9 y d C 9 B d X R v U m V t b 3 Z l Z E N v b H V t b n M x L n t X b 3 J r c 2 N v c G U s N 3 0 m c X V v d D s s J n F 1 b 3 Q 7 U 2 V j d G l v b j E v U m V m Z X J l b n R p Z V 9 F e H B v c n Q v Q X V 0 b 1 J l b W 9 2 Z W R D b 2 x 1 b W 5 z M S 5 7 U H J p Y 2 U s O H 0 m c X V v d D s s J n F 1 b 3 Q 7 U 2 V j d G l v b j E v U m V m Z X J l b n R p Z V 9 F e H B v c n Q v Q X V 0 b 1 J l b W 9 2 Z W R D b 2 x 1 b W 5 z M S 5 7 U H J v Z H V j d G d y b 3 V w L D l 9 J n F 1 b 3 Q 7 L C Z x d W 9 0 O 1 N l Y 3 R p b 2 4 x L 1 J l Z m V y Z W 5 0 a W V f R X h w b 3 J 0 L 0 F 1 d G 9 S Z W 1 v d m V k Q 2 9 s d W 1 u c z E u e 1 B y b 2 R 1 Y 3 Q s M T B 9 J n F 1 b 3 Q 7 L C Z x d W 9 0 O 1 N l Y 3 R p b 2 4 x L 1 J l Z m V y Z W 5 0 a W V f R X h w b 3 J 0 L 0 F 1 d G 9 S Z W 1 v d m V k Q 2 9 s d W 1 u c z E u e 1 B y b 2 R 1 Y 3 R 0 e X B l L D E x f S Z x d W 9 0 O y w m c X V v d D t T Z W N 0 a W 9 u M S 9 S Z W Z l c m V u d G l l X 0 V 4 c G 9 y d C 9 B d X R v U m V t b 3 Z l Z E N v b H V t b n M x L n t T d X J m Y W N l W 2 0 y X S w x M n 0 m c X V v d D s s J n F 1 b 3 Q 7 U 2 V j d G l v b j E v U m V m Z X J l b n R p Z V 9 F e H B v c n Q v Q X V 0 b 1 J l b W 9 2 Z W R D b 2 x 1 b W 5 z M S 5 7 V G h p Y 2 t u Z X N z W 2 1 d L D E z f S Z x d W 9 0 O y w m c X V v d D t T Z W N 0 a W 9 u M S 9 S Z W Z l c m V u d G l l X 0 V 4 c G 9 y d C 9 B d X R v U m V t b 3 Z l Z E N v b H V t b n M x L n t T c G V j a W Z p Y 1 9 3 Z W l n a H R b d G 9 u L 2 0 z X S w x N H 0 m c X V v d D s s J n F 1 b 3 Q 7 U 2 V j d G l v b j E v U m V m Z X J l b n R p Z V 9 F e H B v c n Q v Q X V 0 b 1 J l b W 9 2 Z W R D b 2 x 1 b W 5 z M S 5 7 Q W 1 v d W 5 0 W 2 0 z X S w x N X 0 m c X V v d D s s J n F 1 b 3 Q 7 U 2 V j d G l v b j E v U m V m Z X J l b n R p Z V 9 F e H B v c n Q v Q X V 0 b 1 J l b W 9 2 Z W R D b 2 x 1 b W 5 z M S 5 7 Q W 1 v d W 5 0 W 3 R v b l 0 s M T Z 9 J n F 1 b 3 Q 7 L C Z x d W 9 0 O 1 N l Y 3 R p b 2 4 x L 1 J l Z m V y Z W 5 0 a W V f R X h w b 3 J 0 L 0 F 1 d G 9 S Z W 1 v d m V k Q 2 9 s d W 1 u c z E u e 1 J l c G x h Y 2 V t Z W 5 0 c y w x N 3 0 m c X V v d D s s J n F 1 b 3 Q 7 U 2 V j d G l v b j E v U m V m Z X J l b n R p Z V 9 F e H B v c n Q v Q X V 0 b 1 J l b W 9 2 Z W R D b 2 x 1 b W 5 z M S 5 7 Q T R f d H J h b n N w b 3 J 0 X 2 R p c 3 R h b m N l X 3 R v X 2 N v b n N 0 c n V j d G l v b l 9 z a X R l W 2 t t X S w x O H 0 m c X V v d D s s J n F 1 b 3 Q 7 U 2 V j d G l v b j E v U m V m Z X J l b n R p Z V 9 F e H B v c n Q v Q X V 0 b 1 J l b W 9 2 Z W R D b 2 x 1 b W 5 z M S 5 7 Q T R f d H J h b n N w b 3 J 0 b W 9 k Z V 9 0 b 1 9 j b 2 5 z d H J 1 Y 3 R p b 2 5 f c 2 l 0 Z S w x O X 0 m c X V v d D s s J n F 1 b 3 Q 7 U 2 V j d G l v b j E v U m V m Z X J l b n R p Z V 9 F e H B v c n Q v Q X V 0 b 1 J l b W 9 2 Z W R D b 2 x 1 b W 5 z M S 5 7 Q T V f Y X N w a G F s d F 9 j b 2 5 z d H J 1 Y 3 R p b 2 5 f c 2 V 0 L D I w f S Z x d W 9 0 O y w m c X V v d D t T Z W N 0 a W 9 u M S 9 S Z W Z l c m V u d G l l X 0 V 4 c G 9 y d C 9 B d X R v U m V t b 3 Z l Z E N v b H V t b n M x L n t B N V 9 v d G h l c l 9 j b 2 5 z d H J 1 Y 3 R p b 2 5 f Z X F 1 a X B t Z W 5 0 L D I x f S Z x d W 9 0 O y w m c X V v d D t T Z W N 0 a W 9 u M S 9 S Z W Z l c m V u d G l l X 0 V 4 c G 9 y d C 9 B d X R v U m V t b 3 Z l Z E N v b H V t b n M x L n t D M V 9 h c 3 B o Y W x 0 X 3 J l b W 9 2 Y W x f c 2 V 0 L D I y f S Z x d W 9 0 O y w m c X V v d D t T Z W N 0 a W 9 u M S 9 S Z W Z l c m V u d G l l X 0 V 4 c G 9 y d C 9 B d X R v U m V t b 3 Z l Z E N v b H V t b n M x L n t D M V 9 v d G h l c l 9 y Z W 1 v d m F s X 2 V x d W l w b W V u d C w y M 3 0 m c X V v d D s s J n F 1 b 3 Q 7 U 2 V j d G l v b j E v U m V m Z X J l b n R p Z V 9 F e H B v c n Q v Q X V 0 b 1 J l b W 9 2 Z W R D b 2 x 1 b W 5 z M S 5 7 Q z J f d H J h b n N w b 3 J 0 Z G l z d G F u Y 2 V f d G 9 f c H J v Y 2 V z c 2 9 y W 2 t t X S w y N H 0 m c X V v d D s s J n F 1 b 3 Q 7 U 2 V j d G l v b j E v U m V m Z X J l b n R p Z V 9 F e H B v c n Q v Q X V 0 b 1 J l b W 9 2 Z W R D b 2 x 1 b W 5 z M S 5 7 Q z J f d H J h b n N w b 3 J 0 b W 9 k Z V 9 0 b 1 9 w c m 9 j Z X N z b 3 I s M j V 9 J n F 1 b 3 Q 7 L C Z x d W 9 0 O 1 N l Y 3 R p b 2 4 x L 1 J l Z m V y Z W 5 0 a W V f R X h w b 3 J 0 L 0 F 1 d G 9 S Z W 1 v d m V k Q 2 9 s d W 1 u c z E u e 0 M z X 3 B y b 2 N l c 3 N p b m d z Z X Q s M j Z 9 J n F 1 b 3 Q 7 L C Z x d W 9 0 O 1 N l Y 3 R p b 2 4 x L 1 J l Z m V y Z W 5 0 a W V f R X h w b 3 J 0 L 0 F 1 d G 9 S Z W 1 v d m V k Q 2 9 s d W 1 u c z E u e 0 F z c 3 V t c H R p b 2 5 z L D I 3 f S Z x d W 9 0 O y w m c X V v d D t T Z W N 0 a W 9 u M S 9 S Z W Z l c m V u d G l l X 0 V 4 c G 9 y d C 9 B d X R v U m V t b 3 Z l Z E N v b H V t b n M x L n t F Q 0 l f d G 9 0 Y W w u Q T E s M j h 9 J n F 1 b 3 Q 7 L C Z x d W 9 0 O 1 N l Y 3 R p b 2 4 x L 1 J l Z m V y Z W 5 0 a W V f R X h w b 3 J 0 L 0 F 1 d G 9 S Z W 1 v d m V k Q 2 9 s d W 1 u c z E u e 0 V D S V 9 0 b 3 R h b C 5 B M i w y O X 0 m c X V v d D s s J n F 1 b 3 Q 7 U 2 V j d G l v b j E v U m V m Z X J l b n R p Z V 9 F e H B v c n Q v Q X V 0 b 1 J l b W 9 2 Z W R D b 2 x 1 b W 5 z M S 5 7 R U N J X 3 R v d G F s L k E z L D M w f S Z x d W 9 0 O y w m c X V v d D t T Z W N 0 a W 9 u M S 9 S Z W Z l c m V u d G l l X 0 V 4 c G 9 y d C 9 B d X R v U m V t b 3 Z l Z E N v b H V t b n M x L n t F Q 0 l f d G 9 0 Y W w u Q T Q s M z F 9 J n F 1 b 3 Q 7 L C Z x d W 9 0 O 1 N l Y 3 R p b 2 4 x L 1 J l Z m V y Z W 5 0 a W V f R X h w b 3 J 0 L 0 F 1 d G 9 S Z W 1 v d m V k Q 2 9 s d W 1 u c z E u e 0 V D S V 9 0 b 3 R h b C 5 B N S w z M n 0 m c X V v d D s s J n F 1 b 3 Q 7 U 2 V j d G l v b j E v U m V m Z X J l b n R p Z V 9 F e H B v c n Q v Q X V 0 b 1 J l b W 9 2 Z W R D b 2 x 1 b W 5 z M S 5 7 R U N J X 3 R v d G F s L k I x L D M z f S Z x d W 9 0 O y w m c X V v d D t T Z W N 0 a W 9 u M S 9 S Z W Z l c m V u d G l l X 0 V 4 c G 9 y d C 9 B d X R v U m V t b 3 Z l Z E N v b H V t b n M x L n t F Q 0 l f d G 9 0 Y W w u Q j Q s M z R 9 J n F 1 b 3 Q 7 L C Z x d W 9 0 O 1 N l Y 3 R p b 2 4 x L 1 J l Z m V y Z W 5 0 a W V f R X h w b 3 J 0 L 0 F 1 d G 9 S Z W 1 v d m V k Q 2 9 s d W 1 u c z E u e 0 V D S V 9 0 b 3 R h b C 5 D M S w z N X 0 m c X V v d D s s J n F 1 b 3 Q 7 U 2 V j d G l v b j E v U m V m Z X J l b n R p Z V 9 F e H B v c n Q v Q X V 0 b 1 J l b W 9 2 Z W R D b 2 x 1 b W 5 z M S 5 7 R U N J X 3 R v d G F s L k M y L D M 2 f S Z x d W 9 0 O y w m c X V v d D t T Z W N 0 a W 9 u M S 9 S Z W Z l c m V u d G l l X 0 V 4 c G 9 y d C 9 B d X R v U m V t b 3 Z l Z E N v b H V t b n M x L n t F Q 0 l f d G 9 0 Y W w u Q z M s M z d 9 J n F 1 b 3 Q 7 L C Z x d W 9 0 O 1 N l Y 3 R p b 2 4 x L 1 J l Z m V y Z W 5 0 a W V f R X h w b 3 J 0 L 0 F 1 d G 9 S Z W 1 v d m V k Q 2 9 s d W 1 u c z E u e 0 V D S V 9 0 b 3 R h b C 5 D N C w z O H 0 m c X V v d D s s J n F 1 b 3 Q 7 U 2 V j d G l v b j E v U m V m Z X J l b n R p Z V 9 F e H B v c n Q v Q X V 0 b 1 J l b W 9 2 Z W R D b 2 x 1 b W 5 z M S 5 7 R U N J X 3 R v d G F s L k Q x L D M 5 f S Z x d W 9 0 O y w m c X V v d D t T Z W N 0 a W 9 u M S 9 S Z W Z l c m V u d G l l X 0 V 4 c G 9 y d C 9 B d X R v U m V t b 3 Z l Z E N v b H V t b n M x L n t F Q 0 l f d G 9 0 Y W w u R D I s N D B 9 J n F 1 b 3 Q 7 L C Z x d W 9 0 O 1 N l Y 3 R p b 2 4 x L 1 J l Z m V y Z W 5 0 a W V f R X h w b 3 J 0 L 0 F 1 d G 9 S Z W 1 v d m V k Q 2 9 s d W 1 u c z E u e 0 V D S V 9 0 b 3 R h b C 5 0 b 3 R h b C w 0 M X 0 m c X V v d D s s J n F 1 b 3 Q 7 U 2 V j d G l v b j E v U m V m Z X J l b n R p Z V 9 F e H B v c n Q v Q X V 0 b 1 J l b W 9 2 Z W R D b 2 x 1 b W 5 z M S 5 7 Q 0 8 y X 3 R v d G F s L k E x L D Q y f S Z x d W 9 0 O y w m c X V v d D t T Z W N 0 a W 9 u M S 9 S Z W Z l c m V u d G l l X 0 V 4 c G 9 y d C 9 B d X R v U m V t b 3 Z l Z E N v b H V t b n M x L n t D T z J f d G 9 0 Y W w u Q T I s N D N 9 J n F 1 b 3 Q 7 L C Z x d W 9 0 O 1 N l Y 3 R p b 2 4 x L 1 J l Z m V y Z W 5 0 a W V f R X h w b 3 J 0 L 0 F 1 d G 9 S Z W 1 v d m V k Q 2 9 s d W 1 u c z E u e 0 N P M l 9 0 b 3 R h b C 5 B M y w 0 N H 0 m c X V v d D s s J n F 1 b 3 Q 7 U 2 V j d G l v b j E v U m V m Z X J l b n R p Z V 9 F e H B v c n Q v Q X V 0 b 1 J l b W 9 2 Z W R D b 2 x 1 b W 5 z M S 5 7 Q 0 8 y X 3 R v d G F s L k E 0 L D Q 1 f S Z x d W 9 0 O y w m c X V v d D t T Z W N 0 a W 9 u M S 9 S Z W Z l c m V u d G l l X 0 V 4 c G 9 y d C 9 B d X R v U m V t b 3 Z l Z E N v b H V t b n M x L n t D T z J f d G 9 0 Y W w u Q T U s N D Z 9 J n F 1 b 3 Q 7 L C Z x d W 9 0 O 1 N l Y 3 R p b 2 4 x L 1 J l Z m V y Z W 5 0 a W V f R X h w b 3 J 0 L 0 F 1 d G 9 S Z W 1 v d m V k Q 2 9 s d W 1 u c z E u e 0 N P M l 9 0 b 3 R h b C 5 C M S w 0 N 3 0 m c X V v d D s s J n F 1 b 3 Q 7 U 2 V j d G l v b j E v U m V m Z X J l b n R p Z V 9 F e H B v c n Q v Q X V 0 b 1 J l b W 9 2 Z W R D b 2 x 1 b W 5 z M S 5 7 Q 0 8 y X 3 R v d G F s L k I 0 L D Q 4 f S Z x d W 9 0 O y w m c X V v d D t T Z W N 0 a W 9 u M S 9 S Z W Z l c m V u d G l l X 0 V 4 c G 9 y d C 9 B d X R v U m V t b 3 Z l Z E N v b H V t b n M x L n t D T z J f d G 9 0 Y W w u Q z E s N D l 9 J n F 1 b 3 Q 7 L C Z x d W 9 0 O 1 N l Y 3 R p b 2 4 x L 1 J l Z m V y Z W 5 0 a W V f R X h w b 3 J 0 L 0 F 1 d G 9 S Z W 1 v d m V k Q 2 9 s d W 1 u c z E u e 0 N P M l 9 0 b 3 R h b C 5 D M i w 1 M H 0 m c X V v d D s s J n F 1 b 3 Q 7 U 2 V j d G l v b j E v U m V m Z X J l b n R p Z V 9 F e H B v c n Q v Q X V 0 b 1 J l b W 9 2 Z W R D b 2 x 1 b W 5 z M S 5 7 Q 0 8 y X 3 R v d G F s L k M z L D U x f S Z x d W 9 0 O y w m c X V v d D t T Z W N 0 a W 9 u M S 9 S Z W Z l c m V u d G l l X 0 V 4 c G 9 y d C 9 B d X R v U m V t b 3 Z l Z E N v b H V t b n M x L n t D T z J f d G 9 0 Y W w u Q z Q s N T J 9 J n F 1 b 3 Q 7 L C Z x d W 9 0 O 1 N l Y 3 R p b 2 4 x L 1 J l Z m V y Z W 5 0 a W V f R X h w b 3 J 0 L 0 F 1 d G 9 S Z W 1 v d m V k Q 2 9 s d W 1 u c z E u e 0 N P M l 9 0 b 3 R h b C 5 E M S w 1 M 3 0 m c X V v d D s s J n F 1 b 3 Q 7 U 2 V j d G l v b j E v U m V m Z X J l b n R p Z V 9 F e H B v c n Q v Q X V 0 b 1 J l b W 9 2 Z W R D b 2 x 1 b W 5 z M S 5 7 Q 0 8 y X 3 R v d G F s L k Q y L D U 0 f S Z x d W 9 0 O y w m c X V v d D t T Z W N 0 a W 9 u M S 9 S Z W Z l c m V u d G l l X 0 V 4 c G 9 y d C 9 B d X R v U m V t b 3 Z l Z E N v b H V t b n M x L n t D T z J f d G 9 0 Y W w u d G 9 0 Y W w s N T V 9 J n F 1 b 3 Q 7 L C Z x d W 9 0 O 1 N l Y 3 R p b 2 4 x L 1 J l Z m V y Z W 5 0 a W V f R X h w b 3 J 0 L 0 F 1 d G 9 S Z W 1 v d m V k Q 2 9 s d W 1 u c z E u e 0 1 h d G V y a W F s X 3 R v d G F s L m F t b 3 V u d F t 0 b 2 5 d L D U 2 f S Z x d W 9 0 O y w m c X V v d D t T Z W N 0 a W 9 u M S 9 S Z W Z l c m V u d G l l X 0 V 4 c G 9 y d C 9 B d X R v U m V t b 3 Z l Z E N v b H V t b n M x L n t N Y X R l c m l h b F 9 0 b 3 R h b C 4 l c 2 V j d W 5 k Y X J 5 L D U 3 f S Z x d W 9 0 O y w m c X V v d D t T Z W N 0 a W 9 u M S 9 S Z W Z l c m V u d G l l X 0 V 4 c G 9 y d C 9 B d X R v U m V t b 3 Z l Z E N v b H V t b n M x L n t N Y X R l c m l h b F 9 0 b 3 R h b C 5 w c m l t Y X J 5 W 3 R v b l 0 s N T h 9 J n F 1 b 3 Q 7 L C Z x d W 9 0 O 1 N l Y 3 R p b 2 4 x L 1 J l Z m V y Z W 5 0 a W V f R X h w b 3 J 0 L 0 F 1 d G 9 S Z W 1 v d m V k Q 2 9 s d W 1 u c z E u e 0 1 h d G V y a W F s X 3 R v d G F s L n N l Y 3 V u Z G F y e V t 0 b 2 5 d L D U 5 f S Z x d W 9 0 O y w m c X V v d D t T Z W N 0 a W 9 u M S 9 S Z W Z l c m V u d G l l X 0 V 4 c G 9 y d C 9 B d X R v U m V t b 3 Z l Z E N v b H V t b n M x L n t N Y X R l c m l h b F 9 0 b 3 R h b C 5 h b W 9 1 b n R f c m V w b G F j Z W 1 l b n R z W 3 R v b l 0 s N j B 9 J n F 1 b 3 Q 7 L C Z x d W 9 0 O 1 N l Y 3 R p b 2 4 x L 1 J l Z m V y Z W 5 0 a W V f R X h w b 3 J 0 L 0 F 1 d G 9 S Z W 1 v d m V k Q 2 9 s d W 1 u c z E u e 0 1 h d G V y a W F s X 3 R v d G F s L n B y a W 1 h c n l f c m V w b G F j Z W 1 l b n R z W 3 R v b l 0 s N j F 9 J n F 1 b 3 Q 7 L C Z x d W 9 0 O 1 N l Y 3 R p b 2 4 x L 1 J l Z m V y Z W 5 0 a W V f R X h w b 3 J 0 L 0 F 1 d G 9 S Z W 1 v d m V k Q 2 9 s d W 1 u c z E u e 0 1 h d G V y a W F s X 3 R v d G F s L n N l Y 3 V u Z G F y e V 9 y Z X B s Y W N l b W V u d H N b d G 9 u X S w 2 M n 0 m c X V v d D s s J n F 1 b 3 Q 7 U 2 V j d G l v b j E v U m V m Z X J l b n R p Z V 9 F e H B v c n Q v Q X V 0 b 1 J l b W 9 2 Z W R D b 2 x 1 b W 5 z M S 5 7 T W F 0 Z X J p Y W x f d G 9 0 Y W w u d G 9 0 Y W x f c H J p b W F y e V t 0 b 2 5 d L D Y z f S Z x d W 9 0 O y w m c X V v d D t T Z W N 0 a W 9 u M S 9 S Z W Z l c m V u d G l l X 0 V 4 c G 9 y d C 9 B d X R v U m V t b 3 Z l Z E N v b H V t b n M x L n t N Y X R l c m l h b F 9 0 b 3 R h b C 5 0 b 3 R h b F 9 z Z W N 1 b m R h c n l b d G 9 u X S w 2 N H 0 m c X V v d D s s J n F 1 b 3 Q 7 U 2 V j d G l v b j E v U m V m Z X J l b n R p Z V 9 F e H B v c n Q v Q X V 0 b 1 J l b W 9 2 Z W R D b 2 x 1 b W 5 z M S 5 7 T W F 0 Z X J p Y W x f d G 9 0 Y W w u d G 9 0 Y W x b d G 9 u X S w 2 N X 0 m c X V v d D s s J n F 1 b 3 Q 7 U 2 V j d G l v b j E v U m V m Z X J l b n R p Z V 9 F e H B v c n Q v Q X V 0 b 1 J l b W 9 2 Z W R D b 2 x 1 b W 5 z M S 5 7 U m V u Z X d h Y m x l X 2 V u Z X J n e V 9 0 b 3 R h b C 5 B M S w 2 N n 0 m c X V v d D s s J n F 1 b 3 Q 7 U 2 V j d G l v b j E v U m V m Z X J l b n R p Z V 9 F e H B v c n Q v Q X V 0 b 1 J l b W 9 2 Z W R D b 2 x 1 b W 5 z M S 5 7 U m V u Z X d h Y m x l X 2 V u Z X J n e V 9 0 b 3 R h b C 5 B M i w 2 N 3 0 m c X V v d D s s J n F 1 b 3 Q 7 U 2 V j d G l v b j E v U m V m Z X J l b n R p Z V 9 F e H B v c n Q v Q X V 0 b 1 J l b W 9 2 Z W R D b 2 x 1 b W 5 z M S 5 7 U m V u Z X d h Y m x l X 2 V u Z X J n e V 9 0 b 3 R h b C 5 B M y w 2 O H 0 m c X V v d D s s J n F 1 b 3 Q 7 U 2 V j d G l v b j E v U m V m Z X J l b n R p Z V 9 F e H B v c n Q v Q X V 0 b 1 J l b W 9 2 Z W R D b 2 x 1 b W 5 z M S 5 7 U m V u Z X d h Y m x l X 2 V u Z X J n e V 9 0 b 3 R h b C 5 B N C w 2 O X 0 m c X V v d D s s J n F 1 b 3 Q 7 U 2 V j d G l v b j E v U m V m Z X J l b n R p Z V 9 F e H B v c n Q v Q X V 0 b 1 J l b W 9 2 Z W R D b 2 x 1 b W 5 z M S 5 7 U m V u Z X d h Y m x l X 2 V u Z X J n e V 9 0 b 3 R h b C 5 B N S w 3 M H 0 m c X V v d D s s J n F 1 b 3 Q 7 U 2 V j d G l v b j E v U m V m Z X J l b n R p Z V 9 F e H B v c n Q v Q X V 0 b 1 J l b W 9 2 Z W R D b 2 x 1 b W 5 z M S 5 7 U m V u Z X d h Y m x l X 2 V u Z X J n e V 9 0 b 3 R h b C 5 C M S w 3 M X 0 m c X V v d D s s J n F 1 b 3 Q 7 U 2 V j d G l v b j E v U m V m Z X J l b n R p Z V 9 F e H B v c n Q v Q X V 0 b 1 J l b W 9 2 Z W R D b 2 x 1 b W 5 z M S 5 7 U m V u Z X d h Y m x l X 2 V u Z X J n e V 9 0 b 3 R h b C 5 C N C w 3 M n 0 m c X V v d D s s J n F 1 b 3 Q 7 U 2 V j d G l v b j E v U m V m Z X J l b n R p Z V 9 F e H B v c n Q v Q X V 0 b 1 J l b W 9 2 Z W R D b 2 x 1 b W 5 z M S 5 7 U m V u Z X d h Y m x l X 2 V u Z X J n e V 9 0 b 3 R h b C 5 D M S w 3 M 3 0 m c X V v d D s s J n F 1 b 3 Q 7 U 2 V j d G l v b j E v U m V m Z X J l b n R p Z V 9 F e H B v c n Q v Q X V 0 b 1 J l b W 9 2 Z W R D b 2 x 1 b W 5 z M S 5 7 U m V u Z X d h Y m x l X 2 V u Z X J n e V 9 0 b 3 R h b C 5 D M i w 3 N H 0 m c X V v d D s s J n F 1 b 3 Q 7 U 2 V j d G l v b j E v U m V m Z X J l b n R p Z V 9 F e H B v c n Q v Q X V 0 b 1 J l b W 9 2 Z W R D b 2 x 1 b W 5 z M S 5 7 U m V u Z X d h Y m x l X 2 V u Z X J n e V 9 0 b 3 R h b C 5 D M y w 3 N X 0 m c X V v d D s s J n F 1 b 3 Q 7 U 2 V j d G l v b j E v U m V m Z X J l b n R p Z V 9 F e H B v c n Q v Q X V 0 b 1 J l b W 9 2 Z W R D b 2 x 1 b W 5 z M S 5 7 U m V u Z X d h Y m x l X 2 V u Z X J n e V 9 0 b 3 R h b C 5 D N C w 3 N n 0 m c X V v d D s s J n F 1 b 3 Q 7 U 2 V j d G l v b j E v U m V m Z X J l b n R p Z V 9 F e H B v c n Q v Q X V 0 b 1 J l b W 9 2 Z W R D b 2 x 1 b W 5 z M S 5 7 U m V u Z X d h Y m x l X 2 V u Z X J n e V 9 0 b 3 R h b C 5 E M S w 3 N 3 0 m c X V v d D s s J n F 1 b 3 Q 7 U 2 V j d G l v b j E v U m V m Z X J l b n R p Z V 9 F e H B v c n Q v Q X V 0 b 1 J l b W 9 2 Z W R D b 2 x 1 b W 5 z M S 5 7 U m V u Z X d h Y m x l X 2 V u Z X J n e V 9 0 b 3 R h b C 5 E M i w 3 O H 0 m c X V v d D s s J n F 1 b 3 Q 7 U 2 V j d G l v b j E v U m V m Z X J l b n R p Z V 9 F e H B v c n Q v Q X V 0 b 1 J l b W 9 2 Z W R D b 2 x 1 b W 5 z M S 5 7 U m V u Z X d h Y m x l X 2 V u Z X J n e V 9 0 b 3 R h b C 5 0 b 3 R h b C w 3 O X 0 m c X V v d D s s J n F 1 b 3 Q 7 U 2 V j d G l v b j E v U m V m Z X J l b n R p Z V 9 F e H B v c n Q v Q X V 0 b 1 J l b W 9 2 Z W R D b 2 x 1 b W 5 z M S 5 7 R m 9 z c 2 l s X 2 V u Z X J n e V 9 0 b 3 R h b C 5 B M S w 4 M H 0 m c X V v d D s s J n F 1 b 3 Q 7 U 2 V j d G l v b j E v U m V m Z X J l b n R p Z V 9 F e H B v c n Q v Q X V 0 b 1 J l b W 9 2 Z W R D b 2 x 1 b W 5 z M S 5 7 R m 9 z c 2 l s X 2 V u Z X J n e V 9 0 b 3 R h b C 5 B M i w 4 M X 0 m c X V v d D s s J n F 1 b 3 Q 7 U 2 V j d G l v b j E v U m V m Z X J l b n R p Z V 9 F e H B v c n Q v Q X V 0 b 1 J l b W 9 2 Z W R D b 2 x 1 b W 5 z M S 5 7 R m 9 z c 2 l s X 2 V u Z X J n e V 9 0 b 3 R h b C 5 B M y w 4 M n 0 m c X V v d D s s J n F 1 b 3 Q 7 U 2 V j d G l v b j E v U m V m Z X J l b n R p Z V 9 F e H B v c n Q v Q X V 0 b 1 J l b W 9 2 Z W R D b 2 x 1 b W 5 z M S 5 7 R m 9 z c 2 l s X 2 V u Z X J n e V 9 0 b 3 R h b C 5 B N C w 4 M 3 0 m c X V v d D s s J n F 1 b 3 Q 7 U 2 V j d G l v b j E v U m V m Z X J l b n R p Z V 9 F e H B v c n Q v Q X V 0 b 1 J l b W 9 2 Z W R D b 2 x 1 b W 5 z M S 5 7 R m 9 z c 2 l s X 2 V u Z X J n e V 9 0 b 3 R h b C 5 B N S w 4 N H 0 m c X V v d D s s J n F 1 b 3 Q 7 U 2 V j d G l v b j E v U m V m Z X J l b n R p Z V 9 F e H B v c n Q v Q X V 0 b 1 J l b W 9 2 Z W R D b 2 x 1 b W 5 z M S 5 7 R m 9 z c 2 l s X 2 V u Z X J n e V 9 0 b 3 R h b C 5 C M S w 4 N X 0 m c X V v d D s s J n F 1 b 3 Q 7 U 2 V j d G l v b j E v U m V m Z X J l b n R p Z V 9 F e H B v c n Q v Q X V 0 b 1 J l b W 9 2 Z W R D b 2 x 1 b W 5 z M S 5 7 R m 9 z c 2 l s X 2 V u Z X J n e V 9 0 b 3 R h b C 5 C N C w 4 N n 0 m c X V v d D s s J n F 1 b 3 Q 7 U 2 V j d G l v b j E v U m V m Z X J l b n R p Z V 9 F e H B v c n Q v Q X V 0 b 1 J l b W 9 2 Z W R D b 2 x 1 b W 5 z M S 5 7 R m 9 z c 2 l s X 2 V u Z X J n e V 9 0 b 3 R h b C 5 D M S w 4 N 3 0 m c X V v d D s s J n F 1 b 3 Q 7 U 2 V j d G l v b j E v U m V m Z X J l b n R p Z V 9 F e H B v c n Q v Q X V 0 b 1 J l b W 9 2 Z W R D b 2 x 1 b W 5 z M S 5 7 R m 9 z c 2 l s X 2 V u Z X J n e V 9 0 b 3 R h b C 5 D M i w 4 O H 0 m c X V v d D s s J n F 1 b 3 Q 7 U 2 V j d G l v b j E v U m V m Z X J l b n R p Z V 9 F e H B v c n Q v Q X V 0 b 1 J l b W 9 2 Z W R D b 2 x 1 b W 5 z M S 5 7 R m 9 z c 2 l s X 2 V u Z X J n e V 9 0 b 3 R h b C 5 D M y w 4 O X 0 m c X V v d D s s J n F 1 b 3 Q 7 U 2 V j d G l v b j E v U m V m Z X J l b n R p Z V 9 F e H B v c n Q v Q X V 0 b 1 J l b W 9 2 Z W R D b 2 x 1 b W 5 z M S 5 7 R m 9 z c 2 l s X 2 V u Z X J n e V 9 0 b 3 R h b C 5 D N C w 5 M H 0 m c X V v d D s s J n F 1 b 3 Q 7 U 2 V j d G l v b j E v U m V m Z X J l b n R p Z V 9 F e H B v c n Q v Q X V 0 b 1 J l b W 9 2 Z W R D b 2 x 1 b W 5 z M S 5 7 R m 9 z c 2 l s X 2 V u Z X J n e V 9 0 b 3 R h b C 5 E M S w 5 M X 0 m c X V v d D s s J n F 1 b 3 Q 7 U 2 V j d G l v b j E v U m V m Z X J l b n R p Z V 9 F e H B v c n Q v Q X V 0 b 1 J l b W 9 2 Z W R D b 2 x 1 b W 5 z M S 5 7 R m 9 z c 2 l s X 2 V u Z X J n e V 9 0 b 3 R h b C 5 E M i w 5 M n 0 m c X V v d D s s J n F 1 b 3 Q 7 U 2 V j d G l v b j E v U m V m Z X J l b n R p Z V 9 F e H B v c n Q v Q X V 0 b 1 J l b W 9 2 Z W R D b 2 x 1 b W 5 z M S 5 7 R m 9 z c 2 l s X 2 V u Z X J n e V 9 0 b 3 R h b C 5 0 b 3 R h b C w 5 M 3 0 m c X V v d D s s J n F 1 b 3 Q 7 U 2 V j d G l v b j E v U m V m Z X J l b n R p Z V 9 F e H B v c n Q v Q X V 0 b 1 J l b W 9 2 Z W R D b 2 x 1 b W 5 z M S 5 7 V H J h b n N w b 3 J 0 X 3 R v d G F s L n R y Y W 5 z c G 9 y d F 9 0 b 1 9 j b 2 5 z d H J 1 Y 3 R p b 2 5 f c 2 l 0 Z V t 0 a 2 1 d L D k 0 f S Z x d W 9 0 O y w m c X V v d D t T Z W N 0 a W 9 u M S 9 S Z W Z l c m V u d G l l X 0 V 4 c G 9 y d C 9 B d X R v U m V t b 3 Z l Z E N v b H V t b n M x L n t U c m F u c 3 B v c n R f d G 9 0 Y W w u d H J h b n N w b 3 J 0 X 3 R v X 3 B y b 2 N l c 3 N v c l t 0 a 2 1 d L D k 1 f S Z x d W 9 0 O y w m c X V v d D t T Z W N 0 a W 9 u M S 9 S Z W Z l c m V u d G l l X 0 V 4 c G 9 y d C 9 B d X R v U m V t b 3 Z l Z E N v b H V t b n M x L n t U c m F u c 3 B v c n R f d G 9 0 Y W w u Z W 1 p c 3 N p b 2 5 f Z n J l Z V 9 0 c m F u c 3 B v c n R f d G 9 f Y 2 9 u c 3 R y d W N 0 a W 9 u X 3 N p d G U s O T Z 9 J n F 1 b 3 Q 7 L C Z x d W 9 0 O 1 N l Y 3 R p b 2 4 x L 1 J l Z m V y Z W 5 0 a W V f R X h w b 3 J 0 L 0 F 1 d G 9 S Z W 1 v d m V k Q 2 9 s d W 1 u c z E u e 1 R y Y W 5 z c G 9 y d F 9 0 b 3 R h b C 5 l b W l z c 2 l v b l 9 m c m V l X 3 R y Y W 5 z c G 9 y d F 9 0 b 1 9 w c m 9 j Z X N z b 3 I s O T d 9 J n F 1 b 3 Q 7 L C Z x d W 9 0 O 1 N l Y 3 R p b 2 4 x L 1 J l Z m V y Z W 5 0 a W V f R X h w b 3 J 0 L 0 F 1 d G 9 S Z W 1 v d m V k Q 2 9 s d W 1 u c z E u e 1 R y Y W 5 z c G 9 y d F 9 0 b 3 R h b C 5 l b W l z c 2 l v b l 9 m c m V l X 3 R y Y W 5 z c G 9 y d C w 5 O H 0 m c X V v d D s s J n F 1 b 3 Q 7 U 2 V j d G l v b j E v U m V m Z X J l b n R p Z V 9 F e H B v c n Q v Q X V 0 b 1 J l b W 9 2 Z W R D b 2 x 1 b W 5 z M S 5 7 V H J h b n N w b 3 J 0 X 3 R v d G F s L n R y Y W 5 z c G 9 y d F 9 0 b 1 9 j b 2 5 z d H J 1 Y 3 R p b 2 5 f c 2 l 0 Z V 9 y Z X B s Y W N l b W V u d H N b d G t t X S w 5 O X 0 m c X V v d D s s J n F 1 b 3 Q 7 U 2 V j d G l v b j E v U m V m Z X J l b n R p Z V 9 F e H B v c n Q v Q X V 0 b 1 J l b W 9 2 Z W R D b 2 x 1 b W 5 z M S 5 7 V H J h b n N w b 3 J 0 X 3 R v d G F s L n R y Y W 5 z c G 9 y d F 9 0 b 1 9 w c m 9 j Z X N z b 3 J f c m V w b G F j Z W 1 l b n R z W 3 R r b V 0 s M T A w f S Z x d W 9 0 O y w m c X V v d D t T Z W N 0 a W 9 u M S 9 S Z W Z l c m V u d G l l X 0 V 4 c G 9 y d C 9 B d X R v U m V t b 3 Z l Z E N v b H V t b n M x L n t U c m F u c 3 B v c n R f d G 9 0 Y W w u Z W 1 p c 3 N p b 2 5 f Z n J l Z V 9 0 c m F u c 3 B v c n R f c m V w b G F j Z W 1 l b n R z W 3 R r b V 0 s M T A x f S Z x d W 9 0 O y w m c X V v d D t T Z W N 0 a W 9 u M S 9 S Z W Z l c m V u d G l l X 0 V 4 c G 9 y d C 9 B d X R v U m V t b 3 Z l Z E N v b H V t b n M x L n t U c m F u c 3 B v c n R f d G 9 0 Y W w u d G 9 0 Y W x f Z W 1 p c 3 N p b 2 5 f Z n J l Z V 9 0 c m F u c 3 B v c n Q s M T A y f S Z x d W 9 0 O y w m c X V v d D t T Z W N 0 a W 9 u M S 9 S Z W Z l c m V u d G l l X 0 V 4 c G 9 y d C 9 B d X R v U m V t b 3 Z l Z E N v b H V t b n M x L n t U c m F u c 3 B v c n R f d G 9 0 Y W w u d G 9 0 Y W x f b m 9 u X 2 V t a X N z a W 9 u X 2 Z y Z W V f d H J h b n N w b 3 J 0 L D E w M 3 0 m c X V v d D s s J n F 1 b 3 Q 7 U 2 V j d G l v b j E v U m V m Z X J l b n R p Z V 9 F e H B v c n Q v Q X V 0 b 1 J l b W 9 2 Z W R D b 2 x 1 b W 5 z M S 5 7 V H J h b n N w b 3 J 0 X 3 R v d G F s L n R v d G F s X 3 R y Y W 5 z c G 9 y d C w x M D R 9 J n F 1 b 3 Q 7 L C Z x d W 9 0 O 1 N l Y 3 R p b 2 4 x L 1 J l Z m V y Z W 5 0 a W V f R X h w b 3 J 0 L 0 F 1 d G 9 S Z W 1 v d m V k Q 2 9 s d W 1 u c z E u e 0 N v b n N 0 c n V j d G l v b l 9 z a X R l X 3 R v d G F s L m 9 w Z X J h d G l v b l 9 o b 3 V y X 2 N v b n N 0 c n V j d G l v b i w x M D V 9 J n F 1 b 3 Q 7 L C Z x d W 9 0 O 1 N l Y 3 R p b 2 4 x L 1 J l Z m V y Z W 5 0 a W V f R X h w b 3 J 0 L 0 F 1 d G 9 S Z W 1 v d m V k Q 2 9 s d W 1 u c z E u e 0 N v b n N 0 c n V j d G l v b l 9 z a X R l X 3 R v d G F s L m 9 w Z X J h d G l v b l 9 o b 3 V y X 3 J l b W 9 2 Y W w s M T A 2 f S Z x d W 9 0 O y w m c X V v d D t T Z W N 0 a W 9 u M S 9 S Z W Z l c m V u d G l l X 0 V 4 c G 9 y d C 9 B d X R v U m V t b 3 Z l Z E N v b H V t b n M x L n t D b 2 5 z d H J 1 Y 3 R p b 2 5 f c 2 l 0 Z V 9 0 b 3 R h b C 5 l b W l z c 2 l v b l 9 m c m V l X 2 N v b n N 0 c n V j d G l v b i w x M D d 9 J n F 1 b 3 Q 7 L C Z x d W 9 0 O 1 N l Y 3 R p b 2 4 x L 1 J l Z m V y Z W 5 0 a W V f R X h w b 3 J 0 L 0 F 1 d G 9 S Z W 1 v d m V k Q 2 9 s d W 1 u c z E u e 0 N v b n N 0 c n V j d G l v b l 9 z a X R l X 3 R v d G F s L m V t a X N z a W 9 u X 2 Z y Z W V f c m V t b 3 Z h b C w x M D h 9 J n F 1 b 3 Q 7 L C Z x d W 9 0 O 1 N l Y 3 R p b 2 4 x L 1 J l Z m V y Z W 5 0 a W V f R X h w b 3 J 0 L 0 F 1 d G 9 S Z W 1 v d m V k Q 2 9 s d W 1 u c z E u e 0 N v b n N 0 c n V j d G l v b l 9 z a X R l X 3 R v d G F s L m V t a X N z a W 9 u X 2 Z y Z W V f Y 2 9 u c 3 R y d W N 0 a W 9 u X 3 N p d G U s M T A 5 f S Z x d W 9 0 O y w m c X V v d D t T Z W N 0 a W 9 u M S 9 S Z W Z l c m V u d G l l X 0 V 4 c G 9 y d C 9 B d X R v U m V t b 3 Z l Z E N v b H V t b n M x L n t D b 2 5 z d H J 1 Y 3 R p b 2 5 f c 2 l 0 Z V 9 0 b 3 R h b C 5 l b W l z c 2 l v b l 9 m c m V l X 2 N v b n N 0 c n V j d G l v b l 9 z a X R l X 3 J l c G x h Y 2 V t Z W 5 0 L D E x M H 0 m c X V v d D s s J n F 1 b 3 Q 7 U 2 V j d G l v b j E v U m V m Z X J l b n R p Z V 9 F e H B v c n Q v Q X V 0 b 1 J l b W 9 2 Z W R D b 2 x 1 b W 5 z M S 5 7 Q 2 9 u c 3 R y d W N 0 a W 9 u X 3 N p d G V f d G 9 0 Y W w u d G 9 0 Y W x f Z W 1 p c 3 N p b 2 5 f Z n J l Z V 9 j b 2 5 z d H J 1 Y 3 R p b 2 5 f c 2 l 0 Z S w x M T F 9 J n F 1 b 3 Q 7 L C Z x d W 9 0 O 1 N l Y 3 R p b 2 4 x L 1 J l Z m V y Z W 5 0 a W V f R X h w b 3 J 0 L 0 F 1 d G 9 S Z W 1 v d m V k Q 2 9 s d W 1 u c z E u e 0 N v b n N 0 c n V j d G l v b l 9 z a X R l X 3 R v d G F s L n R v d G F s X 2 5 v b l 9 l b W l z c 2 l v b l 9 m c m V l X 2 N v b n N 0 c n V j d G l v b l 9 z a X R l L D E x M n 0 m c X V v d D s s J n F 1 b 3 Q 7 U 2 V j d G l v b j E v U m V m Z X J l b n R p Z V 9 F e H B v c n Q v Q X V 0 b 1 J l b W 9 2 Z W R D b 2 x 1 b W 5 z M S 5 7 Q 2 9 u c 3 R y d W N 0 a W 9 u X 3 N p d G V f d G 9 0 Y W w u d G 9 0 Y W x f Y 2 9 u c 3 R y d W N 0 a W 9 u X 3 N p d G U s M T E z f S Z x d W 9 0 O y w m c X V v d D t T Z W N 0 a W 9 u M S 9 S Z W Z l c m V u d G l l X 0 V 4 c G 9 y d C 9 B d X R v U m V t b 3 Z l Z E N v b H V t b n M x L n t N S 0 l f d G 9 0 Y W x f d G 9 u X 0 E x X 0 E z L D E x N H 0 m c X V v d D s s J n F 1 b 3 Q 7 U 2 V j d G l v b j E v U m V m Z X J l b n R p Z V 9 F e H B v c n Q v Q X V 0 b 1 J l b W 9 2 Z W R D b 2 x 1 b W 5 z M S 5 7 T U t J X 3 R v d G F s X 2 0 z X 0 E x X 0 E z L D E x N X 0 m c X V v d D s s J n F 1 b 3 Q 7 U 2 V j d G l v b j E v U m V m Z X J l b n R p Z V 9 F e H B v c n Q v Q X V 0 b 1 J l b W 9 2 Z W R D b 2 x 1 b W 5 z M S 5 7 Q 0 8 y X 3 R v d G F s X 3 R v b l 9 B M V 9 B M y w x M T Z 9 J n F 1 b 3 Q 7 L C Z x d W 9 0 O 1 N l Y 3 R p b 2 4 x L 1 J l Z m V y Z W 5 0 a W V f R X h w b 3 J 0 L 0 F 1 d G 9 S Z W 1 v d m V k Q 2 9 s d W 1 u c z E u e 0 N P M l 9 0 b 3 R h b F 9 t M 1 9 B M V 9 B M y w x M T d 9 J n F 1 b 3 Q 7 L C Z x d W 9 0 O 1 N l Y 3 R p b 2 4 x L 1 J l Z m V y Z W 5 0 a W V f R X h w b 3 J 0 L 0 F 1 d G 9 S Z W 1 v d m V k Q 2 9 s d W 1 u c z E u e 0 1 L S V 9 0 b 3 R h b F 9 B M V 9 B M y w x M T h 9 J n F 1 b 3 Q 7 L C Z x d W 9 0 O 1 N l Y 3 R p b 2 4 x L 1 J l Z m V y Z W 5 0 a W V f R X h w b 3 J 0 L 0 F 1 d G 9 S Z W 1 v d m V k Q 2 9 s d W 1 u c z E u e 0 N P M l 9 0 b 3 R h b F 9 B M V 9 B M y w x M T l 9 J n F 1 b 3 Q 7 X S w m c X V v d D t S Z W x h d G l v b n N o a X B J b m Z v J n F 1 b 3 Q 7 O l t d f S I g L z 4 8 R W 5 0 c n k g V H l w Z T 0 i Q W R k Z W R U b 0 R h d G F N b 2 R l b C I g V m F s d W U 9 I m w w I i A v P j w v U 3 R h Y m x l R W 5 0 c m l l c z 4 8 L 0 l 0 Z W 0 + P E l 0 Z W 0 + P E l 0 Z W 1 M b 2 N h d G l v b j 4 8 S X R l b V R 5 c G U + R m 9 y b X V s Y T w v S X R l b V R 5 c G U + P E l 0 Z W 1 Q Y X R o P l N l Y 3 R p b 2 4 x L 1 J l Z m V y Z W 5 0 a W V f R X h w b 3 J 0 L 0 J y b 2 4 8 L 0 l 0 Z W 1 Q Y X R o P j w v S X R l b U x v Y 2 F 0 a W 9 u P j x T d G F i b G V F b n R y a W V z I C 8 + P C 9 J d G V t P j x J d G V t P j x J d G V t T G 9 j Y X R p b 2 4 + P E l 0 Z W 1 U e X B l P k Z v c m 1 1 b G E 8 L 0 l 0 Z W 1 U e X B l P j x J d G V t U G F 0 a D 5 T Z W N 0 a W 9 u M S 9 S Z W Z l c m V u d G l l X 0 V 4 c G 9 y d C 9 U e X B l J T I w Z 2 V 3 a W p 6 a W d k P C 9 J d G V t U G F 0 a D 4 8 L 0 l 0 Z W 1 M b 2 N h d G l v b j 4 8 U 3 R h Y m x l R W 5 0 c m l l c y A v P j w v S X R l b T 4 8 S X R l b T 4 8 S X R l b U x v Y 2 F 0 a W 9 u P j x J d G V t V H l w Z T 5 G b 3 J t d W x h P C 9 J d G V t V H l w Z T 4 8 S X R l b V B h d G g + U 2 V j d G l v b j E v U m V m Z X J l b n R p Z V 9 F e H B v c n Q v U X V l c n k l M j B 0 b 2 V n Z X Z v Z W d k P C 9 J d G V t U G F 0 a D 4 8 L 0 l 0 Z W 1 M b 2 N h d G l v b j 4 8 U 3 R h Y m x l R W 5 0 c m l l c y A v P j w v S X R l b T 4 8 S X R l b T 4 8 S X R l b U x v Y 2 F 0 a W 9 u P j x J d G V t V H l w Z T 5 G b 3 J t d W x h P C 9 J d G V t V H l w Z T 4 8 S X R l b V B h d G g + U 2 V j d G l v b j E v U H J v a m V j d F 9 J R F 9 S Z W Z l c m V u d G l l P C 9 J d G V t U G F 0 a D 4 8 L 0 l 0 Z W 1 M b 2 N h d G l v b j 4 8 U 3 R h Y m x l R W 5 0 c m l l c z 4 8 R W 5 0 c n k g V H l w Z T 0 i S X N Q c m l 2 Y X R l I i B W Y W x 1 Z T 0 i b D A i I C 8 + P E V u d H J 5 I F R 5 c G U 9 I l F 1 Z X J 5 R 3 J v d X B J R C I g V m F s d W U 9 I n N l N m Q z O D E 5 O C 0 2 Y z d m L T Q 5 Y W I t Y T Q 5 Z C 1 j M D A x M z V j Y T F h N z 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i 0 w M i 0 w O V Q x N T o z N T o w N S 4 w N z E 2 M T Q y W i I g L z 4 8 R W 5 0 c n k g V H l w Z T 0 i R m l s b E N v b H V t b l R 5 c G V z I i B W Y W x 1 Z T 0 i c 0 J n T T 0 i I C 8 + P E V u d H J 5 I F R 5 c G U 9 I k Z p b G x D b 2 x 1 b W 5 O Y W 1 l c y I g V m F s d W U 9 I n N b J n F 1 b 3 Q 7 U H J v a m V j d C B J R C Z x d W 9 0 O y w m c X V v d D t Q c m 9 q Z W N 0 I G x l d m V u c 2 R 1 d X 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Q c m 9 q Z W N 0 X 0 l E X 1 J l Z m V y Z W 5 0 a W U v Q X V 0 b 1 J l b W 9 2 Z W R D b 2 x 1 b W 5 z M S 5 7 U H J v a m V j d C B J R C w w f S Z x d W 9 0 O y w m c X V v d D t T Z W N 0 a W 9 u M S 9 Q c m 9 q Z W N 0 X 0 l E X 1 J l Z m V y Z W 5 0 a W U v Q X V 0 b 1 J l b W 9 2 Z W R D b 2 x 1 b W 5 z M S 5 7 U H J v a m V j d C B s Z X Z l b n N k d X V y L D F 9 J n F 1 b 3 Q 7 X S w m c X V v d D t D b 2 x 1 b W 5 D b 3 V u d C Z x d W 9 0 O z o y L C Z x d W 9 0 O 0 t l e U N v b H V t b k 5 h b W V z J n F 1 b 3 Q 7 O l t d L C Z x d W 9 0 O 0 N v b H V t b k l k Z W 5 0 a X R p Z X M m c X V v d D s 6 W y Z x d W 9 0 O 1 N l Y 3 R p b 2 4 x L 1 B y b 2 p l Y 3 R f S U R f U m V m Z X J l b n R p Z S 9 B d X R v U m V t b 3 Z l Z E N v b H V t b n M x L n t Q c m 9 q Z W N 0 I E l E L D B 9 J n F 1 b 3 Q 7 L C Z x d W 9 0 O 1 N l Y 3 R p b 2 4 x L 1 B y b 2 p l Y 3 R f S U R f U m V m Z X J l b n R p Z S 9 B d X R v U m V t b 3 Z l Z E N v b H V t b n M x L n t Q c m 9 q Z W N 0 I G x l d m V u c 2 R 1 d X I s M X 0 m c X V v d D t d L C Z x d W 9 0 O 1 J l b G F 0 a W 9 u c 2 h p c E l u Z m 8 m c X V v d D s 6 W 1 1 9 I i A v P j w v U 3 R h Y m x l R W 5 0 c m l l c z 4 8 L 0 l 0 Z W 0 + P E l 0 Z W 0 + P E l 0 Z W 1 M b 2 N h d G l v b j 4 8 S X R l b V R 5 c G U + R m 9 y b X V s Y T w v S X R l b V R 5 c G U + P E l 0 Z W 1 Q Y X R o P l N l Y 3 R p b 2 4 x L 1 B y b 2 p l Y 3 R f S U R f U m V m Z X J l b n R p Z S 9 C c m 9 u P C 9 J d G V t U G F 0 a D 4 8 L 0 l 0 Z W 1 M b 2 N h d G l v b j 4 8 U 3 R h Y m x l R W 5 0 c m l l c y A v P j w v S X R l b T 4 8 S X R l b T 4 8 S X R l b U x v Y 2 F 0 a W 9 u P j x J d G V t V H l w Z T 5 G b 3 J t d W x h P C 9 J d G V t V H l w Z T 4 8 S X R l b V B h d G g + U 2 V j d G l v b j E v U H J v a m V j d F 9 J R F 9 S Z W Z l c m V u d G l l L 1 R 5 c G U l M j B n Z X d p a n p p Z 2 Q 8 L 0 l 0 Z W 1 Q Y X R o P j w v S X R l b U x v Y 2 F 0 a W 9 u P j x T d G F i b G V F b n R y a W V z I C 8 + P C 9 J d G V t P j x J d G V t P j x J d G V t T G 9 j Y X R p b 2 4 + P E l 0 Z W 1 U e X B l P k Z v c m 1 1 b G E 8 L 0 l 0 Z W 1 U e X B l P j x J d G V t U G F 0 a D 5 T Z W N 0 a W 9 u M S 9 Q c m 9 q Z W N 0 X 0 l E X 0 l u c 2 N o c m l q d m V y P C 9 J d G V t U G F 0 a D 4 8 L 0 l 0 Z W 1 M b 2 N h d G l v b j 4 8 U 3 R h Y m x l R W 5 0 c m l l c z 4 8 R W 5 0 c n k g V H l w Z T 0 i S X N Q c m l 2 Y X R l I i B W Y W x 1 Z T 0 i b D A i I C 8 + P E V u d H J 5 I F R 5 c G U 9 I l F 1 Z X J 5 R 3 J v d X B J R C I g V m F s d W U 9 I n N i M T R k O D M 2 Y y 0 z M D k w L T R l Z m M t O T A 2 M S 0 1 O T B j M T U x N D U y N z 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S I g L z 4 8 R W 5 0 c n k g V H l w Z T 0 i R m l s b E V y c m 9 y Q 2 9 k Z S I g V m F s d W U 9 I n N V b m t u b 3 d u I i A v P j x F b n R y e S B U e X B l P S J G a W x s R X J y b 3 J D b 3 V u d C I g V m F s d W U 9 I m w w I i A v P j x F b n R y e S B U e X B l P S J G a W x s T G F z d F V w Z G F 0 Z W Q i I F Z h b H V l P S J k M j A y M i 0 w M i 0 w O V Q x N T o 0 N j o z M S 4 1 M T U 2 N j g w W i I g L z 4 8 R W 5 0 c n k g V H l w Z T 0 i R m l s b E N v b H V t b l R 5 c G V z I i B W Y W x 1 Z T 0 i c 0 J n T U c i I C 8 + P E V u d H J 5 I F R 5 c G U 9 I k Z p b G x D b 2 x 1 b W 5 O Y W 1 l c y I g V m F s d W U 9 I n N b J n F 1 b 3 Q 7 U H J v a m V j d C B J R C Z x d W 9 0 O y w m c X V v d D t Q c m 9 q Z W N 0 I G x l d m V u c 2 R 1 d X I m c X V v d D s s J n F 1 b 3 Q 7 S W 5 z Y 2 h y a W p 2 Z X I 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Q c m 9 q Z W N 0 X 0 l E X 0 l u c 2 N o c m l q d m V y L 0 F 1 d G 9 S Z W 1 v d m V k Q 2 9 s d W 1 u c z E u e 1 B y b 2 p l Y 3 Q g S U Q s M H 0 m c X V v d D s s J n F 1 b 3 Q 7 U 2 V j d G l v b j E v U H J v a m V j d F 9 J R F 9 J b n N j a H J p a n Z l c i 9 B d X R v U m V t b 3 Z l Z E N v b H V t b n M x L n t Q c m 9 q Z W N 0 I G x l d m V u c 2 R 1 d X I s M X 0 m c X V v d D s s J n F 1 b 3 Q 7 U 2 V j d G l v b j E v U H J v a m V j d F 9 J R F 9 J b n N j a H J p a n Z l c i 9 B d X R v U m V t b 3 Z l Z E N v b H V t b n M x L n t J b n N j a H J p a n Z l c i w y f S Z x d W 9 0 O 1 0 s J n F 1 b 3 Q 7 Q 2 9 s d W 1 u Q 2 9 1 b n Q m c X V v d D s 6 M y w m c X V v d D t L Z X l D b 2 x 1 b W 5 O Y W 1 l c y Z x d W 9 0 O z p b X S w m c X V v d D t D b 2 x 1 b W 5 J Z G V u d G l 0 a W V z J n F 1 b 3 Q 7 O l s m c X V v d D t T Z W N 0 a W 9 u M S 9 Q c m 9 q Z W N 0 X 0 l E X 0 l u c 2 N o c m l q d m V y L 0 F 1 d G 9 S Z W 1 v d m V k Q 2 9 s d W 1 u c z E u e 1 B y b 2 p l Y 3 Q g S U Q s M H 0 m c X V v d D s s J n F 1 b 3 Q 7 U 2 V j d G l v b j E v U H J v a m V j d F 9 J R F 9 J b n N j a H J p a n Z l c i 9 B d X R v U m V t b 3 Z l Z E N v b H V t b n M x L n t Q c m 9 q Z W N 0 I G x l d m V u c 2 R 1 d X I s M X 0 m c X V v d D s s J n F 1 b 3 Q 7 U 2 V j d G l v b j E v U H J v a m V j d F 9 J R F 9 J b n N j a H J p a n Z l c i 9 B d X R v U m V t b 3 Z l Z E N v b H V t b n M x L n t J b n N j a H J p a n Z l c i w y f S Z x d W 9 0 O 1 0 s J n F 1 b 3 Q 7 U m V s Y X R p b 2 5 z a G l w S W 5 m b y Z x d W 9 0 O z p b X X 0 i I C 8 + P C 9 T d G F i b G V F b n R y a W V z P j w v S X R l b T 4 8 S X R l b T 4 8 S X R l b U x v Y 2 F 0 a W 9 u P j x J d G V t V H l w Z T 5 G b 3 J t d W x h P C 9 J d G V t V H l w Z T 4 8 S X R l b V B h d G g + U 2 V j d G l v b j E v U H J v a m V j d F 9 J R F 9 J b n N j a H J p a n Z l c i 9 C c m 9 u P C 9 J d G V t U G F 0 a D 4 8 L 0 l 0 Z W 1 M b 2 N h d G l v b j 4 8 U 3 R h Y m x l R W 5 0 c m l l c y A v P j w v S X R l b T 4 8 S X R l b T 4 8 S X R l b U x v Y 2 F 0 a W 9 u P j x J d G V t V H l w Z T 5 G b 3 J t d W x h P C 9 J d G V t V H l w Z T 4 8 S X R l b V B h d G g + U 2 V j d G l v b j E v U H J v a m V j d F 9 J R F 9 J b n N j a H J p a n Z l c i 9 U e X B l J T I w Z 2 V 3 a W p 6 a W d k P C 9 J d G V t U G F 0 a D 4 8 L 0 l 0 Z W 1 M b 2 N h d G l v b j 4 8 U 3 R h Y m x l R W 5 0 c m l l c y A v P j w v S X R l b T 4 8 S X R l b T 4 8 S X R l b U x v Y 2 F 0 a W 9 u P j x J d G V t V H l w Z T 5 G b 3 J t d W x h P C 9 J d G V t V H l w Z T 4 8 S X R l b V B h d G g + U 2 V j d G l v b j E v S W 5 z Y 2 h y a W p m X 0 V 4 c G 9 y d D w v S X R l b V B h d G g + P C 9 J d G V t T G 9 j Y X R p b 2 4 + P F N 0 Y W J s Z U V u d H J p Z X M + P E V u d H J 5 I F R 5 c G U 9 I k l z U H J p d m F 0 Z S I g V m F s d W U 9 I m w w I i A v P j x F b n R y e S B U e X B l P S J R d W V y e U d y b 3 V w S U Q i I F Z h b H V l P S J z Y j E 0 Z D g z N m M t M z A 5 M C 0 0 Z W Z j L T k w N j E t N T k w Y z E 1 M T Q 1 M j c 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V G F y Z 2 V 0 I i B W Y W x 1 Z T 0 i c 0 l u c 2 N o c m l q Z l 9 F e H B v c n Q i I C 8 + P E V u d H J 5 I F R 5 c G U 9 I k Z p b G x l Z E N v b X B s Z X R l U m V z d W x 0 V G 9 X b 3 J r c 2 h l Z X Q i I F Z h b H V l P S J s M S I g L z 4 8 R W 5 0 c n k g V H l w Z T 0 i U X V l c n l J R C I g V m F s d W U 9 I n N l Y 2 V k N m Z i Y y 1 j N D A y L T Q 4 Y j Q t O T V h Z S 1 l M T Q y Z m F i Y T Y 4 O W Q i I C 8 + P E V u d H J 5 I F R 5 c G U 9 I k Z p b G x M Y X N 0 V X B k Y X R l Z C I g V m F s d W U 9 I m Q y M D I y L T A 5 L T E y V D E x O j M 1 O j Q x L j A y O T Y 2 N j V a I i A v P j x F b n R y e S B U e X B l P S J G a W x s Q 2 9 s d W 1 u V H l w Z X M i I F Z h b H V l P S J z Q U F Z R 0 F 3 a 0 F B Q V l E Q m d Z Q U F B Q U Z B d 1 V G Q X d Z R 0 J n W U d B d 1 l H Q U F V R k J R V U Z C U V V G Q l F V R k J R V U F C U V V G Q l F V R E J R V U Z C U U 1 G Q l F B R k J B V U Z C U V V G Q U F B Q U J R V U Z C U V V E Q l F V R k J R T U Z C U U F G Q l F V R k J R T U Z C U V V G Q X d V R k F B V U Z B Q U F E Q l F V R E F B Q U F B Q U F B Q U F V R k F B Q U F B Q U F B Q U F B Q S I g L z 4 8 R W 5 0 c n k g V H l w Z T 0 i R m l s b E V y c m 9 y Q 2 9 1 b n Q i I F Z h b H V l P S J s M C I g L z 4 8 R W 5 0 c n k g V H l w Z T 0 i R m l s b E V y c m 9 y Q 2 9 k Z S I g V m F s d W U 9 I n N V b m t u b 3 d u I i A v P j x F b n R y e S B U e X B l P S J G a W x s Q 2 9 1 b n Q i I F Z h b H V l P S J s O C I g L z 4 8 R W 5 0 c n k g V H l w Z T 0 i R m l s b E N v b H V t b k 5 h b W V z I i B W Y W x 1 Z T 0 i c 1 s m c X V v d D t D b G l l b n Q m c X V v d D s s J n F 1 b 3 Q 7 Q 2 9 u d H J h Y 3 R v c i Z x d W 9 0 O y w m c X V v d D t Q c m 9 q Z W N 0 X 0 l E J n F 1 b 3 Q 7 L C Z x d W 9 0 O 1 B y b 2 p l Y 3 R f b G l m Z X N w Y W 4 m c X V v d D s s J n F 1 b 3 Q 7 U H J v a m V j d F 9 k Y X R l J n F 1 b 3 Q 7 L C Z x d W 9 0 O 1 Z l c n N p b 2 4 m c X V v d D s s J n F 1 b 3 Q 7 U k F X X 0 l E J n F 1 b 3 Q 7 L C Z x d W 9 0 O 1 d v c m t z Y 2 9 w Z S Z x d W 9 0 O y w m c X V v d D t Q c m l j Z S Z x d W 9 0 O y w m c X V v d D t Q c m 9 k d W N 0 Z 3 J v d X A m c X V v d D s s J n F 1 b 3 Q 7 U H J v Z H V j d C Z x d W 9 0 O y w m c X V v d D t Q c m 9 k d W N 0 d H l w Z S Z x d W 9 0 O y w m c X V v d D t T d X J m Y W N l W 2 0 y X S Z x d W 9 0 O y w m c X V v d D t U a G l j a 2 5 l c 3 N b b V 0 m c X V v d D s s J n F 1 b 3 Q 7 U 3 B l Y 2 l m a W N f d 2 V p Z 2 h 0 W 3 R v b i 9 t M 1 0 m c X V v d D s s J n F 1 b 3 Q 7 Q W 1 v d W 5 0 W 2 0 z X S Z x d W 9 0 O y w m c X V v d D t B b W 9 1 b n R b d G 9 u X S Z x d W 9 0 O y w m c X V v d D t S Z X B s Y W N l b W V u d H M m c X V v d D s s J n F 1 b 3 Q 7 Q T R f d H J h b n N w b 3 J 0 X 2 R p c 3 R h b m N l X 3 R v X 2 N v b n N 0 c n V j d G l v b l 9 z a X R l W 2 t t X S Z x d W 9 0 O y w m c X V v d D t B N F 9 0 c m F u c 3 B v c n R t b 2 R l X 3 R v X 2 N v b n N 0 c n V j d G l v b l 9 z a X R l J n F 1 b 3 Q 7 L C Z x d W 9 0 O 0 E 1 X 2 F z c G h h b H R f Y 2 9 u c 3 R y d W N 0 a W 9 u X 3 N l d C Z x d W 9 0 O y w m c X V v d D t B N V 9 v d G h l c l 9 j b 2 5 z d H J 1 Y 3 R p b 2 5 f Z X F 1 a X B t Z W 5 0 J n F 1 b 3 Q 7 L C Z x d W 9 0 O 0 M x X 2 F z c G h h b H R f c m V t b 3 Z h b F 9 z Z X Q m c X V v d D s s J n F 1 b 3 Q 7 Q z F f b 3 R o Z X J f c m V t b 3 Z h b F 9 l c X V p c G 1 l b n Q m c X V v d D s s J n F 1 b 3 Q 7 Q z J f d H J h b n N w b 3 J 0 Z G l z d G F u Y 2 V f d G 9 f c H J v Y 2 V z c 2 9 y W 2 t t X S Z x d W 9 0 O y w m c X V v d D t D M l 9 0 c m F u c 3 B v c n R t b 2 R l X 3 R v X 3 B y b 2 N l c 3 N v c i Z x d W 9 0 O y w m c X V v d D t D M 1 9 w c m 9 j Z X N z a W 5 n c 2 V 0 J n F 1 b 3 Q 7 L C Z x d W 9 0 O 0 F z c 3 V t c H R p b 2 5 z J n F 1 b 3 Q 7 L C Z x d W 9 0 O 0 V D S V 9 0 b 3 R h b C 5 B M S Z x d W 9 0 O y w m c X V v d D t F Q 0 l f d G 9 0 Y W w u Q T I m c X V v d D s s J n F 1 b 3 Q 7 R U N J X 3 R v d G F s L k E z J n F 1 b 3 Q 7 L C Z x d W 9 0 O 0 V D S V 9 0 b 3 R h b C 5 B N C Z x d W 9 0 O y w m c X V v d D t F Q 0 l f d G 9 0 Y W w u Q T U m c X V v d D s s J n F 1 b 3 Q 7 R U N J X 3 R v d G F s L k I x J n F 1 b 3 Q 7 L C Z x d W 9 0 O 0 V D S V 9 0 b 3 R h b C 5 C N C Z x d W 9 0 O y w m c X V v d D t F Q 0 l f d G 9 0 Y W w u Q z E m c X V v d D s s J n F 1 b 3 Q 7 R U N J X 3 R v d G F s L k M y J n F 1 b 3 Q 7 L C Z x d W 9 0 O 0 V D S V 9 0 b 3 R h b C 5 D M y Z x d W 9 0 O y w m c X V v d D t F Q 0 l f d G 9 0 Y W w u Q z Q m c X V v d D s s J n F 1 b 3 Q 7 R U N J X 3 R v d G F s L k Q x J n F 1 b 3 Q 7 L C Z x d W 9 0 O 0 V D S V 9 0 b 3 R h b C 5 E M i Z x d W 9 0 O y w m c X V v d D t F Q 0 l f d G 9 0 Y W w u d G 9 0 Y W w m c X V v d D s s J n F 1 b 3 Q 7 Q 0 8 y X 3 R v d G F s L k E x J n F 1 b 3 Q 7 L C Z x d W 9 0 O 0 N P M l 9 0 b 3 R h b C 5 B M i Z x d W 9 0 O y w m c X V v d D t D T z J f d G 9 0 Y W w u Q T M m c X V v d D s s J n F 1 b 3 Q 7 Q 0 8 y X 3 R v d G F s L k E 0 J n F 1 b 3 Q 7 L C Z x d W 9 0 O 0 N P M l 9 0 b 3 R h b C 5 B N S Z x d W 9 0 O y w m c X V v d D t D T z J f d G 9 0 Y W w u Q j E m c X V v d D s s J n F 1 b 3 Q 7 Q 0 8 y X 3 R v d G F s L k I 0 J n F 1 b 3 Q 7 L C Z x d W 9 0 O 0 N P M l 9 0 b 3 R h b C 5 D M S Z x d W 9 0 O y w m c X V v d D t D T z J f d G 9 0 Y W w u Q z I m c X V v d D s s J n F 1 b 3 Q 7 Q 0 8 y X 3 R v d G F s L k M z J n F 1 b 3 Q 7 L C Z x d W 9 0 O 0 N P M l 9 0 b 3 R h b C 5 D N C Z x d W 9 0 O y w m c X V v d D t D T z J f d G 9 0 Y W w u R D E m c X V v d D s s J n F 1 b 3 Q 7 Q 0 8 y X 3 R v d G F s L k Q y J n F 1 b 3 Q 7 L C Z x d W 9 0 O 0 N P M l 9 0 b 3 R h b C 5 0 b 3 R h b C Z x d W 9 0 O y w m c X V v d D t N Y X R l c m l h b F 9 0 b 3 R h b C 5 h b W 9 1 b n R b d G 9 u X S Z x d W 9 0 O y w m c X V v d D t N Y X R l c m l h b F 9 0 b 3 R h b C 4 l c 2 V j d W 5 k Y X J 5 J n F 1 b 3 Q 7 L C Z x d W 9 0 O 0 1 h d G V y a W F s X 3 R v d G F s L n B y a W 1 h c n l b d G 9 u X S Z x d W 9 0 O y w m c X V v d D t N Y X R l c m l h b F 9 0 b 3 R h b C 5 z Z W N 1 b m R h c n l b d G 9 u X S Z x d W 9 0 O y w m c X V v d D t N Y X R l c m l h b F 9 0 b 3 R h b C 5 h b W 9 1 b n R f c m V w b G F j Z W 1 l b n R z W 3 R v b l 0 m c X V v d D s s J n F 1 b 3 Q 7 T W F 0 Z X J p Y W x f d G 9 0 Y W w u c H J p b W F y e V 9 y Z X B s Y W N l b W V u d H N b d G 9 u X S Z x d W 9 0 O y w m c X V v d D t N Y X R l c m l h b F 9 0 b 3 R h b C 5 z Z W N 1 b m R h c n l f c m V w b G F j Z W 1 l b n R z W 3 R v b l 0 m c X V v d D s s J n F 1 b 3 Q 7 T W F 0 Z X J p Y W x f d G 9 0 Y W w u d G 9 0 Y W x f c H J p b W F y e V t 0 b 2 5 d J n F 1 b 3 Q 7 L C Z x d W 9 0 O 0 1 h d G V y a W F s X 3 R v d G F s L n R v d G F s X 3 N l Y 3 V u Z G F y e V t 0 b 2 5 d J n F 1 b 3 Q 7 L C Z x d W 9 0 O 0 1 h d G V y a W F s X 3 R v d G F s L n R v d G F s W 3 R v b l 0 m c X V v d D s s J n F 1 b 3 Q 7 U m V u Z X d h Y m x l X 2 V u Z X J n e V 9 0 b 3 R h b C 5 B M S Z x d W 9 0 O y w m c X V v d D t S Z W 5 l d 2 F i b G V f Z W 5 l c m d 5 X 3 R v d G F s L k E y J n F 1 b 3 Q 7 L C Z x d W 9 0 O 1 J l b m V 3 Y W J s Z V 9 l b m V y Z 3 l f d G 9 0 Y W w u Q T M m c X V v d D s s J n F 1 b 3 Q 7 U m V u Z X d h Y m x l X 2 V u Z X J n e V 9 0 b 3 R h b C 5 B N C Z x d W 9 0 O y w m c X V v d D t S Z W 5 l d 2 F i b G V f Z W 5 l c m d 5 X 3 R v d G F s L k E 1 J n F 1 b 3 Q 7 L C Z x d W 9 0 O 1 J l b m V 3 Y W J s Z V 9 l b m V y Z 3 l f d G 9 0 Y W w u Q j E m c X V v d D s s J n F 1 b 3 Q 7 U m V u Z X d h Y m x l X 2 V u Z X J n e V 9 0 b 3 R h b C 5 C N C Z x d W 9 0 O y w m c X V v d D t S Z W 5 l d 2 F i b G V f Z W 5 l c m d 5 X 3 R v d G F s L k M x J n F 1 b 3 Q 7 L C Z x d W 9 0 O 1 J l b m V 3 Y W J s Z V 9 l b m V y Z 3 l f d G 9 0 Y W w u Q z I m c X V v d D s s J n F 1 b 3 Q 7 U m V u Z X d h Y m x l X 2 V u Z X J n e V 9 0 b 3 R h b C 5 D M y Z x d W 9 0 O y w m c X V v d D t S Z W 5 l d 2 F i b G V f Z W 5 l c m d 5 X 3 R v d G F s L k M 0 J n F 1 b 3 Q 7 L C Z x d W 9 0 O 1 J l b m V 3 Y W J s Z V 9 l b m V y Z 3 l f d G 9 0 Y W w u R D E m c X V v d D s s J n F 1 b 3 Q 7 U m V u Z X d h Y m x l X 2 V u Z X J n e V 9 0 b 3 R h b C 5 E M i Z x d W 9 0 O y w m c X V v d D t S Z W 5 l d 2 F i b G V f Z W 5 l c m d 5 X 3 R v d G F s L n R v d G F s J n F 1 b 3 Q 7 L C Z x d W 9 0 O 0 Z v c 3 N p b F 9 l b m V y Z 3 l f d G 9 0 Y W w u Q T E m c X V v d D s s J n F 1 b 3 Q 7 R m 9 z c 2 l s X 2 V u Z X J n e V 9 0 b 3 R h b C 5 B M i Z x d W 9 0 O y w m c X V v d D t G b 3 N z a W x f Z W 5 l c m d 5 X 3 R v d G F s L k E z J n F 1 b 3 Q 7 L C Z x d W 9 0 O 0 Z v c 3 N p b F 9 l b m V y Z 3 l f d G 9 0 Y W w u Q T Q m c X V v d D s s J n F 1 b 3 Q 7 R m 9 z c 2 l s X 2 V u Z X J n e V 9 0 b 3 R h b C 5 B N S Z x d W 9 0 O y w m c X V v d D t G b 3 N z a W x f Z W 5 l c m d 5 X 3 R v d G F s L k I x J n F 1 b 3 Q 7 L C Z x d W 9 0 O 0 Z v c 3 N p b F 9 l b m V y Z 3 l f d G 9 0 Y W w u Q j Q m c X V v d D s s J n F 1 b 3 Q 7 R m 9 z c 2 l s X 2 V u Z X J n e V 9 0 b 3 R h b C 5 D M S Z x d W 9 0 O y w m c X V v d D t G b 3 N z a W x f Z W 5 l c m d 5 X 3 R v d G F s L k M y J n F 1 b 3 Q 7 L C Z x d W 9 0 O 0 Z v c 3 N p b F 9 l b m V y Z 3 l f d G 9 0 Y W w u Q z M m c X V v d D s s J n F 1 b 3 Q 7 R m 9 z c 2 l s X 2 V u Z X J n e V 9 0 b 3 R h b C 5 D N C Z x d W 9 0 O y w m c X V v d D t G b 3 N z a W x f Z W 5 l c m d 5 X 3 R v d G F s L k Q x J n F 1 b 3 Q 7 L C Z x d W 9 0 O 0 Z v c 3 N p b F 9 l b m V y Z 3 l f d G 9 0 Y W w u R D I m c X V v d D s s J n F 1 b 3 Q 7 R m 9 z c 2 l s X 2 V u Z X J n e V 9 0 b 3 R h b C 5 0 b 3 R h b C Z x d W 9 0 O y w m c X V v d D t U c m F u c 3 B v c n R f d G 9 0 Y W w u d H J h b n N w b 3 J 0 X 3 R v X 2 N v b n N 0 c n V j d G l v b l 9 z a X R l W 3 R r b V 0 m c X V v d D s s J n F 1 b 3 Q 7 V H J h b n N w b 3 J 0 X 3 R v d G F s L n R y Y W 5 z c G 9 y d F 9 0 b 1 9 w c m 9 j Z X N z b 3 J b d G t t X S Z x d W 9 0 O y w m c X V v d D t U c m F u c 3 B v c n R f d G 9 0 Y W w u Z W 1 p c 3 N p b 2 5 f Z n J l Z V 9 0 c m F u c 3 B v c n R f d G 9 f Y 2 9 u c 3 R y d W N 0 a W 9 u X 3 N p d G U m c X V v d D s s J n F 1 b 3 Q 7 V H J h b n N w b 3 J 0 X 3 R v d G F s L m V t a X N z a W 9 u X 2 Z y Z W V f d H J h b n N w b 3 J 0 X 3 R v X 3 B y b 2 N l c 3 N v c i Z x d W 9 0 O y w m c X V v d D t U c m F u c 3 B v c n R f d G 9 0 Y W w u Z W 1 p c 3 N p b 2 5 f Z n J l Z V 9 0 c m F u c 3 B v c n Q m c X V v d D s s J n F 1 b 3 Q 7 V H J h b n N w b 3 J 0 X 3 R v d G F s L n R y Y W 5 z c G 9 y d F 9 0 b 1 9 j b 2 5 z d H J 1 Y 3 R p b 2 5 f c 2 l 0 Z V 9 y Z X B s Y W N l b W V u d H N b d G t t X S Z x d W 9 0 O y w m c X V v d D t U c m F u c 3 B v c n R f d G 9 0 Y W w u d H J h b n N w b 3 J 0 X 3 R v X 3 B y b 2 N l c 3 N v c l 9 y Z X B s Y W N l b W V u d H N b d G t t X S Z x d W 9 0 O y w m c X V v d D t U c m F u c 3 B v c n R f d G 9 0 Y W w u Z W 1 p c 3 N p b 2 5 f Z n J l Z V 9 0 c m F u c 3 B v c n R f c m V w b G F j Z W 1 l b n R z W 3 R r b V 0 m c X V v d D s s J n F 1 b 3 Q 7 V H J h b n N w b 3 J 0 X 3 R v d G F s L n R v d G F s X 2 V t a X N z a W 9 u X 2 Z y Z W V f d H J h b n N w b 3 J 0 J n F 1 b 3 Q 7 L C Z x d W 9 0 O 1 R y Y W 5 z c G 9 y d F 9 0 b 3 R h b C 5 0 b 3 R h b F 9 u b 2 5 f Z W 1 p c 3 N p b 2 5 f Z n J l Z V 9 0 c m F u c 3 B v c n Q m c X V v d D s s J n F 1 b 3 Q 7 V H J h b n N w b 3 J 0 X 3 R v d G F s L n R v d G F s X 3 R y Y W 5 z c G 9 y d C Z x d W 9 0 O y w m c X V v d D t D b 2 5 z d H J 1 Y 3 R p b 2 5 f c 2 l 0 Z V 9 0 b 3 R h b C 5 v c G V y Y X R p b 2 5 f a G 9 1 c l 9 j b 2 5 z d H J 1 Y 3 R p b 2 4 m c X V v d D s s J n F 1 b 3 Q 7 Q 2 9 u c 3 R y d W N 0 a W 9 u X 3 N p d G V f d G 9 0 Y W w u b 3 B l c m F 0 a W 9 u X 2 h v d X J f c m V t b 3 Z h b C Z x d W 9 0 O y w m c X V v d D t D b 2 5 z d H J 1 Y 3 R p b 2 5 f c 2 l 0 Z V 9 0 b 3 R h b C 5 l b W l z c 2 l v b l 9 m c m V l X 2 N v b n N 0 c n V j d G l v b i Z x d W 9 0 O y w m c X V v d D t D b 2 5 z d H J 1 Y 3 R p b 2 5 f c 2 l 0 Z V 9 0 b 3 R h b C 5 l b W l z c 2 l v b l 9 m c m V l X 3 J l b W 9 2 Y W w m c X V v d D s s J n F 1 b 3 Q 7 Q 2 9 u c 3 R y d W N 0 a W 9 u X 3 N p d G V f d G 9 0 Y W w u Z W 1 p c 3 N p b 2 5 f Z n J l Z V 9 j b 2 5 z d H J 1 Y 3 R p b 2 5 f c 2 l 0 Z S Z x d W 9 0 O y w m c X V v d D t D b 2 5 z d H J 1 Y 3 R p b 2 5 f c 2 l 0 Z V 9 0 b 3 R h b C 5 l b W l z c 2 l v b l 9 m c m V l X 2 N v b n N 0 c n V j d G l v b l 9 z a X R l X 3 J l c G x h Y 2 V t Z W 5 0 J n F 1 b 3 Q 7 L C Z x d W 9 0 O 0 N v b n N 0 c n V j d G l v b l 9 z a X R l X 3 R v d G F s L n R v d G F s X 2 V t a X N z a W 9 u X 2 Z y Z W V f Y 2 9 u c 3 R y d W N 0 a W 9 u X 3 N p d G U m c X V v d D s s J n F 1 b 3 Q 7 Q 2 9 u c 3 R y d W N 0 a W 9 u X 3 N p d G V f d G 9 0 Y W w u d G 9 0 Y W x f b m 9 u X 2 V t a X N z a W 9 u X 2 Z y Z W V f Y 2 9 u c 3 R y d W N 0 a W 9 u X 3 N p d G U m c X V v d D s s J n F 1 b 3 Q 7 Q 2 9 u c 3 R y d W N 0 a W 9 u X 3 N p d G V f d G 9 0 Y W w u d G 9 0 Y W x f Y 2 9 u c 3 R y d W N 0 a W 9 u X 3 N p d G U m c X V v d D s s J n F 1 b 3 Q 7 T U t J X 3 R v d G F s X 3 R v b l 9 B M V 9 B M y Z x d W 9 0 O y w m c X V v d D t N S 0 l f d G 9 0 Y W x f b T N f Q T F f Q T M m c X V v d D s s J n F 1 b 3 Q 7 Q 0 8 y X 3 R v d G F s X 3 R v b l 9 B M V 9 B M y Z x d W 9 0 O y w m c X V v d D t D T z J f d G 9 0 Y W x f b T N f Q T F f Q T M m c X V v d D s s J n F 1 b 3 Q 7 T U t J X 3 R v d G F s X 0 E x X 0 E z J n F 1 b 3 Q 7 L C Z x d W 9 0 O 0 N P M l 9 0 b 3 R h b F 9 B M V 9 B M y Z x d W 9 0 O 1 0 i I C 8 + P E V u d H J 5 I F R 5 c G U 9 I k Z p b G x T d G F 0 d X M i I F Z h b H V l P S J z Q 2 9 t c G x l d G U i I C 8 + P E V u d H J 5 I F R 5 c G U 9 I l J l b G F 0 a W 9 u c 2 h p c E l u Z m 9 D b 2 5 0 Y W l u Z X I i I F Z h b H V l P S J z e y Z x d W 9 0 O 2 N v b H V t b k N v d W 5 0 J n F 1 b 3 Q 7 O j E y M C w m c X V v d D t r Z X l D b 2 x 1 b W 5 O Y W 1 l c y Z x d W 9 0 O z p b X S w m c X V v d D t x d W V y e V J l b G F 0 a W 9 u c 2 h p c H M m c X V v d D s 6 W 1 0 s J n F 1 b 3 Q 7 Y 2 9 s d W 1 u S W R l b n R p d G l l c y Z x d W 9 0 O z p b J n F 1 b 3 Q 7 U 2 V j d G l v b j E v S W 5 z Y 2 h y a W p m X 0 V 4 c G 9 y d C 9 B d X R v U m V t b 3 Z l Z E N v b H V t b n M x L n t D b G l l b n Q s M H 0 m c X V v d D s s J n F 1 b 3 Q 7 U 2 V j d G l v b j E v S W 5 z Y 2 h y a W p m X 0 V 4 c G 9 y d C 9 B d X R v U m V t b 3 Z l Z E N v b H V t b n M x L n t D b 2 5 0 c m F j d G 9 y L D F 9 J n F 1 b 3 Q 7 L C Z x d W 9 0 O 1 N l Y 3 R p b 2 4 x L 0 l u c 2 N o c m l q Z l 9 F e H B v c n Q v Q X V 0 b 1 J l b W 9 2 Z W R D b 2 x 1 b W 5 z M S 5 7 U H J v a m V j d F 9 J R C w y f S Z x d W 9 0 O y w m c X V v d D t T Z W N 0 a W 9 u M S 9 J b n N j a H J p a m Z f R X h w b 3 J 0 L 0 F 1 d G 9 S Z W 1 v d m V k Q 2 9 s d W 1 u c z E u e 1 B y b 2 p l Y 3 R f b G l m Z X N w Y W 4 s M 3 0 m c X V v d D s s J n F 1 b 3 Q 7 U 2 V j d G l v b j E v S W 5 z Y 2 h y a W p m X 0 V 4 c G 9 y d C 9 B d X R v U m V t b 3 Z l Z E N v b H V t b n M x L n t Q c m 9 q Z W N 0 X 2 R h d G U s N H 0 m c X V v d D s s J n F 1 b 3 Q 7 U 2 V j d G l v b j E v S W 5 z Y 2 h y a W p m X 0 V 4 c G 9 y d C 9 B d X R v U m V t b 3 Z l Z E N v b H V t b n M x L n t W Z X J z a W 9 u L D V 9 J n F 1 b 3 Q 7 L C Z x d W 9 0 O 1 N l Y 3 R p b 2 4 x L 0 l u c 2 N o c m l q Z l 9 F e H B v c n Q v Q X V 0 b 1 J l b W 9 2 Z W R D b 2 x 1 b W 5 z M S 5 7 U k F X X 0 l E L D Z 9 J n F 1 b 3 Q 7 L C Z x d W 9 0 O 1 N l Y 3 R p b 2 4 x L 0 l u c 2 N o c m l q Z l 9 F e H B v c n Q v Q X V 0 b 1 J l b W 9 2 Z W R D b 2 x 1 b W 5 z M S 5 7 V 2 9 y a 3 N j b 3 B l L D d 9 J n F 1 b 3 Q 7 L C Z x d W 9 0 O 1 N l Y 3 R p b 2 4 x L 0 l u c 2 N o c m l q Z l 9 F e H B v c n Q v Q X V 0 b 1 J l b W 9 2 Z W R D b 2 x 1 b W 5 z M S 5 7 U H J p Y 2 U s O H 0 m c X V v d D s s J n F 1 b 3 Q 7 U 2 V j d G l v b j E v S W 5 z Y 2 h y a W p m X 0 V 4 c G 9 y d C 9 B d X R v U m V t b 3 Z l Z E N v b H V t b n M x L n t Q c m 9 k d W N 0 Z 3 J v d X A s O X 0 m c X V v d D s s J n F 1 b 3 Q 7 U 2 V j d G l v b j E v S W 5 z Y 2 h y a W p m X 0 V 4 c G 9 y d C 9 B d X R v U m V t b 3 Z l Z E N v b H V t b n M x L n t Q c m 9 k d W N 0 L D E w f S Z x d W 9 0 O y w m c X V v d D t T Z W N 0 a W 9 u M S 9 J b n N j a H J p a m Z f R X h w b 3 J 0 L 0 F 1 d G 9 S Z W 1 v d m V k Q 2 9 s d W 1 u c z E u e 1 B y b 2 R 1 Y 3 R 0 e X B l L D E x f S Z x d W 9 0 O y w m c X V v d D t T Z W N 0 a W 9 u M S 9 J b n N j a H J p a m Z f R X h w b 3 J 0 L 0 F 1 d G 9 S Z W 1 v d m V k Q 2 9 s d W 1 u c z E u e 1 N 1 c m Z h Y 2 V b b T J d L D E y f S Z x d W 9 0 O y w m c X V v d D t T Z W N 0 a W 9 u M S 9 J b n N j a H J p a m Z f R X h w b 3 J 0 L 0 F 1 d G 9 S Z W 1 v d m V k Q 2 9 s d W 1 u c z E u e 1 R o a W N r b m V z c 1 t t X S w x M 3 0 m c X V v d D s s J n F 1 b 3 Q 7 U 2 V j d G l v b j E v S W 5 z Y 2 h y a W p m X 0 V 4 c G 9 y d C 9 B d X R v U m V t b 3 Z l Z E N v b H V t b n M x L n t T c G V j a W Z p Y 1 9 3 Z W l n a H R b d G 9 u L 2 0 z X S w x N H 0 m c X V v d D s s J n F 1 b 3 Q 7 U 2 V j d G l v b j E v S W 5 z Y 2 h y a W p m X 0 V 4 c G 9 y d C 9 B d X R v U m V t b 3 Z l Z E N v b H V t b n M x L n t B b W 9 1 b n R b b T N d L D E 1 f S Z x d W 9 0 O y w m c X V v d D t T Z W N 0 a W 9 u M S 9 J b n N j a H J p a m Z f R X h w b 3 J 0 L 0 F 1 d G 9 S Z W 1 v d m V k Q 2 9 s d W 1 u c z E u e 0 F t b 3 V u d F t 0 b 2 5 d L D E 2 f S Z x d W 9 0 O y w m c X V v d D t T Z W N 0 a W 9 u M S 9 J b n N j a H J p a m Z f R X h w b 3 J 0 L 0 F 1 d G 9 S Z W 1 v d m V k Q 2 9 s d W 1 u c z E u e 1 J l c G x h Y 2 V t Z W 5 0 c y w x N 3 0 m c X V v d D s s J n F 1 b 3 Q 7 U 2 V j d G l v b j E v S W 5 z Y 2 h y a W p m X 0 V 4 c G 9 y d C 9 B d X R v U m V t b 3 Z l Z E N v b H V t b n M x L n t B N F 9 0 c m F u c 3 B v c n R f Z G l z d G F u Y 2 V f d G 9 f Y 2 9 u c 3 R y d W N 0 a W 9 u X 3 N p d G V b a 2 1 d L D E 4 f S Z x d W 9 0 O y w m c X V v d D t T Z W N 0 a W 9 u M S 9 J b n N j a H J p a m Z f R X h w b 3 J 0 L 0 F 1 d G 9 S Z W 1 v d m V k Q 2 9 s d W 1 u c z E u e 0 E 0 X 3 R y Y W 5 z c G 9 y d G 1 v Z G V f d G 9 f Y 2 9 u c 3 R y d W N 0 a W 9 u X 3 N p d G U s M T l 9 J n F 1 b 3 Q 7 L C Z x d W 9 0 O 1 N l Y 3 R p b 2 4 x L 0 l u c 2 N o c m l q Z l 9 F e H B v c n Q v Q X V 0 b 1 J l b W 9 2 Z W R D b 2 x 1 b W 5 z M S 5 7 Q T V f Y X N w a G F s d F 9 j b 2 5 z d H J 1 Y 3 R p b 2 5 f c 2 V 0 L D I w f S Z x d W 9 0 O y w m c X V v d D t T Z W N 0 a W 9 u M S 9 J b n N j a H J p a m Z f R X h w b 3 J 0 L 0 F 1 d G 9 S Z W 1 v d m V k Q 2 9 s d W 1 u c z E u e 0 E 1 X 2 9 0 a G V y X 2 N v b n N 0 c n V j d G l v b l 9 l c X V p c G 1 l b n Q s M j F 9 J n F 1 b 3 Q 7 L C Z x d W 9 0 O 1 N l Y 3 R p b 2 4 x L 0 l u c 2 N o c m l q Z l 9 F e H B v c n Q v Q X V 0 b 1 J l b W 9 2 Z W R D b 2 x 1 b W 5 z M S 5 7 Q z F f Y X N w a G F s d F 9 y Z W 1 v d m F s X 3 N l d C w y M n 0 m c X V v d D s s J n F 1 b 3 Q 7 U 2 V j d G l v b j E v S W 5 z Y 2 h y a W p m X 0 V 4 c G 9 y d C 9 B d X R v U m V t b 3 Z l Z E N v b H V t b n M x L n t D M V 9 v d G h l c l 9 y Z W 1 v d m F s X 2 V x d W l w b W V u d C w y M 3 0 m c X V v d D s s J n F 1 b 3 Q 7 U 2 V j d G l v b j E v S W 5 z Y 2 h y a W p m X 0 V 4 c G 9 y d C 9 B d X R v U m V t b 3 Z l Z E N v b H V t b n M x L n t D M l 9 0 c m F u c 3 B v c n R k a X N 0 Y W 5 j Z V 9 0 b 1 9 w c m 9 j Z X N z b 3 J b a 2 1 d L D I 0 f S Z x d W 9 0 O y w m c X V v d D t T Z W N 0 a W 9 u M S 9 J b n N j a H J p a m Z f R X h w b 3 J 0 L 0 F 1 d G 9 S Z W 1 v d m V k Q 2 9 s d W 1 u c z E u e 0 M y X 3 R y Y W 5 z c G 9 y d G 1 v Z G V f d G 9 f c H J v Y 2 V z c 2 9 y L D I 1 f S Z x d W 9 0 O y w m c X V v d D t T Z W N 0 a W 9 u M S 9 J b n N j a H J p a m Z f R X h w b 3 J 0 L 0 F 1 d G 9 S Z W 1 v d m V k Q 2 9 s d W 1 u c z E u e 0 M z X 3 B y b 2 N l c 3 N p b m d z Z X Q s M j Z 9 J n F 1 b 3 Q 7 L C Z x d W 9 0 O 1 N l Y 3 R p b 2 4 x L 0 l u c 2 N o c m l q Z l 9 F e H B v c n Q v Q X V 0 b 1 J l b W 9 2 Z W R D b 2 x 1 b W 5 z M S 5 7 Q X N z d W 1 w d G l v b n M s M j d 9 J n F 1 b 3 Q 7 L C Z x d W 9 0 O 1 N l Y 3 R p b 2 4 x L 0 l u c 2 N o c m l q Z l 9 F e H B v c n Q v Q X V 0 b 1 J l b W 9 2 Z W R D b 2 x 1 b W 5 z M S 5 7 R U N J X 3 R v d G F s L k E x L D I 4 f S Z x d W 9 0 O y w m c X V v d D t T Z W N 0 a W 9 u M S 9 J b n N j a H J p a m Z f R X h w b 3 J 0 L 0 F 1 d G 9 S Z W 1 v d m V k Q 2 9 s d W 1 u c z E u e 0 V D S V 9 0 b 3 R h b C 5 B M i w y O X 0 m c X V v d D s s J n F 1 b 3 Q 7 U 2 V j d G l v b j E v S W 5 z Y 2 h y a W p m X 0 V 4 c G 9 y d C 9 B d X R v U m V t b 3 Z l Z E N v b H V t b n M x L n t F Q 0 l f d G 9 0 Y W w u Q T M s M z B 9 J n F 1 b 3 Q 7 L C Z x d W 9 0 O 1 N l Y 3 R p b 2 4 x L 0 l u c 2 N o c m l q Z l 9 F e H B v c n Q v Q X V 0 b 1 J l b W 9 2 Z W R D b 2 x 1 b W 5 z M S 5 7 R U N J X 3 R v d G F s L k E 0 L D M x f S Z x d W 9 0 O y w m c X V v d D t T Z W N 0 a W 9 u M S 9 J b n N j a H J p a m Z f R X h w b 3 J 0 L 0 F 1 d G 9 S Z W 1 v d m V k Q 2 9 s d W 1 u c z E u e 0 V D S V 9 0 b 3 R h b C 5 B N S w z M n 0 m c X V v d D s s J n F 1 b 3 Q 7 U 2 V j d G l v b j E v S W 5 z Y 2 h y a W p m X 0 V 4 c G 9 y d C 9 B d X R v U m V t b 3 Z l Z E N v b H V t b n M x L n t F Q 0 l f d G 9 0 Y W w u Q j E s M z N 9 J n F 1 b 3 Q 7 L C Z x d W 9 0 O 1 N l Y 3 R p b 2 4 x L 0 l u c 2 N o c m l q Z l 9 F e H B v c n Q v Q X V 0 b 1 J l b W 9 2 Z W R D b 2 x 1 b W 5 z M S 5 7 R U N J X 3 R v d G F s L k I 0 L D M 0 f S Z x d W 9 0 O y w m c X V v d D t T Z W N 0 a W 9 u M S 9 J b n N j a H J p a m Z f R X h w b 3 J 0 L 0 F 1 d G 9 S Z W 1 v d m V k Q 2 9 s d W 1 u c z E u e 0 V D S V 9 0 b 3 R h b C 5 D M S w z N X 0 m c X V v d D s s J n F 1 b 3 Q 7 U 2 V j d G l v b j E v S W 5 z Y 2 h y a W p m X 0 V 4 c G 9 y d C 9 B d X R v U m V t b 3 Z l Z E N v b H V t b n M x L n t F Q 0 l f d G 9 0 Y W w u Q z I s M z Z 9 J n F 1 b 3 Q 7 L C Z x d W 9 0 O 1 N l Y 3 R p b 2 4 x L 0 l u c 2 N o c m l q Z l 9 F e H B v c n Q v Q X V 0 b 1 J l b W 9 2 Z W R D b 2 x 1 b W 5 z M S 5 7 R U N J X 3 R v d G F s L k M z L D M 3 f S Z x d W 9 0 O y w m c X V v d D t T Z W N 0 a W 9 u M S 9 J b n N j a H J p a m Z f R X h w b 3 J 0 L 0 F 1 d G 9 S Z W 1 v d m V k Q 2 9 s d W 1 u c z E u e 0 V D S V 9 0 b 3 R h b C 5 D N C w z O H 0 m c X V v d D s s J n F 1 b 3 Q 7 U 2 V j d G l v b j E v S W 5 z Y 2 h y a W p m X 0 V 4 c G 9 y d C 9 B d X R v U m V t b 3 Z l Z E N v b H V t b n M x L n t F Q 0 l f d G 9 0 Y W w u R D E s M z l 9 J n F 1 b 3 Q 7 L C Z x d W 9 0 O 1 N l Y 3 R p b 2 4 x L 0 l u c 2 N o c m l q Z l 9 F e H B v c n Q v Q X V 0 b 1 J l b W 9 2 Z W R D b 2 x 1 b W 5 z M S 5 7 R U N J X 3 R v d G F s L k Q y L D Q w f S Z x d W 9 0 O y w m c X V v d D t T Z W N 0 a W 9 u M S 9 J b n N j a H J p a m Z f R X h w b 3 J 0 L 0 F 1 d G 9 S Z W 1 v d m V k Q 2 9 s d W 1 u c z E u e 0 V D S V 9 0 b 3 R h b C 5 0 b 3 R h b C w 0 M X 0 m c X V v d D s s J n F 1 b 3 Q 7 U 2 V j d G l v b j E v S W 5 z Y 2 h y a W p m X 0 V 4 c G 9 y d C 9 B d X R v U m V t b 3 Z l Z E N v b H V t b n M x L n t D T z J f d G 9 0 Y W w u Q T E s N D J 9 J n F 1 b 3 Q 7 L C Z x d W 9 0 O 1 N l Y 3 R p b 2 4 x L 0 l u c 2 N o c m l q Z l 9 F e H B v c n Q v Q X V 0 b 1 J l b W 9 2 Z W R D b 2 x 1 b W 5 z M S 5 7 Q 0 8 y X 3 R v d G F s L k E y L D Q z f S Z x d W 9 0 O y w m c X V v d D t T Z W N 0 a W 9 u M S 9 J b n N j a H J p a m Z f R X h w b 3 J 0 L 0 F 1 d G 9 S Z W 1 v d m V k Q 2 9 s d W 1 u c z E u e 0 N P M l 9 0 b 3 R h b C 5 B M y w 0 N H 0 m c X V v d D s s J n F 1 b 3 Q 7 U 2 V j d G l v b j E v S W 5 z Y 2 h y a W p m X 0 V 4 c G 9 y d C 9 B d X R v U m V t b 3 Z l Z E N v b H V t b n M x L n t D T z J f d G 9 0 Y W w u Q T Q s N D V 9 J n F 1 b 3 Q 7 L C Z x d W 9 0 O 1 N l Y 3 R p b 2 4 x L 0 l u c 2 N o c m l q Z l 9 F e H B v c n Q v Q X V 0 b 1 J l b W 9 2 Z W R D b 2 x 1 b W 5 z M S 5 7 Q 0 8 y X 3 R v d G F s L k E 1 L D Q 2 f S Z x d W 9 0 O y w m c X V v d D t T Z W N 0 a W 9 u M S 9 J b n N j a H J p a m Z f R X h w b 3 J 0 L 0 F 1 d G 9 S Z W 1 v d m V k Q 2 9 s d W 1 u c z E u e 0 N P M l 9 0 b 3 R h b C 5 C M S w 0 N 3 0 m c X V v d D s s J n F 1 b 3 Q 7 U 2 V j d G l v b j E v S W 5 z Y 2 h y a W p m X 0 V 4 c G 9 y d C 9 B d X R v U m V t b 3 Z l Z E N v b H V t b n M x L n t D T z J f d G 9 0 Y W w u Q j Q s N D h 9 J n F 1 b 3 Q 7 L C Z x d W 9 0 O 1 N l Y 3 R p b 2 4 x L 0 l u c 2 N o c m l q Z l 9 F e H B v c n Q v Q X V 0 b 1 J l b W 9 2 Z W R D b 2 x 1 b W 5 z M S 5 7 Q 0 8 y X 3 R v d G F s L k M x L D Q 5 f S Z x d W 9 0 O y w m c X V v d D t T Z W N 0 a W 9 u M S 9 J b n N j a H J p a m Z f R X h w b 3 J 0 L 0 F 1 d G 9 S Z W 1 v d m V k Q 2 9 s d W 1 u c z E u e 0 N P M l 9 0 b 3 R h b C 5 D M i w 1 M H 0 m c X V v d D s s J n F 1 b 3 Q 7 U 2 V j d G l v b j E v S W 5 z Y 2 h y a W p m X 0 V 4 c G 9 y d C 9 B d X R v U m V t b 3 Z l Z E N v b H V t b n M x L n t D T z J f d G 9 0 Y W w u Q z M s N T F 9 J n F 1 b 3 Q 7 L C Z x d W 9 0 O 1 N l Y 3 R p b 2 4 x L 0 l u c 2 N o c m l q Z l 9 F e H B v c n Q v Q X V 0 b 1 J l b W 9 2 Z W R D b 2 x 1 b W 5 z M S 5 7 Q 0 8 y X 3 R v d G F s L k M 0 L D U y f S Z x d W 9 0 O y w m c X V v d D t T Z W N 0 a W 9 u M S 9 J b n N j a H J p a m Z f R X h w b 3 J 0 L 0 F 1 d G 9 S Z W 1 v d m V k Q 2 9 s d W 1 u c z E u e 0 N P M l 9 0 b 3 R h b C 5 E M S w 1 M 3 0 m c X V v d D s s J n F 1 b 3 Q 7 U 2 V j d G l v b j E v S W 5 z Y 2 h y a W p m X 0 V 4 c G 9 y d C 9 B d X R v U m V t b 3 Z l Z E N v b H V t b n M x L n t D T z J f d G 9 0 Y W w u R D I s N T R 9 J n F 1 b 3 Q 7 L C Z x d W 9 0 O 1 N l Y 3 R p b 2 4 x L 0 l u c 2 N o c m l q Z l 9 F e H B v c n Q v Q X V 0 b 1 J l b W 9 2 Z W R D b 2 x 1 b W 5 z M S 5 7 Q 0 8 y X 3 R v d G F s L n R v d G F s L D U 1 f S Z x d W 9 0 O y w m c X V v d D t T Z W N 0 a W 9 u M S 9 J b n N j a H J p a m Z f R X h w b 3 J 0 L 0 F 1 d G 9 S Z W 1 v d m V k Q 2 9 s d W 1 u c z E u e 0 1 h d G V y a W F s X 3 R v d G F s L m F t b 3 V u d F t 0 b 2 5 d L D U 2 f S Z x d W 9 0 O y w m c X V v d D t T Z W N 0 a W 9 u M S 9 J b n N j a H J p a m Z f R X h w b 3 J 0 L 0 F 1 d G 9 S Z W 1 v d m V k Q 2 9 s d W 1 u c z E u e 0 1 h d G V y a W F s X 3 R v d G F s L i V z Z W N 1 b m R h c n k s N T d 9 J n F 1 b 3 Q 7 L C Z x d W 9 0 O 1 N l Y 3 R p b 2 4 x L 0 l u c 2 N o c m l q Z l 9 F e H B v c n Q v Q X V 0 b 1 J l b W 9 2 Z W R D b 2 x 1 b W 5 z M S 5 7 T W F 0 Z X J p Y W x f d G 9 0 Y W w u c H J p b W F y e V t 0 b 2 5 d L D U 4 f S Z x d W 9 0 O y w m c X V v d D t T Z W N 0 a W 9 u M S 9 J b n N j a H J p a m Z f R X h w b 3 J 0 L 0 F 1 d G 9 S Z W 1 v d m V k Q 2 9 s d W 1 u c z E u e 0 1 h d G V y a W F s X 3 R v d G F s L n N l Y 3 V u Z G F y e V t 0 b 2 5 d L D U 5 f S Z x d W 9 0 O y w m c X V v d D t T Z W N 0 a W 9 u M S 9 J b n N j a H J p a m Z f R X h w b 3 J 0 L 0 F 1 d G 9 S Z W 1 v d m V k Q 2 9 s d W 1 u c z E u e 0 1 h d G V y a W F s X 3 R v d G F s L m F t b 3 V u d F 9 y Z X B s Y W N l b W V u d H N b d G 9 u X S w 2 M H 0 m c X V v d D s s J n F 1 b 3 Q 7 U 2 V j d G l v b j E v S W 5 z Y 2 h y a W p m X 0 V 4 c G 9 y d C 9 B d X R v U m V t b 3 Z l Z E N v b H V t b n M x L n t N Y X R l c m l h b F 9 0 b 3 R h b C 5 w c m l t Y X J 5 X 3 J l c G x h Y 2 V t Z W 5 0 c 1 t 0 b 2 5 d L D Y x f S Z x d W 9 0 O y w m c X V v d D t T Z W N 0 a W 9 u M S 9 J b n N j a H J p a m Z f R X h w b 3 J 0 L 0 F 1 d G 9 S Z W 1 v d m V k Q 2 9 s d W 1 u c z E u e 0 1 h d G V y a W F s X 3 R v d G F s L n N l Y 3 V u Z G F y e V 9 y Z X B s Y W N l b W V u d H N b d G 9 u X S w 2 M n 0 m c X V v d D s s J n F 1 b 3 Q 7 U 2 V j d G l v b j E v S W 5 z Y 2 h y a W p m X 0 V 4 c G 9 y d C 9 B d X R v U m V t b 3 Z l Z E N v b H V t b n M x L n t N Y X R l c m l h b F 9 0 b 3 R h b C 5 0 b 3 R h b F 9 w c m l t Y X J 5 W 3 R v b l 0 s N j N 9 J n F 1 b 3 Q 7 L C Z x d W 9 0 O 1 N l Y 3 R p b 2 4 x L 0 l u c 2 N o c m l q Z l 9 F e H B v c n Q v Q X V 0 b 1 J l b W 9 2 Z W R D b 2 x 1 b W 5 z M S 5 7 T W F 0 Z X J p Y W x f d G 9 0 Y W w u d G 9 0 Y W x f c 2 V j d W 5 k Y X J 5 W 3 R v b l 0 s N j R 9 J n F 1 b 3 Q 7 L C Z x d W 9 0 O 1 N l Y 3 R p b 2 4 x L 0 l u c 2 N o c m l q Z l 9 F e H B v c n Q v Q X V 0 b 1 J l b W 9 2 Z W R D b 2 x 1 b W 5 z M S 5 7 T W F 0 Z X J p Y W x f d G 9 0 Y W w u d G 9 0 Y W x b d G 9 u X S w 2 N X 0 m c X V v d D s s J n F 1 b 3 Q 7 U 2 V j d G l v b j E v S W 5 z Y 2 h y a W p m X 0 V 4 c G 9 y d C 9 B d X R v U m V t b 3 Z l Z E N v b H V t b n M x L n t S Z W 5 l d 2 F i b G V f Z W 5 l c m d 5 X 3 R v d G F s L k E x L D Y 2 f S Z x d W 9 0 O y w m c X V v d D t T Z W N 0 a W 9 u M S 9 J b n N j a H J p a m Z f R X h w b 3 J 0 L 0 F 1 d G 9 S Z W 1 v d m V k Q 2 9 s d W 1 u c z E u e 1 J l b m V 3 Y W J s Z V 9 l b m V y Z 3 l f d G 9 0 Y W w u Q T I s N j d 9 J n F 1 b 3 Q 7 L C Z x d W 9 0 O 1 N l Y 3 R p b 2 4 x L 0 l u c 2 N o c m l q Z l 9 F e H B v c n Q v Q X V 0 b 1 J l b W 9 2 Z W R D b 2 x 1 b W 5 z M S 5 7 U m V u Z X d h Y m x l X 2 V u Z X J n e V 9 0 b 3 R h b C 5 B M y w 2 O H 0 m c X V v d D s s J n F 1 b 3 Q 7 U 2 V j d G l v b j E v S W 5 z Y 2 h y a W p m X 0 V 4 c G 9 y d C 9 B d X R v U m V t b 3 Z l Z E N v b H V t b n M x L n t S Z W 5 l d 2 F i b G V f Z W 5 l c m d 5 X 3 R v d G F s L k E 0 L D Y 5 f S Z x d W 9 0 O y w m c X V v d D t T Z W N 0 a W 9 u M S 9 J b n N j a H J p a m Z f R X h w b 3 J 0 L 0 F 1 d G 9 S Z W 1 v d m V k Q 2 9 s d W 1 u c z E u e 1 J l b m V 3 Y W J s Z V 9 l b m V y Z 3 l f d G 9 0 Y W w u Q T U s N z B 9 J n F 1 b 3 Q 7 L C Z x d W 9 0 O 1 N l Y 3 R p b 2 4 x L 0 l u c 2 N o c m l q Z l 9 F e H B v c n Q v Q X V 0 b 1 J l b W 9 2 Z W R D b 2 x 1 b W 5 z M S 5 7 U m V u Z X d h Y m x l X 2 V u Z X J n e V 9 0 b 3 R h b C 5 C M S w 3 M X 0 m c X V v d D s s J n F 1 b 3 Q 7 U 2 V j d G l v b j E v S W 5 z Y 2 h y a W p m X 0 V 4 c G 9 y d C 9 B d X R v U m V t b 3 Z l Z E N v b H V t b n M x L n t S Z W 5 l d 2 F i b G V f Z W 5 l c m d 5 X 3 R v d G F s L k I 0 L D c y f S Z x d W 9 0 O y w m c X V v d D t T Z W N 0 a W 9 u M S 9 J b n N j a H J p a m Z f R X h w b 3 J 0 L 0 F 1 d G 9 S Z W 1 v d m V k Q 2 9 s d W 1 u c z E u e 1 J l b m V 3 Y W J s Z V 9 l b m V y Z 3 l f d G 9 0 Y W w u Q z E s N z N 9 J n F 1 b 3 Q 7 L C Z x d W 9 0 O 1 N l Y 3 R p b 2 4 x L 0 l u c 2 N o c m l q Z l 9 F e H B v c n Q v Q X V 0 b 1 J l b W 9 2 Z W R D b 2 x 1 b W 5 z M S 5 7 U m V u Z X d h Y m x l X 2 V u Z X J n e V 9 0 b 3 R h b C 5 D M i w 3 N H 0 m c X V v d D s s J n F 1 b 3 Q 7 U 2 V j d G l v b j E v S W 5 z Y 2 h y a W p m X 0 V 4 c G 9 y d C 9 B d X R v U m V t b 3 Z l Z E N v b H V t b n M x L n t S Z W 5 l d 2 F i b G V f Z W 5 l c m d 5 X 3 R v d G F s L k M z L D c 1 f S Z x d W 9 0 O y w m c X V v d D t T Z W N 0 a W 9 u M S 9 J b n N j a H J p a m Z f R X h w b 3 J 0 L 0 F 1 d G 9 S Z W 1 v d m V k Q 2 9 s d W 1 u c z E u e 1 J l b m V 3 Y W J s Z V 9 l b m V y Z 3 l f d G 9 0 Y W w u Q z Q s N z Z 9 J n F 1 b 3 Q 7 L C Z x d W 9 0 O 1 N l Y 3 R p b 2 4 x L 0 l u c 2 N o c m l q Z l 9 F e H B v c n Q v Q X V 0 b 1 J l b W 9 2 Z W R D b 2 x 1 b W 5 z M S 5 7 U m V u Z X d h Y m x l X 2 V u Z X J n e V 9 0 b 3 R h b C 5 E M S w 3 N 3 0 m c X V v d D s s J n F 1 b 3 Q 7 U 2 V j d G l v b j E v S W 5 z Y 2 h y a W p m X 0 V 4 c G 9 y d C 9 B d X R v U m V t b 3 Z l Z E N v b H V t b n M x L n t S Z W 5 l d 2 F i b G V f Z W 5 l c m d 5 X 3 R v d G F s L k Q y L D c 4 f S Z x d W 9 0 O y w m c X V v d D t T Z W N 0 a W 9 u M S 9 J b n N j a H J p a m Z f R X h w b 3 J 0 L 0 F 1 d G 9 S Z W 1 v d m V k Q 2 9 s d W 1 u c z E u e 1 J l b m V 3 Y W J s Z V 9 l b m V y Z 3 l f d G 9 0 Y W w u d G 9 0 Y W w s N z l 9 J n F 1 b 3 Q 7 L C Z x d W 9 0 O 1 N l Y 3 R p b 2 4 x L 0 l u c 2 N o c m l q Z l 9 F e H B v c n Q v Q X V 0 b 1 J l b W 9 2 Z W R D b 2 x 1 b W 5 z M S 5 7 R m 9 z c 2 l s X 2 V u Z X J n e V 9 0 b 3 R h b C 5 B M S w 4 M H 0 m c X V v d D s s J n F 1 b 3 Q 7 U 2 V j d G l v b j E v S W 5 z Y 2 h y a W p m X 0 V 4 c G 9 y d C 9 B d X R v U m V t b 3 Z l Z E N v b H V t b n M x L n t G b 3 N z a W x f Z W 5 l c m d 5 X 3 R v d G F s L k E y L D g x f S Z x d W 9 0 O y w m c X V v d D t T Z W N 0 a W 9 u M S 9 J b n N j a H J p a m Z f R X h w b 3 J 0 L 0 F 1 d G 9 S Z W 1 v d m V k Q 2 9 s d W 1 u c z E u e 0 Z v c 3 N p b F 9 l b m V y Z 3 l f d G 9 0 Y W w u Q T M s O D J 9 J n F 1 b 3 Q 7 L C Z x d W 9 0 O 1 N l Y 3 R p b 2 4 x L 0 l u c 2 N o c m l q Z l 9 F e H B v c n Q v Q X V 0 b 1 J l b W 9 2 Z W R D b 2 x 1 b W 5 z M S 5 7 R m 9 z c 2 l s X 2 V u Z X J n e V 9 0 b 3 R h b C 5 B N C w 4 M 3 0 m c X V v d D s s J n F 1 b 3 Q 7 U 2 V j d G l v b j E v S W 5 z Y 2 h y a W p m X 0 V 4 c G 9 y d C 9 B d X R v U m V t b 3 Z l Z E N v b H V t b n M x L n t G b 3 N z a W x f Z W 5 l c m d 5 X 3 R v d G F s L k E 1 L D g 0 f S Z x d W 9 0 O y w m c X V v d D t T Z W N 0 a W 9 u M S 9 J b n N j a H J p a m Z f R X h w b 3 J 0 L 0 F 1 d G 9 S Z W 1 v d m V k Q 2 9 s d W 1 u c z E u e 0 Z v c 3 N p b F 9 l b m V y Z 3 l f d G 9 0 Y W w u Q j E s O D V 9 J n F 1 b 3 Q 7 L C Z x d W 9 0 O 1 N l Y 3 R p b 2 4 x L 0 l u c 2 N o c m l q Z l 9 F e H B v c n Q v Q X V 0 b 1 J l b W 9 2 Z W R D b 2 x 1 b W 5 z M S 5 7 R m 9 z c 2 l s X 2 V u Z X J n e V 9 0 b 3 R h b C 5 C N C w 4 N n 0 m c X V v d D s s J n F 1 b 3 Q 7 U 2 V j d G l v b j E v S W 5 z Y 2 h y a W p m X 0 V 4 c G 9 y d C 9 B d X R v U m V t b 3 Z l Z E N v b H V t b n M x L n t G b 3 N z a W x f Z W 5 l c m d 5 X 3 R v d G F s L k M x L D g 3 f S Z x d W 9 0 O y w m c X V v d D t T Z W N 0 a W 9 u M S 9 J b n N j a H J p a m Z f R X h w b 3 J 0 L 0 F 1 d G 9 S Z W 1 v d m V k Q 2 9 s d W 1 u c z E u e 0 Z v c 3 N p b F 9 l b m V y Z 3 l f d G 9 0 Y W w u Q z I s O D h 9 J n F 1 b 3 Q 7 L C Z x d W 9 0 O 1 N l Y 3 R p b 2 4 x L 0 l u c 2 N o c m l q Z l 9 F e H B v c n Q v Q X V 0 b 1 J l b W 9 2 Z W R D b 2 x 1 b W 5 z M S 5 7 R m 9 z c 2 l s X 2 V u Z X J n e V 9 0 b 3 R h b C 5 D M y w 4 O X 0 m c X V v d D s s J n F 1 b 3 Q 7 U 2 V j d G l v b j E v S W 5 z Y 2 h y a W p m X 0 V 4 c G 9 y d C 9 B d X R v U m V t b 3 Z l Z E N v b H V t b n M x L n t G b 3 N z a W x f Z W 5 l c m d 5 X 3 R v d G F s L k M 0 L D k w f S Z x d W 9 0 O y w m c X V v d D t T Z W N 0 a W 9 u M S 9 J b n N j a H J p a m Z f R X h w b 3 J 0 L 0 F 1 d G 9 S Z W 1 v d m V k Q 2 9 s d W 1 u c z E u e 0 Z v c 3 N p b F 9 l b m V y Z 3 l f d G 9 0 Y W w u R D E s O T F 9 J n F 1 b 3 Q 7 L C Z x d W 9 0 O 1 N l Y 3 R p b 2 4 x L 0 l u c 2 N o c m l q Z l 9 F e H B v c n Q v Q X V 0 b 1 J l b W 9 2 Z W R D b 2 x 1 b W 5 z M S 5 7 R m 9 z c 2 l s X 2 V u Z X J n e V 9 0 b 3 R h b C 5 E M i w 5 M n 0 m c X V v d D s s J n F 1 b 3 Q 7 U 2 V j d G l v b j E v S W 5 z Y 2 h y a W p m X 0 V 4 c G 9 y d C 9 B d X R v U m V t b 3 Z l Z E N v b H V t b n M x L n t G b 3 N z a W x f Z W 5 l c m d 5 X 3 R v d G F s L n R v d G F s L D k z f S Z x d W 9 0 O y w m c X V v d D t T Z W N 0 a W 9 u M S 9 J b n N j a H J p a m Z f R X h w b 3 J 0 L 0 F 1 d G 9 S Z W 1 v d m V k Q 2 9 s d W 1 u c z E u e 1 R y Y W 5 z c G 9 y d F 9 0 b 3 R h b C 5 0 c m F u c 3 B v c n R f d G 9 f Y 2 9 u c 3 R y d W N 0 a W 9 u X 3 N p d G V b d G t t X S w 5 N H 0 m c X V v d D s s J n F 1 b 3 Q 7 U 2 V j d G l v b j E v S W 5 z Y 2 h y a W p m X 0 V 4 c G 9 y d C 9 B d X R v U m V t b 3 Z l Z E N v b H V t b n M x L n t U c m F u c 3 B v c n R f d G 9 0 Y W w u d H J h b n N w b 3 J 0 X 3 R v X 3 B y b 2 N l c 3 N v c l t 0 a 2 1 d L D k 1 f S Z x d W 9 0 O y w m c X V v d D t T Z W N 0 a W 9 u M S 9 J b n N j a H J p a m Z f R X h w b 3 J 0 L 0 F 1 d G 9 S Z W 1 v d m V k Q 2 9 s d W 1 u c z E u e 1 R y Y W 5 z c G 9 y d F 9 0 b 3 R h b C 5 l b W l z c 2 l v b l 9 m c m V l X 3 R y Y W 5 z c G 9 y d F 9 0 b 1 9 j b 2 5 z d H J 1 Y 3 R p b 2 5 f c 2 l 0 Z S w 5 N n 0 m c X V v d D s s J n F 1 b 3 Q 7 U 2 V j d G l v b j E v S W 5 z Y 2 h y a W p m X 0 V 4 c G 9 y d C 9 B d X R v U m V t b 3 Z l Z E N v b H V t b n M x L n t U c m F u c 3 B v c n R f d G 9 0 Y W w u Z W 1 p c 3 N p b 2 5 f Z n J l Z V 9 0 c m F u c 3 B v c n R f d G 9 f c H J v Y 2 V z c 2 9 y L D k 3 f S Z x d W 9 0 O y w m c X V v d D t T Z W N 0 a W 9 u M S 9 J b n N j a H J p a m Z f R X h w b 3 J 0 L 0 F 1 d G 9 S Z W 1 v d m V k Q 2 9 s d W 1 u c z E u e 1 R y Y W 5 z c G 9 y d F 9 0 b 3 R h b C 5 l b W l z c 2 l v b l 9 m c m V l X 3 R y Y W 5 z c G 9 y d C w 5 O H 0 m c X V v d D s s J n F 1 b 3 Q 7 U 2 V j d G l v b j E v S W 5 z Y 2 h y a W p m X 0 V 4 c G 9 y d C 9 B d X R v U m V t b 3 Z l Z E N v b H V t b n M x L n t U c m F u c 3 B v c n R f d G 9 0 Y W w u d H J h b n N w b 3 J 0 X 3 R v X 2 N v b n N 0 c n V j d G l v b l 9 z a X R l X 3 J l c G x h Y 2 V t Z W 5 0 c 1 t 0 a 2 1 d L D k 5 f S Z x d W 9 0 O y w m c X V v d D t T Z W N 0 a W 9 u M S 9 J b n N j a H J p a m Z f R X h w b 3 J 0 L 0 F 1 d G 9 S Z W 1 v d m V k Q 2 9 s d W 1 u c z E u e 1 R y Y W 5 z c G 9 y d F 9 0 b 3 R h b C 5 0 c m F u c 3 B v c n R f d G 9 f c H J v Y 2 V z c 2 9 y X 3 J l c G x h Y 2 V t Z W 5 0 c 1 t 0 a 2 1 d L D E w M H 0 m c X V v d D s s J n F 1 b 3 Q 7 U 2 V j d G l v b j E v S W 5 z Y 2 h y a W p m X 0 V 4 c G 9 y d C 9 B d X R v U m V t b 3 Z l Z E N v b H V t b n M x L n t U c m F u c 3 B v c n R f d G 9 0 Y W w u Z W 1 p c 3 N p b 2 5 f Z n J l Z V 9 0 c m F u c 3 B v c n R f c m V w b G F j Z W 1 l b n R z W 3 R r b V 0 s M T A x f S Z x d W 9 0 O y w m c X V v d D t T Z W N 0 a W 9 u M S 9 J b n N j a H J p a m Z f R X h w b 3 J 0 L 0 F 1 d G 9 S Z W 1 v d m V k Q 2 9 s d W 1 u c z E u e 1 R y Y W 5 z c G 9 y d F 9 0 b 3 R h b C 5 0 b 3 R h b F 9 l b W l z c 2 l v b l 9 m c m V l X 3 R y Y W 5 z c G 9 y d C w x M D J 9 J n F 1 b 3 Q 7 L C Z x d W 9 0 O 1 N l Y 3 R p b 2 4 x L 0 l u c 2 N o c m l q Z l 9 F e H B v c n Q v Q X V 0 b 1 J l b W 9 2 Z W R D b 2 x 1 b W 5 z M S 5 7 V H J h b n N w b 3 J 0 X 3 R v d G F s L n R v d G F s X 2 5 v b l 9 l b W l z c 2 l v b l 9 m c m V l X 3 R y Y W 5 z c G 9 y d C w x M D N 9 J n F 1 b 3 Q 7 L C Z x d W 9 0 O 1 N l Y 3 R p b 2 4 x L 0 l u c 2 N o c m l q Z l 9 F e H B v c n Q v Q X V 0 b 1 J l b W 9 2 Z W R D b 2 x 1 b W 5 z M S 5 7 V H J h b n N w b 3 J 0 X 3 R v d G F s L n R v d G F s X 3 R y Y W 5 z c G 9 y d C w x M D R 9 J n F 1 b 3 Q 7 L C Z x d W 9 0 O 1 N l Y 3 R p b 2 4 x L 0 l u c 2 N o c m l q Z l 9 F e H B v c n Q v Q X V 0 b 1 J l b W 9 2 Z W R D b 2 x 1 b W 5 z M S 5 7 Q 2 9 u c 3 R y d W N 0 a W 9 u X 3 N p d G V f d G 9 0 Y W w u b 3 B l c m F 0 a W 9 u X 2 h v d X J f Y 2 9 u c 3 R y d W N 0 a W 9 u L D E w N X 0 m c X V v d D s s J n F 1 b 3 Q 7 U 2 V j d G l v b j E v S W 5 z Y 2 h y a W p m X 0 V 4 c G 9 y d C 9 B d X R v U m V t b 3 Z l Z E N v b H V t b n M x L n t D b 2 5 z d H J 1 Y 3 R p b 2 5 f c 2 l 0 Z V 9 0 b 3 R h b C 5 v c G V y Y X R p b 2 5 f a G 9 1 c l 9 y Z W 1 v d m F s L D E w N n 0 m c X V v d D s s J n F 1 b 3 Q 7 U 2 V j d G l v b j E v S W 5 z Y 2 h y a W p m X 0 V 4 c G 9 y d C 9 B d X R v U m V t b 3 Z l Z E N v b H V t b n M x L n t D b 2 5 z d H J 1 Y 3 R p b 2 5 f c 2 l 0 Z V 9 0 b 3 R h b C 5 l b W l z c 2 l v b l 9 m c m V l X 2 N v b n N 0 c n V j d G l v b i w x M D d 9 J n F 1 b 3 Q 7 L C Z x d W 9 0 O 1 N l Y 3 R p b 2 4 x L 0 l u c 2 N o c m l q Z l 9 F e H B v c n Q v Q X V 0 b 1 J l b W 9 2 Z W R D b 2 x 1 b W 5 z M S 5 7 Q 2 9 u c 3 R y d W N 0 a W 9 u X 3 N p d G V f d G 9 0 Y W w u Z W 1 p c 3 N p b 2 5 f Z n J l Z V 9 y Z W 1 v d m F s L D E w O H 0 m c X V v d D s s J n F 1 b 3 Q 7 U 2 V j d G l v b j E v S W 5 z Y 2 h y a W p m X 0 V 4 c G 9 y d C 9 B d X R v U m V t b 3 Z l Z E N v b H V t b n M x L n t D b 2 5 z d H J 1 Y 3 R p b 2 5 f c 2 l 0 Z V 9 0 b 3 R h b C 5 l b W l z c 2 l v b l 9 m c m V l X 2 N v b n N 0 c n V j d G l v b l 9 z a X R l L D E w O X 0 m c X V v d D s s J n F 1 b 3 Q 7 U 2 V j d G l v b j E v S W 5 z Y 2 h y a W p m X 0 V 4 c G 9 y d C 9 B d X R v U m V t b 3 Z l Z E N v b H V t b n M x L n t D b 2 5 z d H J 1 Y 3 R p b 2 5 f c 2 l 0 Z V 9 0 b 3 R h b C 5 l b W l z c 2 l v b l 9 m c m V l X 2 N v b n N 0 c n V j d G l v b l 9 z a X R l X 3 J l c G x h Y 2 V t Z W 5 0 L D E x M H 0 m c X V v d D s s J n F 1 b 3 Q 7 U 2 V j d G l v b j E v S W 5 z Y 2 h y a W p m X 0 V 4 c G 9 y d C 9 B d X R v U m V t b 3 Z l Z E N v b H V t b n M x L n t D b 2 5 z d H J 1 Y 3 R p b 2 5 f c 2 l 0 Z V 9 0 b 3 R h b C 5 0 b 3 R h b F 9 l b W l z c 2 l v b l 9 m c m V l X 2 N v b n N 0 c n V j d G l v b l 9 z a X R l L D E x M X 0 m c X V v d D s s J n F 1 b 3 Q 7 U 2 V j d G l v b j E v S W 5 z Y 2 h y a W p m X 0 V 4 c G 9 y d C 9 B d X R v U m V t b 3 Z l Z E N v b H V t b n M x L n t D b 2 5 z d H J 1 Y 3 R p b 2 5 f c 2 l 0 Z V 9 0 b 3 R h b C 5 0 b 3 R h b F 9 u b 2 5 f Z W 1 p c 3 N p b 2 5 f Z n J l Z V 9 j b 2 5 z d H J 1 Y 3 R p b 2 5 f c 2 l 0 Z S w x M T J 9 J n F 1 b 3 Q 7 L C Z x d W 9 0 O 1 N l Y 3 R p b 2 4 x L 0 l u c 2 N o c m l q Z l 9 F e H B v c n Q v Q X V 0 b 1 J l b W 9 2 Z W R D b 2 x 1 b W 5 z M S 5 7 Q 2 9 u c 3 R y d W N 0 a W 9 u X 3 N p d G V f d G 9 0 Y W w u d G 9 0 Y W x f Y 2 9 u c 3 R y d W N 0 a W 9 u X 3 N p d G U s M T E z f S Z x d W 9 0 O y w m c X V v d D t T Z W N 0 a W 9 u M S 9 J b n N j a H J p a m Z f R X h w b 3 J 0 L 0 F 1 d G 9 S Z W 1 v d m V k Q 2 9 s d W 1 u c z E u e 0 1 L S V 9 0 b 3 R h b F 9 0 b 2 5 f Q T F f Q T M s M T E 0 f S Z x d W 9 0 O y w m c X V v d D t T Z W N 0 a W 9 u M S 9 J b n N j a H J p a m Z f R X h w b 3 J 0 L 0 F 1 d G 9 S Z W 1 v d m V k Q 2 9 s d W 1 u c z E u e 0 1 L S V 9 0 b 3 R h b F 9 t M 1 9 B M V 9 B M y w x M T V 9 J n F 1 b 3 Q 7 L C Z x d W 9 0 O 1 N l Y 3 R p b 2 4 x L 0 l u c 2 N o c m l q Z l 9 F e H B v c n Q v Q X V 0 b 1 J l b W 9 2 Z W R D b 2 x 1 b W 5 z M S 5 7 Q 0 8 y X 3 R v d G F s X 3 R v b l 9 B M V 9 B M y w x M T Z 9 J n F 1 b 3 Q 7 L C Z x d W 9 0 O 1 N l Y 3 R p b 2 4 x L 0 l u c 2 N o c m l q Z l 9 F e H B v c n Q v Q X V 0 b 1 J l b W 9 2 Z W R D b 2 x 1 b W 5 z M S 5 7 Q 0 8 y X 3 R v d G F s X 2 0 z X 0 E x X 0 E z L D E x N 3 0 m c X V v d D s s J n F 1 b 3 Q 7 U 2 V j d G l v b j E v S W 5 z Y 2 h y a W p m X 0 V 4 c G 9 y d C 9 B d X R v U m V t b 3 Z l Z E N v b H V t b n M x L n t N S 0 l f d G 9 0 Y W x f Q T F f Q T M s M T E 4 f S Z x d W 9 0 O y w m c X V v d D t T Z W N 0 a W 9 u M S 9 J b n N j a H J p a m Z f R X h w b 3 J 0 L 0 F 1 d G 9 S Z W 1 v d m V k Q 2 9 s d W 1 u c z E u e 0 N P M l 9 0 b 3 R h b F 9 B M V 9 B M y w x M T l 9 J n F 1 b 3 Q 7 X S w m c X V v d D t D b 2 x 1 b W 5 D b 3 V u d C Z x d W 9 0 O z o x M j A s J n F 1 b 3 Q 7 S 2 V 5 Q 2 9 s d W 1 u T m F t Z X M m c X V v d D s 6 W 1 0 s J n F 1 b 3 Q 7 Q 2 9 s d W 1 u S W R l b n R p d G l l c y Z x d W 9 0 O z p b J n F 1 b 3 Q 7 U 2 V j d G l v b j E v S W 5 z Y 2 h y a W p m X 0 V 4 c G 9 y d C 9 B d X R v U m V t b 3 Z l Z E N v b H V t b n M x L n t D b G l l b n Q s M H 0 m c X V v d D s s J n F 1 b 3 Q 7 U 2 V j d G l v b j E v S W 5 z Y 2 h y a W p m X 0 V 4 c G 9 y d C 9 B d X R v U m V t b 3 Z l Z E N v b H V t b n M x L n t D b 2 5 0 c m F j d G 9 y L D F 9 J n F 1 b 3 Q 7 L C Z x d W 9 0 O 1 N l Y 3 R p b 2 4 x L 0 l u c 2 N o c m l q Z l 9 F e H B v c n Q v Q X V 0 b 1 J l b W 9 2 Z W R D b 2 x 1 b W 5 z M S 5 7 U H J v a m V j d F 9 J R C w y f S Z x d W 9 0 O y w m c X V v d D t T Z W N 0 a W 9 u M S 9 J b n N j a H J p a m Z f R X h w b 3 J 0 L 0 F 1 d G 9 S Z W 1 v d m V k Q 2 9 s d W 1 u c z E u e 1 B y b 2 p l Y 3 R f b G l m Z X N w Y W 4 s M 3 0 m c X V v d D s s J n F 1 b 3 Q 7 U 2 V j d G l v b j E v S W 5 z Y 2 h y a W p m X 0 V 4 c G 9 y d C 9 B d X R v U m V t b 3 Z l Z E N v b H V t b n M x L n t Q c m 9 q Z W N 0 X 2 R h d G U s N H 0 m c X V v d D s s J n F 1 b 3 Q 7 U 2 V j d G l v b j E v S W 5 z Y 2 h y a W p m X 0 V 4 c G 9 y d C 9 B d X R v U m V t b 3 Z l Z E N v b H V t b n M x L n t W Z X J z a W 9 u L D V 9 J n F 1 b 3 Q 7 L C Z x d W 9 0 O 1 N l Y 3 R p b 2 4 x L 0 l u c 2 N o c m l q Z l 9 F e H B v c n Q v Q X V 0 b 1 J l b W 9 2 Z W R D b 2 x 1 b W 5 z M S 5 7 U k F X X 0 l E L D Z 9 J n F 1 b 3 Q 7 L C Z x d W 9 0 O 1 N l Y 3 R p b 2 4 x L 0 l u c 2 N o c m l q Z l 9 F e H B v c n Q v Q X V 0 b 1 J l b W 9 2 Z W R D b 2 x 1 b W 5 z M S 5 7 V 2 9 y a 3 N j b 3 B l L D d 9 J n F 1 b 3 Q 7 L C Z x d W 9 0 O 1 N l Y 3 R p b 2 4 x L 0 l u c 2 N o c m l q Z l 9 F e H B v c n Q v Q X V 0 b 1 J l b W 9 2 Z W R D b 2 x 1 b W 5 z M S 5 7 U H J p Y 2 U s O H 0 m c X V v d D s s J n F 1 b 3 Q 7 U 2 V j d G l v b j E v S W 5 z Y 2 h y a W p m X 0 V 4 c G 9 y d C 9 B d X R v U m V t b 3 Z l Z E N v b H V t b n M x L n t Q c m 9 k d W N 0 Z 3 J v d X A s O X 0 m c X V v d D s s J n F 1 b 3 Q 7 U 2 V j d G l v b j E v S W 5 z Y 2 h y a W p m X 0 V 4 c G 9 y d C 9 B d X R v U m V t b 3 Z l Z E N v b H V t b n M x L n t Q c m 9 k d W N 0 L D E w f S Z x d W 9 0 O y w m c X V v d D t T Z W N 0 a W 9 u M S 9 J b n N j a H J p a m Z f R X h w b 3 J 0 L 0 F 1 d G 9 S Z W 1 v d m V k Q 2 9 s d W 1 u c z E u e 1 B y b 2 R 1 Y 3 R 0 e X B l L D E x f S Z x d W 9 0 O y w m c X V v d D t T Z W N 0 a W 9 u M S 9 J b n N j a H J p a m Z f R X h w b 3 J 0 L 0 F 1 d G 9 S Z W 1 v d m V k Q 2 9 s d W 1 u c z E u e 1 N 1 c m Z h Y 2 V b b T J d L D E y f S Z x d W 9 0 O y w m c X V v d D t T Z W N 0 a W 9 u M S 9 J b n N j a H J p a m Z f R X h w b 3 J 0 L 0 F 1 d G 9 S Z W 1 v d m V k Q 2 9 s d W 1 u c z E u e 1 R o a W N r b m V z c 1 t t X S w x M 3 0 m c X V v d D s s J n F 1 b 3 Q 7 U 2 V j d G l v b j E v S W 5 z Y 2 h y a W p m X 0 V 4 c G 9 y d C 9 B d X R v U m V t b 3 Z l Z E N v b H V t b n M x L n t T c G V j a W Z p Y 1 9 3 Z W l n a H R b d G 9 u L 2 0 z X S w x N H 0 m c X V v d D s s J n F 1 b 3 Q 7 U 2 V j d G l v b j E v S W 5 z Y 2 h y a W p m X 0 V 4 c G 9 y d C 9 B d X R v U m V t b 3 Z l Z E N v b H V t b n M x L n t B b W 9 1 b n R b b T N d L D E 1 f S Z x d W 9 0 O y w m c X V v d D t T Z W N 0 a W 9 u M S 9 J b n N j a H J p a m Z f R X h w b 3 J 0 L 0 F 1 d G 9 S Z W 1 v d m V k Q 2 9 s d W 1 u c z E u e 0 F t b 3 V u d F t 0 b 2 5 d L D E 2 f S Z x d W 9 0 O y w m c X V v d D t T Z W N 0 a W 9 u M S 9 J b n N j a H J p a m Z f R X h w b 3 J 0 L 0 F 1 d G 9 S Z W 1 v d m V k Q 2 9 s d W 1 u c z E u e 1 J l c G x h Y 2 V t Z W 5 0 c y w x N 3 0 m c X V v d D s s J n F 1 b 3 Q 7 U 2 V j d G l v b j E v S W 5 z Y 2 h y a W p m X 0 V 4 c G 9 y d C 9 B d X R v U m V t b 3 Z l Z E N v b H V t b n M x L n t B N F 9 0 c m F u c 3 B v c n R f Z G l z d G F u Y 2 V f d G 9 f Y 2 9 u c 3 R y d W N 0 a W 9 u X 3 N p d G V b a 2 1 d L D E 4 f S Z x d W 9 0 O y w m c X V v d D t T Z W N 0 a W 9 u M S 9 J b n N j a H J p a m Z f R X h w b 3 J 0 L 0 F 1 d G 9 S Z W 1 v d m V k Q 2 9 s d W 1 u c z E u e 0 E 0 X 3 R y Y W 5 z c G 9 y d G 1 v Z G V f d G 9 f Y 2 9 u c 3 R y d W N 0 a W 9 u X 3 N p d G U s M T l 9 J n F 1 b 3 Q 7 L C Z x d W 9 0 O 1 N l Y 3 R p b 2 4 x L 0 l u c 2 N o c m l q Z l 9 F e H B v c n Q v Q X V 0 b 1 J l b W 9 2 Z W R D b 2 x 1 b W 5 z M S 5 7 Q T V f Y X N w a G F s d F 9 j b 2 5 z d H J 1 Y 3 R p b 2 5 f c 2 V 0 L D I w f S Z x d W 9 0 O y w m c X V v d D t T Z W N 0 a W 9 u M S 9 J b n N j a H J p a m Z f R X h w b 3 J 0 L 0 F 1 d G 9 S Z W 1 v d m V k Q 2 9 s d W 1 u c z E u e 0 E 1 X 2 9 0 a G V y X 2 N v b n N 0 c n V j d G l v b l 9 l c X V p c G 1 l b n Q s M j F 9 J n F 1 b 3 Q 7 L C Z x d W 9 0 O 1 N l Y 3 R p b 2 4 x L 0 l u c 2 N o c m l q Z l 9 F e H B v c n Q v Q X V 0 b 1 J l b W 9 2 Z W R D b 2 x 1 b W 5 z M S 5 7 Q z F f Y X N w a G F s d F 9 y Z W 1 v d m F s X 3 N l d C w y M n 0 m c X V v d D s s J n F 1 b 3 Q 7 U 2 V j d G l v b j E v S W 5 z Y 2 h y a W p m X 0 V 4 c G 9 y d C 9 B d X R v U m V t b 3 Z l Z E N v b H V t b n M x L n t D M V 9 v d G h l c l 9 y Z W 1 v d m F s X 2 V x d W l w b W V u d C w y M 3 0 m c X V v d D s s J n F 1 b 3 Q 7 U 2 V j d G l v b j E v S W 5 z Y 2 h y a W p m X 0 V 4 c G 9 y d C 9 B d X R v U m V t b 3 Z l Z E N v b H V t b n M x L n t D M l 9 0 c m F u c 3 B v c n R k a X N 0 Y W 5 j Z V 9 0 b 1 9 w c m 9 j Z X N z b 3 J b a 2 1 d L D I 0 f S Z x d W 9 0 O y w m c X V v d D t T Z W N 0 a W 9 u M S 9 J b n N j a H J p a m Z f R X h w b 3 J 0 L 0 F 1 d G 9 S Z W 1 v d m V k Q 2 9 s d W 1 u c z E u e 0 M y X 3 R y Y W 5 z c G 9 y d G 1 v Z G V f d G 9 f c H J v Y 2 V z c 2 9 y L D I 1 f S Z x d W 9 0 O y w m c X V v d D t T Z W N 0 a W 9 u M S 9 J b n N j a H J p a m Z f R X h w b 3 J 0 L 0 F 1 d G 9 S Z W 1 v d m V k Q 2 9 s d W 1 u c z E u e 0 M z X 3 B y b 2 N l c 3 N p b m d z Z X Q s M j Z 9 J n F 1 b 3 Q 7 L C Z x d W 9 0 O 1 N l Y 3 R p b 2 4 x L 0 l u c 2 N o c m l q Z l 9 F e H B v c n Q v Q X V 0 b 1 J l b W 9 2 Z W R D b 2 x 1 b W 5 z M S 5 7 Q X N z d W 1 w d G l v b n M s M j d 9 J n F 1 b 3 Q 7 L C Z x d W 9 0 O 1 N l Y 3 R p b 2 4 x L 0 l u c 2 N o c m l q Z l 9 F e H B v c n Q v Q X V 0 b 1 J l b W 9 2 Z W R D b 2 x 1 b W 5 z M S 5 7 R U N J X 3 R v d G F s L k E x L D I 4 f S Z x d W 9 0 O y w m c X V v d D t T Z W N 0 a W 9 u M S 9 J b n N j a H J p a m Z f R X h w b 3 J 0 L 0 F 1 d G 9 S Z W 1 v d m V k Q 2 9 s d W 1 u c z E u e 0 V D S V 9 0 b 3 R h b C 5 B M i w y O X 0 m c X V v d D s s J n F 1 b 3 Q 7 U 2 V j d G l v b j E v S W 5 z Y 2 h y a W p m X 0 V 4 c G 9 y d C 9 B d X R v U m V t b 3 Z l Z E N v b H V t b n M x L n t F Q 0 l f d G 9 0 Y W w u Q T M s M z B 9 J n F 1 b 3 Q 7 L C Z x d W 9 0 O 1 N l Y 3 R p b 2 4 x L 0 l u c 2 N o c m l q Z l 9 F e H B v c n Q v Q X V 0 b 1 J l b W 9 2 Z W R D b 2 x 1 b W 5 z M S 5 7 R U N J X 3 R v d G F s L k E 0 L D M x f S Z x d W 9 0 O y w m c X V v d D t T Z W N 0 a W 9 u M S 9 J b n N j a H J p a m Z f R X h w b 3 J 0 L 0 F 1 d G 9 S Z W 1 v d m V k Q 2 9 s d W 1 u c z E u e 0 V D S V 9 0 b 3 R h b C 5 B N S w z M n 0 m c X V v d D s s J n F 1 b 3 Q 7 U 2 V j d G l v b j E v S W 5 z Y 2 h y a W p m X 0 V 4 c G 9 y d C 9 B d X R v U m V t b 3 Z l Z E N v b H V t b n M x L n t F Q 0 l f d G 9 0 Y W w u Q j E s M z N 9 J n F 1 b 3 Q 7 L C Z x d W 9 0 O 1 N l Y 3 R p b 2 4 x L 0 l u c 2 N o c m l q Z l 9 F e H B v c n Q v Q X V 0 b 1 J l b W 9 2 Z W R D b 2 x 1 b W 5 z M S 5 7 R U N J X 3 R v d G F s L k I 0 L D M 0 f S Z x d W 9 0 O y w m c X V v d D t T Z W N 0 a W 9 u M S 9 J b n N j a H J p a m Z f R X h w b 3 J 0 L 0 F 1 d G 9 S Z W 1 v d m V k Q 2 9 s d W 1 u c z E u e 0 V D S V 9 0 b 3 R h b C 5 D M S w z N X 0 m c X V v d D s s J n F 1 b 3 Q 7 U 2 V j d G l v b j E v S W 5 z Y 2 h y a W p m X 0 V 4 c G 9 y d C 9 B d X R v U m V t b 3 Z l Z E N v b H V t b n M x L n t F Q 0 l f d G 9 0 Y W w u Q z I s M z Z 9 J n F 1 b 3 Q 7 L C Z x d W 9 0 O 1 N l Y 3 R p b 2 4 x L 0 l u c 2 N o c m l q Z l 9 F e H B v c n Q v Q X V 0 b 1 J l b W 9 2 Z W R D b 2 x 1 b W 5 z M S 5 7 R U N J X 3 R v d G F s L k M z L D M 3 f S Z x d W 9 0 O y w m c X V v d D t T Z W N 0 a W 9 u M S 9 J b n N j a H J p a m Z f R X h w b 3 J 0 L 0 F 1 d G 9 S Z W 1 v d m V k Q 2 9 s d W 1 u c z E u e 0 V D S V 9 0 b 3 R h b C 5 D N C w z O H 0 m c X V v d D s s J n F 1 b 3 Q 7 U 2 V j d G l v b j E v S W 5 z Y 2 h y a W p m X 0 V 4 c G 9 y d C 9 B d X R v U m V t b 3 Z l Z E N v b H V t b n M x L n t F Q 0 l f d G 9 0 Y W w u R D E s M z l 9 J n F 1 b 3 Q 7 L C Z x d W 9 0 O 1 N l Y 3 R p b 2 4 x L 0 l u c 2 N o c m l q Z l 9 F e H B v c n Q v Q X V 0 b 1 J l b W 9 2 Z W R D b 2 x 1 b W 5 z M S 5 7 R U N J X 3 R v d G F s L k Q y L D Q w f S Z x d W 9 0 O y w m c X V v d D t T Z W N 0 a W 9 u M S 9 J b n N j a H J p a m Z f R X h w b 3 J 0 L 0 F 1 d G 9 S Z W 1 v d m V k Q 2 9 s d W 1 u c z E u e 0 V D S V 9 0 b 3 R h b C 5 0 b 3 R h b C w 0 M X 0 m c X V v d D s s J n F 1 b 3 Q 7 U 2 V j d G l v b j E v S W 5 z Y 2 h y a W p m X 0 V 4 c G 9 y d C 9 B d X R v U m V t b 3 Z l Z E N v b H V t b n M x L n t D T z J f d G 9 0 Y W w u Q T E s N D J 9 J n F 1 b 3 Q 7 L C Z x d W 9 0 O 1 N l Y 3 R p b 2 4 x L 0 l u c 2 N o c m l q Z l 9 F e H B v c n Q v Q X V 0 b 1 J l b W 9 2 Z W R D b 2 x 1 b W 5 z M S 5 7 Q 0 8 y X 3 R v d G F s L k E y L D Q z f S Z x d W 9 0 O y w m c X V v d D t T Z W N 0 a W 9 u M S 9 J b n N j a H J p a m Z f R X h w b 3 J 0 L 0 F 1 d G 9 S Z W 1 v d m V k Q 2 9 s d W 1 u c z E u e 0 N P M l 9 0 b 3 R h b C 5 B M y w 0 N H 0 m c X V v d D s s J n F 1 b 3 Q 7 U 2 V j d G l v b j E v S W 5 z Y 2 h y a W p m X 0 V 4 c G 9 y d C 9 B d X R v U m V t b 3 Z l Z E N v b H V t b n M x L n t D T z J f d G 9 0 Y W w u Q T Q s N D V 9 J n F 1 b 3 Q 7 L C Z x d W 9 0 O 1 N l Y 3 R p b 2 4 x L 0 l u c 2 N o c m l q Z l 9 F e H B v c n Q v Q X V 0 b 1 J l b W 9 2 Z W R D b 2 x 1 b W 5 z M S 5 7 Q 0 8 y X 3 R v d G F s L k E 1 L D Q 2 f S Z x d W 9 0 O y w m c X V v d D t T Z W N 0 a W 9 u M S 9 J b n N j a H J p a m Z f R X h w b 3 J 0 L 0 F 1 d G 9 S Z W 1 v d m V k Q 2 9 s d W 1 u c z E u e 0 N P M l 9 0 b 3 R h b C 5 C M S w 0 N 3 0 m c X V v d D s s J n F 1 b 3 Q 7 U 2 V j d G l v b j E v S W 5 z Y 2 h y a W p m X 0 V 4 c G 9 y d C 9 B d X R v U m V t b 3 Z l Z E N v b H V t b n M x L n t D T z J f d G 9 0 Y W w u Q j Q s N D h 9 J n F 1 b 3 Q 7 L C Z x d W 9 0 O 1 N l Y 3 R p b 2 4 x L 0 l u c 2 N o c m l q Z l 9 F e H B v c n Q v Q X V 0 b 1 J l b W 9 2 Z W R D b 2 x 1 b W 5 z M S 5 7 Q 0 8 y X 3 R v d G F s L k M x L D Q 5 f S Z x d W 9 0 O y w m c X V v d D t T Z W N 0 a W 9 u M S 9 J b n N j a H J p a m Z f R X h w b 3 J 0 L 0 F 1 d G 9 S Z W 1 v d m V k Q 2 9 s d W 1 u c z E u e 0 N P M l 9 0 b 3 R h b C 5 D M i w 1 M H 0 m c X V v d D s s J n F 1 b 3 Q 7 U 2 V j d G l v b j E v S W 5 z Y 2 h y a W p m X 0 V 4 c G 9 y d C 9 B d X R v U m V t b 3 Z l Z E N v b H V t b n M x L n t D T z J f d G 9 0 Y W w u Q z M s N T F 9 J n F 1 b 3 Q 7 L C Z x d W 9 0 O 1 N l Y 3 R p b 2 4 x L 0 l u c 2 N o c m l q Z l 9 F e H B v c n Q v Q X V 0 b 1 J l b W 9 2 Z W R D b 2 x 1 b W 5 z M S 5 7 Q 0 8 y X 3 R v d G F s L k M 0 L D U y f S Z x d W 9 0 O y w m c X V v d D t T Z W N 0 a W 9 u M S 9 J b n N j a H J p a m Z f R X h w b 3 J 0 L 0 F 1 d G 9 S Z W 1 v d m V k Q 2 9 s d W 1 u c z E u e 0 N P M l 9 0 b 3 R h b C 5 E M S w 1 M 3 0 m c X V v d D s s J n F 1 b 3 Q 7 U 2 V j d G l v b j E v S W 5 z Y 2 h y a W p m X 0 V 4 c G 9 y d C 9 B d X R v U m V t b 3 Z l Z E N v b H V t b n M x L n t D T z J f d G 9 0 Y W w u R D I s N T R 9 J n F 1 b 3 Q 7 L C Z x d W 9 0 O 1 N l Y 3 R p b 2 4 x L 0 l u c 2 N o c m l q Z l 9 F e H B v c n Q v Q X V 0 b 1 J l b W 9 2 Z W R D b 2 x 1 b W 5 z M S 5 7 Q 0 8 y X 3 R v d G F s L n R v d G F s L D U 1 f S Z x d W 9 0 O y w m c X V v d D t T Z W N 0 a W 9 u M S 9 J b n N j a H J p a m Z f R X h w b 3 J 0 L 0 F 1 d G 9 S Z W 1 v d m V k Q 2 9 s d W 1 u c z E u e 0 1 h d G V y a W F s X 3 R v d G F s L m F t b 3 V u d F t 0 b 2 5 d L D U 2 f S Z x d W 9 0 O y w m c X V v d D t T Z W N 0 a W 9 u M S 9 J b n N j a H J p a m Z f R X h w b 3 J 0 L 0 F 1 d G 9 S Z W 1 v d m V k Q 2 9 s d W 1 u c z E u e 0 1 h d G V y a W F s X 3 R v d G F s L i V z Z W N 1 b m R h c n k s N T d 9 J n F 1 b 3 Q 7 L C Z x d W 9 0 O 1 N l Y 3 R p b 2 4 x L 0 l u c 2 N o c m l q Z l 9 F e H B v c n Q v Q X V 0 b 1 J l b W 9 2 Z W R D b 2 x 1 b W 5 z M S 5 7 T W F 0 Z X J p Y W x f d G 9 0 Y W w u c H J p b W F y e V t 0 b 2 5 d L D U 4 f S Z x d W 9 0 O y w m c X V v d D t T Z W N 0 a W 9 u M S 9 J b n N j a H J p a m Z f R X h w b 3 J 0 L 0 F 1 d G 9 S Z W 1 v d m V k Q 2 9 s d W 1 u c z E u e 0 1 h d G V y a W F s X 3 R v d G F s L n N l Y 3 V u Z G F y e V t 0 b 2 5 d L D U 5 f S Z x d W 9 0 O y w m c X V v d D t T Z W N 0 a W 9 u M S 9 J b n N j a H J p a m Z f R X h w b 3 J 0 L 0 F 1 d G 9 S Z W 1 v d m V k Q 2 9 s d W 1 u c z E u e 0 1 h d G V y a W F s X 3 R v d G F s L m F t b 3 V u d F 9 y Z X B s Y W N l b W V u d H N b d G 9 u X S w 2 M H 0 m c X V v d D s s J n F 1 b 3 Q 7 U 2 V j d G l v b j E v S W 5 z Y 2 h y a W p m X 0 V 4 c G 9 y d C 9 B d X R v U m V t b 3 Z l Z E N v b H V t b n M x L n t N Y X R l c m l h b F 9 0 b 3 R h b C 5 w c m l t Y X J 5 X 3 J l c G x h Y 2 V t Z W 5 0 c 1 t 0 b 2 5 d L D Y x f S Z x d W 9 0 O y w m c X V v d D t T Z W N 0 a W 9 u M S 9 J b n N j a H J p a m Z f R X h w b 3 J 0 L 0 F 1 d G 9 S Z W 1 v d m V k Q 2 9 s d W 1 u c z E u e 0 1 h d G V y a W F s X 3 R v d G F s L n N l Y 3 V u Z G F y e V 9 y Z X B s Y W N l b W V u d H N b d G 9 u X S w 2 M n 0 m c X V v d D s s J n F 1 b 3 Q 7 U 2 V j d G l v b j E v S W 5 z Y 2 h y a W p m X 0 V 4 c G 9 y d C 9 B d X R v U m V t b 3 Z l Z E N v b H V t b n M x L n t N Y X R l c m l h b F 9 0 b 3 R h b C 5 0 b 3 R h b F 9 w c m l t Y X J 5 W 3 R v b l 0 s N j N 9 J n F 1 b 3 Q 7 L C Z x d W 9 0 O 1 N l Y 3 R p b 2 4 x L 0 l u c 2 N o c m l q Z l 9 F e H B v c n Q v Q X V 0 b 1 J l b W 9 2 Z W R D b 2 x 1 b W 5 z M S 5 7 T W F 0 Z X J p Y W x f d G 9 0 Y W w u d G 9 0 Y W x f c 2 V j d W 5 k Y X J 5 W 3 R v b l 0 s N j R 9 J n F 1 b 3 Q 7 L C Z x d W 9 0 O 1 N l Y 3 R p b 2 4 x L 0 l u c 2 N o c m l q Z l 9 F e H B v c n Q v Q X V 0 b 1 J l b W 9 2 Z W R D b 2 x 1 b W 5 z M S 5 7 T W F 0 Z X J p Y W x f d G 9 0 Y W w u d G 9 0 Y W x b d G 9 u X S w 2 N X 0 m c X V v d D s s J n F 1 b 3 Q 7 U 2 V j d G l v b j E v S W 5 z Y 2 h y a W p m X 0 V 4 c G 9 y d C 9 B d X R v U m V t b 3 Z l Z E N v b H V t b n M x L n t S Z W 5 l d 2 F i b G V f Z W 5 l c m d 5 X 3 R v d G F s L k E x L D Y 2 f S Z x d W 9 0 O y w m c X V v d D t T Z W N 0 a W 9 u M S 9 J b n N j a H J p a m Z f R X h w b 3 J 0 L 0 F 1 d G 9 S Z W 1 v d m V k Q 2 9 s d W 1 u c z E u e 1 J l b m V 3 Y W J s Z V 9 l b m V y Z 3 l f d G 9 0 Y W w u Q T I s N j d 9 J n F 1 b 3 Q 7 L C Z x d W 9 0 O 1 N l Y 3 R p b 2 4 x L 0 l u c 2 N o c m l q Z l 9 F e H B v c n Q v Q X V 0 b 1 J l b W 9 2 Z W R D b 2 x 1 b W 5 z M S 5 7 U m V u Z X d h Y m x l X 2 V u Z X J n e V 9 0 b 3 R h b C 5 B M y w 2 O H 0 m c X V v d D s s J n F 1 b 3 Q 7 U 2 V j d G l v b j E v S W 5 z Y 2 h y a W p m X 0 V 4 c G 9 y d C 9 B d X R v U m V t b 3 Z l Z E N v b H V t b n M x L n t S Z W 5 l d 2 F i b G V f Z W 5 l c m d 5 X 3 R v d G F s L k E 0 L D Y 5 f S Z x d W 9 0 O y w m c X V v d D t T Z W N 0 a W 9 u M S 9 J b n N j a H J p a m Z f R X h w b 3 J 0 L 0 F 1 d G 9 S Z W 1 v d m V k Q 2 9 s d W 1 u c z E u e 1 J l b m V 3 Y W J s Z V 9 l b m V y Z 3 l f d G 9 0 Y W w u Q T U s N z B 9 J n F 1 b 3 Q 7 L C Z x d W 9 0 O 1 N l Y 3 R p b 2 4 x L 0 l u c 2 N o c m l q Z l 9 F e H B v c n Q v Q X V 0 b 1 J l b W 9 2 Z W R D b 2 x 1 b W 5 z M S 5 7 U m V u Z X d h Y m x l X 2 V u Z X J n e V 9 0 b 3 R h b C 5 C M S w 3 M X 0 m c X V v d D s s J n F 1 b 3 Q 7 U 2 V j d G l v b j E v S W 5 z Y 2 h y a W p m X 0 V 4 c G 9 y d C 9 B d X R v U m V t b 3 Z l Z E N v b H V t b n M x L n t S Z W 5 l d 2 F i b G V f Z W 5 l c m d 5 X 3 R v d G F s L k I 0 L D c y f S Z x d W 9 0 O y w m c X V v d D t T Z W N 0 a W 9 u M S 9 J b n N j a H J p a m Z f R X h w b 3 J 0 L 0 F 1 d G 9 S Z W 1 v d m V k Q 2 9 s d W 1 u c z E u e 1 J l b m V 3 Y W J s Z V 9 l b m V y Z 3 l f d G 9 0 Y W w u Q z E s N z N 9 J n F 1 b 3 Q 7 L C Z x d W 9 0 O 1 N l Y 3 R p b 2 4 x L 0 l u c 2 N o c m l q Z l 9 F e H B v c n Q v Q X V 0 b 1 J l b W 9 2 Z W R D b 2 x 1 b W 5 z M S 5 7 U m V u Z X d h Y m x l X 2 V u Z X J n e V 9 0 b 3 R h b C 5 D M i w 3 N H 0 m c X V v d D s s J n F 1 b 3 Q 7 U 2 V j d G l v b j E v S W 5 z Y 2 h y a W p m X 0 V 4 c G 9 y d C 9 B d X R v U m V t b 3 Z l Z E N v b H V t b n M x L n t S Z W 5 l d 2 F i b G V f Z W 5 l c m d 5 X 3 R v d G F s L k M z L D c 1 f S Z x d W 9 0 O y w m c X V v d D t T Z W N 0 a W 9 u M S 9 J b n N j a H J p a m Z f R X h w b 3 J 0 L 0 F 1 d G 9 S Z W 1 v d m V k Q 2 9 s d W 1 u c z E u e 1 J l b m V 3 Y W J s Z V 9 l b m V y Z 3 l f d G 9 0 Y W w u Q z Q s N z Z 9 J n F 1 b 3 Q 7 L C Z x d W 9 0 O 1 N l Y 3 R p b 2 4 x L 0 l u c 2 N o c m l q Z l 9 F e H B v c n Q v Q X V 0 b 1 J l b W 9 2 Z W R D b 2 x 1 b W 5 z M S 5 7 U m V u Z X d h Y m x l X 2 V u Z X J n e V 9 0 b 3 R h b C 5 E M S w 3 N 3 0 m c X V v d D s s J n F 1 b 3 Q 7 U 2 V j d G l v b j E v S W 5 z Y 2 h y a W p m X 0 V 4 c G 9 y d C 9 B d X R v U m V t b 3 Z l Z E N v b H V t b n M x L n t S Z W 5 l d 2 F i b G V f Z W 5 l c m d 5 X 3 R v d G F s L k Q y L D c 4 f S Z x d W 9 0 O y w m c X V v d D t T Z W N 0 a W 9 u M S 9 J b n N j a H J p a m Z f R X h w b 3 J 0 L 0 F 1 d G 9 S Z W 1 v d m V k Q 2 9 s d W 1 u c z E u e 1 J l b m V 3 Y W J s Z V 9 l b m V y Z 3 l f d G 9 0 Y W w u d G 9 0 Y W w s N z l 9 J n F 1 b 3 Q 7 L C Z x d W 9 0 O 1 N l Y 3 R p b 2 4 x L 0 l u c 2 N o c m l q Z l 9 F e H B v c n Q v Q X V 0 b 1 J l b W 9 2 Z W R D b 2 x 1 b W 5 z M S 5 7 R m 9 z c 2 l s X 2 V u Z X J n e V 9 0 b 3 R h b C 5 B M S w 4 M H 0 m c X V v d D s s J n F 1 b 3 Q 7 U 2 V j d G l v b j E v S W 5 z Y 2 h y a W p m X 0 V 4 c G 9 y d C 9 B d X R v U m V t b 3 Z l Z E N v b H V t b n M x L n t G b 3 N z a W x f Z W 5 l c m d 5 X 3 R v d G F s L k E y L D g x f S Z x d W 9 0 O y w m c X V v d D t T Z W N 0 a W 9 u M S 9 J b n N j a H J p a m Z f R X h w b 3 J 0 L 0 F 1 d G 9 S Z W 1 v d m V k Q 2 9 s d W 1 u c z E u e 0 Z v c 3 N p b F 9 l b m V y Z 3 l f d G 9 0 Y W w u Q T M s O D J 9 J n F 1 b 3 Q 7 L C Z x d W 9 0 O 1 N l Y 3 R p b 2 4 x L 0 l u c 2 N o c m l q Z l 9 F e H B v c n Q v Q X V 0 b 1 J l b W 9 2 Z W R D b 2 x 1 b W 5 z M S 5 7 R m 9 z c 2 l s X 2 V u Z X J n e V 9 0 b 3 R h b C 5 B N C w 4 M 3 0 m c X V v d D s s J n F 1 b 3 Q 7 U 2 V j d G l v b j E v S W 5 z Y 2 h y a W p m X 0 V 4 c G 9 y d C 9 B d X R v U m V t b 3 Z l Z E N v b H V t b n M x L n t G b 3 N z a W x f Z W 5 l c m d 5 X 3 R v d G F s L k E 1 L D g 0 f S Z x d W 9 0 O y w m c X V v d D t T Z W N 0 a W 9 u M S 9 J b n N j a H J p a m Z f R X h w b 3 J 0 L 0 F 1 d G 9 S Z W 1 v d m V k Q 2 9 s d W 1 u c z E u e 0 Z v c 3 N p b F 9 l b m V y Z 3 l f d G 9 0 Y W w u Q j E s O D V 9 J n F 1 b 3 Q 7 L C Z x d W 9 0 O 1 N l Y 3 R p b 2 4 x L 0 l u c 2 N o c m l q Z l 9 F e H B v c n Q v Q X V 0 b 1 J l b W 9 2 Z W R D b 2 x 1 b W 5 z M S 5 7 R m 9 z c 2 l s X 2 V u Z X J n e V 9 0 b 3 R h b C 5 C N C w 4 N n 0 m c X V v d D s s J n F 1 b 3 Q 7 U 2 V j d G l v b j E v S W 5 z Y 2 h y a W p m X 0 V 4 c G 9 y d C 9 B d X R v U m V t b 3 Z l Z E N v b H V t b n M x L n t G b 3 N z a W x f Z W 5 l c m d 5 X 3 R v d G F s L k M x L D g 3 f S Z x d W 9 0 O y w m c X V v d D t T Z W N 0 a W 9 u M S 9 J b n N j a H J p a m Z f R X h w b 3 J 0 L 0 F 1 d G 9 S Z W 1 v d m V k Q 2 9 s d W 1 u c z E u e 0 Z v c 3 N p b F 9 l b m V y Z 3 l f d G 9 0 Y W w u Q z I s O D h 9 J n F 1 b 3 Q 7 L C Z x d W 9 0 O 1 N l Y 3 R p b 2 4 x L 0 l u c 2 N o c m l q Z l 9 F e H B v c n Q v Q X V 0 b 1 J l b W 9 2 Z W R D b 2 x 1 b W 5 z M S 5 7 R m 9 z c 2 l s X 2 V u Z X J n e V 9 0 b 3 R h b C 5 D M y w 4 O X 0 m c X V v d D s s J n F 1 b 3 Q 7 U 2 V j d G l v b j E v S W 5 z Y 2 h y a W p m X 0 V 4 c G 9 y d C 9 B d X R v U m V t b 3 Z l Z E N v b H V t b n M x L n t G b 3 N z a W x f Z W 5 l c m d 5 X 3 R v d G F s L k M 0 L D k w f S Z x d W 9 0 O y w m c X V v d D t T Z W N 0 a W 9 u M S 9 J b n N j a H J p a m Z f R X h w b 3 J 0 L 0 F 1 d G 9 S Z W 1 v d m V k Q 2 9 s d W 1 u c z E u e 0 Z v c 3 N p b F 9 l b m V y Z 3 l f d G 9 0 Y W w u R D E s O T F 9 J n F 1 b 3 Q 7 L C Z x d W 9 0 O 1 N l Y 3 R p b 2 4 x L 0 l u c 2 N o c m l q Z l 9 F e H B v c n Q v Q X V 0 b 1 J l b W 9 2 Z W R D b 2 x 1 b W 5 z M S 5 7 R m 9 z c 2 l s X 2 V u Z X J n e V 9 0 b 3 R h b C 5 E M i w 5 M n 0 m c X V v d D s s J n F 1 b 3 Q 7 U 2 V j d G l v b j E v S W 5 z Y 2 h y a W p m X 0 V 4 c G 9 y d C 9 B d X R v U m V t b 3 Z l Z E N v b H V t b n M x L n t G b 3 N z a W x f Z W 5 l c m d 5 X 3 R v d G F s L n R v d G F s L D k z f S Z x d W 9 0 O y w m c X V v d D t T Z W N 0 a W 9 u M S 9 J b n N j a H J p a m Z f R X h w b 3 J 0 L 0 F 1 d G 9 S Z W 1 v d m V k Q 2 9 s d W 1 u c z E u e 1 R y Y W 5 z c G 9 y d F 9 0 b 3 R h b C 5 0 c m F u c 3 B v c n R f d G 9 f Y 2 9 u c 3 R y d W N 0 a W 9 u X 3 N p d G V b d G t t X S w 5 N H 0 m c X V v d D s s J n F 1 b 3 Q 7 U 2 V j d G l v b j E v S W 5 z Y 2 h y a W p m X 0 V 4 c G 9 y d C 9 B d X R v U m V t b 3 Z l Z E N v b H V t b n M x L n t U c m F u c 3 B v c n R f d G 9 0 Y W w u d H J h b n N w b 3 J 0 X 3 R v X 3 B y b 2 N l c 3 N v c l t 0 a 2 1 d L D k 1 f S Z x d W 9 0 O y w m c X V v d D t T Z W N 0 a W 9 u M S 9 J b n N j a H J p a m Z f R X h w b 3 J 0 L 0 F 1 d G 9 S Z W 1 v d m V k Q 2 9 s d W 1 u c z E u e 1 R y Y W 5 z c G 9 y d F 9 0 b 3 R h b C 5 l b W l z c 2 l v b l 9 m c m V l X 3 R y Y W 5 z c G 9 y d F 9 0 b 1 9 j b 2 5 z d H J 1 Y 3 R p b 2 5 f c 2 l 0 Z S w 5 N n 0 m c X V v d D s s J n F 1 b 3 Q 7 U 2 V j d G l v b j E v S W 5 z Y 2 h y a W p m X 0 V 4 c G 9 y d C 9 B d X R v U m V t b 3 Z l Z E N v b H V t b n M x L n t U c m F u c 3 B v c n R f d G 9 0 Y W w u Z W 1 p c 3 N p b 2 5 f Z n J l Z V 9 0 c m F u c 3 B v c n R f d G 9 f c H J v Y 2 V z c 2 9 y L D k 3 f S Z x d W 9 0 O y w m c X V v d D t T Z W N 0 a W 9 u M S 9 J b n N j a H J p a m Z f R X h w b 3 J 0 L 0 F 1 d G 9 S Z W 1 v d m V k Q 2 9 s d W 1 u c z E u e 1 R y Y W 5 z c G 9 y d F 9 0 b 3 R h b C 5 l b W l z c 2 l v b l 9 m c m V l X 3 R y Y W 5 z c G 9 y d C w 5 O H 0 m c X V v d D s s J n F 1 b 3 Q 7 U 2 V j d G l v b j E v S W 5 z Y 2 h y a W p m X 0 V 4 c G 9 y d C 9 B d X R v U m V t b 3 Z l Z E N v b H V t b n M x L n t U c m F u c 3 B v c n R f d G 9 0 Y W w u d H J h b n N w b 3 J 0 X 3 R v X 2 N v b n N 0 c n V j d G l v b l 9 z a X R l X 3 J l c G x h Y 2 V t Z W 5 0 c 1 t 0 a 2 1 d L D k 5 f S Z x d W 9 0 O y w m c X V v d D t T Z W N 0 a W 9 u M S 9 J b n N j a H J p a m Z f R X h w b 3 J 0 L 0 F 1 d G 9 S Z W 1 v d m V k Q 2 9 s d W 1 u c z E u e 1 R y Y W 5 z c G 9 y d F 9 0 b 3 R h b C 5 0 c m F u c 3 B v c n R f d G 9 f c H J v Y 2 V z c 2 9 y X 3 J l c G x h Y 2 V t Z W 5 0 c 1 t 0 a 2 1 d L D E w M H 0 m c X V v d D s s J n F 1 b 3 Q 7 U 2 V j d G l v b j E v S W 5 z Y 2 h y a W p m X 0 V 4 c G 9 y d C 9 B d X R v U m V t b 3 Z l Z E N v b H V t b n M x L n t U c m F u c 3 B v c n R f d G 9 0 Y W w u Z W 1 p c 3 N p b 2 5 f Z n J l Z V 9 0 c m F u c 3 B v c n R f c m V w b G F j Z W 1 l b n R z W 3 R r b V 0 s M T A x f S Z x d W 9 0 O y w m c X V v d D t T Z W N 0 a W 9 u M S 9 J b n N j a H J p a m Z f R X h w b 3 J 0 L 0 F 1 d G 9 S Z W 1 v d m V k Q 2 9 s d W 1 u c z E u e 1 R y Y W 5 z c G 9 y d F 9 0 b 3 R h b C 5 0 b 3 R h b F 9 l b W l z c 2 l v b l 9 m c m V l X 3 R y Y W 5 z c G 9 y d C w x M D J 9 J n F 1 b 3 Q 7 L C Z x d W 9 0 O 1 N l Y 3 R p b 2 4 x L 0 l u c 2 N o c m l q Z l 9 F e H B v c n Q v Q X V 0 b 1 J l b W 9 2 Z W R D b 2 x 1 b W 5 z M S 5 7 V H J h b n N w b 3 J 0 X 3 R v d G F s L n R v d G F s X 2 5 v b l 9 l b W l z c 2 l v b l 9 m c m V l X 3 R y Y W 5 z c G 9 y d C w x M D N 9 J n F 1 b 3 Q 7 L C Z x d W 9 0 O 1 N l Y 3 R p b 2 4 x L 0 l u c 2 N o c m l q Z l 9 F e H B v c n Q v Q X V 0 b 1 J l b W 9 2 Z W R D b 2 x 1 b W 5 z M S 5 7 V H J h b n N w b 3 J 0 X 3 R v d G F s L n R v d G F s X 3 R y Y W 5 z c G 9 y d C w x M D R 9 J n F 1 b 3 Q 7 L C Z x d W 9 0 O 1 N l Y 3 R p b 2 4 x L 0 l u c 2 N o c m l q Z l 9 F e H B v c n Q v Q X V 0 b 1 J l b W 9 2 Z W R D b 2 x 1 b W 5 z M S 5 7 Q 2 9 u c 3 R y d W N 0 a W 9 u X 3 N p d G V f d G 9 0 Y W w u b 3 B l c m F 0 a W 9 u X 2 h v d X J f Y 2 9 u c 3 R y d W N 0 a W 9 u L D E w N X 0 m c X V v d D s s J n F 1 b 3 Q 7 U 2 V j d G l v b j E v S W 5 z Y 2 h y a W p m X 0 V 4 c G 9 y d C 9 B d X R v U m V t b 3 Z l Z E N v b H V t b n M x L n t D b 2 5 z d H J 1 Y 3 R p b 2 5 f c 2 l 0 Z V 9 0 b 3 R h b C 5 v c G V y Y X R p b 2 5 f a G 9 1 c l 9 y Z W 1 v d m F s L D E w N n 0 m c X V v d D s s J n F 1 b 3 Q 7 U 2 V j d G l v b j E v S W 5 z Y 2 h y a W p m X 0 V 4 c G 9 y d C 9 B d X R v U m V t b 3 Z l Z E N v b H V t b n M x L n t D b 2 5 z d H J 1 Y 3 R p b 2 5 f c 2 l 0 Z V 9 0 b 3 R h b C 5 l b W l z c 2 l v b l 9 m c m V l X 2 N v b n N 0 c n V j d G l v b i w x M D d 9 J n F 1 b 3 Q 7 L C Z x d W 9 0 O 1 N l Y 3 R p b 2 4 x L 0 l u c 2 N o c m l q Z l 9 F e H B v c n Q v Q X V 0 b 1 J l b W 9 2 Z W R D b 2 x 1 b W 5 z M S 5 7 Q 2 9 u c 3 R y d W N 0 a W 9 u X 3 N p d G V f d G 9 0 Y W w u Z W 1 p c 3 N p b 2 5 f Z n J l Z V 9 y Z W 1 v d m F s L D E w O H 0 m c X V v d D s s J n F 1 b 3 Q 7 U 2 V j d G l v b j E v S W 5 z Y 2 h y a W p m X 0 V 4 c G 9 y d C 9 B d X R v U m V t b 3 Z l Z E N v b H V t b n M x L n t D b 2 5 z d H J 1 Y 3 R p b 2 5 f c 2 l 0 Z V 9 0 b 3 R h b C 5 l b W l z c 2 l v b l 9 m c m V l X 2 N v b n N 0 c n V j d G l v b l 9 z a X R l L D E w O X 0 m c X V v d D s s J n F 1 b 3 Q 7 U 2 V j d G l v b j E v S W 5 z Y 2 h y a W p m X 0 V 4 c G 9 y d C 9 B d X R v U m V t b 3 Z l Z E N v b H V t b n M x L n t D b 2 5 z d H J 1 Y 3 R p b 2 5 f c 2 l 0 Z V 9 0 b 3 R h b C 5 l b W l z c 2 l v b l 9 m c m V l X 2 N v b n N 0 c n V j d G l v b l 9 z a X R l X 3 J l c G x h Y 2 V t Z W 5 0 L D E x M H 0 m c X V v d D s s J n F 1 b 3 Q 7 U 2 V j d G l v b j E v S W 5 z Y 2 h y a W p m X 0 V 4 c G 9 y d C 9 B d X R v U m V t b 3 Z l Z E N v b H V t b n M x L n t D b 2 5 z d H J 1 Y 3 R p b 2 5 f c 2 l 0 Z V 9 0 b 3 R h b C 5 0 b 3 R h b F 9 l b W l z c 2 l v b l 9 m c m V l X 2 N v b n N 0 c n V j d G l v b l 9 z a X R l L D E x M X 0 m c X V v d D s s J n F 1 b 3 Q 7 U 2 V j d G l v b j E v S W 5 z Y 2 h y a W p m X 0 V 4 c G 9 y d C 9 B d X R v U m V t b 3 Z l Z E N v b H V t b n M x L n t D b 2 5 z d H J 1 Y 3 R p b 2 5 f c 2 l 0 Z V 9 0 b 3 R h b C 5 0 b 3 R h b F 9 u b 2 5 f Z W 1 p c 3 N p b 2 5 f Z n J l Z V 9 j b 2 5 z d H J 1 Y 3 R p b 2 5 f c 2 l 0 Z S w x M T J 9 J n F 1 b 3 Q 7 L C Z x d W 9 0 O 1 N l Y 3 R p b 2 4 x L 0 l u c 2 N o c m l q Z l 9 F e H B v c n Q v Q X V 0 b 1 J l b W 9 2 Z W R D b 2 x 1 b W 5 z M S 5 7 Q 2 9 u c 3 R y d W N 0 a W 9 u X 3 N p d G V f d G 9 0 Y W w u d G 9 0 Y W x f Y 2 9 u c 3 R y d W N 0 a W 9 u X 3 N p d G U s M T E z f S Z x d W 9 0 O y w m c X V v d D t T Z W N 0 a W 9 u M S 9 J b n N j a H J p a m Z f R X h w b 3 J 0 L 0 F 1 d G 9 S Z W 1 v d m V k Q 2 9 s d W 1 u c z E u e 0 1 L S V 9 0 b 3 R h b F 9 0 b 2 5 f Q T F f Q T M s M T E 0 f S Z x d W 9 0 O y w m c X V v d D t T Z W N 0 a W 9 u M S 9 J b n N j a H J p a m Z f R X h w b 3 J 0 L 0 F 1 d G 9 S Z W 1 v d m V k Q 2 9 s d W 1 u c z E u e 0 1 L S V 9 0 b 3 R h b F 9 t M 1 9 B M V 9 B M y w x M T V 9 J n F 1 b 3 Q 7 L C Z x d W 9 0 O 1 N l Y 3 R p b 2 4 x L 0 l u c 2 N o c m l q Z l 9 F e H B v c n Q v Q X V 0 b 1 J l b W 9 2 Z W R D b 2 x 1 b W 5 z M S 5 7 Q 0 8 y X 3 R v d G F s X 3 R v b l 9 B M V 9 B M y w x M T Z 9 J n F 1 b 3 Q 7 L C Z x d W 9 0 O 1 N l Y 3 R p b 2 4 x L 0 l u c 2 N o c m l q Z l 9 F e H B v c n Q v Q X V 0 b 1 J l b W 9 2 Z W R D b 2 x 1 b W 5 z M S 5 7 Q 0 8 y X 3 R v d G F s X 2 0 z X 0 E x X 0 E z L D E x N 3 0 m c X V v d D s s J n F 1 b 3 Q 7 U 2 V j d G l v b j E v S W 5 z Y 2 h y a W p m X 0 V 4 c G 9 y d C 9 B d X R v U m V t b 3 Z l Z E N v b H V t b n M x L n t N S 0 l f d G 9 0 Y W x f Q T F f Q T M s M T E 4 f S Z x d W 9 0 O y w m c X V v d D t T Z W N 0 a W 9 u M S 9 J b n N j a H J p a m Z f R X h w b 3 J 0 L 0 F 1 d G 9 S Z W 1 v d m V k Q 2 9 s d W 1 u c z E u e 0 N P M l 9 0 b 3 R h b F 9 B M V 9 B M y w x M T l 9 J n F 1 b 3 Q 7 X S w m c X V v d D t S Z W x h d G l v b n N o a X B J b m Z v J n F 1 b 3 Q 7 O l t d f S I g L z 4 8 R W 5 0 c n k g V H l w Z T 0 i Q W R k Z W R U b 0 R h d G F N b 2 R l b C I g V m F s d W U 9 I m w w I i A v P j w v U 3 R h Y m x l R W 5 0 c m l l c z 4 8 L 0 l 0 Z W 0 + P E l 0 Z W 0 + P E l 0 Z W 1 M b 2 N h d G l v b j 4 8 S X R l b V R 5 c G U + R m 9 y b X V s Y T w v S X R l b V R 5 c G U + P E l 0 Z W 1 Q Y X R o P l N l Y 3 R p b 2 4 x L 0 l u c 2 N o c m l q Z l 9 F e H B v c n Q v Q n J v b j w v S X R l b V B h d G g + P C 9 J d G V t T G 9 j Y X R p b 2 4 + P F N 0 Y W J s Z U V u d H J p Z X M g L z 4 8 L 0 l 0 Z W 0 + P E l 0 Z W 0 + P E l 0 Z W 1 M b 2 N h d G l v b j 4 8 S X R l b V R 5 c G U + R m 9 y b X V s Y T w v S X R l b V R 5 c G U + P E l 0 Z W 1 Q Y X R o P l N l Y 3 R p b 2 4 x L 0 l u c 2 N o c m l q Z l 9 F e H B v c n Q v V H l w Z S U y M G d l d 2 l q e m l n Z D w v S X R l b V B h d G g + P C 9 J d G V t T G 9 j Y X R p b 2 4 + P F N 0 Y W J s Z U V u d H J p Z X M g L z 4 8 L 0 l 0 Z W 0 + P E l 0 Z W 0 + P E l 0 Z W 1 M b 2 N h d G l v b j 4 8 S X R l b V R 5 c G U + R m 9 y b X V s Y T w v S X R l b V R 5 c G U + P E l 0 Z W 1 Q Y X R o P l N l Y 3 R p b 2 4 x L 0 l u c 2 N o c m l q Z l 9 F e H B v c n Q v U X V l c n k l M j B 0 b 2 V n Z X Z v Z W d k P C 9 J d G V t U G F 0 a D 4 8 L 0 l 0 Z W 1 M b 2 N h d G l v b j 4 8 U 3 R h Y m x l R W 5 0 c m l l c y A v P j w v S X R l b T 4 8 S X R l b T 4 8 S X R l b U x v Y 2 F 0 a W 9 u P j x J d G V t V H l w Z T 5 G b 3 J t d W x h P C 9 J d G V t V H l w Z T 4 8 S X R l b V B h d G g + U 2 V j d G l v b j E v S W 5 z Y 2 h y a W p m X 0 V 4 c G 9 y d C 9 R d W V y e S d z J T I w c 2 F t Z W 5 n Z X Z v Z W d k P C 9 J d G V t U G F 0 a D 4 8 L 0 l 0 Z W 1 M b 2 N h d G l v b j 4 8 U 3 R h Y m x l R W 5 0 c m l l c y A v P j w v S X R l b T 4 8 S X R l b T 4 8 S X R l b U x v Y 2 F 0 a W 9 u P j x J d G V t V H l w Z T 5 G b 3 J t d W x h P C 9 J d G V t V H l w Z T 4 8 S X R l b V B h d G g + U 2 V j d G l v b j E v S W 5 z Y 2 h y a W p m X 0 V 4 c G 9 y d C 9 R d W V y e S d z J T I w c 2 F t Z W 5 n Z X Z v Z W d k M T w v S X R l b V B h d G g + P C 9 J d G V t T G 9 j Y X R p b 2 4 + P F N 0 Y W J s Z U V u d H J p Z X M g L z 4 8 L 0 l 0 Z W 0 + P E l 0 Z W 0 + P E l 0 Z W 1 M b 2 N h d G l v b j 4 8 S X R l b V R 5 c G U + R m 9 y b X V s Y T w v S X R l b V R 5 c G U + P E l 0 Z W 1 Q Y X R o P l N l Y 3 R p b 2 4 x L 0 l u c 2 N o c m l q Z l 9 F e H B v c n Q v U X V l c n k n c y U y M H N h b W V u Z 2 V 2 b 2 V n Z D I 8 L 0 l 0 Z W 1 Q Y X R o P j w v S X R l b U x v Y 2 F 0 a W 9 u P j x T d G F i b G V F b n R y a W V z I C 8 + P C 9 J d G V t P j x J d G V t P j x J d G V t T G 9 j Y X R p b 2 4 + P E l 0 Z W 1 U e X B l P k Z v c m 1 1 b G E 8 L 0 l 0 Z W 1 U e X B l P j x J d G V t U G F 0 a D 5 T Z W N 0 a W 9 u M S 9 J b n N j a H J p a m Z f R X h w b 3 J 0 L 1 F 1 Z X J 5 J 3 M l M j B z Y W 1 l b m d l d m 9 l Z 2 Q z P C 9 J d G V t U G F 0 a D 4 8 L 0 l 0 Z W 1 M b 2 N h d G l v b j 4 8 U 3 R h Y m x l R W 5 0 c m l l c y A v P j w v S X R l b T 4 8 S X R l b T 4 8 S X R l b U x v Y 2 F 0 a W 9 u P j x J d G V t V H l w Z T 5 G b 3 J t d W x h P C 9 J d G V t V H l w Z T 4 8 S X R l b V B h d G g + U 2 V j d G l v b j E v S W 5 z Y 2 h y a W p m X 0 V 4 c G 9 y d C 9 R d W V y e S d z J T I w c 2 F t Z W 5 n Z X Z v Z W d k N D w v S X R l b V B h d G g + P C 9 J d G V t T G 9 j Y X R p b 2 4 + P F N 0 Y W J s Z U V u d H J p Z X M g L z 4 8 L 0 l 0 Z W 0 + P E l 0 Z W 0 + P E l 0 Z W 1 M b 2 N h d G l v b j 4 8 S X R l b V R 5 c G U + R m 9 y b X V s Y T w v S X R l b V R 5 c G U + P E l 0 Z W 1 Q Y X R o P l N l Y 3 R p b 2 4 x L 0 l u c 2 N o c m l q Z l 9 F e H B v c n Q v U X V l c n k n c y U y M H N h b W V u Z 2 V 2 b 2 V n Z D U 8 L 0 l 0 Z W 1 Q Y X R o P j w v S X R l b U x v Y 2 F 0 a W 9 u P j x T d G F i b G V F b n R y a W V z I C 8 + P C 9 J d G V t P j x J d G V t P j x J d G V t T G 9 j Y X R p b 2 4 + P E l 0 Z W 1 U e X B l P k Z v c m 1 1 b G E 8 L 0 l 0 Z W 1 U e X B l P j x J d G V t U G F 0 a D 5 T Z W N 0 a W 9 u M S 9 J b n N j a H J p a m Z f R X h w b 3 J 0 L 1 F 1 Z X J 5 J 3 M l M j B z Y W 1 l b m d l d m 9 l Z 2 Q 2 P C 9 J d G V t U G F 0 a D 4 8 L 0 l 0 Z W 1 M b 2 N h d G l v b j 4 8 U 3 R h Y m x l R W 5 0 c m l l c y A v P j w v S X R l b T 4 8 S X R l b T 4 8 S X R l b U x v Y 2 F 0 a W 9 u P j x J d G V t V H l w Z T 5 G b 3 J t d W x h P C 9 J d G V t V H l w Z T 4 8 S X R l b V B h d G g + U 2 V j d G l v b j E v S W 5 z Y 2 h y a W p m X 0 V 4 c G 9 y d C 9 S a W p l b i U y M G d l Z m l s d G V y Z D w v S X R l b V B h d G g + P C 9 J d G V t T G 9 j Y X R p b 2 4 + P F N 0 Y W J s Z U V u d H J p Z X M g L z 4 8 L 0 l 0 Z W 0 + P E l 0 Z W 0 + P E l 0 Z W 1 M b 2 N h d G l v b j 4 8 S X R l b V R 5 c G U + R m 9 y b X V s Y T w v S X R l b V R 5 c G U + P E l 0 Z W 1 Q Y X R o P l N l Y 3 R p b 2 4 x L 0 l u c 2 N o c m l q Z l 9 F e H B v c n Q v R H V i Y m V s Z S U y M H d h Y X J k Z W 4 l M j B 2 Z X J 3 a W p k Z X J k P C 9 J d G V t U G F 0 a D 4 8 L 0 l 0 Z W 1 M b 2 N h d G l v b j 4 8 U 3 R h Y m x l R W 5 0 c m l l c y A v P j w v S X R l b T 4 8 S X R l b T 4 8 S X R l b U x v Y 2 F 0 a W 9 u P j x J d G V t V H l w Z T 5 G b 3 J t d W x h P C 9 J d G V t V H l w Z T 4 8 S X R l b V B h d G g + U 2 V j d G l v b j E v S W 5 z Y 2 h y a W p m X 0 V 4 c G 9 y d C 9 L b 2 x v b W 1 l b i U y M H Z l c n d p a m R l c m Q 8 L 0 l 0 Z W 1 Q Y X R o P j w v S X R l b U x v Y 2 F 0 a W 9 u P j x T d G F i b G V F b n R y a W V z I C 8 + P C 9 J d G V t P j x J d G V t P j x J d G V t T G 9 j Y X R p b 2 4 + P E l 0 Z W 1 U e X B l P k Z v c m 1 1 b G E 8 L 0 l 0 Z W 1 U e X B l P j x J d G V t U G F 0 a D 5 T Z W N 0 a W 9 u M S 9 J b n N j a H J p a m Z f R X h w b 3 J 0 L 1 R 5 c G U l M j B n Z X d p a n p p Z 2 Q x P C 9 J d G V t U G F 0 a D 4 8 L 0 l 0 Z W 1 M b 2 N h d G l v b j 4 8 U 3 R h Y m x l R W 5 0 c m l l c y A v P j w v S X R l b T 4 8 S X R l b T 4 8 S X R l b U x v Y 2 F 0 a W 9 u P j x J d G V t V H l w Z T 5 G b 3 J t d W x h P C 9 J d G V t V H l w Z T 4 8 S X R l b V B h d G g + U 2 V j d G l v b j E v S W 5 z Y 2 h y a W p m X 0 V 4 c G 9 y d C 9 J b n N j a H J p a m Z f T U t J X 1 R v d G F h b C U y M H V p d G d l d m 9 1 d 2 V u P C 9 J d G V t U G F 0 a D 4 8 L 0 l 0 Z W 1 M b 2 N h d G l v b j 4 8 U 3 R h Y m x l R W 5 0 c m l l c y A v P j w v S X R l b T 4 8 S X R l b T 4 8 S X R l b U x v Y 2 F 0 a W 9 u P j x J d G V t V H l w Z T 5 G b 3 J t d W x h P C 9 J d G V t V H l w Z T 4 8 S X R l b V B h d G g + U 2 V j d G l v b j E v S W 5 z Y 2 h y a W p m X 0 V 4 c G 9 y d C 9 J b n N j a H J p a m Z f Q 0 8 y X 1 R v d G F h b C U y M H V p d G d l d m 9 1 d 2 V u P C 9 J d G V t U G F 0 a D 4 8 L 0 l 0 Z W 1 M b 2 N h d G l v b j 4 8 U 3 R h Y m x l R W 5 0 c m l l c y A v P j w v S X R l b T 4 8 S X R l b T 4 8 S X R l b U x v Y 2 F 0 a W 9 u P j x J d G V t V H l w Z T 5 G b 3 J t d W x h P C 9 J d G V t V H l w Z T 4 8 S X R l b V B h d G g + U 2 V j d G l v b j E v S W 5 z Y 2 h y a W p m X 0 V 4 c G 9 y d C 9 J b n N j a H J p a m Z f T W F 0 Z X J p Y W F s X 1 R v d G F h b C U y M H V p d G d l d m 9 1 d 2 V u P C 9 J d G V t U G F 0 a D 4 8 L 0 l 0 Z W 1 M b 2 N h d G l v b j 4 8 U 3 R h Y m x l R W 5 0 c m l l c y A v P j w v S X R l b T 4 8 S X R l b T 4 8 S X R l b U x v Y 2 F 0 a W 9 u P j x J d G V t V H l w Z T 5 G b 3 J t d W x h P C 9 J d G V t V H l w Z T 4 8 S X R l b V B h d G g + U 2 V j d G l v b j E v S W 5 z Y 2 h y a W p m X 0 V 4 c G 9 y d C 9 J b n N j a H J p a m Z f S G V y b m l l d X d i Y X J l X 0 V u Z X J n a W V f V G 9 0 Y W F s J T I w d W l 0 Z 2 V 2 b 3 V 3 Z W 4 8 L 0 l 0 Z W 1 Q Y X R o P j w v S X R l b U x v Y 2 F 0 a W 9 u P j x T d G F i b G V F b n R y a W V z I C 8 + P C 9 J d G V t P j x J d G V t P j x J d G V t T G 9 j Y X R p b 2 4 + P E l 0 Z W 1 U e X B l P k Z v c m 1 1 b G E 8 L 0 l 0 Z W 1 U e X B l P j x J d G V t U G F 0 a D 5 T Z W N 0 a W 9 u M S 9 J b n N j a H J p a m Z f R X h w b 3 J 0 L 0 l u c 2 N o c m l q Z l 9 G b 3 N z a W V s Z V 9 F b m V y Z 2 l l X 1 R v d G F h b C U y M H V p d G d l d m 9 1 d 2 V u P C 9 J d G V t U G F 0 a D 4 8 L 0 l 0 Z W 1 M b 2 N h d G l v b j 4 8 U 3 R h Y m x l R W 5 0 c m l l c y A v P j w v S X R l b T 4 8 S X R l b T 4 8 S X R l b U x v Y 2 F 0 a W 9 u P j x J d G V t V H l w Z T 5 G b 3 J t d W x h P C 9 J d G V t V H l w Z T 4 8 S X R l b V B h d G g + U 2 V j d G l v b j E v S W 5 z Y 2 h y a W p m X 0 V 4 c G 9 y d C 9 J b n N j a H J p a m Z f V H J h b n N w b 3 J 0 X 1 R v d G F h b C U y M H V p d G d l d m 9 1 d 2 V u P C 9 J d G V t U G F 0 a D 4 8 L 0 l 0 Z W 1 M b 2 N h d G l v b j 4 8 U 3 R h Y m x l R W 5 0 c m l l c y A v P j w v S X R l b T 4 8 S X R l b T 4 8 S X R l b U x v Y 2 F 0 a W 9 u P j x J d G V t V H l w Z T 5 G b 3 J t d W x h P C 9 J d G V t V H l w Z T 4 8 S X R l b V B h d G g + U 2 V j d G l v b j E v S W 5 z Y 2 h y a W p m X 0 V 4 c G 9 y d C 9 J b n N j a H J p a m Z f Q m 9 1 d 3 B s Y W F 0 c 1 9 U b 3 R h Y W w l M j B 1 a X R n Z X Z v d X d l b j w v S X R l b V B h d G g + P C 9 J d G V t T G 9 j Y X R p b 2 4 + P F N 0 Y W J s Z U V u d H J p Z X M g L z 4 8 L 0 l 0 Z W 0 + P E l 0 Z W 0 + P E l 0 Z W 1 M b 2 N h d G l v b j 4 8 S X R l b V R 5 c G U + R m 9 y b X V s Y T w v S X R l b V R 5 c G U + P E l 0 Z W 1 Q Y X R o P l N l Y 3 R p b 2 4 x L 0 l u c 2 N o c m l q Z l 9 F e H B v c n Q v U X V l c n k l M j B 0 b 2 V n Z X Z v Z W d k M T w v S X R l b V B h d G g + P C 9 J d G V t T G 9 j Y X R p b 2 4 + P F N 0 Y W J s Z U V u d H J p Z X M g L z 4 8 L 0 l 0 Z W 0 + P E l 0 Z W 0 + P E l 0 Z W 1 M b 2 N h d G l v b j 4 8 S X R l b V R 5 c G U + R m 9 y b X V s Y T w v S X R l b V R 5 c G U + P E l 0 Z W 1 Q Y X R o P l N l Y 3 R p b 2 4 x L 0 l u c 2 N o c m l q Z l 9 F e H B v c n Q v T 2 1 o b 2 9 n J T I w Z G 9 v c m d l d m 9 l c m Q 8 L 0 l 0 Z W 1 Q Y X R o P j w v S X R l b U x v Y 2 F 0 a W 9 u P j x T d G F i b G V F b n R y a W V z I C 8 + P C 9 J d G V t P j x J d G V t P j x J d G V t T G 9 j Y X R p b 2 4 + P E l 0 Z W 1 U e X B l P k Z v c m 1 1 b G E 8 L 0 l 0 Z W 1 U e X B l P j x J d G V t U G F 0 a D 5 T Z W N 0 a W 9 u M S 9 J b n N j a H J p a m Z f R X h w b 3 J 0 L 1 Z v b G d v c m R l J T I w d m F u J T I w a 2 9 s b 2 1 t Z W 4 l M j B n Z X d p a n p p Z 2 Q 8 L 0 l 0 Z W 1 Q Y X R o P j w v S X R l b U x v Y 2 F 0 a W 9 u P j x T d G F i b G V F b n R y a W V z I C 8 + P C 9 J d G V t P j x J d G V t P j x J d G V t T G 9 j Y X R p b 2 4 + P E l 0 Z W 1 U e X B l P k Z v c m 1 1 b G E 8 L 0 l 0 Z W 1 U e X B l P j x J d G V t U G F 0 a D 5 T Z W N 0 a W 9 u M S 9 J b n N j a H J p a m Z f R X h w b 3 J 0 L 0 5 h b W V u J T I w d m F u J T I w a 2 9 s b 2 1 t Z W 4 l M j B n Z X d p a n p p Z 2 Q 8 L 0 l 0 Z W 1 Q Y X R o P j w v S X R l b U x v Y 2 F 0 a W 9 u P j x T d G F i b G V F b n R y a W V z I C 8 + P C 9 J d G V t P j x J d G V t P j x J d G V t T G 9 j Y X R p b 2 4 + P E l 0 Z W 1 U e X B l P k Z v c m 1 1 b G E 8 L 0 l 0 Z W 1 U e X B l P j x J d G V t U G F 0 a D 5 T Z W N 0 a W 9 u M S 9 J b n N j a H J p a m Z f R X h w b 3 J 0 L 0 F h b m d l c G F z d G U l M j B r b 2 x v b S U y M H R v Z W d l d m 9 l Z 2 Q 8 L 0 l 0 Z W 1 Q Y X R o P j w v S X R l b U x v Y 2 F 0 a W 9 u P j x T d G F i b G V F b n R y a W V z I C 8 + P C 9 J d G V t P j x J d G V t P j x J d G V t T G 9 j Y X R p b 2 4 + P E l 0 Z W 1 U e X B l P k Z v c m 1 1 b G E 8 L 0 l 0 Z W 1 U e X B l P j x J d G V t U G F 0 a D 5 T Z W N 0 a W 9 u M S 9 J b n N j a H J p a m Z f R X h w b 3 J 0 L 0 F h b m d l c G F z d G U l M j B r b 2 x v b S U y M H R v Z W d l d m 9 l Z 2 Q x P C 9 J d G V t U G F 0 a D 4 8 L 0 l 0 Z W 1 M b 2 N h d G l v b j 4 8 U 3 R h Y m x l R W 5 0 c m l l c y A v P j w v S X R l b T 4 8 S X R l b T 4 8 S X R l b U x v Y 2 F 0 a W 9 u P j x J d G V t V H l w Z T 5 G b 3 J t d W x h P C 9 J d G V t V H l w Z T 4 8 S X R l b V B h d G g + U 2 V j d G l v b j E v S W 5 z Y 2 h y a W p m X 0 V 4 c G 9 y d C 9 L b 2 x v b W 1 l b i U y M H Z l c n d p a m R l c m Q x P C 9 J d G V t U G F 0 a D 4 8 L 0 l 0 Z W 1 M b 2 N h d G l v b j 4 8 U 3 R h Y m x l R W 5 0 c m l l c y A v P j w v S X R l b T 4 8 S X R l b T 4 8 S X R l b U x v Y 2 F 0 a W 9 u P j x J d G V t V H l w Z T 5 G b 3 J t d W x h P C 9 J d G V t V H l w Z T 4 8 S X R l b V B h d G g + U 2 V j d G l v b j E v S W 5 z Y 2 h y a W p m X 0 V 4 c G 9 y d C 9 O Y W 1 l b i U y M H Z h b i U y M G t v b G 9 t b W V u J T I w Z 2 V 3 a W p 6 a W d k M T w v S X R l b V B h d G g + P C 9 J d G V t T G 9 j Y X R p b 2 4 + P F N 0 Y W J s Z U V u d H J p Z X M g L z 4 8 L 0 l 0 Z W 0 + P E l 0 Z W 0 + P E l 0 Z W 1 M b 2 N h d G l v b j 4 8 S X R l b V R 5 c G U + R m 9 y b X V s Y T w v S X R l b V R 5 c G U + P E l 0 Z W 1 Q Y X R o P l N l Y 3 R p b 2 4 x L 0 l u c 2 N o c m l q Z l 9 F e H B v c n Q v Q W F u Z 2 V w Y X N 0 Z S U y M G t v b G 9 t J T I w d G 9 l Z 2 V 2 b 2 V n Z D I 8 L 0 l 0 Z W 1 Q Y X R o P j w v S X R l b U x v Y 2 F 0 a W 9 u P j x T d G F i b G V F b n R y a W V z I C 8 + P C 9 J d G V t P j x J d G V t P j x J d G V t T G 9 j Y X R p b 2 4 + P E l 0 Z W 1 U e X B l P k Z v c m 1 1 b G E 8 L 0 l 0 Z W 1 U e X B l P j x J d G V t U G F 0 a D 5 T Z W N 0 a W 9 u M S 9 J b n N j a H J p a m Z f R X h w b 3 J 0 L 0 F h b m d l c G F z d G U l M j B r b 2 x v b S U y M H R v Z W d l d m 9 l Z 2 Q z P C 9 J d G V t U G F 0 a D 4 8 L 0 l 0 Z W 1 M b 2 N h d G l v b j 4 8 U 3 R h Y m x l R W 5 0 c m l l c y A v P j w v S X R l b T 4 8 S X R l b T 4 8 S X R l b U x v Y 2 F 0 a W 9 u P j x J d G V t V H l w Z T 5 G b 3 J t d W x h P C 9 J d G V t V H l w Z T 4 8 S X R l b V B h d G g + U 2 V j d G l v b j E v S W 5 z Y 2 h y a W p m X 0 V 4 c G 9 y d C 9 L b 2 x v b W 1 l b i U y M H Z l c n d p a m R l c m Q y P C 9 J d G V t U G F 0 a D 4 8 L 0 l 0 Z W 1 M b 2 N h d G l v b j 4 8 U 3 R h Y m x l R W 5 0 c m l l c y A v P j w v S X R l b T 4 8 S X R l b T 4 8 S X R l b U x v Y 2 F 0 a W 9 u P j x J d G V t V H l w Z T 5 G b 3 J t d W x h P C 9 J d G V t V H l w Z T 4 8 S X R l b V B h d G g + U 2 V j d G l v b j E v S W 5 z Y 2 h y a W p m X 0 V 4 c G 9 y d C 9 W b 2 x n b 3 J k Z S U y M H Z h b i U y M G t v b G 9 t b W V u J T I w Z 2 V 3 a W p 6 a W d k M T w v S X R l b V B h d G g + P C 9 J d G V t T G 9 j Y X R p b 2 4 + P F N 0 Y W J s Z U V u d H J p Z X M g L z 4 8 L 0 l 0 Z W 0 + P E l 0 Z W 0 + P E l 0 Z W 1 M b 2 N h d G l v b j 4 8 S X R l b V R 5 c G U + R m 9 y b X V s Y T w v S X R l b V R 5 c G U + P E l 0 Z W 1 Q Y X R o P l N l Y 3 R p b 2 4 x L 0 l u c 2 N o c m l q Z l 9 F e H B v c n Q v S 2 9 s b 2 0 l M j B n Z W R 1 c G x p Y 2 V l c m Q 8 L 0 l 0 Z W 1 Q Y X R o P j w v S X R l b U x v Y 2 F 0 a W 9 u P j x T d G F i b G V F b n R y a W V z I C 8 + P C 9 J d G V t P j x J d G V t P j x J d G V t T G 9 j Y X R p b 2 4 + P E l 0 Z W 1 U e X B l P k Z v c m 1 1 b G E 8 L 0 l 0 Z W 1 U e X B l P j x J d G V t U G F 0 a D 5 T Z W N 0 a W 9 u M S 9 J b n N j a H J p a m Z f R X h w b 3 J 0 L 0 t v b G 9 t b W V u J T I w d m V y d 2 l q Z G V y Z D M 8 L 0 l 0 Z W 1 Q Y X R o P j w v S X R l b U x v Y 2 F 0 a W 9 u P j x T d G F i b G V F b n R y a W V z I C 8 + P C 9 J d G V t P j x J d G V t P j x J d G V t T G 9 j Y X R p b 2 4 + P E l 0 Z W 1 U e X B l P k Z v c m 1 1 b G E 8 L 0 l 0 Z W 1 U e X B l P j x J d G V t U G F 0 a D 5 T Z W N 0 a W 9 u M S 9 J b n N j a H J p a m Z f R X h w b 3 J 0 L 0 5 h b W V u J T I w d m F u J T I w a 2 9 s b 2 1 t Z W 4 l M j B n Z X d p a n p p Z 2 Q y P C 9 J d G V t U G F 0 a D 4 8 L 0 l 0 Z W 1 M b 2 N h d G l v b j 4 8 U 3 R h Y m x l R W 5 0 c m l l c y A v P j w v S X R l b T 4 8 S X R l b T 4 8 S X R l b U x v Y 2 F 0 a W 9 u P j x J d G V t V H l w Z T 5 G b 3 J t d W x h P C 9 J d G V t V H l w Z T 4 8 S X R l b V B h d G g + U 2 V j d G l v b j E v S W 5 z Y 2 h y a W p m X 0 V 4 c G 9 y d C 9 W b 2 x n b 3 J k Z S U y M H Z h b i U y M G t v b G 9 t b W V u J T I w Z 2 V 3 a W p 6 a W d k M j w v S X R l b V B h d G g + P C 9 J d G V t T G 9 j Y X R p b 2 4 + P F N 0 Y W J s Z U V u d H J p Z X M g L z 4 8 L 0 l 0 Z W 0 + P E l 0 Z W 0 + P E l 0 Z W 1 M b 2 N h d G l v b j 4 8 S X R l b V R 5 c G U + R m 9 y b X V s Y T w v S X R l b V R 5 c G U + P E l 0 Z W 1 Q Y X R o P l N l Y 3 R p b 2 4 x L 0 l u c 2 N o c m l q Z l 9 F e H B v c n Q v T m F t Z W 4 l M j B 2 Y W 4 l M j B r b 2 x v b W 1 l b i U y M G d l d 2 l q e m l n Z D M 8 L 0 l 0 Z W 1 Q Y X R o P j w v S X R l b U x v Y 2 F 0 a W 9 u P j x T d G F i b G V F b n R y a W V z I C 8 + P C 9 J d G V t P j x J d G V t P j x J d G V t T G 9 j Y X R p b 2 4 + P E l 0 Z W 1 U e X B l P k Z v c m 1 1 b G E 8 L 0 l 0 Z W 1 U e X B l P j x J d G V t U G F 0 a D 5 T Z W N 0 a W 9 u M S 9 J b n N j a H J p a m Z f R X h w b 3 J 0 L 0 t v b G 9 t b W V u J T I w d m V y d 2 l q Z G V y Z D Q 8 L 0 l 0 Z W 1 Q Y X R o P j w v S X R l b U x v Y 2 F 0 a W 9 u P j x T d G F i b G V F b n R y a W V z I C 8 + P C 9 J d G V t P j x J d G V t P j x J d G V t T G 9 j Y X R p b 2 4 + P E l 0 Z W 1 U e X B l P k Z v c m 1 1 b G E 8 L 0 l 0 Z W 1 U e X B l P j x J d G V t U G F 0 a D 5 T Z W N 0 a W 9 u M S 9 J b n N j a H J p a m Z f R X h w b 3 J 0 L 1 Z v b G d v c m R l J T I w d m F u J T I w a 2 9 s b 2 1 t Z W 4 l M j B n Z X d p a n p p Z 2 Q z P C 9 J d G V t U G F 0 a D 4 8 L 0 l 0 Z W 1 M b 2 N h d G l v b j 4 8 U 3 R h Y m x l R W 5 0 c m l l c y A v P j w v S X R l b T 4 8 S X R l b T 4 8 S X R l b U x v Y 2 F 0 a W 9 u P j x J d G V t V H l w Z T 5 G b 3 J t d W x h P C 9 J d G V t V H l w Z T 4 8 S X R l b V B h d G g + U 2 V j d G l v b j E v U m V m Z X J l b n R p Z V 9 F e H B v c n Q v U X V l c n k l M j B 0 b 2 V n Z X Z v Z W d k M T w v S X R l b V B h d G g + P C 9 J d G V t T G 9 j Y X R p b 2 4 + P F N 0 Y W J s Z U V u d H J p Z X M g L z 4 8 L 0 l 0 Z W 0 + P E l 0 Z W 0 + P E l 0 Z W 1 M b 2 N h d G l v b j 4 8 S X R l b V R 5 c G U + R m 9 y b X V s Y T w v S X R l b V R 5 c G U + P E l 0 Z W 1 Q Y X R o P l N l Y 3 R p b 2 4 x L 1 J l Z m V y Z W 5 0 a W V f R X h w b 3 J 0 L 1 J p a m V u J T I w Z 2 V m a W x 0 Z X J k M T w v S X R l b V B h d G g + P C 9 J d G V t T G 9 j Y X R p b 2 4 + P F N 0 Y W J s Z U V u d H J p Z X M g L z 4 8 L 0 l 0 Z W 0 + P E l 0 Z W 0 + P E l 0 Z W 1 M b 2 N h d G l v b j 4 8 S X R l b V R 5 c G U + R m 9 y b X V s Y T w v S X R l b V R 5 c G U + P E l 0 Z W 1 Q Y X R o P l N l Y 3 R p b 2 4 x L 1 J l Z m V y Z W 5 0 a W V f R X h w b 3 J 0 L 1 F 1 Z X J 5 J 3 M l M j B z Y W 1 l b m d l d m 9 l Z 2 Q 8 L 0 l 0 Z W 1 Q Y X R o P j w v S X R l b U x v Y 2 F 0 a W 9 u P j x T d G F i b G V F b n R y a W V z I C 8 + P C 9 J d G V t P j x J d G V t P j x J d G V t T G 9 j Y X R p b 2 4 + P E l 0 Z W 1 U e X B l P k Z v c m 1 1 b G E 8 L 0 l 0 Z W 1 U e X B l P j x J d G V t U G F 0 a D 5 T Z W N 0 a W 9 u M S 9 S Z W Z l c m V u d G l l X 0 V 4 c G 9 y d C 9 P b W h v b 2 c l M j B k b 2 9 y Z 2 V 2 b 2 V y Z D w v S X R l b V B h d G g + P C 9 J d G V t T G 9 j Y X R p b 2 4 + P F N 0 Y W J s Z U V u d H J p Z X M g L z 4 8 L 0 l 0 Z W 0 + P E l 0 Z W 0 + P E l 0 Z W 1 M b 2 N h d G l v b j 4 8 S X R l b V R 5 c G U + R m 9 y b X V s Y T w v S X R l b V R 5 c G U + P E l 0 Z W 1 Q Y X R o P l N l Y 3 R p b 2 4 x L 1 J l Z m V y Z W 5 0 a W V f R X h w b 3 J 0 L 1 Z v b G d v c m R l J T I w d m F u J T I w a 2 9 s b 2 1 t Z W 4 l M j B n Z X d p a n p p Z 2 Q 8 L 0 l 0 Z W 1 Q Y X R o P j w v S X R l b U x v Y 2 F 0 a W 9 u P j x T d G F i b G V F b n R y a W V z I C 8 + P C 9 J d G V t P j x J d G V t P j x J d G V t T G 9 j Y X R p b 2 4 + P E l 0 Z W 1 U e X B l P k Z v c m 1 1 b G E 8 L 0 l 0 Z W 1 U e X B l P j x J d G V t U G F 0 a D 5 T Z W N 0 a W 9 u M S 9 S Z W Z l c m V u d G l l X 0 V 4 c G 9 y d C 9 R d W V y e S d z J T I w c 2 F t Z W 5 n Z X Z v Z W d k M T w v S X R l b V B h d G g + P C 9 J d G V t T G 9 j Y X R p b 2 4 + P F N 0 Y W J s Z U V u d H J p Z X M g L z 4 8 L 0 l 0 Z W 0 + P E l 0 Z W 0 + P E l 0 Z W 1 M b 2 N h d G l v b j 4 8 S X R l b V R 5 c G U + R m 9 y b X V s Y T w v S X R l b V R 5 c G U + P E l 0 Z W 1 Q Y X R o P l N l Y 3 R p b 2 4 x L 1 J l Z m V y Z W 5 0 a W V f R X h w b 3 J 0 L 1 F 1 Z X J 5 J 3 M l M j B z Y W 1 l b m d l d m 9 l Z 2 Q y P C 9 J d G V t U G F 0 a D 4 8 L 0 l 0 Z W 1 M b 2 N h d G l v b j 4 8 U 3 R h Y m x l R W 5 0 c m l l c y A v P j w v S X R l b T 4 8 S X R l b T 4 8 S X R l b U x v Y 2 F 0 a W 9 u P j x J d G V t V H l w Z T 5 G b 3 J t d W x h P C 9 J d G V t V H l w Z T 4 8 S X R l b V B h d G g + U 2 V j d G l v b j E v U m V m Z X J l b n R p Z V 9 F e H B v c n Q v U X V l c n k n c y U y M H N h b W V u Z 2 V 2 b 2 V n Z D M 8 L 0 l 0 Z W 1 Q Y X R o P j w v S X R l b U x v Y 2 F 0 a W 9 u P j x T d G F i b G V F b n R y a W V z I C 8 + P C 9 J d G V t P j x J d G V t P j x J d G V t T G 9 j Y X R p b 2 4 + P E l 0 Z W 1 U e X B l P k Z v c m 1 1 b G E 8 L 0 l 0 Z W 1 U e X B l P j x J d G V t U G F 0 a D 5 T Z W N 0 a W 9 u M S 9 S Z W Z l c m V u d G l l X 0 V 4 c G 9 y d C 9 R d W V y e S d z J T I w c 2 F t Z W 5 n Z X Z v Z W d k N D w v S X R l b V B h d G g + P C 9 J d G V t T G 9 j Y X R p b 2 4 + P F N 0 Y W J s Z U V u d H J p Z X M g L z 4 8 L 0 l 0 Z W 0 + P E l 0 Z W 0 + P E l 0 Z W 1 M b 2 N h d G l v b j 4 8 S X R l b V R 5 c G U + R m 9 y b X V s Y T w v S X R l b V R 5 c G U + P E l 0 Z W 1 Q Y X R o P l N l Y 3 R p b 2 4 x L 1 J l Z m V y Z W 5 0 a W V f R X h w b 3 J 0 L 1 F 1 Z X J 5 J 3 M l M j B z Y W 1 l b m d l d m 9 l Z 2 Q 1 P C 9 J d G V t U G F 0 a D 4 8 L 0 l 0 Z W 1 M b 2 N h d G l v b j 4 8 U 3 R h Y m x l R W 5 0 c m l l c y A v P j w v S X R l b T 4 8 S X R l b T 4 8 S X R l b U x v Y 2 F 0 a W 9 u P j x J d G V t V H l w Z T 5 G b 3 J t d W x h P C 9 J d G V t V H l w Z T 4 8 S X R l b V B h d G g + U 2 V j d G l v b j E v U m V m Z X J l b n R p Z V 9 F e H B v c n Q v U X V l c n k n c y U y M H N h b W V u Z 2 V 2 b 2 V n Z D Y 8 L 0 l 0 Z W 1 Q Y X R o P j w v S X R l b U x v Y 2 F 0 a W 9 u P j x T d G F i b G V F b n R y a W V z I C 8 + P C 9 J d G V t P j x J d G V t P j x J d G V t T G 9 j Y X R p b 2 4 + P E l 0 Z W 1 U e X B l P k Z v c m 1 1 b G E 8 L 0 l 0 Z W 1 U e X B l P j x J d G V t U G F 0 a D 5 T Z W N 0 a W 9 u M S 9 S Z W Z l c m V u d G l l X 0 V 4 c G 9 y d C 9 S Z W Z l c m V u d G l l X 0 1 L S V 9 U b 3 R h Y W w l M j B 1 a X R n Z X Z v d X d l b j E 8 L 0 l 0 Z W 1 Q Y X R o P j w v S X R l b U x v Y 2 F 0 a W 9 u P j x T d G F i b G V F b n R y a W V z I C 8 + P C 9 J d G V t P j x J d G V t P j x J d G V t T G 9 j Y X R p b 2 4 + P E l 0 Z W 1 U e X B l P k Z v c m 1 1 b G E 8 L 0 l 0 Z W 1 U e X B l P j x J d G V t U G F 0 a D 5 T Z W N 0 a W 9 u M S 9 S Z W Z l c m V u d G l l X 0 V 4 c G 9 y d C 9 S Z W Z l c m V u d G l l X 0 N P M l 9 U b 3 R h Y W w l M j B 1 a X R n Z X Z v d X d l b j E 8 L 0 l 0 Z W 1 Q Y X R o P j w v S X R l b U x v Y 2 F 0 a W 9 u P j x T d G F i b G V F b n R y a W V z I C 8 + P C 9 J d G V t P j x J d G V t P j x J d G V t T G 9 j Y X R p b 2 4 + P E l 0 Z W 1 U e X B l P k Z v c m 1 1 b G E 8 L 0 l 0 Z W 1 U e X B l P j x J d G V t U G F 0 a D 5 T Z W N 0 a W 9 u M S 9 S Z W Z l c m V u d G l l X 0 V 4 c G 9 y d C 9 S Z W Z l c m V u d G l l X 0 1 h d G V y a W F h b F 9 U b 3 R h Y W w l M j B 1 a X R n Z X Z v d X d l b j E 8 L 0 l 0 Z W 1 Q Y X R o P j w v S X R l b U x v Y 2 F 0 a W 9 u P j x T d G F i b G V F b n R y a W V z I C 8 + P C 9 J d G V t P j x J d G V t P j x J d G V t T G 9 j Y X R p b 2 4 + P E l 0 Z W 1 U e X B l P k Z v c m 1 1 b G E 8 L 0 l 0 Z W 1 U e X B l P j x J d G V t U G F 0 a D 5 T Z W N 0 a W 9 u M S 9 S Z W Z l c m V u d G l l X 0 V 4 c G 9 y d C 9 U e X B l J T I w Z 2 V 3 a W p 6 a W d k M T w v S X R l b V B h d G g + P C 9 J d G V t T G 9 j Y X R p b 2 4 + P F N 0 Y W J s Z U V u d H J p Z X M g L z 4 8 L 0 l 0 Z W 0 + P E l 0 Z W 0 + P E l 0 Z W 1 M b 2 N h d G l v b j 4 8 S X R l b V R 5 c G U + R m 9 y b X V s Y T w v S X R l b V R 5 c G U + P E l 0 Z W 1 Q Y X R o P l N l Y 3 R p b 2 4 x L 1 J l Z m V y Z W 5 0 a W V f R X h w b 3 J 0 L 1 J l Z m V y Z W 5 0 a W V f S G V y b m l l d X d i Y X J l X 0 V u Z X J n a W V f V G 9 0 Y W F s J T I w d W l 0 Z 2 V 2 b 3 V 3 Z W 4 x P C 9 J d G V t U G F 0 a D 4 8 L 0 l 0 Z W 1 M b 2 N h d G l v b j 4 8 U 3 R h Y m x l R W 5 0 c m l l c y A v P j w v S X R l b T 4 8 S X R l b T 4 8 S X R l b U x v Y 2 F 0 a W 9 u P j x J d G V t V H l w Z T 5 G b 3 J t d W x h P C 9 J d G V t V H l w Z T 4 8 S X R l b V B h d G g + U 2 V j d G l v b j E v U m V m Z X J l b n R p Z V 9 F e H B v c n Q v U m V m Z X J l b n R p Z V 9 G b 3 N z a W V s Z V 9 F b m V y Z 2 l l X 1 R v d G F h b C U y M H V p d G d l d m 9 1 d 2 V u M T w v S X R l b V B h d G g + P C 9 J d G V t T G 9 j Y X R p b 2 4 + P F N 0 Y W J s Z U V u d H J p Z X M g L z 4 8 L 0 l 0 Z W 0 + P E l 0 Z W 0 + P E l 0 Z W 1 M b 2 N h d G l v b j 4 8 S X R l b V R 5 c G U + R m 9 y b X V s Y T w v S X R l b V R 5 c G U + P E l 0 Z W 1 Q Y X R o P l N l Y 3 R p b 2 4 x L 1 J l Z m V y Z W 5 0 a W V f R X h w b 3 J 0 L 1 J l Z m V y Z W 5 0 a W V f V H J h b n N w b 3 J 0 X 1 R v d G F h b C U y M H V p d G d l d m 9 1 d 2 V u M T w v S X R l b V B h d G g + P C 9 J d G V t T G 9 j Y X R p b 2 4 + P F N 0 Y W J s Z U V u d H J p Z X M g L z 4 8 L 0 l 0 Z W 0 + P E l 0 Z W 0 + P E l 0 Z W 1 M b 2 N h d G l v b j 4 8 S X R l b V R 5 c G U + R m 9 y b X V s Y T w v S X R l b V R 5 c G U + P E l 0 Z W 1 Q Y X R o P l N l Y 3 R p b 2 4 x L 1 J l Z m V y Z W 5 0 a W V f R X h w b 3 J 0 L 1 J l Z m V y Z W 5 0 a W V f Q m 9 1 d 3 B s Y W F 0 c 1 9 U b 3 R h Y W w l M j B 1 a X R n Z X Z v d X d l b j E 8 L 0 l 0 Z W 1 Q Y X R o P j w v S X R l b U x v Y 2 F 0 a W 9 u P j x T d G F i b G V F b n R y a W V z I C 8 + P C 9 J d G V t P j x J d G V t P j x J d G V t T G 9 j Y X R p b 2 4 + P E l 0 Z W 1 U e X B l P k Z v c m 1 1 b G E 8 L 0 l 0 Z W 1 U e X B l P j x J d G V t U G F 0 a D 5 T Z W N 0 a W 9 u M S 9 S Z W Z l c m V u d G l l X 0 V 4 c G 9 y d C 9 S a W p l b i U y M G d l Z m l s d G V y Z D w v S X R l b V B h d G g + P C 9 J d G V t T G 9 j Y X R p b 2 4 + P F N 0 Y W J s Z U V u d H J p Z X M g L z 4 8 L 0 l 0 Z W 0 + P E l 0 Z W 0 + P E l 0 Z W 1 M b 2 N h d G l v b j 4 8 S X R l b V R 5 c G U + R m 9 y b X V s Y T w v S X R l b V R 5 c G U + P E l 0 Z W 1 Q Y X R o P l N l Y 3 R p b 2 4 x L 1 J l Z m V y Z W 5 0 a W V f R X h w b 3 J 0 L 0 t v b G 9 t b W V u J T I w d m V y d 2 l q Z G V y Z D w v S X R l b V B h d G g + P C 9 J d G V t T G 9 j Y X R p b 2 4 + P F N 0 Y W J s Z U V u d H J p Z X M g L z 4 8 L 0 l 0 Z W 0 + P E l 0 Z W 0 + P E l 0 Z W 1 M b 2 N h d G l v b j 4 8 S X R l b V R 5 c G U + R m 9 y b X V s Y T w v S X R l b V R 5 c G U + P E l 0 Z W 1 Q Y X R o P l N l Y 3 R p b 2 4 x L 1 J l Z m V y Z W 5 0 a W V f R X h w b 3 J 0 L 0 5 h b W V u J T I w d m F u J T I w a 2 9 s b 2 1 t Z W 4 l M j B n Z X d p a n p p Z 2 Q 8 L 0 l 0 Z W 1 Q Y X R o P j w v S X R l b U x v Y 2 F 0 a W 9 u P j x T d G F i b G V F b n R y a W V z I C 8 + P C 9 J d G V t P j x J d G V t P j x J d G V t T G 9 j Y X R p b 2 4 + P E l 0 Z W 1 U e X B l P k Z v c m 1 1 b G E 8 L 0 l 0 Z W 1 U e X B l P j x J d G V t U G F 0 a D 5 T Z W N 0 a W 9 u M S 9 J b n N j a H J p a m Z f R X h w b 3 J 0 L 0 5 h b W V u J T I w d m F u J T I w a 2 9 s b 2 1 t Z W 4 l M j B n Z X d p a n p p Z 2 Q 0 P C 9 J d G V t U G F 0 a D 4 8 L 0 l 0 Z W 1 M b 2 N h d G l v b j 4 8 U 3 R h Y m x l R W 5 0 c m l l c y A v P j w v S X R l b T 4 8 S X R l b T 4 8 S X R l b U x v Y 2 F 0 a W 9 u P j x J d G V t V H l w Z T 5 G b 3 J t d W x h P C 9 J d G V t V H l w Z T 4 8 S X R l b V B h d G g + U 2 V j d G l v b j E v U m V m Z X J l b n R p Z V 9 F e H B v c n Q v S 2 9 s b 2 1 t Z W 4 l M j B 2 Z X J 3 a W p k Z X J k M T w v S X R l b V B h d G g + P C 9 J d G V t T G 9 j Y X R p b 2 4 + P F N 0 Y W J s Z U V u d H J p Z X M g L z 4 8 L 0 l 0 Z W 0 + P E l 0 Z W 0 + P E l 0 Z W 1 M b 2 N h d G l v b j 4 8 S X R l b V R 5 c G U + R m 9 y b X V s Y T w v S X R l b V R 5 c G U + P E l 0 Z W 1 Q Y X R o P l N l Y 3 R p b 2 4 x L 0 l u c 2 N o c m l q Z l 9 F e H B v c n Q v Q W F u Z 2 V w Y X N 0 Z S U y M G t v b G 9 t J T I w d G 9 l Z 2 V 2 b 2 V n Z D Q 8 L 0 l 0 Z W 1 Q Y X R o P j w v S X R l b U x v Y 2 F 0 a W 9 u P j x T d G F i b G V F b n R y a W V z I C 8 + P C 9 J d G V t P j x J d G V t P j x J d G V t T G 9 j Y X R p b 2 4 + P E l 0 Z W 1 U e X B l P k Z v c m 1 1 b G E 8 L 0 l 0 Z W 1 U e X B l P j x J d G V t U G F 0 a D 5 T Z W N 0 a W 9 u M S 9 J b n N j a H J p a m Z f R X h w b 3 J 0 L 0 F h b m d l c G F z d G U l M j B r b 2 x v b S U y M H R v Z W d l d m 9 l Z 2 Q 1 P C 9 J d G V t U G F 0 a D 4 8 L 0 l 0 Z W 1 M b 2 N h d G l v b j 4 8 U 3 R h Y m x l R W 5 0 c m l l c y A v P j w v S X R l b T 4 8 S X R l b T 4 8 S X R l b U x v Y 2 F 0 a W 9 u P j x J d G V t V H l w Z T 5 G b 3 J t d W x h P C 9 J d G V t V H l w Z T 4 8 S X R l b V B h d G g + U 2 V j d G l v b j E v S W 5 z Y 2 h y a W p m X 0 V 4 c G 9 y d C 9 B Y W 5 n Z X B h c 3 R l J T I w a 2 9 s b 2 0 l M j B 0 b 2 V n Z X Z v Z W d k N j w v S X R l b V B h d G g + P C 9 J d G V t T G 9 j Y X R p b 2 4 + P F N 0 Y W J s Z U V u d H J p Z X M g L z 4 8 L 0 l 0 Z W 0 + P E l 0 Z W 0 + P E l 0 Z W 1 M b 2 N h d G l v b j 4 8 S X R l b V R 5 c G U + R m 9 y b X V s Y T w v S X R l b V R 5 c G U + P E l 0 Z W 1 Q Y X R o P l N l Y 3 R p b 2 4 x L 0 l u c 2 N o c m l q Z l 9 F e H B v c n Q v Q W F u Z 2 V w Y X N 0 Z S U y M G t v b G 9 t J T I w d G 9 l Z 2 V 2 b 2 V n Z D c 8 L 0 l 0 Z W 1 Q Y X R o P j w v S X R l b U x v Y 2 F 0 a W 9 u P j x T d G F i b G V F b n R y a W V z I C 8 + P C 9 J d G V t P j x J d G V t P j x J d G V t T G 9 j Y X R p b 2 4 + P E l 0 Z W 1 U e X B l P k Z v c m 1 1 b G E 8 L 0 l 0 Z W 1 U e X B l P j x J d G V t U G F 0 a D 5 T Z W N 0 a W 9 u M S 9 S Z W Z l c m V u d G l l X 0 V 4 c G 9 y d C 9 B Y W 5 n Z X B h c 3 R l J T I w a 2 9 s b 2 0 l M j B 0 b 2 V n Z X Z v Z W d k P C 9 J d G V t U G F 0 a D 4 8 L 0 l 0 Z W 1 M b 2 N h d G l v b j 4 8 U 3 R h Y m x l R W 5 0 c m l l c y A v P j w v S X R l b T 4 8 S X R l b T 4 8 S X R l b U x v Y 2 F 0 a W 9 u P j x J d G V t V H l w Z T 5 G b 3 J t d W x h P C 9 J d G V t V H l w Z T 4 8 S X R l b V B h d G g + U 2 V j d G l v b j E v U m V m Z X J l b n R p Z V 9 F e H B v c n Q v Q W F u Z 2 V w Y X N 0 Z S U y M G t v b G 9 t J T I w d G 9 l Z 2 V 2 b 2 V n Z D E 8 L 0 l 0 Z W 1 Q Y X R o P j w v S X R l b U x v Y 2 F 0 a W 9 u P j x T d G F i b G V F b n R y a W V z I C 8 + P C 9 J d G V t P j x J d G V t P j x J d G V t T G 9 j Y X R p b 2 4 + P E l 0 Z W 1 U e X B l P k Z v c m 1 1 b G E 8 L 0 l 0 Z W 1 U e X B l P j x J d G V t U G F 0 a D 5 T Z W N 0 a W 9 u M S 9 S Z W Z l c m V u d G l l X 0 V 4 c G 9 y d C 9 B Y W 5 n Z X B h c 3 R l J T I w a 2 9 s b 2 0 l M j B 0 b 2 V n Z X Z v Z W d k M j w v S X R l b V B h d G g + P C 9 J d G V t T G 9 j Y X R p b 2 4 + P F N 0 Y W J s Z U V u d H J p Z X M g L z 4 8 L 0 l 0 Z W 0 + P E l 0 Z W 0 + P E l 0 Z W 1 M b 2 N h d G l v b j 4 8 S X R l b V R 5 c G U + R m 9 y b X V s Y T w v S X R l b V R 5 c G U + P E l 0 Z W 1 Q Y X R o P l N l Y 3 R p b 2 4 x L 1 J l Z m V y Z W 5 0 a W V f R X h w b 3 J 0 L 0 F h b m d l c G F z d G U l M j B r b 2 x v b S U y M H R v Z W d l d m 9 l Z 2 Q z P C 9 J d G V t U G F 0 a D 4 8 L 0 l 0 Z W 1 M b 2 N h d G l v b j 4 8 U 3 R h Y m x l R W 5 0 c m l l c y A v P j w v S X R l b T 4 8 S X R l b T 4 8 S X R l b U x v Y 2 F 0 a W 9 u P j x J d G V t V H l w Z T 5 G b 3 J t d W x h P C 9 J d G V t V H l w Z T 4 8 S X R l b V B h d G g + U 2 V j d G l v b j E v U m V m Z X J l b n R p Z V 9 F e H B v c n Q v T m F t Z W 4 l M j B 2 Y W 4 l M j B r b 2 x v b W 1 l b i U y M G d l d 2 l q e m l n Z D E 8 L 0 l 0 Z W 1 Q Y X R o P j w v S X R l b U x v Y 2 F 0 a W 9 u P j x T d G F i b G V F b n R y a W V z I C 8 + P C 9 J d G V t P j x J d G V t P j x J d G V t T G 9 j Y X R p b 2 4 + P E l 0 Z W 1 U e X B l P k Z v c m 1 1 b G E 8 L 0 l 0 Z W 1 U e X B l P j x J d G V t U G F 0 a D 5 T Z W N 0 a W 9 u M S 9 J b n N j a H J p a m Z f R X h w b 3 J 0 L 0 5 h b W V u J T I w d m F u J T I w a 2 9 s b 2 1 t Z W 4 l M j B n Z X d p a n p p Z 2 Q 1 P C 9 J d G V t U G F 0 a D 4 8 L 0 l 0 Z W 1 M b 2 N h d G l v b j 4 8 U 3 R h Y m x l R W 5 0 c m l l c y A v P j w v S X R l b T 4 8 S X R l b T 4 8 S X R l b U x v Y 2 F 0 a W 9 u P j x J d G V t V H l w Z T 5 G b 3 J t d W x h P C 9 J d G V t V H l w Z T 4 8 S X R l b V B h d G g + U 2 V j d G l v b j E v S W 5 z Y 2 h y a W p m X 0 V 4 c G 9 y d C 9 L b 2 x v b W 1 l b i U y M H Z l c n d p a m R l c m Q 1 P C 9 J d G V t U G F 0 a D 4 8 L 0 l 0 Z W 1 M b 2 N h d G l v b j 4 8 U 3 R h Y m x l R W 5 0 c m l l c y A v P j w v S X R l b T 4 8 S X R l b T 4 8 S X R l b U x v Y 2 F 0 a W 9 u P j x J d G V t V H l w Z T 5 G b 3 J t d W x h P C 9 J d G V t V H l w Z T 4 8 S X R l b V B h d G g + U 2 V j d G l v b j E v U m V m Z X J l b n R p Z V 9 F e H B v c n Q v Q W F u Z 2 V w Y X N 0 Z S U y M G t v b G 9 t J T I w d G 9 l Z 2 V 2 b 2 V n Z D Q 8 L 0 l 0 Z W 1 Q Y X R o P j w v S X R l b U x v Y 2 F 0 a W 9 u P j x T d G F i b G V F b n R y a W V z I C 8 + P C 9 J d G V t P j x J d G V t P j x J d G V t T G 9 j Y X R p b 2 4 + P E l 0 Z W 1 U e X B l P k Z v c m 1 1 b G E 8 L 0 l 0 Z W 1 U e X B l P j x J d G V t U G F 0 a D 5 T Z W N 0 a W 9 u M S 9 S Z W Z l c m V u d G l l X 0 V 4 c G 9 y d C 9 B Y W 5 n Z X B h c 3 R l J T I w a 2 9 s b 2 0 l M j B 0 b 2 V n Z X Z v Z W d k N T w v S X R l b V B h d G g + P C 9 J d G V t T G 9 j Y X R p b 2 4 + P F N 0 Y W J s Z U V u d H J p Z X M g L z 4 8 L 0 l 0 Z W 0 + P E l 0 Z W 0 + P E l 0 Z W 1 M b 2 N h d G l v b j 4 8 S X R l b V R 5 c G U + R m 9 y b X V s Y T w v S X R l b V R 5 c G U + P E l 0 Z W 1 Q Y X R o P l N l Y 3 R p b 2 4 x L 0 l u c 2 N o c m l q Z l 9 F e H B v c n Q v Q W F u Z 2 V w Y X N 0 Z S U y M G t v b G 9 t J T I w d G 9 l Z 2 V 2 b 2 V n Z D g 8 L 0 l 0 Z W 1 Q Y X R o P j w v S X R l b U x v Y 2 F 0 a W 9 u P j x T d G F i b G V F b n R y a W V z I C 8 + P C 9 J d G V t P j x J d G V t P j x J d G V t T G 9 j Y X R p b 2 4 + P E l 0 Z W 1 U e X B l P k Z v c m 1 1 b G E 8 L 0 l 0 Z W 1 U e X B l P j x J d G V t U G F 0 a D 5 T Z W N 0 a W 9 u M S 9 J b n N j a H J p a m Z f R X h w b 3 J 0 L 0 F h b m d l c G F z d G U l M j B r b 2 x v b S U y M H R v Z W d l d m 9 l Z 2 Q 5 P C 9 J d G V t U G F 0 a D 4 8 L 0 l 0 Z W 1 M b 2 N h d G l v b j 4 8 U 3 R h Y m x l R W 5 0 c m l l c y A v P j w v S X R l b T 4 8 L 0 l 0 Z W 1 z P j w v T G 9 j Y W x Q Y W N r Y W d l T W V 0 Y W R h d G F G a W x l P h Y A A A B Q S w U G A A A A A A A A A A A A A A A A A A A A A A A A J g E A A A E A A A D Q j J 3 f A R X R E Y x 6 A M B P w p f r A Q A A A P 7 l E Q 0 y C c 1 P h k b q q v c + R J U A A A A A A g A A A A A A E G Y A A A A B A A A g A A A A s b X c r / m l Q Q s N 8 G H g x A L C J C b L 6 2 t l w E 1 b U r e z g u g + J e Q A A A A A D o A A A A A C A A A g A A A A c c z 5 P 9 7 z E a 2 y g R W x / G B x z O E D z 8 d F 3 x s P H G 6 9 W V S Q 4 0 Z Q A A A A p B p x 3 h 7 n J f K n x T Z P a J e L D v e K x m d m S w o P 4 z 0 Y 1 H X 0 C n R B n q K y N T 1 O C H w K k l m / h W Z F g D 4 8 1 I j d t G v t L m M e 4 H 8 l O u X K e u / w S P V T e x b A W 3 b + g G F A A A A A b K v 2 E E P X Y Y y 5 v D H g k 3 g p 8 v s n G h 6 0 l i P U s p v 3 J w 2 O b f R h D + v F F P G K Z s A F D X 1 4 + u j t b Z 3 t s Q 4 O N 7 S Q 1 V T 8 F o R Q b g = = < / D a t a M a s h u p > 
</file>

<file path=customXml/itemProps1.xml><?xml version="1.0" encoding="utf-8"?>
<ds:datastoreItem xmlns:ds="http://schemas.openxmlformats.org/officeDocument/2006/customXml" ds:itemID="{4C7F5FDA-479D-4F39-AA23-1C797B984D01}">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09CDB0A-0DB2-41CF-A5A0-6E73F8BD0EAE}">
  <ds:schemaRefs>
    <ds:schemaRef ds:uri="http://schemas.microsoft.com/sharepoint/v3/contenttype/forms"/>
  </ds:schemaRefs>
</ds:datastoreItem>
</file>

<file path=customXml/itemProps3.xml><?xml version="1.0" encoding="utf-8"?>
<ds:datastoreItem xmlns:ds="http://schemas.openxmlformats.org/officeDocument/2006/customXml" ds:itemID="{1F4415DA-1580-43CD-AB08-65917F9D0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FB325788-EA2C-4858-BF40-00276C58F1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Ontwerpberekening</vt:lpstr>
      <vt:lpstr>Ontwerp_Backlog</vt:lpstr>
      <vt:lpstr>Handleiding</vt:lpstr>
      <vt:lpstr>Referentieberekening</vt:lpstr>
      <vt:lpstr>Referentie_Backlog</vt:lpstr>
      <vt:lpstr>Inschrijfberekening</vt:lpstr>
      <vt:lpstr>Inschrijf LCA's</vt:lpstr>
      <vt:lpstr>Inschrijf_Backlog</vt:lpstr>
      <vt:lpstr>As-Built berekening</vt:lpstr>
      <vt:lpstr>Monitorings Dashboard</vt:lpstr>
      <vt:lpstr>Database</vt:lpstr>
      <vt:lpstr>Processen Database</vt:lpstr>
      <vt:lpstr>Keuzelijst_Producten</vt:lpstr>
      <vt:lpstr>Keuzelijst_Processen</vt:lpstr>
      <vt:lpstr>applicant</vt:lpstr>
      <vt:lpstr>reference</vt:lpstr>
      <vt:lpstr>as-built</vt:lpstr>
      <vt:lpstr>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Bakker</dc:creator>
  <cp:keywords/>
  <dc:description/>
  <cp:lastModifiedBy>Michiel Otto</cp:lastModifiedBy>
  <cp:lastPrinted>2021-11-10T16:12:52Z</cp:lastPrinted>
  <dcterms:created xsi:type="dcterms:W3CDTF">2021-10-12T06:48:09Z</dcterms:created>
  <dcterms:modified xsi:type="dcterms:W3CDTF">2022-09-23T15:09:08Z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0x0101001891F86394A0EE49BD52049B2464C3A6</vt:lpwstr>
  </property>
</Properties>
</file>